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pivotTables/pivotTable7.xml" ContentType="application/vnd.openxmlformats-officedocument.spreadsheetml.pivotTab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pivotTables/pivotTable11.xml" ContentType="application/vnd.openxmlformats-officedocument.spreadsheetml.pivotTab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PivotChartFilter="1"/>
  <bookViews>
    <workbookView xWindow="-270" yWindow="4485" windowWidth="19440" windowHeight="5160" tabRatio="878"/>
  </bookViews>
  <sheets>
    <sheet name="Definitions" sheetId="42" r:id="rId1"/>
    <sheet name="KU Inputs" sheetId="67" r:id="rId2"/>
    <sheet name="KU UtilityData" sheetId="66" r:id="rId3"/>
    <sheet name="PVT Utility Data (Price)" sheetId="72" state="veryHidden" r:id="rId4"/>
    <sheet name="PVT Utility Data (Income)" sheetId="70" state="veryHidden" r:id="rId5"/>
    <sheet name="PVT Utility Data (Population)" sheetId="73" state="veryHidden" r:id="rId6"/>
    <sheet name="KU AnnualIndices" sheetId="17" r:id="rId7"/>
    <sheet name="KU ShareUEC" sheetId="22" r:id="rId8"/>
    <sheet name="KU Shares" sheetId="6" r:id="rId9"/>
    <sheet name="KU Efficiencies" sheetId="20" r:id="rId10"/>
    <sheet name="KU EIAData" sheetId="44" r:id="rId11"/>
    <sheet name="KU StructuralVars" sheetId="64" r:id="rId12"/>
    <sheet name="KU MonthlyMults" sheetId="40" r:id="rId13"/>
    <sheet name="LE Inputs" sheetId="74" r:id="rId14"/>
    <sheet name="LE Chart HH" sheetId="75" r:id="rId15"/>
    <sheet name="PVT Economic Data" sheetId="76" state="veryHidden" r:id="rId16"/>
    <sheet name="Price PVT" sheetId="77" state="veryHidden" r:id="rId17"/>
    <sheet name="LE UtilityData" sheetId="78" r:id="rId18"/>
    <sheet name="LE rate projection" sheetId="79" r:id="rId19"/>
    <sheet name="LE AnnualIndices" sheetId="80" r:id="rId20"/>
    <sheet name="LE ShareUEC" sheetId="81" r:id="rId21"/>
    <sheet name="LE Shares" sheetId="82" r:id="rId22"/>
    <sheet name="LE Efficiencies" sheetId="83" r:id="rId23"/>
    <sheet name="LE EIAData" sheetId="84" r:id="rId24"/>
    <sheet name="LE PVT efficiencies" sheetId="85" state="veryHidden" r:id="rId25"/>
    <sheet name="LE StructuralVars" sheetId="87" r:id="rId26"/>
    <sheet name="LE MonthlyMults" sheetId="88" r:id="rId27"/>
    <sheet name="OD Inputs" sheetId="89" r:id="rId28"/>
    <sheet name="OD Rates" sheetId="90" r:id="rId29"/>
    <sheet name="PVT Utility Data" sheetId="91" r:id="rId30"/>
    <sheet name="OD UtilityData" sheetId="92" r:id="rId31"/>
    <sheet name="OD AnnualIndices" sheetId="93" r:id="rId32"/>
    <sheet name="OD ShareUEC" sheetId="94" r:id="rId33"/>
    <sheet name="OD Shares" sheetId="95" r:id="rId34"/>
    <sheet name="PVT efficiencies (2)" sheetId="96" state="veryHidden" r:id="rId35"/>
    <sheet name="OD Efficiencies" sheetId="97" r:id="rId36"/>
    <sheet name="OD StructuralVars" sheetId="98" r:id="rId37"/>
    <sheet name="OD EIAData" sheetId="99" r:id="rId38"/>
    <sheet name="OD MonthlyMults" sheetId="100" r:id="rId39"/>
  </sheets>
  <definedNames>
    <definedName name="_ENC1980" localSheetId="5">#REF!</definedName>
    <definedName name="_ENC1980" localSheetId="3">#REF!</definedName>
    <definedName name="_ENC1980">#REF!</definedName>
    <definedName name="_ENC1981" localSheetId="5">#REF!</definedName>
    <definedName name="_ENC1981" localSheetId="3">#REF!</definedName>
    <definedName name="_ENC1981">#REF!</definedName>
    <definedName name="_ENC1982" localSheetId="5">#REF!</definedName>
    <definedName name="_ENC1982" localSheetId="3">#REF!</definedName>
    <definedName name="_ENC1982">#REF!</definedName>
    <definedName name="_ENC1983" localSheetId="5">#REF!</definedName>
    <definedName name="_ENC1983" localSheetId="3">#REF!</definedName>
    <definedName name="_ENC1983">#REF!</definedName>
    <definedName name="_ENC1984" localSheetId="5">#REF!</definedName>
    <definedName name="_ENC1984" localSheetId="3">#REF!</definedName>
    <definedName name="_ENC1984">#REF!</definedName>
    <definedName name="_ENC1985" localSheetId="5">#REF!</definedName>
    <definedName name="_ENC1985" localSheetId="3">#REF!</definedName>
    <definedName name="_ENC1985">#REF!</definedName>
    <definedName name="_ENC1986" localSheetId="5">#REF!</definedName>
    <definedName name="_ENC1986" localSheetId="3">#REF!</definedName>
    <definedName name="_ENC1986">#REF!</definedName>
    <definedName name="_ENC1987" localSheetId="5">#REF!</definedName>
    <definedName name="_ENC1987" localSheetId="3">#REF!</definedName>
    <definedName name="_ENC1987">#REF!</definedName>
    <definedName name="_ENC1988" localSheetId="5">#REF!</definedName>
    <definedName name="_ENC1988" localSheetId="3">#REF!</definedName>
    <definedName name="_ENC1988">#REF!</definedName>
    <definedName name="_ENC1989" localSheetId="5">#REF!</definedName>
    <definedName name="_ENC1989" localSheetId="3">#REF!</definedName>
    <definedName name="_ENC1989">#REF!</definedName>
    <definedName name="_ENC1990" localSheetId="5">#REF!</definedName>
    <definedName name="_ENC1990" localSheetId="3">#REF!</definedName>
    <definedName name="_ENC1990">#REF!</definedName>
    <definedName name="_ENC1991" localSheetId="5">#REF!</definedName>
    <definedName name="_ENC1991" localSheetId="3">#REF!</definedName>
    <definedName name="_ENC1991">#REF!</definedName>
    <definedName name="_ENC1992" localSheetId="5">#REF!</definedName>
    <definedName name="_ENC1992" localSheetId="3">#REF!</definedName>
    <definedName name="_ENC1992">#REF!</definedName>
    <definedName name="_ENC1993" localSheetId="5">#REF!</definedName>
    <definedName name="_ENC1993" localSheetId="3">#REF!</definedName>
    <definedName name="_ENC1993">#REF!</definedName>
    <definedName name="_ENC1994" localSheetId="5">#REF!</definedName>
    <definedName name="_ENC1994" localSheetId="3">#REF!</definedName>
    <definedName name="_ENC1994">#REF!</definedName>
    <definedName name="_ENC1995" localSheetId="5">#REF!</definedName>
    <definedName name="_ENC1995" localSheetId="3">#REF!</definedName>
    <definedName name="_ENC1995">#REF!</definedName>
    <definedName name="_ENC1996" localSheetId="5">#REF!</definedName>
    <definedName name="_ENC1996" localSheetId="3">#REF!</definedName>
    <definedName name="_ENC1996">#REF!</definedName>
    <definedName name="_ENC1997" localSheetId="5">#REF!</definedName>
    <definedName name="_ENC1997" localSheetId="3">#REF!</definedName>
    <definedName name="_ENC1997">#REF!</definedName>
    <definedName name="_ENC1998" localSheetId="5">#REF!</definedName>
    <definedName name="_ENC1998" localSheetId="3">#REF!</definedName>
    <definedName name="_ENC1998">#REF!</definedName>
    <definedName name="_ENC1999" localSheetId="5">#REF!</definedName>
    <definedName name="_ENC1999" localSheetId="3">#REF!</definedName>
    <definedName name="_ENC1999">#REF!</definedName>
    <definedName name="_ENC2000" localSheetId="5">#REF!</definedName>
    <definedName name="_ENC2000" localSheetId="3">#REF!</definedName>
    <definedName name="_ENC2000">#REF!</definedName>
    <definedName name="_ENC2001" localSheetId="5">#REF!</definedName>
    <definedName name="_ENC2001" localSheetId="3">#REF!</definedName>
    <definedName name="_ENC2001">#REF!</definedName>
    <definedName name="_ENC2002" localSheetId="5">#REF!</definedName>
    <definedName name="_ENC2002" localSheetId="3">#REF!</definedName>
    <definedName name="_ENC2002">#REF!</definedName>
    <definedName name="_ENC2003" localSheetId="5">#REF!</definedName>
    <definedName name="_ENC2003" localSheetId="3">#REF!</definedName>
    <definedName name="_ENC2003">#REF!</definedName>
    <definedName name="_ENC2004" localSheetId="5">#REF!</definedName>
    <definedName name="_ENC2004" localSheetId="3">#REF!</definedName>
    <definedName name="_ENC2004">#REF!</definedName>
    <definedName name="_ENC2005" localSheetId="5">#REF!</definedName>
    <definedName name="_ENC2005" localSheetId="3">#REF!</definedName>
    <definedName name="_ENC2005">#REF!</definedName>
    <definedName name="_ENC2006" localSheetId="5">#REF!</definedName>
    <definedName name="_ENC2006" localSheetId="3">#REF!</definedName>
    <definedName name="_ENC2006">#REF!</definedName>
    <definedName name="_ENC2007" localSheetId="5">#REF!</definedName>
    <definedName name="_ENC2007" localSheetId="3">#REF!</definedName>
    <definedName name="_ENC2007">#REF!</definedName>
    <definedName name="_ENC2008" localSheetId="5">#REF!</definedName>
    <definedName name="_ENC2008" localSheetId="3">#REF!</definedName>
    <definedName name="_ENC2008">#REF!</definedName>
    <definedName name="_ENC2009" localSheetId="5">#REF!</definedName>
    <definedName name="_ENC2009" localSheetId="3">#REF!</definedName>
    <definedName name="_ENC2009">#REF!</definedName>
    <definedName name="_ENC2010" localSheetId="5">#REF!</definedName>
    <definedName name="_ENC2010" localSheetId="3">#REF!</definedName>
    <definedName name="_ENC2010">#REF!</definedName>
    <definedName name="_ENC2011" localSheetId="5">#REF!</definedName>
    <definedName name="_ENC2011" localSheetId="3">#REF!</definedName>
    <definedName name="_ENC2011">#REF!</definedName>
    <definedName name="_ENC2012" localSheetId="5">#REF!</definedName>
    <definedName name="_ENC2012" localSheetId="3">#REF!</definedName>
    <definedName name="_ENC2012">#REF!</definedName>
    <definedName name="_ENC2013" localSheetId="5">#REF!</definedName>
    <definedName name="_ENC2013" localSheetId="3">#REF!</definedName>
    <definedName name="_ENC2013">#REF!</definedName>
    <definedName name="_ENC2014" localSheetId="5">#REF!</definedName>
    <definedName name="_ENC2014" localSheetId="3">#REF!</definedName>
    <definedName name="_ENC2014">#REF!</definedName>
    <definedName name="_ENC2015" localSheetId="5">#REF!</definedName>
    <definedName name="_ENC2015" localSheetId="3">#REF!</definedName>
    <definedName name="_ENC2015">#REF!</definedName>
    <definedName name="_ENC2016" localSheetId="5">#REF!</definedName>
    <definedName name="_ENC2016" localSheetId="3">#REF!</definedName>
    <definedName name="_ENC2016">#REF!</definedName>
    <definedName name="_ENC2017" localSheetId="5">#REF!</definedName>
    <definedName name="_ENC2017" localSheetId="3">#REF!</definedName>
    <definedName name="_ENC2017">#REF!</definedName>
    <definedName name="_ENC2018" localSheetId="5">#REF!</definedName>
    <definedName name="_ENC2018" localSheetId="3">#REF!</definedName>
    <definedName name="_ENC2018">#REF!</definedName>
    <definedName name="_ENC2019" localSheetId="5">#REF!</definedName>
    <definedName name="_ENC2019" localSheetId="3">#REF!</definedName>
    <definedName name="_ENC2019">#REF!</definedName>
    <definedName name="_ENC2020" localSheetId="5">#REF!</definedName>
    <definedName name="_ENC2020" localSheetId="3">#REF!</definedName>
    <definedName name="_ENC2020">#REF!</definedName>
    <definedName name="_ESC1980" localSheetId="5">#REF!</definedName>
    <definedName name="_ESC1980" localSheetId="3">#REF!</definedName>
    <definedName name="_ESC1980">#REF!</definedName>
    <definedName name="_ESC1981" localSheetId="5">#REF!</definedName>
    <definedName name="_ESC1981" localSheetId="3">#REF!</definedName>
    <definedName name="_ESC1981">#REF!</definedName>
    <definedName name="_ESC1982" localSheetId="5">#REF!</definedName>
    <definedName name="_ESC1982" localSheetId="3">#REF!</definedName>
    <definedName name="_ESC1982">#REF!</definedName>
    <definedName name="_ESC1983" localSheetId="5">#REF!</definedName>
    <definedName name="_ESC1983" localSheetId="3">#REF!</definedName>
    <definedName name="_ESC1983">#REF!</definedName>
    <definedName name="_ESC1984" localSheetId="5">#REF!</definedName>
    <definedName name="_ESC1984" localSheetId="3">#REF!</definedName>
    <definedName name="_ESC1984">#REF!</definedName>
    <definedName name="_ESC1985" localSheetId="5">#REF!</definedName>
    <definedName name="_ESC1985" localSheetId="3">#REF!</definedName>
    <definedName name="_ESC1985">#REF!</definedName>
    <definedName name="_ESC1986" localSheetId="5">#REF!</definedName>
    <definedName name="_ESC1986" localSheetId="3">#REF!</definedName>
    <definedName name="_ESC1986">#REF!</definedName>
    <definedName name="_ESC1987" localSheetId="5">#REF!</definedName>
    <definedName name="_ESC1987" localSheetId="3">#REF!</definedName>
    <definedName name="_ESC1987">#REF!</definedName>
    <definedName name="_ESC1988" localSheetId="5">#REF!</definedName>
    <definedName name="_ESC1988" localSheetId="3">#REF!</definedName>
    <definedName name="_ESC1988">#REF!</definedName>
    <definedName name="_ESC1989" localSheetId="5">#REF!</definedName>
    <definedName name="_ESC1989" localSheetId="3">#REF!</definedName>
    <definedName name="_ESC1989">#REF!</definedName>
    <definedName name="_ESC1990" localSheetId="5">#REF!</definedName>
    <definedName name="_ESC1990" localSheetId="3">#REF!</definedName>
    <definedName name="_ESC1990">#REF!</definedName>
    <definedName name="_ESC1991" localSheetId="5">#REF!</definedName>
    <definedName name="_ESC1991" localSheetId="3">#REF!</definedName>
    <definedName name="_ESC1991">#REF!</definedName>
    <definedName name="_ESC1992" localSheetId="5">#REF!</definedName>
    <definedName name="_ESC1992" localSheetId="3">#REF!</definedName>
    <definedName name="_ESC1992">#REF!</definedName>
    <definedName name="_ESC1993" localSheetId="5">#REF!</definedName>
    <definedName name="_ESC1993" localSheetId="3">#REF!</definedName>
    <definedName name="_ESC1993">#REF!</definedName>
    <definedName name="_ESC1994" localSheetId="5">#REF!</definedName>
    <definedName name="_ESC1994" localSheetId="3">#REF!</definedName>
    <definedName name="_ESC1994">#REF!</definedName>
    <definedName name="_ESC1995" localSheetId="5">#REF!</definedName>
    <definedName name="_ESC1995" localSheetId="3">#REF!</definedName>
    <definedName name="_ESC1995">#REF!</definedName>
    <definedName name="_ESC1996" localSheetId="5">#REF!</definedName>
    <definedName name="_ESC1996" localSheetId="3">#REF!</definedName>
    <definedName name="_ESC1996">#REF!</definedName>
    <definedName name="_ESC1997" localSheetId="5">#REF!</definedName>
    <definedName name="_ESC1997" localSheetId="3">#REF!</definedName>
    <definedName name="_ESC1997">#REF!</definedName>
    <definedName name="_ESC1998" localSheetId="5">#REF!</definedName>
    <definedName name="_ESC1998" localSheetId="3">#REF!</definedName>
    <definedName name="_ESC1998">#REF!</definedName>
    <definedName name="_ESC1999" localSheetId="5">#REF!</definedName>
    <definedName name="_ESC1999" localSheetId="3">#REF!</definedName>
    <definedName name="_ESC1999">#REF!</definedName>
    <definedName name="_ESC2000" localSheetId="5">#REF!</definedName>
    <definedName name="_ESC2000" localSheetId="3">#REF!</definedName>
    <definedName name="_ESC2000">#REF!</definedName>
    <definedName name="_ESC2001" localSheetId="5">#REF!</definedName>
    <definedName name="_ESC2001" localSheetId="3">#REF!</definedName>
    <definedName name="_ESC2001">#REF!</definedName>
    <definedName name="_ESC2002" localSheetId="5">#REF!</definedName>
    <definedName name="_ESC2002" localSheetId="3">#REF!</definedName>
    <definedName name="_ESC2002">#REF!</definedName>
    <definedName name="_ESC2003" localSheetId="5">#REF!</definedName>
    <definedName name="_ESC2003" localSheetId="3">#REF!</definedName>
    <definedName name="_ESC2003">#REF!</definedName>
    <definedName name="_ESC2004" localSheetId="5">#REF!</definedName>
    <definedName name="_ESC2004" localSheetId="3">#REF!</definedName>
    <definedName name="_ESC2004">#REF!</definedName>
    <definedName name="_ESC2005" localSheetId="5">#REF!</definedName>
    <definedName name="_ESC2005" localSheetId="3">#REF!</definedName>
    <definedName name="_ESC2005">#REF!</definedName>
    <definedName name="_ESC2006" localSheetId="5">#REF!</definedName>
    <definedName name="_ESC2006" localSheetId="3">#REF!</definedName>
    <definedName name="_ESC2006">#REF!</definedName>
    <definedName name="_ESC2007" localSheetId="5">#REF!</definedName>
    <definedName name="_ESC2007" localSheetId="3">#REF!</definedName>
    <definedName name="_ESC2007">#REF!</definedName>
    <definedName name="_ESC2008" localSheetId="5">#REF!</definedName>
    <definedName name="_ESC2008" localSheetId="3">#REF!</definedName>
    <definedName name="_ESC2008">#REF!</definedName>
    <definedName name="_ESC2009" localSheetId="5">#REF!</definedName>
    <definedName name="_ESC2009" localSheetId="3">#REF!</definedName>
    <definedName name="_ESC2009">#REF!</definedName>
    <definedName name="_ESC2010" localSheetId="5">#REF!</definedName>
    <definedName name="_ESC2010" localSheetId="3">#REF!</definedName>
    <definedName name="_ESC2010">#REF!</definedName>
    <definedName name="_ESC2011" localSheetId="5">#REF!</definedName>
    <definedName name="_ESC2011" localSheetId="3">#REF!</definedName>
    <definedName name="_ESC2011">#REF!</definedName>
    <definedName name="_ESC2012" localSheetId="5">#REF!</definedName>
    <definedName name="_ESC2012" localSheetId="3">#REF!</definedName>
    <definedName name="_ESC2012">#REF!</definedName>
    <definedName name="_ESC2013" localSheetId="5">#REF!</definedName>
    <definedName name="_ESC2013" localSheetId="3">#REF!</definedName>
    <definedName name="_ESC2013">#REF!</definedName>
    <definedName name="_ESC2014" localSheetId="5">#REF!</definedName>
    <definedName name="_ESC2014" localSheetId="3">#REF!</definedName>
    <definedName name="_ESC2014">#REF!</definedName>
    <definedName name="_ESC2015" localSheetId="5">#REF!</definedName>
    <definedName name="_ESC2015" localSheetId="3">#REF!</definedName>
    <definedName name="_ESC2015">#REF!</definedName>
    <definedName name="_ESC2016" localSheetId="5">#REF!</definedName>
    <definedName name="_ESC2016" localSheetId="3">#REF!</definedName>
    <definedName name="_ESC2016">#REF!</definedName>
    <definedName name="_ESC2017" localSheetId="5">#REF!</definedName>
    <definedName name="_ESC2017" localSheetId="3">#REF!</definedName>
    <definedName name="_ESC2017">#REF!</definedName>
    <definedName name="_ESC2018" localSheetId="5">#REF!</definedName>
    <definedName name="_ESC2018" localSheetId="3">#REF!</definedName>
    <definedName name="_ESC2018">#REF!</definedName>
    <definedName name="_ESC2019" localSheetId="5">#REF!</definedName>
    <definedName name="_ESC2019" localSheetId="3">#REF!</definedName>
    <definedName name="_ESC2019">#REF!</definedName>
    <definedName name="_ESC2020" localSheetId="5">#REF!</definedName>
    <definedName name="_ESC2020" localSheetId="3">#REF!</definedName>
    <definedName name="_ESC2020">#REF!</definedName>
    <definedName name="_MNT1980" localSheetId="5">#REF!</definedName>
    <definedName name="_MNT1980" localSheetId="3">#REF!</definedName>
    <definedName name="_MNT1980">#REF!</definedName>
    <definedName name="_MNT1981" localSheetId="5">#REF!</definedName>
    <definedName name="_MNT1981" localSheetId="3">#REF!</definedName>
    <definedName name="_MNT1981">#REF!</definedName>
    <definedName name="_MNT1982" localSheetId="5">#REF!</definedName>
    <definedName name="_MNT1982" localSheetId="3">#REF!</definedName>
    <definedName name="_MNT1982">#REF!</definedName>
    <definedName name="_MNT1983" localSheetId="5">#REF!</definedName>
    <definedName name="_MNT1983" localSheetId="3">#REF!</definedName>
    <definedName name="_MNT1983">#REF!</definedName>
    <definedName name="_MNT1984" localSheetId="5">#REF!</definedName>
    <definedName name="_MNT1984" localSheetId="3">#REF!</definedName>
    <definedName name="_MNT1984">#REF!</definedName>
    <definedName name="_MNT1985" localSheetId="5">#REF!</definedName>
    <definedName name="_MNT1985" localSheetId="3">#REF!</definedName>
    <definedName name="_MNT1985">#REF!</definedName>
    <definedName name="_MNT1986" localSheetId="5">#REF!</definedName>
    <definedName name="_MNT1986" localSheetId="3">#REF!</definedName>
    <definedName name="_MNT1986">#REF!</definedName>
    <definedName name="_MNT1987" localSheetId="5">#REF!</definedName>
    <definedName name="_MNT1987" localSheetId="3">#REF!</definedName>
    <definedName name="_MNT1987">#REF!</definedName>
    <definedName name="_MNT1988" localSheetId="5">#REF!</definedName>
    <definedName name="_MNT1988" localSheetId="3">#REF!</definedName>
    <definedName name="_MNT1988">#REF!</definedName>
    <definedName name="_MNT1989" localSheetId="5">#REF!</definedName>
    <definedName name="_MNT1989" localSheetId="3">#REF!</definedName>
    <definedName name="_MNT1989">#REF!</definedName>
    <definedName name="_MNT1990" localSheetId="5">#REF!</definedName>
    <definedName name="_MNT1990" localSheetId="3">#REF!</definedName>
    <definedName name="_MNT1990">#REF!</definedName>
    <definedName name="_MNT1991" localSheetId="5">#REF!</definedName>
    <definedName name="_MNT1991" localSheetId="3">#REF!</definedName>
    <definedName name="_MNT1991">#REF!</definedName>
    <definedName name="_MNT1992" localSheetId="5">#REF!</definedName>
    <definedName name="_MNT1992" localSheetId="3">#REF!</definedName>
    <definedName name="_MNT1992">#REF!</definedName>
    <definedName name="_MNT1993" localSheetId="5">#REF!</definedName>
    <definedName name="_MNT1993" localSheetId="3">#REF!</definedName>
    <definedName name="_MNT1993">#REF!</definedName>
    <definedName name="_MNT1994" localSheetId="5">#REF!</definedName>
    <definedName name="_MNT1994" localSheetId="3">#REF!</definedName>
    <definedName name="_MNT1994">#REF!</definedName>
    <definedName name="_MNT1995" localSheetId="5">#REF!</definedName>
    <definedName name="_MNT1995" localSheetId="3">#REF!</definedName>
    <definedName name="_MNT1995">#REF!</definedName>
    <definedName name="_MNT1996" localSheetId="5">#REF!</definedName>
    <definedName name="_MNT1996" localSheetId="3">#REF!</definedName>
    <definedName name="_MNT1996">#REF!</definedName>
    <definedName name="_MNT1997" localSheetId="5">#REF!</definedName>
    <definedName name="_MNT1997" localSheetId="3">#REF!</definedName>
    <definedName name="_MNT1997">#REF!</definedName>
    <definedName name="_MNT1998" localSheetId="5">#REF!</definedName>
    <definedName name="_MNT1998" localSheetId="3">#REF!</definedName>
    <definedName name="_MNT1998">#REF!</definedName>
    <definedName name="_MNT1999" localSheetId="5">#REF!</definedName>
    <definedName name="_MNT1999" localSheetId="3">#REF!</definedName>
    <definedName name="_MNT1999">#REF!</definedName>
    <definedName name="_MNT2000" localSheetId="5">#REF!</definedName>
    <definedName name="_MNT2000" localSheetId="3">#REF!</definedName>
    <definedName name="_MNT2000">#REF!</definedName>
    <definedName name="_MNT2001" localSheetId="5">#REF!</definedName>
    <definedName name="_MNT2001" localSheetId="3">#REF!</definedName>
    <definedName name="_MNT2001">#REF!</definedName>
    <definedName name="_MNT2002" localSheetId="5">#REF!</definedName>
    <definedName name="_MNT2002" localSheetId="3">#REF!</definedName>
    <definedName name="_MNT2002">#REF!</definedName>
    <definedName name="_MNT2003" localSheetId="5">#REF!</definedName>
    <definedName name="_MNT2003" localSheetId="3">#REF!</definedName>
    <definedName name="_MNT2003">#REF!</definedName>
    <definedName name="_MNT2004" localSheetId="5">#REF!</definedName>
    <definedName name="_MNT2004" localSheetId="3">#REF!</definedName>
    <definedName name="_MNT2004">#REF!</definedName>
    <definedName name="_MNT2005" localSheetId="5">#REF!</definedName>
    <definedName name="_MNT2005" localSheetId="3">#REF!</definedName>
    <definedName name="_MNT2005">#REF!</definedName>
    <definedName name="_MNT2006" localSheetId="5">#REF!</definedName>
    <definedName name="_MNT2006" localSheetId="3">#REF!</definedName>
    <definedName name="_MNT2006">#REF!</definedName>
    <definedName name="_MNT2007" localSheetId="5">#REF!</definedName>
    <definedName name="_MNT2007" localSheetId="3">#REF!</definedName>
    <definedName name="_MNT2007">#REF!</definedName>
    <definedName name="_MNT2008" localSheetId="5">#REF!</definedName>
    <definedName name="_MNT2008" localSheetId="3">#REF!</definedName>
    <definedName name="_MNT2008">#REF!</definedName>
    <definedName name="_MNT2009" localSheetId="5">#REF!</definedName>
    <definedName name="_MNT2009" localSheetId="3">#REF!</definedName>
    <definedName name="_MNT2009">#REF!</definedName>
    <definedName name="_MNT2010" localSheetId="5">#REF!</definedName>
    <definedName name="_MNT2010" localSheetId="3">#REF!</definedName>
    <definedName name="_MNT2010">#REF!</definedName>
    <definedName name="_MNT2011" localSheetId="5">#REF!</definedName>
    <definedName name="_MNT2011" localSheetId="3">#REF!</definedName>
    <definedName name="_MNT2011">#REF!</definedName>
    <definedName name="_MNT2012" localSheetId="5">#REF!</definedName>
    <definedName name="_MNT2012" localSheetId="3">#REF!</definedName>
    <definedName name="_MNT2012">#REF!</definedName>
    <definedName name="_MNT2013" localSheetId="5">#REF!</definedName>
    <definedName name="_MNT2013" localSheetId="3">#REF!</definedName>
    <definedName name="_MNT2013">#REF!</definedName>
    <definedName name="_MNT2014" localSheetId="5">#REF!</definedName>
    <definedName name="_MNT2014" localSheetId="3">#REF!</definedName>
    <definedName name="_MNT2014">#REF!</definedName>
    <definedName name="_MNT2015" localSheetId="5">#REF!</definedName>
    <definedName name="_MNT2015" localSheetId="3">#REF!</definedName>
    <definedName name="_MNT2015">#REF!</definedName>
    <definedName name="_MNT2016" localSheetId="5">#REF!</definedName>
    <definedName name="_MNT2016" localSheetId="3">#REF!</definedName>
    <definedName name="_MNT2016">#REF!</definedName>
    <definedName name="_MNT2017" localSheetId="5">#REF!</definedName>
    <definedName name="_MNT2017" localSheetId="3">#REF!</definedName>
    <definedName name="_MNT2017">#REF!</definedName>
    <definedName name="_MNT2018" localSheetId="5">#REF!</definedName>
    <definedName name="_MNT2018" localSheetId="3">#REF!</definedName>
    <definedName name="_MNT2018">#REF!</definedName>
    <definedName name="_MNT2019" localSheetId="5">#REF!</definedName>
    <definedName name="_MNT2019" localSheetId="3">#REF!</definedName>
    <definedName name="_MNT2019">#REF!</definedName>
    <definedName name="_MNT2020" localSheetId="5">#REF!</definedName>
    <definedName name="_MNT2020" localSheetId="3">#REF!</definedName>
    <definedName name="_MNT2020">#REF!</definedName>
    <definedName name="_PAC1980" localSheetId="5">#REF!</definedName>
    <definedName name="_PAC1980" localSheetId="3">#REF!</definedName>
    <definedName name="_PAC1980">#REF!</definedName>
    <definedName name="_PAC1981" localSheetId="5">#REF!</definedName>
    <definedName name="_PAC1981" localSheetId="3">#REF!</definedName>
    <definedName name="_PAC1981">#REF!</definedName>
    <definedName name="_PAC1982" localSheetId="5">#REF!</definedName>
    <definedName name="_PAC1982" localSheetId="3">#REF!</definedName>
    <definedName name="_PAC1982">#REF!</definedName>
    <definedName name="_PAC1983" localSheetId="5">#REF!</definedName>
    <definedName name="_PAC1983" localSheetId="3">#REF!</definedName>
    <definedName name="_PAC1983">#REF!</definedName>
    <definedName name="_PAC1984" localSheetId="5">#REF!</definedName>
    <definedName name="_PAC1984" localSheetId="3">#REF!</definedName>
    <definedName name="_PAC1984">#REF!</definedName>
    <definedName name="_PAC1985" localSheetId="5">#REF!</definedName>
    <definedName name="_PAC1985" localSheetId="3">#REF!</definedName>
    <definedName name="_PAC1985">#REF!</definedName>
    <definedName name="_PAC1986" localSheetId="5">#REF!</definedName>
    <definedName name="_PAC1986" localSheetId="3">#REF!</definedName>
    <definedName name="_PAC1986">#REF!</definedName>
    <definedName name="_PAC1987" localSheetId="5">#REF!</definedName>
    <definedName name="_PAC1987" localSheetId="3">#REF!</definedName>
    <definedName name="_PAC1987">#REF!</definedName>
    <definedName name="_PAC1988" localSheetId="5">#REF!</definedName>
    <definedName name="_PAC1988" localSheetId="3">#REF!</definedName>
    <definedName name="_PAC1988">#REF!</definedName>
    <definedName name="_PAC1989" localSheetId="5">#REF!</definedName>
    <definedName name="_PAC1989" localSheetId="3">#REF!</definedName>
    <definedName name="_PAC1989">#REF!</definedName>
    <definedName name="_PAC1990" localSheetId="5">#REF!</definedName>
    <definedName name="_PAC1990" localSheetId="3">#REF!</definedName>
    <definedName name="_PAC1990">#REF!</definedName>
    <definedName name="_PAC1991" localSheetId="5">#REF!</definedName>
    <definedName name="_PAC1991" localSheetId="3">#REF!</definedName>
    <definedName name="_PAC1991">#REF!</definedName>
    <definedName name="_PAC1992" localSheetId="5">#REF!</definedName>
    <definedName name="_PAC1992" localSheetId="3">#REF!</definedName>
    <definedName name="_PAC1992">#REF!</definedName>
    <definedName name="_PAC1993" localSheetId="5">#REF!</definedName>
    <definedName name="_PAC1993" localSheetId="3">#REF!</definedName>
    <definedName name="_PAC1993">#REF!</definedName>
    <definedName name="_PAC1994" localSheetId="5">#REF!</definedName>
    <definedName name="_PAC1994" localSheetId="3">#REF!</definedName>
    <definedName name="_PAC1994">#REF!</definedName>
    <definedName name="_PAC1995" localSheetId="5">#REF!</definedName>
    <definedName name="_PAC1995" localSheetId="3">#REF!</definedName>
    <definedName name="_PAC1995">#REF!</definedName>
    <definedName name="_PAC1996" localSheetId="5">#REF!</definedName>
    <definedName name="_PAC1996" localSheetId="3">#REF!</definedName>
    <definedName name="_PAC1996">#REF!</definedName>
    <definedName name="_PAC1997" localSheetId="5">#REF!</definedName>
    <definedName name="_PAC1997" localSheetId="3">#REF!</definedName>
    <definedName name="_PAC1997">#REF!</definedName>
    <definedName name="_PAC1998" localSheetId="5">#REF!</definedName>
    <definedName name="_PAC1998" localSheetId="3">#REF!</definedName>
    <definedName name="_PAC1998">#REF!</definedName>
    <definedName name="_PAC1999" localSheetId="5">#REF!</definedName>
    <definedName name="_PAC1999" localSheetId="3">#REF!</definedName>
    <definedName name="_PAC1999">#REF!</definedName>
    <definedName name="_PAC2000" localSheetId="5">#REF!</definedName>
    <definedName name="_PAC2000" localSheetId="3">#REF!</definedName>
    <definedName name="_PAC2000">#REF!</definedName>
    <definedName name="_PAC2001" localSheetId="5">#REF!</definedName>
    <definedName name="_PAC2001" localSheetId="3">#REF!</definedName>
    <definedName name="_PAC2001">#REF!</definedName>
    <definedName name="_PAC2002" localSheetId="5">#REF!</definedName>
    <definedName name="_PAC2002" localSheetId="3">#REF!</definedName>
    <definedName name="_PAC2002">#REF!</definedName>
    <definedName name="_PAC2003" localSheetId="5">#REF!</definedName>
    <definedName name="_PAC2003" localSheetId="3">#REF!</definedName>
    <definedName name="_PAC2003">#REF!</definedName>
    <definedName name="_PAC2004" localSheetId="5">#REF!</definedName>
    <definedName name="_PAC2004" localSheetId="3">#REF!</definedName>
    <definedName name="_PAC2004">#REF!</definedName>
    <definedName name="_PAC2005" localSheetId="5">#REF!</definedName>
    <definedName name="_PAC2005" localSheetId="3">#REF!</definedName>
    <definedName name="_PAC2005">#REF!</definedName>
    <definedName name="_PAC2006" localSheetId="5">#REF!</definedName>
    <definedName name="_PAC2006" localSheetId="3">#REF!</definedName>
    <definedName name="_PAC2006">#REF!</definedName>
    <definedName name="_PAC2007" localSheetId="5">#REF!</definedName>
    <definedName name="_PAC2007" localSheetId="3">#REF!</definedName>
    <definedName name="_PAC2007">#REF!</definedName>
    <definedName name="_PAC2008" localSheetId="5">#REF!</definedName>
    <definedName name="_PAC2008" localSheetId="3">#REF!</definedName>
    <definedName name="_PAC2008">#REF!</definedName>
    <definedName name="_PAC2009" localSheetId="5">#REF!</definedName>
    <definedName name="_PAC2009" localSheetId="3">#REF!</definedName>
    <definedName name="_PAC2009">#REF!</definedName>
    <definedName name="_PAC2010" localSheetId="5">#REF!</definedName>
    <definedName name="_PAC2010" localSheetId="3">#REF!</definedName>
    <definedName name="_PAC2010">#REF!</definedName>
    <definedName name="_PAC2011" localSheetId="5">#REF!</definedName>
    <definedName name="_PAC2011" localSheetId="3">#REF!</definedName>
    <definedName name="_PAC2011">#REF!</definedName>
    <definedName name="_PAC2012" localSheetId="5">#REF!</definedName>
    <definedName name="_PAC2012" localSheetId="3">#REF!</definedName>
    <definedName name="_PAC2012">#REF!</definedName>
    <definedName name="_PAC2013" localSheetId="5">#REF!</definedName>
    <definedName name="_PAC2013" localSheetId="3">#REF!</definedName>
    <definedName name="_PAC2013">#REF!</definedName>
    <definedName name="_PAC2014" localSheetId="5">#REF!</definedName>
    <definedName name="_PAC2014" localSheetId="3">#REF!</definedName>
    <definedName name="_PAC2014">#REF!</definedName>
    <definedName name="_PAC2015" localSheetId="5">#REF!</definedName>
    <definedName name="_PAC2015" localSheetId="3">#REF!</definedName>
    <definedName name="_PAC2015">#REF!</definedName>
    <definedName name="_PAC2016" localSheetId="5">#REF!</definedName>
    <definedName name="_PAC2016" localSheetId="3">#REF!</definedName>
    <definedName name="_PAC2016">#REF!</definedName>
    <definedName name="_PAC2017" localSheetId="5">#REF!</definedName>
    <definedName name="_PAC2017" localSheetId="3">#REF!</definedName>
    <definedName name="_PAC2017">#REF!</definedName>
    <definedName name="_PAC2018" localSheetId="5">#REF!</definedName>
    <definedName name="_PAC2018" localSheetId="3">#REF!</definedName>
    <definedName name="_PAC2018">#REF!</definedName>
    <definedName name="_PAC2019" localSheetId="5">#REF!</definedName>
    <definedName name="_PAC2019" localSheetId="3">#REF!</definedName>
    <definedName name="_PAC2019">#REF!</definedName>
    <definedName name="_PAC2020" localSheetId="5">#REF!</definedName>
    <definedName name="_PAC2020" localSheetId="3">#REF!</definedName>
    <definedName name="_PAC2020">#REF!</definedName>
    <definedName name="_WNC1980" localSheetId="5">#REF!</definedName>
    <definedName name="_WNC1980" localSheetId="3">#REF!</definedName>
    <definedName name="_WNC1980">#REF!</definedName>
    <definedName name="_WNC1981" localSheetId="5">#REF!</definedName>
    <definedName name="_WNC1981" localSheetId="3">#REF!</definedName>
    <definedName name="_WNC1981">#REF!</definedName>
    <definedName name="_WNC1982" localSheetId="5">#REF!</definedName>
    <definedName name="_WNC1982" localSheetId="3">#REF!</definedName>
    <definedName name="_WNC1982">#REF!</definedName>
    <definedName name="_WNC1983" localSheetId="5">#REF!</definedName>
    <definedName name="_WNC1983" localSheetId="3">#REF!</definedName>
    <definedName name="_WNC1983">#REF!</definedName>
    <definedName name="_WNC1984" localSheetId="5">#REF!</definedName>
    <definedName name="_WNC1984" localSheetId="3">#REF!</definedName>
    <definedName name="_WNC1984">#REF!</definedName>
    <definedName name="_WNC1985" localSheetId="5">#REF!</definedName>
    <definedName name="_WNC1985" localSheetId="3">#REF!</definedName>
    <definedName name="_WNC1985">#REF!</definedName>
    <definedName name="_WNC1986" localSheetId="5">#REF!</definedName>
    <definedName name="_WNC1986" localSheetId="3">#REF!</definedName>
    <definedName name="_WNC1986">#REF!</definedName>
    <definedName name="_WNC1987" localSheetId="5">#REF!</definedName>
    <definedName name="_WNC1987" localSheetId="3">#REF!</definedName>
    <definedName name="_WNC1987">#REF!</definedName>
    <definedName name="_WNC1988" localSheetId="5">#REF!</definedName>
    <definedName name="_WNC1988" localSheetId="3">#REF!</definedName>
    <definedName name="_WNC1988">#REF!</definedName>
    <definedName name="_WNC1989" localSheetId="5">#REF!</definedName>
    <definedName name="_WNC1989" localSheetId="3">#REF!</definedName>
    <definedName name="_WNC1989">#REF!</definedName>
    <definedName name="_WNC1990" localSheetId="5">#REF!</definedName>
    <definedName name="_WNC1990" localSheetId="3">#REF!</definedName>
    <definedName name="_WNC1990">#REF!</definedName>
    <definedName name="_WNC1991" localSheetId="5">#REF!</definedName>
    <definedName name="_WNC1991" localSheetId="3">#REF!</definedName>
    <definedName name="_WNC1991">#REF!</definedName>
    <definedName name="_WNC1992" localSheetId="5">#REF!</definedName>
    <definedName name="_WNC1992" localSheetId="3">#REF!</definedName>
    <definedName name="_WNC1992">#REF!</definedName>
    <definedName name="_WNC1993" localSheetId="5">#REF!</definedName>
    <definedName name="_WNC1993" localSheetId="3">#REF!</definedName>
    <definedName name="_WNC1993">#REF!</definedName>
    <definedName name="_WNC1994" localSheetId="5">#REF!</definedName>
    <definedName name="_WNC1994" localSheetId="3">#REF!</definedName>
    <definedName name="_WNC1994">#REF!</definedName>
    <definedName name="_WNC1995" localSheetId="5">#REF!</definedName>
    <definedName name="_WNC1995" localSheetId="3">#REF!</definedName>
    <definedName name="_WNC1995">#REF!</definedName>
    <definedName name="_WNC1996" localSheetId="5">#REF!</definedName>
    <definedName name="_WNC1996" localSheetId="3">#REF!</definedName>
    <definedName name="_WNC1996">#REF!</definedName>
    <definedName name="_WNC1997" localSheetId="5">#REF!</definedName>
    <definedName name="_WNC1997" localSheetId="3">#REF!</definedName>
    <definedName name="_WNC1997">#REF!</definedName>
    <definedName name="_WNC1998" localSheetId="5">#REF!</definedName>
    <definedName name="_WNC1998" localSheetId="3">#REF!</definedName>
    <definedName name="_WNC1998">#REF!</definedName>
    <definedName name="_WNC1999" localSheetId="5">#REF!</definedName>
    <definedName name="_WNC1999" localSheetId="3">#REF!</definedName>
    <definedName name="_WNC1999">#REF!</definedName>
    <definedName name="_WNC2000" localSheetId="5">#REF!</definedName>
    <definedName name="_WNC2000" localSheetId="3">#REF!</definedName>
    <definedName name="_WNC2000">#REF!</definedName>
    <definedName name="_WNC2001" localSheetId="5">#REF!</definedName>
    <definedName name="_WNC2001" localSheetId="3">#REF!</definedName>
    <definedName name="_WNC2001">#REF!</definedName>
    <definedName name="_WNC2002" localSheetId="5">#REF!</definedName>
    <definedName name="_WNC2002" localSheetId="3">#REF!</definedName>
    <definedName name="_WNC2002">#REF!</definedName>
    <definedName name="_WNC2003" localSheetId="5">#REF!</definedName>
    <definedName name="_WNC2003" localSheetId="3">#REF!</definedName>
    <definedName name="_WNC2003">#REF!</definedName>
    <definedName name="_WNC2004" localSheetId="5">#REF!</definedName>
    <definedName name="_WNC2004" localSheetId="3">#REF!</definedName>
    <definedName name="_WNC2004">#REF!</definedName>
    <definedName name="_WNC2005" localSheetId="5">#REF!</definedName>
    <definedName name="_WNC2005" localSheetId="3">#REF!</definedName>
    <definedName name="_WNC2005">#REF!</definedName>
    <definedName name="_WNC2006" localSheetId="5">#REF!</definedName>
    <definedName name="_WNC2006" localSheetId="3">#REF!</definedName>
    <definedName name="_WNC2006">#REF!</definedName>
    <definedName name="_WNC2007" localSheetId="5">#REF!</definedName>
    <definedName name="_WNC2007" localSheetId="3">#REF!</definedName>
    <definedName name="_WNC2007">#REF!</definedName>
    <definedName name="_WNC2008" localSheetId="5">#REF!</definedName>
    <definedName name="_WNC2008" localSheetId="3">#REF!</definedName>
    <definedName name="_WNC2008">#REF!</definedName>
    <definedName name="_WNC2009" localSheetId="5">#REF!</definedName>
    <definedName name="_WNC2009" localSheetId="3">#REF!</definedName>
    <definedName name="_WNC2009">#REF!</definedName>
    <definedName name="_WNC2010" localSheetId="5">#REF!</definedName>
    <definedName name="_WNC2010" localSheetId="3">#REF!</definedName>
    <definedName name="_WNC2010">#REF!</definedName>
    <definedName name="_WNC2011" localSheetId="5">#REF!</definedName>
    <definedName name="_WNC2011" localSheetId="3">#REF!</definedName>
    <definedName name="_WNC2011">#REF!</definedName>
    <definedName name="_WNC2012" localSheetId="5">#REF!</definedName>
    <definedName name="_WNC2012" localSheetId="3">#REF!</definedName>
    <definedName name="_WNC2012">#REF!</definedName>
    <definedName name="_WNC2013" localSheetId="5">#REF!</definedName>
    <definedName name="_WNC2013" localSheetId="3">#REF!</definedName>
    <definedName name="_WNC2013">#REF!</definedName>
    <definedName name="_WNC2014" localSheetId="5">#REF!</definedName>
    <definedName name="_WNC2014" localSheetId="3">#REF!</definedName>
    <definedName name="_WNC2014">#REF!</definedName>
    <definedName name="_WNC2015" localSheetId="5">#REF!</definedName>
    <definedName name="_WNC2015" localSheetId="3">#REF!</definedName>
    <definedName name="_WNC2015">#REF!</definedName>
    <definedName name="_WNC2016" localSheetId="5">#REF!</definedName>
    <definedName name="_WNC2016" localSheetId="3">#REF!</definedName>
    <definedName name="_WNC2016">#REF!</definedName>
    <definedName name="_WNC2017" localSheetId="5">#REF!</definedName>
    <definedName name="_WNC2017" localSheetId="3">#REF!</definedName>
    <definedName name="_WNC2017">#REF!</definedName>
    <definedName name="_WNC2018" localSheetId="5">#REF!</definedName>
    <definedName name="_WNC2018" localSheetId="3">#REF!</definedName>
    <definedName name="_WNC2018">#REF!</definedName>
    <definedName name="_WNC2019" localSheetId="5">#REF!</definedName>
    <definedName name="_WNC2019" localSheetId="3">#REF!</definedName>
    <definedName name="_WNC2019">#REF!</definedName>
    <definedName name="_WNC2020" localSheetId="5">#REF!</definedName>
    <definedName name="_WNC2020" localSheetId="3">#REF!</definedName>
    <definedName name="_WNC2020">#REF!</definedName>
    <definedName name="_WSC1980" localSheetId="5">#REF!</definedName>
    <definedName name="_WSC1980" localSheetId="3">#REF!</definedName>
    <definedName name="_WSC1980">#REF!</definedName>
    <definedName name="_WSC1981" localSheetId="5">#REF!</definedName>
    <definedName name="_WSC1981" localSheetId="3">#REF!</definedName>
    <definedName name="_WSC1981">#REF!</definedName>
    <definedName name="_WSC1982" localSheetId="5">#REF!</definedName>
    <definedName name="_WSC1982" localSheetId="3">#REF!</definedName>
    <definedName name="_WSC1982">#REF!</definedName>
    <definedName name="_WSC1983" localSheetId="5">#REF!</definedName>
    <definedName name="_WSC1983" localSheetId="3">#REF!</definedName>
    <definedName name="_WSC1983">#REF!</definedName>
    <definedName name="_WSC1984" localSheetId="5">#REF!</definedName>
    <definedName name="_WSC1984" localSheetId="3">#REF!</definedName>
    <definedName name="_WSC1984">#REF!</definedName>
    <definedName name="_WSC1985" localSheetId="5">#REF!</definedName>
    <definedName name="_WSC1985" localSheetId="3">#REF!</definedName>
    <definedName name="_WSC1985">#REF!</definedName>
    <definedName name="_WSC1986" localSheetId="5">#REF!</definedName>
    <definedName name="_WSC1986" localSheetId="3">#REF!</definedName>
    <definedName name="_WSC1986">#REF!</definedName>
    <definedName name="_WSC1987" localSheetId="5">#REF!</definedName>
    <definedName name="_WSC1987" localSheetId="3">#REF!</definedName>
    <definedName name="_WSC1987">#REF!</definedName>
    <definedName name="_WSC1988" localSheetId="5">#REF!</definedName>
    <definedName name="_WSC1988" localSheetId="3">#REF!</definedName>
    <definedName name="_WSC1988">#REF!</definedName>
    <definedName name="_WSC1989" localSheetId="5">#REF!</definedName>
    <definedName name="_WSC1989" localSheetId="3">#REF!</definedName>
    <definedName name="_WSC1989">#REF!</definedName>
    <definedName name="_WSC1990" localSheetId="5">#REF!</definedName>
    <definedName name="_WSC1990" localSheetId="3">#REF!</definedName>
    <definedName name="_WSC1990">#REF!</definedName>
    <definedName name="_WSC1991" localSheetId="5">#REF!</definedName>
    <definedName name="_WSC1991" localSheetId="3">#REF!</definedName>
    <definedName name="_WSC1991">#REF!</definedName>
    <definedName name="_WSC1992" localSheetId="5">#REF!</definedName>
    <definedName name="_WSC1992" localSheetId="3">#REF!</definedName>
    <definedName name="_WSC1992">#REF!</definedName>
    <definedName name="_WSC1993" localSheetId="5">#REF!</definedName>
    <definedName name="_WSC1993" localSheetId="3">#REF!</definedName>
    <definedName name="_WSC1993">#REF!</definedName>
    <definedName name="_WSC1994" localSheetId="5">#REF!</definedName>
    <definedName name="_WSC1994" localSheetId="3">#REF!</definedName>
    <definedName name="_WSC1994">#REF!</definedName>
    <definedName name="_WSC1995" localSheetId="5">#REF!</definedName>
    <definedName name="_WSC1995" localSheetId="3">#REF!</definedName>
    <definedName name="_WSC1995">#REF!</definedName>
    <definedName name="_WSC1996" localSheetId="5">#REF!</definedName>
    <definedName name="_WSC1996" localSheetId="3">#REF!</definedName>
    <definedName name="_WSC1996">#REF!</definedName>
    <definedName name="_WSC1997" localSheetId="5">#REF!</definedName>
    <definedName name="_WSC1997" localSheetId="3">#REF!</definedName>
    <definedName name="_WSC1997">#REF!</definedName>
    <definedName name="_WSC1998" localSheetId="5">#REF!</definedName>
    <definedName name="_WSC1998" localSheetId="3">#REF!</definedName>
    <definedName name="_WSC1998">#REF!</definedName>
    <definedName name="_WSC1999" localSheetId="5">#REF!</definedName>
    <definedName name="_WSC1999" localSheetId="3">#REF!</definedName>
    <definedName name="_WSC1999">#REF!</definedName>
    <definedName name="_WSC2000" localSheetId="5">#REF!</definedName>
    <definedName name="_WSC2000" localSheetId="3">#REF!</definedName>
    <definedName name="_WSC2000">#REF!</definedName>
    <definedName name="_WSC2001" localSheetId="5">#REF!</definedName>
    <definedName name="_WSC2001" localSheetId="3">#REF!</definedName>
    <definedName name="_WSC2001">#REF!</definedName>
    <definedName name="_WSC2002" localSheetId="5">#REF!</definedName>
    <definedName name="_WSC2002" localSheetId="3">#REF!</definedName>
    <definedName name="_WSC2002">#REF!</definedName>
    <definedName name="_WSC2003" localSheetId="5">#REF!</definedName>
    <definedName name="_WSC2003" localSheetId="3">#REF!</definedName>
    <definedName name="_WSC2003">#REF!</definedName>
    <definedName name="_WSC2004" localSheetId="5">#REF!</definedName>
    <definedName name="_WSC2004" localSheetId="3">#REF!</definedName>
    <definedName name="_WSC2004">#REF!</definedName>
    <definedName name="_WSC2005" localSheetId="5">#REF!</definedName>
    <definedName name="_WSC2005" localSheetId="3">#REF!</definedName>
    <definedName name="_WSC2005">#REF!</definedName>
    <definedName name="_WSC2006" localSheetId="5">#REF!</definedName>
    <definedName name="_WSC2006" localSheetId="3">#REF!</definedName>
    <definedName name="_WSC2006">#REF!</definedName>
    <definedName name="_WSC2007" localSheetId="5">#REF!</definedName>
    <definedName name="_WSC2007" localSheetId="3">#REF!</definedName>
    <definedName name="_WSC2007">#REF!</definedName>
    <definedName name="_WSC2008" localSheetId="5">#REF!</definedName>
    <definedName name="_WSC2008" localSheetId="3">#REF!</definedName>
    <definedName name="_WSC2008">#REF!</definedName>
    <definedName name="_WSC2009" localSheetId="5">#REF!</definedName>
    <definedName name="_WSC2009" localSheetId="3">#REF!</definedName>
    <definedName name="_WSC2009">#REF!</definedName>
    <definedName name="_WSC2010" localSheetId="5">#REF!</definedName>
    <definedName name="_WSC2010" localSheetId="3">#REF!</definedName>
    <definedName name="_WSC2010">#REF!</definedName>
    <definedName name="_WSC2011" localSheetId="5">#REF!</definedName>
    <definedName name="_WSC2011" localSheetId="3">#REF!</definedName>
    <definedName name="_WSC2011">#REF!</definedName>
    <definedName name="_WSC2012" localSheetId="5">#REF!</definedName>
    <definedName name="_WSC2012" localSheetId="3">#REF!</definedName>
    <definedName name="_WSC2012">#REF!</definedName>
    <definedName name="_WSC2013" localSheetId="5">#REF!</definedName>
    <definedName name="_WSC2013" localSheetId="3">#REF!</definedName>
    <definedName name="_WSC2013">#REF!</definedName>
    <definedName name="_WSC2014" localSheetId="5">#REF!</definedName>
    <definedName name="_WSC2014" localSheetId="3">#REF!</definedName>
    <definedName name="_WSC2014">#REF!</definedName>
    <definedName name="_WSC2015" localSheetId="5">#REF!</definedName>
    <definedName name="_WSC2015" localSheetId="3">#REF!</definedName>
    <definedName name="_WSC2015">#REF!</definedName>
    <definedName name="_WSC2016" localSheetId="5">#REF!</definedName>
    <definedName name="_WSC2016" localSheetId="3">#REF!</definedName>
    <definedName name="_WSC2016">#REF!</definedName>
    <definedName name="_WSC2017" localSheetId="5">#REF!</definedName>
    <definedName name="_WSC2017" localSheetId="3">#REF!</definedName>
    <definedName name="_WSC2017">#REF!</definedName>
    <definedName name="_WSC2018" localSheetId="5">#REF!</definedName>
    <definedName name="_WSC2018" localSheetId="3">#REF!</definedName>
    <definedName name="_WSC2018">#REF!</definedName>
    <definedName name="_WSC2019" localSheetId="5">#REF!</definedName>
    <definedName name="_WSC2019" localSheetId="3">#REF!</definedName>
    <definedName name="_WSC2019">#REF!</definedName>
    <definedName name="_WSC2020" localSheetId="5">#REF!</definedName>
    <definedName name="_WSC2020" localSheetId="3">#REF!</definedName>
    <definedName name="_WSC2020">#REF!</definedName>
    <definedName name="AnnCool1980" localSheetId="5">'KU AnnualIndices'!#REF!</definedName>
    <definedName name="AnnCool1980" localSheetId="3">'KU AnnualIndices'!#REF!</definedName>
    <definedName name="AnnCool1980">'KU AnnualIndices'!#REF!</definedName>
    <definedName name="AnnCool1981" localSheetId="5">'KU AnnualIndices'!#REF!</definedName>
    <definedName name="AnnCool1981" localSheetId="3">'KU AnnualIndices'!#REF!</definedName>
    <definedName name="AnnCool1981">'KU AnnualIndices'!#REF!</definedName>
    <definedName name="AnnCool1982" localSheetId="5">'KU AnnualIndices'!#REF!</definedName>
    <definedName name="AnnCool1982" localSheetId="3">'KU AnnualIndices'!#REF!</definedName>
    <definedName name="AnnCool1982">'KU AnnualIndices'!#REF!</definedName>
    <definedName name="AnnCool1983" localSheetId="5">'KU AnnualIndices'!#REF!</definedName>
    <definedName name="AnnCool1983" localSheetId="3">'KU AnnualIndices'!#REF!</definedName>
    <definedName name="AnnCool1983">'KU AnnualIndices'!#REF!</definedName>
    <definedName name="AnnCool1984" localSheetId="5">'KU AnnualIndices'!#REF!</definedName>
    <definedName name="AnnCool1984" localSheetId="3">'KU AnnualIndices'!#REF!</definedName>
    <definedName name="AnnCool1984">'KU AnnualIndices'!#REF!</definedName>
    <definedName name="AnnCool1985" localSheetId="5">'KU AnnualIndices'!#REF!</definedName>
    <definedName name="AnnCool1985" localSheetId="3">'KU AnnualIndices'!#REF!</definedName>
    <definedName name="AnnCool1985">'KU AnnualIndices'!#REF!</definedName>
    <definedName name="AnnCool1986" localSheetId="5">'KU AnnualIndices'!#REF!</definedName>
    <definedName name="AnnCool1986" localSheetId="3">'KU AnnualIndices'!#REF!</definedName>
    <definedName name="AnnCool1986">'KU AnnualIndices'!#REF!</definedName>
    <definedName name="AnnCool1987" localSheetId="5">'KU AnnualIndices'!#REF!</definedName>
    <definedName name="AnnCool1987" localSheetId="3">'KU AnnualIndices'!#REF!</definedName>
    <definedName name="AnnCool1987">'KU AnnualIndices'!#REF!</definedName>
    <definedName name="AnnCool1988" localSheetId="5">'KU AnnualIndices'!#REF!</definedName>
    <definedName name="AnnCool1988" localSheetId="3">'KU AnnualIndices'!#REF!</definedName>
    <definedName name="AnnCool1988">'KU AnnualIndices'!#REF!</definedName>
    <definedName name="AnnCool1989" localSheetId="5">'KU AnnualIndices'!#REF!</definedName>
    <definedName name="AnnCool1989" localSheetId="3">'KU AnnualIndices'!#REF!</definedName>
    <definedName name="AnnCool1989">'KU AnnualIndices'!#REF!</definedName>
    <definedName name="AnnCool1990" localSheetId="5">'KU AnnualIndices'!#REF!</definedName>
    <definedName name="AnnCool1990" localSheetId="3">'KU AnnualIndices'!#REF!</definedName>
    <definedName name="AnnCool1990">'KU AnnualIndices'!#REF!</definedName>
    <definedName name="AnnCool1991" localSheetId="5">'KU AnnualIndices'!#REF!</definedName>
    <definedName name="AnnCool1991" localSheetId="3">'KU AnnualIndices'!#REF!</definedName>
    <definedName name="AnnCool1991">'KU AnnualIndices'!#REF!</definedName>
    <definedName name="AnnCool1992" localSheetId="5">'KU AnnualIndices'!#REF!</definedName>
    <definedName name="AnnCool1992" localSheetId="3">'KU AnnualIndices'!#REF!</definedName>
    <definedName name="AnnCool1992">'KU AnnualIndices'!#REF!</definedName>
    <definedName name="AnnCool1993" localSheetId="5">'KU AnnualIndices'!#REF!</definedName>
    <definedName name="AnnCool1993" localSheetId="3">'KU AnnualIndices'!#REF!</definedName>
    <definedName name="AnnCool1993">'KU AnnualIndices'!#REF!</definedName>
    <definedName name="AnnCool1994" localSheetId="5">'KU AnnualIndices'!#REF!</definedName>
    <definedName name="AnnCool1994" localSheetId="3">'KU AnnualIndices'!#REF!</definedName>
    <definedName name="AnnCool1994">'KU AnnualIndices'!#REF!</definedName>
    <definedName name="AnnCool1995">'KU AnnualIndices'!$D$2:$D$2</definedName>
    <definedName name="AnnCool1996">'KU AnnualIndices'!$D$3:$D$3</definedName>
    <definedName name="AnnCool1997">'KU AnnualIndices'!$D$4:$D$4</definedName>
    <definedName name="AnnCool1998">'KU AnnualIndices'!$D$5:$D$5</definedName>
    <definedName name="AnnCool1999">'KU AnnualIndices'!$D$6:$D$6</definedName>
    <definedName name="AnnCool2000">'KU AnnualIndices'!$D$7:$D$7</definedName>
    <definedName name="AnnCool2001">'KU AnnualIndices'!$D$8:$D$8</definedName>
    <definedName name="AnnCool2002">'KU AnnualIndices'!$D$9:$D$9</definedName>
    <definedName name="AnnCool2003">'KU AnnualIndices'!$D$10:$D$10</definedName>
    <definedName name="AnnCool2004">'KU AnnualIndices'!$D$11:$D$11</definedName>
    <definedName name="AnnCool2005">'KU AnnualIndices'!$D$12:$D$12</definedName>
    <definedName name="AnnCool2006">'KU AnnualIndices'!$D$13:$D$13</definedName>
    <definedName name="AnnCool2007">'KU AnnualIndices'!$D$14:$D$14</definedName>
    <definedName name="AnnCool2008">'KU AnnualIndices'!$D$15:$D$15</definedName>
    <definedName name="AnnCool2009">'KU AnnualIndices'!$D$16:$D$16</definedName>
    <definedName name="AnnCool2010">'KU AnnualIndices'!$D$17:$D$17</definedName>
    <definedName name="AnnCool2011">'KU AnnualIndices'!$D$18:$D$18</definedName>
    <definedName name="AnnCool2012">'KU AnnualIndices'!$D$19:$D$19</definedName>
    <definedName name="AnnCool2013">'KU AnnualIndices'!$D$20:$D$20</definedName>
    <definedName name="AnnCool2014">'KU AnnualIndices'!$D$21:$D$21</definedName>
    <definedName name="AnnCool2015">'KU AnnualIndices'!$D$22:$D$22</definedName>
    <definedName name="AnnCool2016">'KU AnnualIndices'!$D$23:$D$23</definedName>
    <definedName name="AnnCool2017">'KU AnnualIndices'!$D$24:$D$24</definedName>
    <definedName name="AnnCool2018">'KU AnnualIndices'!$D$25:$D$25</definedName>
    <definedName name="AnnCool2019">'KU AnnualIndices'!$D$26:$D$26</definedName>
    <definedName name="AnnCool2020">'KU AnnualIndices'!$D$27:$D$27</definedName>
    <definedName name="AnnCool2021">'KU AnnualIndices'!$D$28</definedName>
    <definedName name="AnnCool2022">'KU AnnualIndices'!$D$29</definedName>
    <definedName name="AnnCool2023">'KU AnnualIndices'!$D$30</definedName>
    <definedName name="AnnCool2024">'KU AnnualIndices'!$D$31</definedName>
    <definedName name="AnnCool2025">'KU AnnualIndices'!$D$32</definedName>
    <definedName name="AnnHeat1980" localSheetId="5">'KU AnnualIndices'!#REF!</definedName>
    <definedName name="AnnHeat1980" localSheetId="3">'KU AnnualIndices'!#REF!</definedName>
    <definedName name="AnnHeat1980">'KU AnnualIndices'!#REF!</definedName>
    <definedName name="AnnHeat1981" localSheetId="5">'KU AnnualIndices'!#REF!</definedName>
    <definedName name="AnnHeat1981" localSheetId="3">'KU AnnualIndices'!#REF!</definedName>
    <definedName name="AnnHeat1981">'KU AnnualIndices'!#REF!</definedName>
    <definedName name="AnnHeat1982" localSheetId="5">'KU AnnualIndices'!#REF!</definedName>
    <definedName name="AnnHeat1982" localSheetId="3">'KU AnnualIndices'!#REF!</definedName>
    <definedName name="AnnHeat1982">'KU AnnualIndices'!#REF!</definedName>
    <definedName name="AnnHeat1983" localSheetId="5">'KU AnnualIndices'!#REF!</definedName>
    <definedName name="AnnHeat1983" localSheetId="3">'KU AnnualIndices'!#REF!</definedName>
    <definedName name="AnnHeat1983">'KU AnnualIndices'!#REF!</definedName>
    <definedName name="AnnHeat1984" localSheetId="5">'KU AnnualIndices'!#REF!</definedName>
    <definedName name="AnnHeat1984" localSheetId="3">'KU AnnualIndices'!#REF!</definedName>
    <definedName name="AnnHeat1984">'KU AnnualIndices'!#REF!</definedName>
    <definedName name="AnnHeat1985" localSheetId="5">'KU AnnualIndices'!#REF!</definedName>
    <definedName name="AnnHeat1985" localSheetId="3">'KU AnnualIndices'!#REF!</definedName>
    <definedName name="AnnHeat1985">'KU AnnualIndices'!#REF!</definedName>
    <definedName name="AnnHeat1986" localSheetId="5">'KU AnnualIndices'!#REF!</definedName>
    <definedName name="AnnHeat1986" localSheetId="3">'KU AnnualIndices'!#REF!</definedName>
    <definedName name="AnnHeat1986">'KU AnnualIndices'!#REF!</definedName>
    <definedName name="AnnHeat1987" localSheetId="5">'KU AnnualIndices'!#REF!</definedName>
    <definedName name="AnnHeat1987" localSheetId="3">'KU AnnualIndices'!#REF!</definedName>
    <definedName name="AnnHeat1987">'KU AnnualIndices'!#REF!</definedName>
    <definedName name="AnnHeat1988" localSheetId="5">'KU AnnualIndices'!#REF!</definedName>
    <definedName name="AnnHeat1988" localSheetId="3">'KU AnnualIndices'!#REF!</definedName>
    <definedName name="AnnHeat1988">'KU AnnualIndices'!#REF!</definedName>
    <definedName name="AnnHeat1989" localSheetId="5">'KU AnnualIndices'!#REF!</definedName>
    <definedName name="AnnHeat1989" localSheetId="3">'KU AnnualIndices'!#REF!</definedName>
    <definedName name="AnnHeat1989">'KU AnnualIndices'!#REF!</definedName>
    <definedName name="AnnHeat1990" localSheetId="5">'KU AnnualIndices'!#REF!</definedName>
    <definedName name="AnnHeat1990" localSheetId="3">'KU AnnualIndices'!#REF!</definedName>
    <definedName name="AnnHeat1990">'KU AnnualIndices'!#REF!</definedName>
    <definedName name="AnnHeat1991" localSheetId="5">'KU AnnualIndices'!#REF!</definedName>
    <definedName name="AnnHeat1991" localSheetId="3">'KU AnnualIndices'!#REF!</definedName>
    <definedName name="AnnHeat1991">'KU AnnualIndices'!#REF!</definedName>
    <definedName name="AnnHeat1992" localSheetId="5">'KU AnnualIndices'!#REF!</definedName>
    <definedName name="AnnHeat1992" localSheetId="3">'KU AnnualIndices'!#REF!</definedName>
    <definedName name="AnnHeat1992">'KU AnnualIndices'!#REF!</definedName>
    <definedName name="AnnHeat1993" localSheetId="5">'KU AnnualIndices'!#REF!</definedName>
    <definedName name="AnnHeat1993" localSheetId="3">'KU AnnualIndices'!#REF!</definedName>
    <definedName name="AnnHeat1993">'KU AnnualIndices'!#REF!</definedName>
    <definedName name="AnnHeat1994" localSheetId="5">'KU AnnualIndices'!#REF!</definedName>
    <definedName name="AnnHeat1994" localSheetId="3">'KU AnnualIndices'!#REF!</definedName>
    <definedName name="AnnHeat1994">'KU AnnualIndices'!#REF!</definedName>
    <definedName name="AnnHeat1995">'KU AnnualIndices'!$B$2:$B$2</definedName>
    <definedName name="AnnHeat1996">'KU AnnualIndices'!$B$3:$B$3</definedName>
    <definedName name="AnnHeat1997">'KU AnnualIndices'!$B$4:$B$4</definedName>
    <definedName name="AnnHeat1998">'KU AnnualIndices'!$B$5:$B$5</definedName>
    <definedName name="AnnHeat1999">'KU AnnualIndices'!$B$6:$B$6</definedName>
    <definedName name="AnnHeat2000">'KU AnnualIndices'!$B$7:$B$7</definedName>
    <definedName name="AnnHeat2001">'KU AnnualIndices'!$B$8:$B$8</definedName>
    <definedName name="AnnHeat2002">'KU AnnualIndices'!$B$9:$B$9</definedName>
    <definedName name="AnnHeat2003">'KU AnnualIndices'!$B$10:$B$10</definedName>
    <definedName name="AnnHeat2004">'KU AnnualIndices'!$B$11:$B$11</definedName>
    <definedName name="AnnHeat2005">'KU AnnualIndices'!$B$12:$B$12</definedName>
    <definedName name="AnnHeat2006">'KU AnnualIndices'!$B$13:$B$13</definedName>
    <definedName name="AnnHeat2007">'KU AnnualIndices'!$B$14:$B$14</definedName>
    <definedName name="AnnHeat2008">'KU AnnualIndices'!$B$15:$B$15</definedName>
    <definedName name="AnnHeat2009">'KU AnnualIndices'!$B$16:$B$16</definedName>
    <definedName name="AnnHeat2010">'KU AnnualIndices'!$B$17:$B$17</definedName>
    <definedName name="AnnHeat2011">'KU AnnualIndices'!$B$18:$B$18</definedName>
    <definedName name="AnnHeat2012">'KU AnnualIndices'!$B$19:$B$19</definedName>
    <definedName name="AnnHeat2013">'KU AnnualIndices'!$B$20:$B$20</definedName>
    <definedName name="AnnHeat2014">'KU AnnualIndices'!$B$21:$B$21</definedName>
    <definedName name="AnnHeat2015">'KU AnnualIndices'!$B$22:$B$22</definedName>
    <definedName name="AnnHeat2016">'KU AnnualIndices'!$B$23:$B$23</definedName>
    <definedName name="AnnHeat2017">'KU AnnualIndices'!$B$24:$B$24</definedName>
    <definedName name="AnnHeat2018">'KU AnnualIndices'!$B$25:$B$25</definedName>
    <definedName name="AnnHeat2019">'KU AnnualIndices'!$B$26:$B$26</definedName>
    <definedName name="AnnHeat2020">'KU AnnualIndices'!$B$27:$B$27</definedName>
    <definedName name="AnnHeat2021">'KU AnnualIndices'!$B$28</definedName>
    <definedName name="AnnHeat2022">'KU AnnualIndices'!$B$29</definedName>
    <definedName name="AnnHeat2023">'KU AnnualIndices'!$B$30</definedName>
    <definedName name="AnnHeat2024">'KU AnnualIndices'!$B$31</definedName>
    <definedName name="AnnHeat2025">'KU AnnualIndices'!$B$32</definedName>
    <definedName name="ElectricSales_NENG" localSheetId="5">#REF!</definedName>
    <definedName name="ElectricSales_NENG" localSheetId="3">#REF!</definedName>
    <definedName name="ElectricSales_NENG">#REF!</definedName>
    <definedName name="MATL1980" localSheetId="5">#REF!</definedName>
    <definedName name="MATL1980" localSheetId="3">#REF!</definedName>
    <definedName name="MATL1980">#REF!</definedName>
    <definedName name="MATL1981" localSheetId="5">#REF!</definedName>
    <definedName name="MATL1981" localSheetId="3">#REF!</definedName>
    <definedName name="MATL1981">#REF!</definedName>
    <definedName name="MATL1982" localSheetId="5">#REF!</definedName>
    <definedName name="MATL1982" localSheetId="3">#REF!</definedName>
    <definedName name="MATL1982">#REF!</definedName>
    <definedName name="MATL1983" localSheetId="5">#REF!</definedName>
    <definedName name="MATL1983" localSheetId="3">#REF!</definedName>
    <definedName name="MATL1983">#REF!</definedName>
    <definedName name="MATL1984" localSheetId="5">#REF!</definedName>
    <definedName name="MATL1984" localSheetId="3">#REF!</definedName>
    <definedName name="MATL1984">#REF!</definedName>
    <definedName name="MATL1985" localSheetId="5">#REF!</definedName>
    <definedName name="MATL1985" localSheetId="3">#REF!</definedName>
    <definedName name="MATL1985">#REF!</definedName>
    <definedName name="MATL1986" localSheetId="5">#REF!</definedName>
    <definedName name="MATL1986" localSheetId="3">#REF!</definedName>
    <definedName name="MATL1986">#REF!</definedName>
    <definedName name="MATL1987" localSheetId="5">#REF!</definedName>
    <definedName name="MATL1987" localSheetId="3">#REF!</definedName>
    <definedName name="MATL1987">#REF!</definedName>
    <definedName name="MATL1988" localSheetId="5">#REF!</definedName>
    <definedName name="MATL1988" localSheetId="3">#REF!</definedName>
    <definedName name="MATL1988">#REF!</definedName>
    <definedName name="MATL1989" localSheetId="5">#REF!</definedName>
    <definedName name="MATL1989" localSheetId="3">#REF!</definedName>
    <definedName name="MATL1989">#REF!</definedName>
    <definedName name="MATL1990" localSheetId="5">#REF!</definedName>
    <definedName name="MATL1990" localSheetId="3">#REF!</definedName>
    <definedName name="MATL1990">#REF!</definedName>
    <definedName name="MATL1991" localSheetId="5">#REF!</definedName>
    <definedName name="MATL1991" localSheetId="3">#REF!</definedName>
    <definedName name="MATL1991">#REF!</definedName>
    <definedName name="MATL1992" localSheetId="5">#REF!</definedName>
    <definedName name="MATL1992" localSheetId="3">#REF!</definedName>
    <definedName name="MATL1992">#REF!</definedName>
    <definedName name="MATL1993" localSheetId="5">#REF!</definedName>
    <definedName name="MATL1993" localSheetId="3">#REF!</definedName>
    <definedName name="MATL1993">#REF!</definedName>
    <definedName name="MATL1994" localSheetId="5">#REF!</definedName>
    <definedName name="MATL1994" localSheetId="3">#REF!</definedName>
    <definedName name="MATL1994">#REF!</definedName>
    <definedName name="MATL1995" localSheetId="5">#REF!</definedName>
    <definedName name="MATL1995" localSheetId="3">#REF!</definedName>
    <definedName name="MATL1995">#REF!</definedName>
    <definedName name="MATL1996" localSheetId="5">#REF!</definedName>
    <definedName name="MATL1996" localSheetId="3">#REF!</definedName>
    <definedName name="MATL1996">#REF!</definedName>
    <definedName name="MATL1997" localSheetId="5">#REF!</definedName>
    <definedName name="MATL1997" localSheetId="3">#REF!</definedName>
    <definedName name="MATL1997">#REF!</definedName>
    <definedName name="MATL1998" localSheetId="5">#REF!</definedName>
    <definedName name="MATL1998" localSheetId="3">#REF!</definedName>
    <definedName name="MATL1998">#REF!</definedName>
    <definedName name="MATL1999" localSheetId="5">#REF!</definedName>
    <definedName name="MATL1999" localSheetId="3">#REF!</definedName>
    <definedName name="MATL1999">#REF!</definedName>
    <definedName name="MATL2000" localSheetId="5">#REF!</definedName>
    <definedName name="MATL2000" localSheetId="3">#REF!</definedName>
    <definedName name="MATL2000">#REF!</definedName>
    <definedName name="MATL2001" localSheetId="5">#REF!</definedName>
    <definedName name="MATL2001" localSheetId="3">#REF!</definedName>
    <definedName name="MATL2001">#REF!</definedName>
    <definedName name="MATL2002" localSheetId="5">#REF!</definedName>
    <definedName name="MATL2002" localSheetId="3">#REF!</definedName>
    <definedName name="MATL2002">#REF!</definedName>
    <definedName name="MATL2003" localSheetId="5">#REF!</definedName>
    <definedName name="MATL2003" localSheetId="3">#REF!</definedName>
    <definedName name="MATL2003">#REF!</definedName>
    <definedName name="MATL2004" localSheetId="5">#REF!</definedName>
    <definedName name="MATL2004" localSheetId="3">#REF!</definedName>
    <definedName name="MATL2004">#REF!</definedName>
    <definedName name="MATL2005" localSheetId="5">#REF!</definedName>
    <definedName name="MATL2005" localSheetId="3">#REF!</definedName>
    <definedName name="MATL2005">#REF!</definedName>
    <definedName name="MATL2006" localSheetId="5">#REF!</definedName>
    <definedName name="MATL2006" localSheetId="3">#REF!</definedName>
    <definedName name="MATL2006">#REF!</definedName>
    <definedName name="MATL2007" localSheetId="5">#REF!</definedName>
    <definedName name="MATL2007" localSheetId="3">#REF!</definedName>
    <definedName name="MATL2007">#REF!</definedName>
    <definedName name="MATL2008" localSheetId="5">#REF!</definedName>
    <definedName name="MATL2008" localSheetId="3">#REF!</definedName>
    <definedName name="MATL2008">#REF!</definedName>
    <definedName name="MATL2009" localSheetId="5">#REF!</definedName>
    <definedName name="MATL2009" localSheetId="3">#REF!</definedName>
    <definedName name="MATL2009">#REF!</definedName>
    <definedName name="MATL2010" localSheetId="5">#REF!</definedName>
    <definedName name="MATL2010" localSheetId="3">#REF!</definedName>
    <definedName name="MATL2010">#REF!</definedName>
    <definedName name="MATL2011" localSheetId="5">#REF!</definedName>
    <definedName name="MATL2011" localSheetId="3">#REF!</definedName>
    <definedName name="MATL2011">#REF!</definedName>
    <definedName name="MATL2012" localSheetId="5">#REF!</definedName>
    <definedName name="MATL2012" localSheetId="3">#REF!</definedName>
    <definedName name="MATL2012">#REF!</definedName>
    <definedName name="MATL2013" localSheetId="5">#REF!</definedName>
    <definedName name="MATL2013" localSheetId="3">#REF!</definedName>
    <definedName name="MATL2013">#REF!</definedName>
    <definedName name="MATL2014" localSheetId="5">#REF!</definedName>
    <definedName name="MATL2014" localSheetId="3">#REF!</definedName>
    <definedName name="MATL2014">#REF!</definedName>
    <definedName name="MATL2015" localSheetId="5">#REF!</definedName>
    <definedName name="MATL2015" localSheetId="3">#REF!</definedName>
    <definedName name="MATL2015">#REF!</definedName>
    <definedName name="MATL2016" localSheetId="5">#REF!</definedName>
    <definedName name="MATL2016" localSheetId="3">#REF!</definedName>
    <definedName name="MATL2016">#REF!</definedName>
    <definedName name="MATL2017" localSheetId="5">#REF!</definedName>
    <definedName name="MATL2017" localSheetId="3">#REF!</definedName>
    <definedName name="MATL2017">#REF!</definedName>
    <definedName name="MATL2018" localSheetId="5">#REF!</definedName>
    <definedName name="MATL2018" localSheetId="3">#REF!</definedName>
    <definedName name="MATL2018">#REF!</definedName>
    <definedName name="MATL2019" localSheetId="5">#REF!</definedName>
    <definedName name="MATL2019" localSheetId="3">#REF!</definedName>
    <definedName name="MATL2019">#REF!</definedName>
    <definedName name="MATL2020" localSheetId="5">#REF!</definedName>
    <definedName name="MATL2020" localSheetId="3">#REF!</definedName>
    <definedName name="MATL2020">#REF!</definedName>
    <definedName name="MonMult1">'KU MonthlyMults'!$C$2:$N$2</definedName>
    <definedName name="MonMult10">'KU MonthlyMults'!$C$11:$N$11</definedName>
    <definedName name="MonMult11">'KU MonthlyMults'!$C$12:$N$12</definedName>
    <definedName name="MonMult12">'KU MonthlyMults'!$C$13:$N$13</definedName>
    <definedName name="MonMult2">'KU MonthlyMults'!$C$3:$N$3</definedName>
    <definedName name="MonMult3">'KU MonthlyMults'!$C$4:$N$4</definedName>
    <definedName name="MonMult4">'KU MonthlyMults'!$C$5:$N$5</definedName>
    <definedName name="MonMult5">'KU MonthlyMults'!$C$6:$N$6</definedName>
    <definedName name="MonMult6">'KU MonthlyMults'!$C$7:$N$7</definedName>
    <definedName name="MonMult7">'KU MonthlyMults'!$C$8:$N$8</definedName>
    <definedName name="MonMult8">'KU MonthlyMults'!$C$9:$N$9</definedName>
    <definedName name="MonMult9">'KU MonthlyMults'!$C$10:$N$10</definedName>
    <definedName name="NENG1980" localSheetId="5">'KU ShareUEC'!#REF!</definedName>
    <definedName name="NENG1980" localSheetId="3">'KU ShareUEC'!#REF!</definedName>
    <definedName name="NENG1980">'KU ShareUEC'!#REF!</definedName>
    <definedName name="NENG1981" localSheetId="5">'KU ShareUEC'!#REF!</definedName>
    <definedName name="NENG1981" localSheetId="3">'KU ShareUEC'!#REF!</definedName>
    <definedName name="NENG1981">'KU ShareUEC'!#REF!</definedName>
    <definedName name="NENG1982" localSheetId="5">'KU ShareUEC'!#REF!</definedName>
    <definedName name="NENG1982" localSheetId="3">'KU ShareUEC'!#REF!</definedName>
    <definedName name="NENG1982">'KU ShareUEC'!#REF!</definedName>
    <definedName name="NENG1983" localSheetId="5">'KU ShareUEC'!#REF!</definedName>
    <definedName name="NENG1983" localSheetId="3">'KU ShareUEC'!#REF!</definedName>
    <definedName name="NENG1983">'KU ShareUEC'!#REF!</definedName>
    <definedName name="NENG1984" localSheetId="5">'KU ShareUEC'!#REF!</definedName>
    <definedName name="NENG1984" localSheetId="3">'KU ShareUEC'!#REF!</definedName>
    <definedName name="NENG1984">'KU ShareUEC'!#REF!</definedName>
    <definedName name="NENG1985" localSheetId="5">'KU ShareUEC'!#REF!</definedName>
    <definedName name="NENG1985" localSheetId="3">'KU ShareUEC'!#REF!</definedName>
    <definedName name="NENG1985">'KU ShareUEC'!#REF!</definedName>
    <definedName name="NENG1986" localSheetId="5">'KU ShareUEC'!#REF!</definedName>
    <definedName name="NENG1986" localSheetId="3">'KU ShareUEC'!#REF!</definedName>
    <definedName name="NENG1986">'KU ShareUEC'!#REF!</definedName>
    <definedName name="NENG1987" localSheetId="5">'KU ShareUEC'!#REF!</definedName>
    <definedName name="NENG1987" localSheetId="3">'KU ShareUEC'!#REF!</definedName>
    <definedName name="NENG1987">'KU ShareUEC'!#REF!</definedName>
    <definedName name="NENG1988" localSheetId="5">'KU ShareUEC'!#REF!</definedName>
    <definedName name="NENG1988" localSheetId="3">'KU ShareUEC'!#REF!</definedName>
    <definedName name="NENG1988">'KU ShareUEC'!#REF!</definedName>
    <definedName name="NENG1989" localSheetId="5">'KU ShareUEC'!#REF!</definedName>
    <definedName name="NENG1989" localSheetId="3">'KU ShareUEC'!#REF!</definedName>
    <definedName name="NENG1989">'KU ShareUEC'!#REF!</definedName>
    <definedName name="NENG1990" localSheetId="5">'KU ShareUEC'!#REF!</definedName>
    <definedName name="NENG1990" localSheetId="3">'KU ShareUEC'!#REF!</definedName>
    <definedName name="NENG1990">'KU ShareUEC'!#REF!</definedName>
    <definedName name="NENG1991" localSheetId="5">'KU ShareUEC'!#REF!</definedName>
    <definedName name="NENG1991" localSheetId="3">'KU ShareUEC'!#REF!</definedName>
    <definedName name="NENG1991">'KU ShareUEC'!#REF!</definedName>
    <definedName name="NENG1992" localSheetId="5">'KU ShareUEC'!#REF!</definedName>
    <definedName name="NENG1992" localSheetId="3">'KU ShareUEC'!#REF!</definedName>
    <definedName name="NENG1992">'KU ShareUEC'!#REF!</definedName>
    <definedName name="NENG1993" localSheetId="5">'KU ShareUEC'!#REF!</definedName>
    <definedName name="NENG1993" localSheetId="3">'KU ShareUEC'!#REF!</definedName>
    <definedName name="NENG1993">'KU ShareUEC'!#REF!</definedName>
    <definedName name="NENG1994" localSheetId="5">'KU ShareUEC'!#REF!</definedName>
    <definedName name="NENG1994" localSheetId="3">'KU ShareUEC'!#REF!</definedName>
    <definedName name="NENG1994">'KU ShareUEC'!#REF!</definedName>
    <definedName name="NENG1995">'KU ShareUEC'!$L$2:$Z$2</definedName>
    <definedName name="NENG1996">'KU ShareUEC'!$L$3:$Z$3</definedName>
    <definedName name="NENG1997">'KU ShareUEC'!$L$4:$Z$4</definedName>
    <definedName name="NENG1998">'KU ShareUEC'!$L$5:$Z$5</definedName>
    <definedName name="NENG1999">'KU ShareUEC'!$L$6:$Z$6</definedName>
    <definedName name="NENG2000">'KU ShareUEC'!$L$7:$Z$7</definedName>
    <definedName name="NENG2001">'KU ShareUEC'!$L$8:$Z$8</definedName>
    <definedName name="NENG2002">'KU ShareUEC'!$L$9:$Z$9</definedName>
    <definedName name="NENG2003">'KU ShareUEC'!$L$10:$Z$10</definedName>
    <definedName name="NENG2004">'KU ShareUEC'!$L$11:$Z$11</definedName>
    <definedName name="NENG2005">'KU ShareUEC'!$L$12:$Z$12</definedName>
    <definedName name="NENG2006">'KU ShareUEC'!$L$13:$Z$13</definedName>
    <definedName name="NENG2007">'KU ShareUEC'!$L$14:$Z$14</definedName>
    <definedName name="NENG2008">'KU ShareUEC'!$L$15:$Z$15</definedName>
    <definedName name="NENG2009">'KU ShareUEC'!$L$16:$Z$16</definedName>
    <definedName name="NENG2010">'KU ShareUEC'!$L$17:$Z$17</definedName>
    <definedName name="NENG2011">'KU ShareUEC'!$L$18:$Z$18</definedName>
    <definedName name="NENG2012">'KU ShareUEC'!$L$19:$Z$19</definedName>
    <definedName name="NENG2013">'KU ShareUEC'!$L$20:$Z$20</definedName>
    <definedName name="NENG2014">'KU ShareUEC'!$L$21:$Z$21</definedName>
    <definedName name="NENG2015">'KU ShareUEC'!$L$22:$Z$22</definedName>
    <definedName name="NENG2016">'KU ShareUEC'!$L$23:$Z$23</definedName>
    <definedName name="NENG2017">'KU ShareUEC'!$L$24:$Z$24</definedName>
    <definedName name="NENG2018">'KU ShareUEC'!$L$25:$Z$25</definedName>
    <definedName name="NENG2019">'KU ShareUEC'!$L$26:$Z$26</definedName>
    <definedName name="NENG2020">'KU ShareUEC'!$L$27:$Z$27</definedName>
    <definedName name="NENG2021">'KU ShareUEC'!$L$28:$Z$28</definedName>
    <definedName name="NENG2022">'KU ShareUEC'!$L$29:$Z$29</definedName>
    <definedName name="NENG2023">'KU ShareUEC'!$L$30:$Z$30</definedName>
    <definedName name="NENG2024">'KU ShareUEC'!$L$31:$Z$31</definedName>
    <definedName name="NENG2025">'KU ShareUEC'!$L$32:$Z$32</definedName>
    <definedName name="_xlnm.Print_Area" localSheetId="9">'KU Efficiencies'!$B$54:$X$54</definedName>
    <definedName name="_xlnm.Print_Area" localSheetId="10">'KU EIAData'!$X$90:$BG$113</definedName>
    <definedName name="_xlnm.Print_Area" localSheetId="12">'KU MonthlyMults'!$B$1:$N$13</definedName>
    <definedName name="_xlnm.Print_Area" localSheetId="8">'KU Shares'!$A$1:$X$17</definedName>
    <definedName name="_xlnm.Print_Area" localSheetId="11">'KU StructuralVars'!$A$1:$Q$37</definedName>
    <definedName name="_xlnm.Print_Area" localSheetId="22">'LE Efficiencies'!$B$60:$T$60</definedName>
    <definedName name="_xlnm.Print_Area" localSheetId="23">'LE EIAData'!$U$90:$BD$113</definedName>
    <definedName name="_xlnm.Print_Area" localSheetId="26">'LE MonthlyMults'!$B$1:$N$13</definedName>
    <definedName name="_xlnm.Print_Area" localSheetId="21">'LE Shares'!$A$1:$AI$17</definedName>
    <definedName name="_xlnm.Print_Area" localSheetId="25">'LE StructuralVars'!$A$1:$Q$37</definedName>
    <definedName name="_xlnm.Print_Area" localSheetId="35">'OD Efficiencies'!$B$54:$V$54</definedName>
    <definedName name="_xlnm.Print_Area" localSheetId="37">'OD EIAData'!$U$91:$BD$114</definedName>
    <definedName name="_xlnm.Print_Area" localSheetId="38">'OD MonthlyMults'!$B$1:$N$13</definedName>
    <definedName name="_xlnm.Print_Area" localSheetId="33">'OD Shares'!$A$1:$AJ$17</definedName>
    <definedName name="_xlnm.Print_Area" localSheetId="36">'OD StructuralVars'!$A$1:$Q$37</definedName>
    <definedName name="SATL1980" localSheetId="5">#REF!</definedName>
    <definedName name="SATL1980" localSheetId="3">#REF!</definedName>
    <definedName name="SATL1980">#REF!</definedName>
    <definedName name="SATL1981" localSheetId="5">#REF!</definedName>
    <definedName name="SATL1981" localSheetId="3">#REF!</definedName>
    <definedName name="SATL1981">#REF!</definedName>
    <definedName name="SATL1982" localSheetId="5">#REF!</definedName>
    <definedName name="SATL1982" localSheetId="3">#REF!</definedName>
    <definedName name="SATL1982">#REF!</definedName>
    <definedName name="SATL1983" localSheetId="5">#REF!</definedName>
    <definedName name="SATL1983" localSheetId="3">#REF!</definedName>
    <definedName name="SATL1983">#REF!</definedName>
    <definedName name="SATL1984" localSheetId="5">#REF!</definedName>
    <definedName name="SATL1984" localSheetId="3">#REF!</definedName>
    <definedName name="SATL1984">#REF!</definedName>
    <definedName name="SATL1985" localSheetId="5">#REF!</definedName>
    <definedName name="SATL1985" localSheetId="3">#REF!</definedName>
    <definedName name="SATL1985">#REF!</definedName>
    <definedName name="SATL1986" localSheetId="5">#REF!</definedName>
    <definedName name="SATL1986" localSheetId="3">#REF!</definedName>
    <definedName name="SATL1986">#REF!</definedName>
    <definedName name="SATL1987" localSheetId="5">#REF!</definedName>
    <definedName name="SATL1987" localSheetId="3">#REF!</definedName>
    <definedName name="SATL1987">#REF!</definedName>
    <definedName name="SATL1988" localSheetId="5">#REF!</definedName>
    <definedName name="SATL1988" localSheetId="3">#REF!</definedName>
    <definedName name="SATL1988">#REF!</definedName>
    <definedName name="SATL1989" localSheetId="5">#REF!</definedName>
    <definedName name="SATL1989" localSheetId="3">#REF!</definedName>
    <definedName name="SATL1989">#REF!</definedName>
    <definedName name="SATL1990" localSheetId="5">#REF!</definedName>
    <definedName name="SATL1990" localSheetId="3">#REF!</definedName>
    <definedName name="SATL1990">#REF!</definedName>
    <definedName name="SATL1991" localSheetId="5">#REF!</definedName>
    <definedName name="SATL1991" localSheetId="3">#REF!</definedName>
    <definedName name="SATL1991">#REF!</definedName>
    <definedName name="SATL1992" localSheetId="5">#REF!</definedName>
    <definedName name="SATL1992" localSheetId="3">#REF!</definedName>
    <definedName name="SATL1992">#REF!</definedName>
    <definedName name="SATL1993" localSheetId="5">#REF!</definedName>
    <definedName name="SATL1993" localSheetId="3">#REF!</definedName>
    <definedName name="SATL1993">#REF!</definedName>
    <definedName name="SATL1994" localSheetId="5">#REF!</definedName>
    <definedName name="SATL1994" localSheetId="3">#REF!</definedName>
    <definedName name="SATL1994">#REF!</definedName>
    <definedName name="SATL1995" localSheetId="5">#REF!</definedName>
    <definedName name="SATL1995" localSheetId="3">#REF!</definedName>
    <definedName name="SATL1995">#REF!</definedName>
    <definedName name="SATL1996" localSheetId="5">#REF!</definedName>
    <definedName name="SATL1996" localSheetId="3">#REF!</definedName>
    <definedName name="SATL1996">#REF!</definedName>
    <definedName name="SATL1997" localSheetId="5">#REF!</definedName>
    <definedName name="SATL1997" localSheetId="3">#REF!</definedName>
    <definedName name="SATL1997">#REF!</definedName>
    <definedName name="SATL1998" localSheetId="5">#REF!</definedName>
    <definedName name="SATL1998" localSheetId="3">#REF!</definedName>
    <definedName name="SATL1998">#REF!</definedName>
    <definedName name="SATL1999" localSheetId="5">#REF!</definedName>
    <definedName name="SATL1999" localSheetId="3">#REF!</definedName>
    <definedName name="SATL1999">#REF!</definedName>
    <definedName name="SATL2000" localSheetId="5">#REF!</definedName>
    <definedName name="SATL2000" localSheetId="3">#REF!</definedName>
    <definedName name="SATL2000">#REF!</definedName>
    <definedName name="SATL2001" localSheetId="5">#REF!</definedName>
    <definedName name="SATL2001" localSheetId="3">#REF!</definedName>
    <definedName name="SATL2001">#REF!</definedName>
    <definedName name="SATL2002" localSheetId="5">#REF!</definedName>
    <definedName name="SATL2002" localSheetId="3">#REF!</definedName>
    <definedName name="SATL2002">#REF!</definedName>
    <definedName name="SATL2003" localSheetId="5">#REF!</definedName>
    <definedName name="SATL2003" localSheetId="3">#REF!</definedName>
    <definedName name="SATL2003">#REF!</definedName>
    <definedName name="SATL2004" localSheetId="5">#REF!</definedName>
    <definedName name="SATL2004" localSheetId="3">#REF!</definedName>
    <definedName name="SATL2004">#REF!</definedName>
    <definedName name="SATL2005" localSheetId="5">#REF!</definedName>
    <definedName name="SATL2005" localSheetId="3">#REF!</definedName>
    <definedName name="SATL2005">#REF!</definedName>
    <definedName name="SATL2006" localSheetId="5">#REF!</definedName>
    <definedName name="SATL2006" localSheetId="3">#REF!</definedName>
    <definedName name="SATL2006">#REF!</definedName>
    <definedName name="SATL2007" localSheetId="5">#REF!</definedName>
    <definedName name="SATL2007" localSheetId="3">#REF!</definedName>
    <definedName name="SATL2007">#REF!</definedName>
    <definedName name="SATL2008" localSheetId="5">#REF!</definedName>
    <definedName name="SATL2008" localSheetId="3">#REF!</definedName>
    <definedName name="SATL2008">#REF!</definedName>
    <definedName name="SATL2009" localSheetId="5">#REF!</definedName>
    <definedName name="SATL2009" localSheetId="3">#REF!</definedName>
    <definedName name="SATL2009">#REF!</definedName>
    <definedName name="SATL2010" localSheetId="5">#REF!</definedName>
    <definedName name="SATL2010" localSheetId="3">#REF!</definedName>
    <definedName name="SATL2010">#REF!</definedName>
    <definedName name="SATL2011" localSheetId="5">#REF!</definedName>
    <definedName name="SATL2011" localSheetId="3">#REF!</definedName>
    <definedName name="SATL2011">#REF!</definedName>
    <definedName name="SATL2012" localSheetId="5">#REF!</definedName>
    <definedName name="SATL2012" localSheetId="3">#REF!</definedName>
    <definedName name="SATL2012">#REF!</definedName>
    <definedName name="SATL2013" localSheetId="5">#REF!</definedName>
    <definedName name="SATL2013" localSheetId="3">#REF!</definedName>
    <definedName name="SATL2013">#REF!</definedName>
    <definedName name="SATL2014" localSheetId="5">#REF!</definedName>
    <definedName name="SATL2014" localSheetId="3">#REF!</definedName>
    <definedName name="SATL2014">#REF!</definedName>
    <definedName name="SATL2015" localSheetId="5">#REF!</definedName>
    <definedName name="SATL2015" localSheetId="3">#REF!</definedName>
    <definedName name="SATL2015">#REF!</definedName>
    <definedName name="SATL2016" localSheetId="5">#REF!</definedName>
    <definedName name="SATL2016" localSheetId="3">#REF!</definedName>
    <definedName name="SATL2016">#REF!</definedName>
    <definedName name="SATL2017" localSheetId="5">#REF!</definedName>
    <definedName name="SATL2017" localSheetId="3">#REF!</definedName>
    <definedName name="SATL2017">#REF!</definedName>
    <definedName name="SATL2018" localSheetId="5">#REF!</definedName>
    <definedName name="SATL2018" localSheetId="3">#REF!</definedName>
    <definedName name="SATL2018">#REF!</definedName>
    <definedName name="SATL2019" localSheetId="5">#REF!</definedName>
    <definedName name="SATL2019" localSheetId="3">#REF!</definedName>
    <definedName name="SATL2019">#REF!</definedName>
    <definedName name="SATL2020" localSheetId="5">#REF!</definedName>
    <definedName name="SATL2020" localSheetId="3">#REF!</definedName>
    <definedName name="SATL2020">#REF!</definedName>
  </definedNames>
  <calcPr calcId="145621"/>
  <pivotCaches>
    <pivotCache cacheId="134" r:id="rId40"/>
    <pivotCache cacheId="135" r:id="rId41"/>
    <pivotCache cacheId="136" r:id="rId42"/>
    <pivotCache cacheId="137" r:id="rId43"/>
    <pivotCache cacheId="138" r:id="rId44"/>
    <pivotCache cacheId="139" r:id="rId45"/>
  </pivotCaches>
</workbook>
</file>

<file path=xl/calcChain.xml><?xml version="1.0" encoding="utf-8"?>
<calcChain xmlns="http://schemas.openxmlformats.org/spreadsheetml/2006/main">
  <c r="N13" i="100" l="1"/>
  <c r="K13" i="100"/>
  <c r="J13" i="100"/>
  <c r="I13" i="100"/>
  <c r="H13" i="100"/>
  <c r="D13" i="100"/>
  <c r="N12" i="100"/>
  <c r="K12" i="100"/>
  <c r="J12" i="100"/>
  <c r="I12" i="100"/>
  <c r="H12" i="100"/>
  <c r="D12" i="100"/>
  <c r="N11" i="100"/>
  <c r="K11" i="100"/>
  <c r="J11" i="100"/>
  <c r="I11" i="100"/>
  <c r="H11" i="100"/>
  <c r="D11" i="100"/>
  <c r="N10" i="100"/>
  <c r="K10" i="100"/>
  <c r="J10" i="100"/>
  <c r="I10" i="100"/>
  <c r="H10" i="100"/>
  <c r="D10" i="100"/>
  <c r="N9" i="100"/>
  <c r="K9" i="100"/>
  <c r="J9" i="100"/>
  <c r="I9" i="100"/>
  <c r="H9" i="100"/>
  <c r="D9" i="100"/>
  <c r="N8" i="100"/>
  <c r="K8" i="100"/>
  <c r="J8" i="100"/>
  <c r="I8" i="100"/>
  <c r="H8" i="100"/>
  <c r="D8" i="100"/>
  <c r="N7" i="100"/>
  <c r="K7" i="100"/>
  <c r="J7" i="100"/>
  <c r="I7" i="100"/>
  <c r="H7" i="100"/>
  <c r="D7" i="100"/>
  <c r="N6" i="100"/>
  <c r="K6" i="100"/>
  <c r="J6" i="100"/>
  <c r="I6" i="100"/>
  <c r="H6" i="100"/>
  <c r="D6" i="100"/>
  <c r="N5" i="100"/>
  <c r="K5" i="100"/>
  <c r="J5" i="100"/>
  <c r="I5" i="100"/>
  <c r="H5" i="100"/>
  <c r="D5" i="100"/>
  <c r="N4" i="100"/>
  <c r="K4" i="100"/>
  <c r="J4" i="100"/>
  <c r="I4" i="100"/>
  <c r="H4" i="100"/>
  <c r="D4" i="100"/>
  <c r="N3" i="100"/>
  <c r="K3" i="100"/>
  <c r="J3" i="100"/>
  <c r="I3" i="100"/>
  <c r="H3" i="100"/>
  <c r="D3" i="100"/>
  <c r="N2" i="100"/>
  <c r="K2" i="100"/>
  <c r="J2" i="100"/>
  <c r="I2" i="100"/>
  <c r="H2" i="100"/>
  <c r="D2" i="100"/>
  <c r="BC125" i="99"/>
  <c r="BC126" i="99" s="1"/>
  <c r="BC127" i="99" s="1"/>
  <c r="BC128" i="99" s="1"/>
  <c r="BC129" i="99" s="1"/>
  <c r="BC130" i="99" s="1"/>
  <c r="BC131" i="99" s="1"/>
  <c r="BC132" i="99" s="1"/>
  <c r="BA125" i="99"/>
  <c r="BA126" i="99" s="1"/>
  <c r="BA127" i="99" s="1"/>
  <c r="BA128" i="99" s="1"/>
  <c r="BA129" i="99" s="1"/>
  <c r="BA130" i="99" s="1"/>
  <c r="BA131" i="99" s="1"/>
  <c r="BA132" i="99" s="1"/>
  <c r="AY125" i="99"/>
  <c r="AY126" i="99" s="1"/>
  <c r="AY127" i="99" s="1"/>
  <c r="AY128" i="99" s="1"/>
  <c r="AY129" i="99" s="1"/>
  <c r="AY130" i="99" s="1"/>
  <c r="AY131" i="99" s="1"/>
  <c r="AY132" i="99" s="1"/>
  <c r="AW125" i="99"/>
  <c r="AW126" i="99" s="1"/>
  <c r="AW127" i="99" s="1"/>
  <c r="AW128" i="99" s="1"/>
  <c r="AW129" i="99" s="1"/>
  <c r="AW130" i="99" s="1"/>
  <c r="AW131" i="99" s="1"/>
  <c r="AW132" i="99" s="1"/>
  <c r="AU125" i="99"/>
  <c r="AU126" i="99" s="1"/>
  <c r="AU127" i="99" s="1"/>
  <c r="AU128" i="99" s="1"/>
  <c r="AU129" i="99" s="1"/>
  <c r="AU130" i="99" s="1"/>
  <c r="AU131" i="99" s="1"/>
  <c r="AU132" i="99" s="1"/>
  <c r="AS125" i="99"/>
  <c r="AS126" i="99" s="1"/>
  <c r="AS127" i="99" s="1"/>
  <c r="AS128" i="99" s="1"/>
  <c r="AS129" i="99" s="1"/>
  <c r="AS130" i="99" s="1"/>
  <c r="AS131" i="99" s="1"/>
  <c r="AS132" i="99" s="1"/>
  <c r="AQ125" i="99"/>
  <c r="AQ126" i="99" s="1"/>
  <c r="AQ127" i="99" s="1"/>
  <c r="AQ128" i="99" s="1"/>
  <c r="AQ129" i="99" s="1"/>
  <c r="AQ130" i="99" s="1"/>
  <c r="AQ131" i="99" s="1"/>
  <c r="AQ132" i="99" s="1"/>
  <c r="AO125" i="99"/>
  <c r="AO126" i="99" s="1"/>
  <c r="AO127" i="99" s="1"/>
  <c r="AO128" i="99" s="1"/>
  <c r="AO129" i="99" s="1"/>
  <c r="AO130" i="99" s="1"/>
  <c r="AO131" i="99" s="1"/>
  <c r="AO132" i="99" s="1"/>
  <c r="AM125" i="99"/>
  <c r="AM126" i="99" s="1"/>
  <c r="AM127" i="99" s="1"/>
  <c r="AM128" i="99" s="1"/>
  <c r="AM129" i="99" s="1"/>
  <c r="AM130" i="99" s="1"/>
  <c r="AM131" i="99" s="1"/>
  <c r="AM132" i="99" s="1"/>
  <c r="AK125" i="99"/>
  <c r="AK126" i="99" s="1"/>
  <c r="AK127" i="99" s="1"/>
  <c r="AK128" i="99" s="1"/>
  <c r="AK129" i="99" s="1"/>
  <c r="AK130" i="99" s="1"/>
  <c r="AK131" i="99" s="1"/>
  <c r="AK132" i="99" s="1"/>
  <c r="AJ125" i="99"/>
  <c r="AJ126" i="99" s="1"/>
  <c r="AJ127" i="99" s="1"/>
  <c r="AJ128" i="99" s="1"/>
  <c r="AJ129" i="99" s="1"/>
  <c r="AJ130" i="99" s="1"/>
  <c r="AJ131" i="99" s="1"/>
  <c r="AJ132" i="99" s="1"/>
  <c r="AH125" i="99"/>
  <c r="AH126" i="99" s="1"/>
  <c r="AH127" i="99" s="1"/>
  <c r="AH128" i="99" s="1"/>
  <c r="AH129" i="99" s="1"/>
  <c r="AH130" i="99" s="1"/>
  <c r="AH131" i="99" s="1"/>
  <c r="AH132" i="99" s="1"/>
  <c r="AF125" i="99"/>
  <c r="AF126" i="99" s="1"/>
  <c r="AF127" i="99" s="1"/>
  <c r="AF128" i="99" s="1"/>
  <c r="AF129" i="99" s="1"/>
  <c r="AF130" i="99" s="1"/>
  <c r="AF131" i="99" s="1"/>
  <c r="AF132" i="99" s="1"/>
  <c r="AD125" i="99"/>
  <c r="AD126" i="99" s="1"/>
  <c r="AD127" i="99" s="1"/>
  <c r="AD128" i="99" s="1"/>
  <c r="AD129" i="99" s="1"/>
  <c r="AD130" i="99" s="1"/>
  <c r="AD131" i="99" s="1"/>
  <c r="AD132" i="99" s="1"/>
  <c r="AB125" i="99"/>
  <c r="AB126" i="99" s="1"/>
  <c r="AB127" i="99" s="1"/>
  <c r="AB128" i="99" s="1"/>
  <c r="AB129" i="99" s="1"/>
  <c r="AB130" i="99" s="1"/>
  <c r="AB131" i="99" s="1"/>
  <c r="AB132" i="99" s="1"/>
  <c r="Z125" i="99"/>
  <c r="Z126" i="99" s="1"/>
  <c r="Z127" i="99" s="1"/>
  <c r="Z128" i="99" s="1"/>
  <c r="Z129" i="99" s="1"/>
  <c r="Z130" i="99" s="1"/>
  <c r="Z131" i="99" s="1"/>
  <c r="Z132" i="99" s="1"/>
  <c r="X125" i="99"/>
  <c r="X126" i="99" s="1"/>
  <c r="X127" i="99" s="1"/>
  <c r="X128" i="99" s="1"/>
  <c r="X129" i="99" s="1"/>
  <c r="X130" i="99" s="1"/>
  <c r="X131" i="99" s="1"/>
  <c r="X132" i="99" s="1"/>
  <c r="V125" i="99"/>
  <c r="V126" i="99" s="1"/>
  <c r="V127" i="99" s="1"/>
  <c r="V128" i="99" s="1"/>
  <c r="V129" i="99" s="1"/>
  <c r="V130" i="99" s="1"/>
  <c r="V131" i="99" s="1"/>
  <c r="V132" i="99" s="1"/>
  <c r="BD125" i="99"/>
  <c r="BD126" i="99" s="1"/>
  <c r="BD127" i="99" s="1"/>
  <c r="BD128" i="99" s="1"/>
  <c r="BD129" i="99" s="1"/>
  <c r="BD130" i="99" s="1"/>
  <c r="BD131" i="99" s="1"/>
  <c r="BD132" i="99" s="1"/>
  <c r="BE105" i="99"/>
  <c r="BE103" i="99"/>
  <c r="BE102" i="99"/>
  <c r="BE101" i="99"/>
  <c r="BE100" i="99"/>
  <c r="BC81" i="99"/>
  <c r="BC82" i="99" s="1"/>
  <c r="BC83" i="99" s="1"/>
  <c r="BC84" i="99" s="1"/>
  <c r="BC85" i="99" s="1"/>
  <c r="BC86" i="99" s="1"/>
  <c r="BC87" i="99" s="1"/>
  <c r="BC88" i="99" s="1"/>
  <c r="BA81" i="99"/>
  <c r="BA82" i="99" s="1"/>
  <c r="BA83" i="99" s="1"/>
  <c r="BA84" i="99" s="1"/>
  <c r="BA85" i="99" s="1"/>
  <c r="BA86" i="99" s="1"/>
  <c r="BA87" i="99" s="1"/>
  <c r="BA88" i="99" s="1"/>
  <c r="Q42" i="99" s="1"/>
  <c r="AY81" i="99"/>
  <c r="AY82" i="99" s="1"/>
  <c r="AY83" i="99" s="1"/>
  <c r="AY84" i="99" s="1"/>
  <c r="AY85" i="99" s="1"/>
  <c r="AY86" i="99" s="1"/>
  <c r="AY87" i="99" s="1"/>
  <c r="AY88" i="99" s="1"/>
  <c r="P42" i="99" s="1"/>
  <c r="AW81" i="99"/>
  <c r="AW82" i="99" s="1"/>
  <c r="AW83" i="99" s="1"/>
  <c r="AW84" i="99" s="1"/>
  <c r="AW85" i="99" s="1"/>
  <c r="AW86" i="99" s="1"/>
  <c r="AW87" i="99" s="1"/>
  <c r="AW88" i="99" s="1"/>
  <c r="AU81" i="99"/>
  <c r="AU82" i="99" s="1"/>
  <c r="AU83" i="99" s="1"/>
  <c r="AU84" i="99" s="1"/>
  <c r="AU85" i="99" s="1"/>
  <c r="AU86" i="99" s="1"/>
  <c r="AU87" i="99" s="1"/>
  <c r="AU88" i="99" s="1"/>
  <c r="AS81" i="99"/>
  <c r="AS82" i="99" s="1"/>
  <c r="AS83" i="99" s="1"/>
  <c r="AS84" i="99" s="1"/>
  <c r="AS85" i="99" s="1"/>
  <c r="AS86" i="99" s="1"/>
  <c r="AS87" i="99" s="1"/>
  <c r="AS88" i="99" s="1"/>
  <c r="AQ81" i="99"/>
  <c r="AQ82" i="99" s="1"/>
  <c r="AQ83" i="99" s="1"/>
  <c r="AQ84" i="99" s="1"/>
  <c r="AQ85" i="99" s="1"/>
  <c r="AQ86" i="99" s="1"/>
  <c r="AQ87" i="99" s="1"/>
  <c r="AQ88" i="99" s="1"/>
  <c r="L42" i="99" s="1"/>
  <c r="AO81" i="99"/>
  <c r="AO82" i="99" s="1"/>
  <c r="AO83" i="99" s="1"/>
  <c r="AO84" i="99" s="1"/>
  <c r="AO85" i="99" s="1"/>
  <c r="AO86" i="99" s="1"/>
  <c r="AO87" i="99" s="1"/>
  <c r="AO88" i="99" s="1"/>
  <c r="AM81" i="99"/>
  <c r="AM82" i="99" s="1"/>
  <c r="AM83" i="99" s="1"/>
  <c r="AM84" i="99" s="1"/>
  <c r="AM85" i="99" s="1"/>
  <c r="AM86" i="99" s="1"/>
  <c r="AM87" i="99" s="1"/>
  <c r="AM88" i="99" s="1"/>
  <c r="M42" i="99" s="1"/>
  <c r="AK81" i="99"/>
  <c r="AK82" i="99" s="1"/>
  <c r="AK83" i="99" s="1"/>
  <c r="AK84" i="99" s="1"/>
  <c r="AK85" i="99" s="1"/>
  <c r="AK86" i="99" s="1"/>
  <c r="AK87" i="99" s="1"/>
  <c r="AK88" i="99" s="1"/>
  <c r="AJ81" i="99"/>
  <c r="AJ82" i="99" s="1"/>
  <c r="AJ83" i="99" s="1"/>
  <c r="AJ84" i="99" s="1"/>
  <c r="AJ85" i="99" s="1"/>
  <c r="AJ86" i="99" s="1"/>
  <c r="AJ87" i="99" s="1"/>
  <c r="AJ88" i="99" s="1"/>
  <c r="AH81" i="99"/>
  <c r="AH82" i="99" s="1"/>
  <c r="AH83" i="99" s="1"/>
  <c r="AH84" i="99" s="1"/>
  <c r="AH85" i="99" s="1"/>
  <c r="AH86" i="99" s="1"/>
  <c r="AH87" i="99" s="1"/>
  <c r="AH88" i="99" s="1"/>
  <c r="AF81" i="99"/>
  <c r="AF82" i="99" s="1"/>
  <c r="AF83" i="99" s="1"/>
  <c r="AF84" i="99" s="1"/>
  <c r="AF85" i="99" s="1"/>
  <c r="AF86" i="99" s="1"/>
  <c r="AF87" i="99" s="1"/>
  <c r="AF88" i="99" s="1"/>
  <c r="AD81" i="99"/>
  <c r="AD82" i="99" s="1"/>
  <c r="AD83" i="99" s="1"/>
  <c r="AD84" i="99" s="1"/>
  <c r="AD85" i="99" s="1"/>
  <c r="AD86" i="99" s="1"/>
  <c r="AD87" i="99" s="1"/>
  <c r="AD88" i="99" s="1"/>
  <c r="AB81" i="99"/>
  <c r="AB82" i="99" s="1"/>
  <c r="AB83" i="99" s="1"/>
  <c r="AB84" i="99" s="1"/>
  <c r="AB85" i="99" s="1"/>
  <c r="AB86" i="99" s="1"/>
  <c r="AB87" i="99" s="1"/>
  <c r="AB88" i="99" s="1"/>
  <c r="D42" i="99" s="1"/>
  <c r="Z81" i="99"/>
  <c r="Z82" i="99" s="1"/>
  <c r="Z83" i="99" s="1"/>
  <c r="Z84" i="99" s="1"/>
  <c r="Z85" i="99" s="1"/>
  <c r="Z86" i="99" s="1"/>
  <c r="Z87" i="99" s="1"/>
  <c r="Z88" i="99" s="1"/>
  <c r="X81" i="99"/>
  <c r="X82" i="99" s="1"/>
  <c r="X83" i="99" s="1"/>
  <c r="X84" i="99" s="1"/>
  <c r="X85" i="99" s="1"/>
  <c r="X86" i="99" s="1"/>
  <c r="X87" i="99" s="1"/>
  <c r="X88" i="99" s="1"/>
  <c r="V81" i="99"/>
  <c r="V82" i="99" s="1"/>
  <c r="V83" i="99" s="1"/>
  <c r="V84" i="99" s="1"/>
  <c r="V85" i="99" s="1"/>
  <c r="V86" i="99" s="1"/>
  <c r="V87" i="99" s="1"/>
  <c r="V88" i="99" s="1"/>
  <c r="BD79" i="99"/>
  <c r="BD78" i="99"/>
  <c r="BD77" i="99"/>
  <c r="BO76" i="99"/>
  <c r="BD76" i="99"/>
  <c r="BO75" i="99"/>
  <c r="BD75" i="99"/>
  <c r="BO74" i="99"/>
  <c r="BD74" i="99"/>
  <c r="BO73" i="99"/>
  <c r="BO72" i="99" s="1"/>
  <c r="BO71" i="99" s="1"/>
  <c r="BO70" i="99" s="1"/>
  <c r="BO69" i="99" s="1"/>
  <c r="BO68" i="99" s="1"/>
  <c r="BO67" i="99" s="1"/>
  <c r="BD73" i="99"/>
  <c r="BD72" i="99"/>
  <c r="BD71" i="99"/>
  <c r="BD70" i="99"/>
  <c r="BD69" i="99"/>
  <c r="BE69" i="99" s="1"/>
  <c r="BD68" i="99"/>
  <c r="BZ67" i="99"/>
  <c r="BZ68" i="99" s="1"/>
  <c r="BZ69" i="99" s="1"/>
  <c r="BZ70" i="99" s="1"/>
  <c r="BZ71" i="99" s="1"/>
  <c r="BZ72" i="99" s="1"/>
  <c r="BZ73" i="99" s="1"/>
  <c r="BZ74" i="99" s="1"/>
  <c r="BZ75" i="99" s="1"/>
  <c r="BZ76" i="99" s="1"/>
  <c r="BZ77" i="99" s="1"/>
  <c r="BZ78" i="99" s="1"/>
  <c r="BZ79" i="99" s="1"/>
  <c r="BZ80" i="99" s="1"/>
  <c r="BZ81" i="99" s="1"/>
  <c r="BZ88" i="99" s="1"/>
  <c r="BZ89" i="99" s="1"/>
  <c r="BZ90" i="99" s="1"/>
  <c r="BZ91" i="99" s="1"/>
  <c r="BZ92" i="99" s="1"/>
  <c r="BZ93" i="99" s="1"/>
  <c r="BZ94" i="99" s="1"/>
  <c r="BZ95" i="99" s="1"/>
  <c r="BZ96" i="99" s="1"/>
  <c r="BZ97" i="99" s="1"/>
  <c r="BZ98" i="99" s="1"/>
  <c r="BZ99" i="99" s="1"/>
  <c r="BZ100" i="99" s="1"/>
  <c r="BZ101" i="99" s="1"/>
  <c r="BZ102" i="99" s="1"/>
  <c r="BZ103" i="99" s="1"/>
  <c r="BZ104" i="99" s="1"/>
  <c r="BZ105" i="99" s="1"/>
  <c r="BZ106" i="99" s="1"/>
  <c r="BZ107" i="99" s="1"/>
  <c r="BZ108" i="99" s="1"/>
  <c r="BZ109" i="99" s="1"/>
  <c r="BZ110" i="99" s="1"/>
  <c r="BZ111" i="99" s="1"/>
  <c r="BZ112" i="99" s="1"/>
  <c r="BZ113" i="99" s="1"/>
  <c r="BZ114" i="99" s="1"/>
  <c r="BZ115" i="99" s="1"/>
  <c r="BZ116" i="99" s="1"/>
  <c r="BZ117" i="99" s="1"/>
  <c r="BD67" i="99"/>
  <c r="BD66" i="99"/>
  <c r="BE66" i="99" s="1"/>
  <c r="BD65" i="99"/>
  <c r="BD64" i="99"/>
  <c r="BE64" i="99" s="1"/>
  <c r="BD63" i="99"/>
  <c r="BD62" i="99"/>
  <c r="BE62" i="99" s="1"/>
  <c r="BD61" i="99"/>
  <c r="BD60" i="99"/>
  <c r="BE60" i="99" s="1"/>
  <c r="BD59" i="99"/>
  <c r="BD58" i="99"/>
  <c r="BE58" i="99" s="1"/>
  <c r="BD57" i="99"/>
  <c r="BE57" i="99" s="1"/>
  <c r="CI56" i="99"/>
  <c r="CH56" i="99"/>
  <c r="CG56" i="99"/>
  <c r="CF56" i="99"/>
  <c r="CE56" i="99"/>
  <c r="CD56" i="99"/>
  <c r="CC56" i="99"/>
  <c r="CB56" i="99"/>
  <c r="CA56" i="99"/>
  <c r="BX56" i="99"/>
  <c r="BW56" i="99"/>
  <c r="BV56" i="99"/>
  <c r="BU56" i="99"/>
  <c r="BT56" i="99"/>
  <c r="BS56" i="99"/>
  <c r="BR56" i="99"/>
  <c r="BQ56" i="99"/>
  <c r="BP56" i="99"/>
  <c r="BD56" i="99"/>
  <c r="CI55" i="99"/>
  <c r="CH55" i="99"/>
  <c r="CG55" i="99"/>
  <c r="CF55" i="99"/>
  <c r="CE55" i="99"/>
  <c r="CD55" i="99"/>
  <c r="CC55" i="99"/>
  <c r="CB55" i="99"/>
  <c r="CA55" i="99"/>
  <c r="BX55" i="99"/>
  <c r="BW55" i="99"/>
  <c r="BV55" i="99"/>
  <c r="BU55" i="99"/>
  <c r="BT55" i="99"/>
  <c r="BS55" i="99"/>
  <c r="BR55" i="99"/>
  <c r="BQ55" i="99"/>
  <c r="BP55" i="99"/>
  <c r="BD55" i="99"/>
  <c r="CI54" i="99"/>
  <c r="CH54" i="99"/>
  <c r="CG54" i="99"/>
  <c r="CF54" i="99"/>
  <c r="CE54" i="99"/>
  <c r="CD54" i="99"/>
  <c r="CC54" i="99"/>
  <c r="CB54" i="99"/>
  <c r="CA54" i="99"/>
  <c r="BX54" i="99"/>
  <c r="BW54" i="99"/>
  <c r="BV54" i="99"/>
  <c r="BU54" i="99"/>
  <c r="BT54" i="99"/>
  <c r="BS54" i="99"/>
  <c r="BR54" i="99"/>
  <c r="BQ54" i="99"/>
  <c r="BP54" i="99"/>
  <c r="BD54" i="99"/>
  <c r="CI53" i="99"/>
  <c r="CH53" i="99"/>
  <c r="CG53" i="99"/>
  <c r="CF53" i="99"/>
  <c r="CE53" i="99"/>
  <c r="CD53" i="99"/>
  <c r="CC53" i="99"/>
  <c r="CB53" i="99"/>
  <c r="CA53" i="99"/>
  <c r="BX53" i="99"/>
  <c r="BW53" i="99"/>
  <c r="BV53" i="99"/>
  <c r="BU53" i="99"/>
  <c r="BT53" i="99"/>
  <c r="BS53" i="99"/>
  <c r="BR53" i="99"/>
  <c r="BQ53" i="99"/>
  <c r="BP53" i="99"/>
  <c r="BD53" i="99"/>
  <c r="BE54" i="99" s="1"/>
  <c r="CI52" i="99"/>
  <c r="CH52" i="99"/>
  <c r="CG52" i="99"/>
  <c r="CF52" i="99"/>
  <c r="CE52" i="99"/>
  <c r="CD52" i="99"/>
  <c r="CC52" i="99"/>
  <c r="CB52" i="99"/>
  <c r="CA52" i="99"/>
  <c r="BX52" i="99"/>
  <c r="BW52" i="99"/>
  <c r="BV52" i="99"/>
  <c r="BU52" i="99"/>
  <c r="BT52" i="99"/>
  <c r="BS52" i="99"/>
  <c r="BR52" i="99"/>
  <c r="BQ52" i="99"/>
  <c r="BP52" i="99"/>
  <c r="BD52" i="99"/>
  <c r="CI51" i="99"/>
  <c r="CH51" i="99"/>
  <c r="CG51" i="99"/>
  <c r="CF51" i="99"/>
  <c r="CE51" i="99"/>
  <c r="CD51" i="99"/>
  <c r="CC51" i="99"/>
  <c r="CB51" i="99"/>
  <c r="CA51" i="99"/>
  <c r="BX51" i="99"/>
  <c r="BW51" i="99"/>
  <c r="BV51" i="99"/>
  <c r="BU51" i="99"/>
  <c r="BT51" i="99"/>
  <c r="BS51" i="99"/>
  <c r="BR51" i="99"/>
  <c r="BQ51" i="99"/>
  <c r="BP51" i="99"/>
  <c r="BD51" i="99"/>
  <c r="CI50" i="99"/>
  <c r="CH50" i="99"/>
  <c r="CG50" i="99"/>
  <c r="CF50" i="99"/>
  <c r="CE50" i="99"/>
  <c r="CD50" i="99"/>
  <c r="CC50" i="99"/>
  <c r="CB50" i="99"/>
  <c r="CA50" i="99"/>
  <c r="BX50" i="99"/>
  <c r="BW50" i="99"/>
  <c r="BV50" i="99"/>
  <c r="BU50" i="99"/>
  <c r="BT50" i="99"/>
  <c r="BS50" i="99"/>
  <c r="BR50" i="99"/>
  <c r="BQ50" i="99"/>
  <c r="BP50" i="99"/>
  <c r="BD50" i="99"/>
  <c r="CI49" i="99"/>
  <c r="CH49" i="99"/>
  <c r="CG49" i="99"/>
  <c r="CF49" i="99"/>
  <c r="CE49" i="99"/>
  <c r="CD49" i="99"/>
  <c r="CC49" i="99"/>
  <c r="CB49" i="99"/>
  <c r="CA49" i="99"/>
  <c r="BX49" i="99"/>
  <c r="BW49" i="99"/>
  <c r="BV49" i="99"/>
  <c r="BU49" i="99"/>
  <c r="BT49" i="99"/>
  <c r="BS49" i="99"/>
  <c r="BR49" i="99"/>
  <c r="BQ49" i="99"/>
  <c r="BP49" i="99"/>
  <c r="CI48" i="99"/>
  <c r="CH48" i="99"/>
  <c r="CG48" i="99"/>
  <c r="CF48" i="99"/>
  <c r="CE48" i="99"/>
  <c r="CD48" i="99"/>
  <c r="CC48" i="99"/>
  <c r="CB48" i="99"/>
  <c r="CA48" i="99"/>
  <c r="BX48" i="99"/>
  <c r="BW48" i="99"/>
  <c r="BV48" i="99"/>
  <c r="BU48" i="99"/>
  <c r="BT48" i="99"/>
  <c r="BS48" i="99"/>
  <c r="BR48" i="99"/>
  <c r="BQ48" i="99"/>
  <c r="BP48" i="99"/>
  <c r="CI47" i="99"/>
  <c r="CH47" i="99"/>
  <c r="CG47" i="99"/>
  <c r="CF47" i="99"/>
  <c r="CE47" i="99"/>
  <c r="CD47" i="99"/>
  <c r="CC47" i="99"/>
  <c r="CB47" i="99"/>
  <c r="CA47" i="99"/>
  <c r="BX47" i="99"/>
  <c r="BW47" i="99"/>
  <c r="BV47" i="99"/>
  <c r="BU47" i="99"/>
  <c r="BT47" i="99"/>
  <c r="BS47" i="99"/>
  <c r="BR47" i="99"/>
  <c r="BQ47" i="99"/>
  <c r="BP47" i="99"/>
  <c r="CI44" i="99"/>
  <c r="CH44" i="99"/>
  <c r="CG44" i="99"/>
  <c r="CF44" i="99"/>
  <c r="CE44" i="99"/>
  <c r="CD44" i="99"/>
  <c r="CC44" i="99"/>
  <c r="CB44" i="99"/>
  <c r="CA44" i="99"/>
  <c r="BX44" i="99"/>
  <c r="BW44" i="99"/>
  <c r="BV44" i="99"/>
  <c r="BU44" i="99"/>
  <c r="BT44" i="99"/>
  <c r="BS44" i="99"/>
  <c r="BR44" i="99"/>
  <c r="BQ44" i="99"/>
  <c r="BP44" i="99"/>
  <c r="CI43" i="99"/>
  <c r="CH43" i="99"/>
  <c r="CG43" i="99"/>
  <c r="CF43" i="99"/>
  <c r="CE43" i="99"/>
  <c r="CD43" i="99"/>
  <c r="CC43" i="99"/>
  <c r="CB43" i="99"/>
  <c r="CA43" i="99"/>
  <c r="BX43" i="99"/>
  <c r="BW43" i="99"/>
  <c r="BV43" i="99"/>
  <c r="BU43" i="99"/>
  <c r="BT43" i="99"/>
  <c r="BS43" i="99"/>
  <c r="BR43" i="99"/>
  <c r="BQ43" i="99"/>
  <c r="BP43" i="99"/>
  <c r="CI42" i="99"/>
  <c r="CH42" i="99"/>
  <c r="CG42" i="99"/>
  <c r="CF42" i="99"/>
  <c r="CE42" i="99"/>
  <c r="CD42" i="99"/>
  <c r="CC42" i="99"/>
  <c r="CB42" i="99"/>
  <c r="CA42" i="99"/>
  <c r="BX42" i="99"/>
  <c r="BW42" i="99"/>
  <c r="BV42" i="99"/>
  <c r="BU42" i="99"/>
  <c r="BT42" i="99"/>
  <c r="BS42" i="99"/>
  <c r="BR42" i="99"/>
  <c r="BQ42" i="99"/>
  <c r="BP42" i="99"/>
  <c r="R42" i="99"/>
  <c r="O42" i="99"/>
  <c r="N42" i="99"/>
  <c r="R41" i="99"/>
  <c r="Q41" i="99"/>
  <c r="P41" i="99"/>
  <c r="O41" i="99"/>
  <c r="N41" i="99"/>
  <c r="M41" i="99"/>
  <c r="L41" i="99"/>
  <c r="D41" i="99"/>
  <c r="R40" i="99"/>
  <c r="Q40" i="99"/>
  <c r="P40" i="99"/>
  <c r="O40" i="99"/>
  <c r="N40" i="99"/>
  <c r="M40" i="99"/>
  <c r="L40" i="99"/>
  <c r="J40" i="99"/>
  <c r="J41" i="99" s="1"/>
  <c r="J42" i="99" s="1"/>
  <c r="D40" i="99"/>
  <c r="B40" i="99"/>
  <c r="B41" i="99" s="1"/>
  <c r="B42" i="99" s="1"/>
  <c r="BC39" i="99"/>
  <c r="BC40" i="99" s="1"/>
  <c r="BC41" i="99" s="1"/>
  <c r="BC42" i="99" s="1"/>
  <c r="BC43" i="99" s="1"/>
  <c r="BC44" i="99" s="1"/>
  <c r="R39" i="99"/>
  <c r="Q39" i="99"/>
  <c r="P39" i="99"/>
  <c r="O39" i="99"/>
  <c r="N39" i="99"/>
  <c r="M39" i="99"/>
  <c r="L39" i="99"/>
  <c r="I39" i="99"/>
  <c r="I40" i="99" s="1"/>
  <c r="I41" i="99" s="1"/>
  <c r="I42" i="99" s="1"/>
  <c r="D39" i="99"/>
  <c r="R38" i="99"/>
  <c r="Q38" i="99"/>
  <c r="P38" i="99"/>
  <c r="O38" i="99"/>
  <c r="N38" i="99"/>
  <c r="M38" i="99"/>
  <c r="L38" i="99"/>
  <c r="D38" i="99"/>
  <c r="AW37" i="99"/>
  <c r="R37" i="99"/>
  <c r="Q37" i="99"/>
  <c r="P37" i="99"/>
  <c r="O37" i="99"/>
  <c r="N37" i="99"/>
  <c r="M37" i="99"/>
  <c r="L37" i="99"/>
  <c r="D37" i="99"/>
  <c r="CI36" i="99"/>
  <c r="CH36" i="99"/>
  <c r="CG36" i="99"/>
  <c r="CF36" i="99"/>
  <c r="CE36" i="99"/>
  <c r="CD36" i="99"/>
  <c r="CC36" i="99"/>
  <c r="CB36" i="99"/>
  <c r="CA36" i="99"/>
  <c r="BX36" i="99"/>
  <c r="BW36" i="99"/>
  <c r="BV36" i="99"/>
  <c r="BU36" i="99"/>
  <c r="BT36" i="99"/>
  <c r="BS36" i="99"/>
  <c r="BR36" i="99"/>
  <c r="BQ36" i="99"/>
  <c r="BP36" i="99"/>
  <c r="BE36" i="99"/>
  <c r="BC36" i="99"/>
  <c r="BC37" i="99" s="1"/>
  <c r="BC38" i="99" s="1"/>
  <c r="BB36" i="99"/>
  <c r="BA37" i="99" s="1"/>
  <c r="BA36" i="99"/>
  <c r="AY36" i="99"/>
  <c r="AX36" i="99"/>
  <c r="AW36" i="99"/>
  <c r="AU36" i="99"/>
  <c r="AT36" i="99"/>
  <c r="AS37" i="99" s="1"/>
  <c r="AS36" i="99"/>
  <c r="AQ36" i="99"/>
  <c r="AP36" i="99"/>
  <c r="AO37" i="99" s="1"/>
  <c r="AO36" i="99"/>
  <c r="AM36" i="99"/>
  <c r="AL36" i="99"/>
  <c r="AK37" i="99" s="1"/>
  <c r="AK36" i="99"/>
  <c r="AJ36" i="99"/>
  <c r="AJ37" i="99" s="1"/>
  <c r="AH36" i="99"/>
  <c r="AF36" i="99"/>
  <c r="AD36" i="99"/>
  <c r="AB36" i="99"/>
  <c r="Z36" i="99"/>
  <c r="X36" i="99"/>
  <c r="X37" i="99" s="1"/>
  <c r="V36" i="99"/>
  <c r="R36" i="99"/>
  <c r="Q36" i="99"/>
  <c r="P36" i="99"/>
  <c r="O36" i="99"/>
  <c r="N36" i="99"/>
  <c r="M36" i="99"/>
  <c r="L36" i="99"/>
  <c r="H36" i="99"/>
  <c r="H37" i="99" s="1"/>
  <c r="H38" i="99" s="1"/>
  <c r="H39" i="99" s="1"/>
  <c r="H40" i="99" s="1"/>
  <c r="H41" i="99" s="1"/>
  <c r="H42" i="99" s="1"/>
  <c r="D36" i="99"/>
  <c r="CI35" i="99"/>
  <c r="CH35" i="99"/>
  <c r="CG35" i="99"/>
  <c r="CF35" i="99"/>
  <c r="CE35" i="99"/>
  <c r="CD35" i="99"/>
  <c r="CC35" i="99"/>
  <c r="CB35" i="99"/>
  <c r="CA35" i="99"/>
  <c r="BX35" i="99"/>
  <c r="BW35" i="99"/>
  <c r="BV35" i="99"/>
  <c r="BU35" i="99"/>
  <c r="BT35" i="99"/>
  <c r="BS35" i="99"/>
  <c r="BR35" i="99"/>
  <c r="BQ35" i="99"/>
  <c r="BP35" i="99"/>
  <c r="BD35" i="99"/>
  <c r="BC35" i="99"/>
  <c r="BB35" i="99"/>
  <c r="BA35" i="99"/>
  <c r="AY35" i="99"/>
  <c r="AZ35" i="99" s="1"/>
  <c r="AW35" i="99"/>
  <c r="AU35" i="99"/>
  <c r="AT35" i="99"/>
  <c r="AS35" i="99"/>
  <c r="AQ35" i="99"/>
  <c r="AR35" i="99" s="1"/>
  <c r="AO35" i="99"/>
  <c r="AM35" i="99"/>
  <c r="AK35" i="99"/>
  <c r="AJ35" i="99"/>
  <c r="AH35" i="99"/>
  <c r="AI35" i="99" s="1"/>
  <c r="AF35" i="99"/>
  <c r="AE35" i="99"/>
  <c r="AD35" i="99"/>
  <c r="AB35" i="99"/>
  <c r="Z35" i="99"/>
  <c r="Y35" i="99"/>
  <c r="X35" i="99"/>
  <c r="Y36" i="99" s="1"/>
  <c r="V35" i="99"/>
  <c r="W35" i="99" s="1"/>
  <c r="R35" i="99"/>
  <c r="Q35" i="99"/>
  <c r="P35" i="99"/>
  <c r="O35" i="99"/>
  <c r="N35" i="99"/>
  <c r="M35" i="99"/>
  <c r="L35" i="99"/>
  <c r="K35" i="99"/>
  <c r="K36" i="99" s="1"/>
  <c r="K37" i="99" s="1"/>
  <c r="K38" i="99" s="1"/>
  <c r="K39" i="99" s="1"/>
  <c r="K40" i="99" s="1"/>
  <c r="K41" i="99" s="1"/>
  <c r="K42" i="99" s="1"/>
  <c r="J35" i="99"/>
  <c r="J36" i="99" s="1"/>
  <c r="J37" i="99" s="1"/>
  <c r="J38" i="99" s="1"/>
  <c r="J39" i="99" s="1"/>
  <c r="I35" i="99"/>
  <c r="I36" i="99" s="1"/>
  <c r="I37" i="99" s="1"/>
  <c r="I38" i="99" s="1"/>
  <c r="H35" i="99"/>
  <c r="G35" i="99"/>
  <c r="G36" i="99" s="1"/>
  <c r="G37" i="99" s="1"/>
  <c r="G38" i="99" s="1"/>
  <c r="G39" i="99" s="1"/>
  <c r="G40" i="99" s="1"/>
  <c r="G41" i="99" s="1"/>
  <c r="G42" i="99" s="1"/>
  <c r="F35" i="99"/>
  <c r="F36" i="99" s="1"/>
  <c r="F37" i="99" s="1"/>
  <c r="F38" i="99" s="1"/>
  <c r="F39" i="99" s="1"/>
  <c r="F40" i="99" s="1"/>
  <c r="F41" i="99" s="1"/>
  <c r="F42" i="99" s="1"/>
  <c r="E35" i="99"/>
  <c r="E36" i="99" s="1"/>
  <c r="E37" i="99" s="1"/>
  <c r="E38" i="99" s="1"/>
  <c r="E39" i="99" s="1"/>
  <c r="E40" i="99" s="1"/>
  <c r="E41" i="99" s="1"/>
  <c r="E42" i="99" s="1"/>
  <c r="D35" i="99"/>
  <c r="C35" i="99"/>
  <c r="C36" i="99" s="1"/>
  <c r="C37" i="99" s="1"/>
  <c r="C38" i="99" s="1"/>
  <c r="C39" i="99" s="1"/>
  <c r="C40" i="99" s="1"/>
  <c r="C41" i="99" s="1"/>
  <c r="C42" i="99" s="1"/>
  <c r="B35" i="99"/>
  <c r="B36" i="99" s="1"/>
  <c r="B37" i="99" s="1"/>
  <c r="B38" i="99" s="1"/>
  <c r="B39" i="99" s="1"/>
  <c r="CI34" i="99"/>
  <c r="CH34" i="99"/>
  <c r="CG34" i="99"/>
  <c r="CF34" i="99"/>
  <c r="CE34" i="99"/>
  <c r="CD34" i="99"/>
  <c r="CC34" i="99"/>
  <c r="CB34" i="99"/>
  <c r="CA34" i="99"/>
  <c r="BX34" i="99"/>
  <c r="BW34" i="99"/>
  <c r="BV34" i="99"/>
  <c r="BU34" i="99"/>
  <c r="BT34" i="99"/>
  <c r="BS34" i="99"/>
  <c r="BR34" i="99"/>
  <c r="BQ34" i="99"/>
  <c r="BP34" i="99"/>
  <c r="BD34" i="99"/>
  <c r="BC34" i="99"/>
  <c r="BB34" i="99"/>
  <c r="BA34" i="99"/>
  <c r="AY34" i="99"/>
  <c r="AW34" i="99"/>
  <c r="AX34" i="99" s="1"/>
  <c r="AU34" i="99"/>
  <c r="BE34" i="99" s="1"/>
  <c r="AS34" i="99"/>
  <c r="AR34" i="99"/>
  <c r="AQ34" i="99"/>
  <c r="AO34" i="99"/>
  <c r="AP35" i="99" s="1"/>
  <c r="AN34" i="99"/>
  <c r="AM34" i="99"/>
  <c r="AK34" i="99"/>
  <c r="AL35" i="99" s="1"/>
  <c r="AJ34" i="99"/>
  <c r="AH34" i="99"/>
  <c r="AI34" i="99" s="1"/>
  <c r="AF34" i="99"/>
  <c r="AG34" i="99" s="1"/>
  <c r="AD34" i="99"/>
  <c r="AE34" i="99" s="1"/>
  <c r="AB34" i="99"/>
  <c r="AC34" i="99" s="1"/>
  <c r="Z34" i="99"/>
  <c r="X34" i="99"/>
  <c r="W34" i="99"/>
  <c r="V34" i="99"/>
  <c r="R34" i="99"/>
  <c r="Q34" i="99"/>
  <c r="P34" i="99"/>
  <c r="O34" i="99"/>
  <c r="N34" i="99"/>
  <c r="M34" i="99"/>
  <c r="L34" i="99"/>
  <c r="D34" i="99"/>
  <c r="CI33" i="99"/>
  <c r="CH33" i="99"/>
  <c r="CG33" i="99"/>
  <c r="CF33" i="99"/>
  <c r="CE33" i="99"/>
  <c r="CD33" i="99"/>
  <c r="CC33" i="99"/>
  <c r="CB33" i="99"/>
  <c r="CA33" i="99"/>
  <c r="BX33" i="99"/>
  <c r="BW33" i="99"/>
  <c r="BV33" i="99"/>
  <c r="BU33" i="99"/>
  <c r="BT33" i="99"/>
  <c r="BS33" i="99"/>
  <c r="BR33" i="99"/>
  <c r="BQ33" i="99"/>
  <c r="BP33" i="99"/>
  <c r="BD33" i="99"/>
  <c r="BC33" i="99"/>
  <c r="BA33" i="99"/>
  <c r="BB33" i="99" s="1"/>
  <c r="AY33" i="99"/>
  <c r="AX33" i="99"/>
  <c r="AW33" i="99"/>
  <c r="AU33" i="99"/>
  <c r="BE33" i="99" s="1"/>
  <c r="AS33" i="99"/>
  <c r="AT34" i="99" s="1"/>
  <c r="AQ33" i="99"/>
  <c r="AR33" i="99" s="1"/>
  <c r="AO33" i="99"/>
  <c r="AP34" i="99" s="1"/>
  <c r="AM33" i="99"/>
  <c r="AN33" i="99" s="1"/>
  <c r="AK33" i="99"/>
  <c r="AL34" i="99" s="1"/>
  <c r="AJ33" i="99"/>
  <c r="AH33" i="99"/>
  <c r="AG33" i="99"/>
  <c r="AF33" i="99"/>
  <c r="AD33" i="99"/>
  <c r="AC33" i="99"/>
  <c r="AB33" i="99"/>
  <c r="Z33" i="99"/>
  <c r="X33" i="99"/>
  <c r="Y34" i="99" s="1"/>
  <c r="V33" i="99"/>
  <c r="W33" i="99" s="1"/>
  <c r="S33" i="99"/>
  <c r="R33" i="99"/>
  <c r="Q33" i="99"/>
  <c r="P33" i="99"/>
  <c r="O33" i="99"/>
  <c r="N33" i="99"/>
  <c r="M33" i="99"/>
  <c r="L33" i="99"/>
  <c r="D33" i="99"/>
  <c r="CI32" i="99"/>
  <c r="CH32" i="99"/>
  <c r="CG32" i="99"/>
  <c r="CF32" i="99"/>
  <c r="CE32" i="99"/>
  <c r="CD32" i="99"/>
  <c r="CC32" i="99"/>
  <c r="CB32" i="99"/>
  <c r="CA32" i="99"/>
  <c r="BX32" i="99"/>
  <c r="BW32" i="99"/>
  <c r="BV32" i="99"/>
  <c r="BU32" i="99"/>
  <c r="BT32" i="99"/>
  <c r="BS32" i="99"/>
  <c r="BR32" i="99"/>
  <c r="BQ32" i="99"/>
  <c r="BP32" i="99"/>
  <c r="BD32" i="99"/>
  <c r="BC32" i="99"/>
  <c r="BA32" i="99"/>
  <c r="AY32" i="99"/>
  <c r="AW32" i="99"/>
  <c r="AX32" i="99" s="1"/>
  <c r="AU32" i="99"/>
  <c r="BE32" i="99" s="1"/>
  <c r="AT32" i="99"/>
  <c r="AS32" i="99"/>
  <c r="AQ32" i="99"/>
  <c r="AP32" i="99"/>
  <c r="AO32" i="99"/>
  <c r="AM32" i="99"/>
  <c r="AL32" i="99"/>
  <c r="AK32" i="99"/>
  <c r="AJ32" i="99"/>
  <c r="AH32" i="99"/>
  <c r="AI33" i="99" s="1"/>
  <c r="AF32" i="99"/>
  <c r="AG32" i="99" s="1"/>
  <c r="AD32" i="99"/>
  <c r="AE33" i="99" s="1"/>
  <c r="AB32" i="99"/>
  <c r="AC32" i="99" s="1"/>
  <c r="Z32" i="99"/>
  <c r="Y32" i="99"/>
  <c r="X32" i="99"/>
  <c r="V32" i="99"/>
  <c r="S32" i="99"/>
  <c r="R32" i="99"/>
  <c r="Q32" i="99"/>
  <c r="P32" i="99"/>
  <c r="O32" i="99"/>
  <c r="N32" i="99"/>
  <c r="M32" i="99"/>
  <c r="L32" i="99"/>
  <c r="D32" i="99"/>
  <c r="CI31" i="99"/>
  <c r="CH31" i="99"/>
  <c r="CG31" i="99"/>
  <c r="CF31" i="99"/>
  <c r="CE31" i="99"/>
  <c r="CD31" i="99"/>
  <c r="CC31" i="99"/>
  <c r="CB31" i="99"/>
  <c r="CA31" i="99"/>
  <c r="BX31" i="99"/>
  <c r="BW31" i="99"/>
  <c r="BV31" i="99"/>
  <c r="BU31" i="99"/>
  <c r="BT31" i="99"/>
  <c r="BS31" i="99"/>
  <c r="BR31" i="99"/>
  <c r="BQ31" i="99"/>
  <c r="BP31" i="99"/>
  <c r="BD31" i="99"/>
  <c r="BC31" i="99"/>
  <c r="BA31" i="99"/>
  <c r="BB32" i="99" s="1"/>
  <c r="AY31" i="99"/>
  <c r="AW31" i="99"/>
  <c r="AU31" i="99"/>
  <c r="BE31" i="99" s="1"/>
  <c r="AS31" i="99"/>
  <c r="AT31" i="99" s="1"/>
  <c r="AQ31" i="99"/>
  <c r="AR32" i="99" s="1"/>
  <c r="AO31" i="99"/>
  <c r="AP31" i="99" s="1"/>
  <c r="AM31" i="99"/>
  <c r="AN32" i="99" s="1"/>
  <c r="AK31" i="99"/>
  <c r="AL31" i="99" s="1"/>
  <c r="AJ31" i="99"/>
  <c r="AI31" i="99"/>
  <c r="AH31" i="99"/>
  <c r="AF31" i="99"/>
  <c r="AE31" i="99"/>
  <c r="AD31" i="99"/>
  <c r="AB31" i="99"/>
  <c r="Z31" i="99"/>
  <c r="X31" i="99"/>
  <c r="Y31" i="99" s="1"/>
  <c r="V31" i="99"/>
  <c r="W32" i="99" s="1"/>
  <c r="S31" i="99"/>
  <c r="R31" i="99"/>
  <c r="Q31" i="99"/>
  <c r="P31" i="99"/>
  <c r="O31" i="99"/>
  <c r="N31" i="99"/>
  <c r="M31" i="99"/>
  <c r="L31" i="99"/>
  <c r="D31" i="99"/>
  <c r="CI30" i="99"/>
  <c r="CH30" i="99"/>
  <c r="CG30" i="99"/>
  <c r="CF30" i="99"/>
  <c r="CE30" i="99"/>
  <c r="CD30" i="99"/>
  <c r="CC30" i="99"/>
  <c r="CB30" i="99"/>
  <c r="CA30" i="99"/>
  <c r="BX30" i="99"/>
  <c r="BW30" i="99"/>
  <c r="BV30" i="99"/>
  <c r="BU30" i="99"/>
  <c r="BT30" i="99"/>
  <c r="BS30" i="99"/>
  <c r="BR30" i="99"/>
  <c r="BQ30" i="99"/>
  <c r="BP30" i="99"/>
  <c r="BD30" i="99"/>
  <c r="BC30" i="99"/>
  <c r="BB30" i="99"/>
  <c r="BA30" i="99"/>
  <c r="AY30" i="99"/>
  <c r="AW30" i="99"/>
  <c r="AX31" i="99" s="1"/>
  <c r="AU30" i="99"/>
  <c r="BE30" i="99" s="1"/>
  <c r="AS30" i="99"/>
  <c r="AR30" i="99"/>
  <c r="AQ30" i="99"/>
  <c r="AO30" i="99"/>
  <c r="AN30" i="99"/>
  <c r="AM30" i="99"/>
  <c r="AK30" i="99"/>
  <c r="AJ30" i="99"/>
  <c r="AH30" i="99"/>
  <c r="AI30" i="99" s="1"/>
  <c r="AF30" i="99"/>
  <c r="AG31" i="99" s="1"/>
  <c r="AD30" i="99"/>
  <c r="AE30" i="99" s="1"/>
  <c r="AB30" i="99"/>
  <c r="AC31" i="99" s="1"/>
  <c r="Z30" i="99"/>
  <c r="X30" i="99"/>
  <c r="W30" i="99"/>
  <c r="V30" i="99"/>
  <c r="S30" i="99"/>
  <c r="R30" i="99"/>
  <c r="Q30" i="99"/>
  <c r="P30" i="99"/>
  <c r="O30" i="99"/>
  <c r="N30" i="99"/>
  <c r="M30" i="99"/>
  <c r="L30" i="99"/>
  <c r="D30" i="99"/>
  <c r="CI29" i="99"/>
  <c r="CH29" i="99"/>
  <c r="CG29" i="99"/>
  <c r="CF29" i="99"/>
  <c r="CE29" i="99"/>
  <c r="CD29" i="99"/>
  <c r="CC29" i="99"/>
  <c r="CB29" i="99"/>
  <c r="CA29" i="99"/>
  <c r="BX29" i="99"/>
  <c r="BW29" i="99"/>
  <c r="BV29" i="99"/>
  <c r="BU29" i="99"/>
  <c r="BT29" i="99"/>
  <c r="BS29" i="99"/>
  <c r="BR29" i="99"/>
  <c r="BQ29" i="99"/>
  <c r="BP29" i="99"/>
  <c r="BD29" i="99"/>
  <c r="BC29" i="99"/>
  <c r="BA29" i="99"/>
  <c r="BB29" i="99" s="1"/>
  <c r="AY29" i="99"/>
  <c r="AX29" i="99"/>
  <c r="AW29" i="99"/>
  <c r="AU29" i="99"/>
  <c r="BE29" i="99" s="1"/>
  <c r="AS29" i="99"/>
  <c r="AT30" i="99" s="1"/>
  <c r="AQ29" i="99"/>
  <c r="AR29" i="99" s="1"/>
  <c r="AO29" i="99"/>
  <c r="AP30" i="99" s="1"/>
  <c r="AM29" i="99"/>
  <c r="AN29" i="99" s="1"/>
  <c r="AK29" i="99"/>
  <c r="AL30" i="99" s="1"/>
  <c r="AJ29" i="99"/>
  <c r="AI29" i="99"/>
  <c r="AH29" i="99"/>
  <c r="AG29" i="99"/>
  <c r="AF29" i="99"/>
  <c r="AE29" i="99"/>
  <c r="AD29" i="99"/>
  <c r="AC29" i="99"/>
  <c r="AB29" i="99"/>
  <c r="Z29" i="99"/>
  <c r="X29" i="99"/>
  <c r="Y30" i="99" s="1"/>
  <c r="V29" i="99"/>
  <c r="W29" i="99" s="1"/>
  <c r="S29" i="99"/>
  <c r="R29" i="99"/>
  <c r="Q29" i="99"/>
  <c r="P29" i="99"/>
  <c r="O29" i="99"/>
  <c r="N29" i="99"/>
  <c r="M29" i="99"/>
  <c r="L29" i="99"/>
  <c r="D29" i="99"/>
  <c r="CI28" i="99"/>
  <c r="CH28" i="99"/>
  <c r="CG28" i="99"/>
  <c r="CF28" i="99"/>
  <c r="CE28" i="99"/>
  <c r="CD28" i="99"/>
  <c r="CC28" i="99"/>
  <c r="CB28" i="99"/>
  <c r="CA28" i="99"/>
  <c r="BX28" i="99"/>
  <c r="BW28" i="99"/>
  <c r="BV28" i="99"/>
  <c r="BU28" i="99"/>
  <c r="BT28" i="99"/>
  <c r="BS28" i="99"/>
  <c r="BR28" i="99"/>
  <c r="BQ28" i="99"/>
  <c r="BP28" i="99"/>
  <c r="BD28" i="99"/>
  <c r="BC28" i="99"/>
  <c r="BA28" i="99"/>
  <c r="BB28" i="99" s="1"/>
  <c r="AY28" i="99"/>
  <c r="AW28" i="99"/>
  <c r="AU28" i="99"/>
  <c r="BE28" i="99" s="1"/>
  <c r="AS28" i="99"/>
  <c r="AT28" i="99" s="1"/>
  <c r="AQ28" i="99"/>
  <c r="AR28" i="99" s="1"/>
  <c r="AO28" i="99"/>
  <c r="AP28" i="99" s="1"/>
  <c r="AM28" i="99"/>
  <c r="AN28" i="99" s="1"/>
  <c r="AK28" i="99"/>
  <c r="AL28" i="99" s="1"/>
  <c r="AJ28" i="99"/>
  <c r="AI28" i="99"/>
  <c r="AH28" i="99"/>
  <c r="AF28" i="99"/>
  <c r="AE28" i="99"/>
  <c r="AD28" i="99"/>
  <c r="AB28" i="99"/>
  <c r="Z28" i="99"/>
  <c r="X28" i="99"/>
  <c r="Y28" i="99" s="1"/>
  <c r="V28" i="99"/>
  <c r="W28" i="99" s="1"/>
  <c r="S28" i="99"/>
  <c r="R28" i="99"/>
  <c r="Q28" i="99"/>
  <c r="P28" i="99"/>
  <c r="O28" i="99"/>
  <c r="N28" i="99"/>
  <c r="M28" i="99"/>
  <c r="L28" i="99"/>
  <c r="D28" i="99"/>
  <c r="CI27" i="99"/>
  <c r="CH27" i="99"/>
  <c r="CG27" i="99"/>
  <c r="CF27" i="99"/>
  <c r="CE27" i="99"/>
  <c r="CD27" i="99"/>
  <c r="CC27" i="99"/>
  <c r="CB27" i="99"/>
  <c r="CA27" i="99"/>
  <c r="BX27" i="99"/>
  <c r="BW27" i="99"/>
  <c r="BV27" i="99"/>
  <c r="BU27" i="99"/>
  <c r="BT27" i="99"/>
  <c r="BS27" i="99"/>
  <c r="BR27" i="99"/>
  <c r="BQ27" i="99"/>
  <c r="BP27" i="99"/>
  <c r="BD27" i="99"/>
  <c r="BC27" i="99"/>
  <c r="BA27" i="99"/>
  <c r="AY27" i="99"/>
  <c r="AW27" i="99"/>
  <c r="AX28" i="99" s="1"/>
  <c r="AU27" i="99"/>
  <c r="BE27" i="99" s="1"/>
  <c r="AS27" i="99"/>
  <c r="AQ27" i="99"/>
  <c r="AO27" i="99"/>
  <c r="AM27" i="99"/>
  <c r="AK27" i="99"/>
  <c r="AJ27" i="99"/>
  <c r="AH27" i="99"/>
  <c r="AI27" i="99" s="1"/>
  <c r="AF27" i="99"/>
  <c r="AG28" i="99" s="1"/>
  <c r="AD27" i="99"/>
  <c r="AE27" i="99" s="1"/>
  <c r="AB27" i="99"/>
  <c r="AC28" i="99" s="1"/>
  <c r="Z27" i="99"/>
  <c r="X27" i="99"/>
  <c r="V27" i="99"/>
  <c r="S27" i="99"/>
  <c r="R27" i="99"/>
  <c r="Q27" i="99"/>
  <c r="P27" i="99"/>
  <c r="O27" i="99"/>
  <c r="N27" i="99"/>
  <c r="M27" i="99"/>
  <c r="L27" i="99"/>
  <c r="D27" i="99"/>
  <c r="CI26" i="99"/>
  <c r="CH26" i="99"/>
  <c r="CG26" i="99"/>
  <c r="CF26" i="99"/>
  <c r="CE26" i="99"/>
  <c r="CD26" i="99"/>
  <c r="CC26" i="99"/>
  <c r="CB26" i="99"/>
  <c r="CA26" i="99"/>
  <c r="BX26" i="99"/>
  <c r="BW26" i="99"/>
  <c r="BV26" i="99"/>
  <c r="BU26" i="99"/>
  <c r="BT26" i="99"/>
  <c r="BS26" i="99"/>
  <c r="BR26" i="99"/>
  <c r="BQ26" i="99"/>
  <c r="BP26" i="99"/>
  <c r="BD26" i="99"/>
  <c r="BC26" i="99"/>
  <c r="BA26" i="99"/>
  <c r="BB26" i="99" s="1"/>
  <c r="AY26" i="99"/>
  <c r="AW26" i="99"/>
  <c r="AX26" i="99" s="1"/>
  <c r="AU26" i="99"/>
  <c r="BE26" i="99" s="1"/>
  <c r="AS26" i="99"/>
  <c r="AT27" i="99" s="1"/>
  <c r="AQ26" i="99"/>
  <c r="AR26" i="99" s="1"/>
  <c r="AO26" i="99"/>
  <c r="AP27" i="99" s="1"/>
  <c r="AM26" i="99"/>
  <c r="AN26" i="99" s="1"/>
  <c r="AK26" i="99"/>
  <c r="AL27" i="99" s="1"/>
  <c r="AJ26" i="99"/>
  <c r="AI26" i="99"/>
  <c r="AH26" i="99"/>
  <c r="AF26" i="99"/>
  <c r="AE26" i="99"/>
  <c r="AD26" i="99"/>
  <c r="AB26" i="99"/>
  <c r="Z26" i="99"/>
  <c r="X26" i="99"/>
  <c r="Y27" i="99" s="1"/>
  <c r="V26" i="99"/>
  <c r="W26" i="99" s="1"/>
  <c r="S26" i="99"/>
  <c r="R26" i="99"/>
  <c r="Q26" i="99"/>
  <c r="P26" i="99"/>
  <c r="O26" i="99"/>
  <c r="N26" i="99"/>
  <c r="M26" i="99"/>
  <c r="L26" i="99"/>
  <c r="D26" i="99"/>
  <c r="CI25" i="99"/>
  <c r="CH25" i="99"/>
  <c r="CG25" i="99"/>
  <c r="CF25" i="99"/>
  <c r="CE25" i="99"/>
  <c r="CD25" i="99"/>
  <c r="CC25" i="99"/>
  <c r="CB25" i="99"/>
  <c r="CA25" i="99"/>
  <c r="BX25" i="99"/>
  <c r="BW25" i="99"/>
  <c r="BV25" i="99"/>
  <c r="BU25" i="99"/>
  <c r="BT25" i="99"/>
  <c r="BS25" i="99"/>
  <c r="BR25" i="99"/>
  <c r="BQ25" i="99"/>
  <c r="BP25" i="99"/>
  <c r="BD25" i="99"/>
  <c r="BC25" i="99"/>
  <c r="BB25" i="99"/>
  <c r="BA25" i="99"/>
  <c r="AY25" i="99"/>
  <c r="AW25" i="99"/>
  <c r="AX25" i="99" s="1"/>
  <c r="AU25" i="99"/>
  <c r="BE25" i="99" s="1"/>
  <c r="AS25" i="99"/>
  <c r="AT25" i="99" s="1"/>
  <c r="AR25" i="99"/>
  <c r="AQ25" i="99"/>
  <c r="AO25" i="99"/>
  <c r="AP25" i="99" s="1"/>
  <c r="AN25" i="99"/>
  <c r="AM25" i="99"/>
  <c r="AK25" i="99"/>
  <c r="AL25" i="99" s="1"/>
  <c r="AJ25" i="99"/>
  <c r="AH25" i="99"/>
  <c r="AI25" i="99" s="1"/>
  <c r="AF25" i="99"/>
  <c r="AG26" i="99" s="1"/>
  <c r="AD25" i="99"/>
  <c r="AE25" i="99" s="1"/>
  <c r="AB25" i="99"/>
  <c r="AC26" i="99" s="1"/>
  <c r="Z25" i="99"/>
  <c r="X25" i="99"/>
  <c r="W25" i="99"/>
  <c r="V25" i="99"/>
  <c r="S25" i="99"/>
  <c r="R25" i="99"/>
  <c r="Q25" i="99"/>
  <c r="P25" i="99"/>
  <c r="O25" i="99"/>
  <c r="N25" i="99"/>
  <c r="M25" i="99"/>
  <c r="L25" i="99"/>
  <c r="D25" i="99"/>
  <c r="A25" i="99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CI24" i="99"/>
  <c r="CH24" i="99"/>
  <c r="CG24" i="99"/>
  <c r="CF24" i="99"/>
  <c r="CE24" i="99"/>
  <c r="CD24" i="99"/>
  <c r="CC24" i="99"/>
  <c r="CB24" i="99"/>
  <c r="CA24" i="99"/>
  <c r="BX24" i="99"/>
  <c r="BW24" i="99"/>
  <c r="BV24" i="99"/>
  <c r="BU24" i="99"/>
  <c r="BT24" i="99"/>
  <c r="BS24" i="99"/>
  <c r="BR24" i="99"/>
  <c r="BQ24" i="99"/>
  <c r="BP24" i="99"/>
  <c r="BD24" i="99"/>
  <c r="BC24" i="99"/>
  <c r="BA24" i="99"/>
  <c r="AY24" i="99"/>
  <c r="AW24" i="99"/>
  <c r="AX24" i="99" s="1"/>
  <c r="AU24" i="99"/>
  <c r="BE24" i="99" s="1"/>
  <c r="AS24" i="99"/>
  <c r="AT24" i="99" s="1"/>
  <c r="AQ24" i="99"/>
  <c r="AO24" i="99"/>
  <c r="AP24" i="99" s="1"/>
  <c r="AM24" i="99"/>
  <c r="AK24" i="99"/>
  <c r="AL24" i="99" s="1"/>
  <c r="AJ24" i="99"/>
  <c r="AH24" i="99"/>
  <c r="AI24" i="99" s="1"/>
  <c r="AF24" i="99"/>
  <c r="AG24" i="99" s="1"/>
  <c r="AD24" i="99"/>
  <c r="AE24" i="99" s="1"/>
  <c r="AB24" i="99"/>
  <c r="AC24" i="99" s="1"/>
  <c r="Z24" i="99"/>
  <c r="X24" i="99"/>
  <c r="Y25" i="99" s="1"/>
  <c r="V24" i="99"/>
  <c r="S24" i="99"/>
  <c r="R24" i="99"/>
  <c r="Q24" i="99"/>
  <c r="P24" i="99"/>
  <c r="O24" i="99"/>
  <c r="N24" i="99"/>
  <c r="M24" i="99"/>
  <c r="L24" i="99"/>
  <c r="D24" i="99"/>
  <c r="CI23" i="99"/>
  <c r="CH23" i="99"/>
  <c r="CG23" i="99"/>
  <c r="CF23" i="99"/>
  <c r="CE23" i="99"/>
  <c r="CD23" i="99"/>
  <c r="CC23" i="99"/>
  <c r="CB23" i="99"/>
  <c r="CA23" i="99"/>
  <c r="BX23" i="99"/>
  <c r="BW23" i="99"/>
  <c r="BV23" i="99"/>
  <c r="BU23" i="99"/>
  <c r="BT23" i="99"/>
  <c r="BS23" i="99"/>
  <c r="BR23" i="99"/>
  <c r="BQ23" i="99"/>
  <c r="BP23" i="99"/>
  <c r="BD23" i="99"/>
  <c r="BC23" i="99"/>
  <c r="BA23" i="99"/>
  <c r="BB23" i="99" s="1"/>
  <c r="AY23" i="99"/>
  <c r="AW23" i="99"/>
  <c r="AX23" i="99" s="1"/>
  <c r="AU23" i="99"/>
  <c r="BE23" i="99" s="1"/>
  <c r="AS23" i="99"/>
  <c r="AT23" i="99" s="1"/>
  <c r="AQ23" i="99"/>
  <c r="AR23" i="99" s="1"/>
  <c r="AO23" i="99"/>
  <c r="AP23" i="99" s="1"/>
  <c r="AM23" i="99"/>
  <c r="AN23" i="99" s="1"/>
  <c r="AK23" i="99"/>
  <c r="AL23" i="99" s="1"/>
  <c r="AJ23" i="99"/>
  <c r="AH23" i="99"/>
  <c r="AF23" i="99"/>
  <c r="AG23" i="99" s="1"/>
  <c r="AD23" i="99"/>
  <c r="AB23" i="99"/>
  <c r="AC23" i="99" s="1"/>
  <c r="Z23" i="99"/>
  <c r="X23" i="99"/>
  <c r="Y23" i="99" s="1"/>
  <c r="V23" i="99"/>
  <c r="W23" i="99" s="1"/>
  <c r="S23" i="99"/>
  <c r="R23" i="99"/>
  <c r="Q23" i="99"/>
  <c r="P23" i="99"/>
  <c r="O23" i="99"/>
  <c r="N23" i="99"/>
  <c r="M23" i="99"/>
  <c r="L23" i="99"/>
  <c r="D23" i="99"/>
  <c r="CI22" i="99"/>
  <c r="CH22" i="99"/>
  <c r="CG22" i="99"/>
  <c r="CF22" i="99"/>
  <c r="CE22" i="99"/>
  <c r="CD22" i="99"/>
  <c r="CC22" i="99"/>
  <c r="CB22" i="99"/>
  <c r="CA22" i="99"/>
  <c r="BX22" i="99"/>
  <c r="BW22" i="99"/>
  <c r="BV22" i="99"/>
  <c r="BU22" i="99"/>
  <c r="BT22" i="99"/>
  <c r="BS22" i="99"/>
  <c r="BR22" i="99"/>
  <c r="BQ22" i="99"/>
  <c r="BP22" i="99"/>
  <c r="BD22" i="99"/>
  <c r="BC22" i="99"/>
  <c r="BA22" i="99"/>
  <c r="BB22" i="99" s="1"/>
  <c r="AY22" i="99"/>
  <c r="AW22" i="99"/>
  <c r="AX22" i="99" s="1"/>
  <c r="AU22" i="99"/>
  <c r="BE22" i="99" s="1"/>
  <c r="AS22" i="99"/>
  <c r="AQ22" i="99"/>
  <c r="AR22" i="99" s="1"/>
  <c r="AO22" i="99"/>
  <c r="AM22" i="99"/>
  <c r="AN22" i="99" s="1"/>
  <c r="AK22" i="99"/>
  <c r="AJ22" i="99"/>
  <c r="AH22" i="99"/>
  <c r="AI22" i="99" s="1"/>
  <c r="AF22" i="99"/>
  <c r="AG22" i="99" s="1"/>
  <c r="AD22" i="99"/>
  <c r="AE22" i="99" s="1"/>
  <c r="AB22" i="99"/>
  <c r="AC22" i="99" s="1"/>
  <c r="Z22" i="99"/>
  <c r="X22" i="99"/>
  <c r="V22" i="99"/>
  <c r="W22" i="99" s="1"/>
  <c r="S22" i="99"/>
  <c r="R22" i="99"/>
  <c r="Q22" i="99"/>
  <c r="P22" i="99"/>
  <c r="O22" i="99"/>
  <c r="N22" i="99"/>
  <c r="M22" i="99"/>
  <c r="L22" i="99"/>
  <c r="D22" i="99"/>
  <c r="CI21" i="99"/>
  <c r="CH21" i="99"/>
  <c r="CG21" i="99"/>
  <c r="CF21" i="99"/>
  <c r="CE21" i="99"/>
  <c r="CD21" i="99"/>
  <c r="CC21" i="99"/>
  <c r="CB21" i="99"/>
  <c r="CA21" i="99"/>
  <c r="BX21" i="99"/>
  <c r="BW21" i="99"/>
  <c r="BV21" i="99"/>
  <c r="BU21" i="99"/>
  <c r="BT21" i="99"/>
  <c r="BS21" i="99"/>
  <c r="BR21" i="99"/>
  <c r="BQ21" i="99"/>
  <c r="BP21" i="99"/>
  <c r="BD21" i="99"/>
  <c r="BC21" i="99"/>
  <c r="BA21" i="99"/>
  <c r="BB21" i="99" s="1"/>
  <c r="AY21" i="99"/>
  <c r="AW21" i="99"/>
  <c r="AU21" i="99"/>
  <c r="BE21" i="99" s="1"/>
  <c r="AS21" i="99"/>
  <c r="AT21" i="99" s="1"/>
  <c r="AQ21" i="99"/>
  <c r="AR21" i="99" s="1"/>
  <c r="AO21" i="99"/>
  <c r="AP21" i="99" s="1"/>
  <c r="AM21" i="99"/>
  <c r="AN21" i="99" s="1"/>
  <c r="AK21" i="99"/>
  <c r="AL21" i="99" s="1"/>
  <c r="AJ21" i="99"/>
  <c r="AH21" i="99"/>
  <c r="AI21" i="99" s="1"/>
  <c r="AF21" i="99"/>
  <c r="AD21" i="99"/>
  <c r="AE21" i="99" s="1"/>
  <c r="AB21" i="99"/>
  <c r="Z21" i="99"/>
  <c r="X21" i="99"/>
  <c r="Y21" i="99" s="1"/>
  <c r="V21" i="99"/>
  <c r="W21" i="99" s="1"/>
  <c r="S21" i="99"/>
  <c r="R21" i="99"/>
  <c r="Q21" i="99"/>
  <c r="P21" i="99"/>
  <c r="O21" i="99"/>
  <c r="N21" i="99"/>
  <c r="M21" i="99"/>
  <c r="L21" i="99"/>
  <c r="D21" i="99"/>
  <c r="CI20" i="99"/>
  <c r="CH20" i="99"/>
  <c r="CG20" i="99"/>
  <c r="CF20" i="99"/>
  <c r="CE20" i="99"/>
  <c r="CD20" i="99"/>
  <c r="CC20" i="99"/>
  <c r="CB20" i="99"/>
  <c r="CA20" i="99"/>
  <c r="BX20" i="99"/>
  <c r="BW20" i="99"/>
  <c r="BV20" i="99"/>
  <c r="BU20" i="99"/>
  <c r="BT20" i="99"/>
  <c r="BS20" i="99"/>
  <c r="BR20" i="99"/>
  <c r="BQ20" i="99"/>
  <c r="BP20" i="99"/>
  <c r="BD20" i="99"/>
  <c r="BC20" i="99"/>
  <c r="BA20" i="99"/>
  <c r="AY20" i="99"/>
  <c r="AW20" i="99"/>
  <c r="AX20" i="99" s="1"/>
  <c r="AU20" i="99"/>
  <c r="BE20" i="99" s="1"/>
  <c r="AS20" i="99"/>
  <c r="AT20" i="99" s="1"/>
  <c r="AQ20" i="99"/>
  <c r="AO20" i="99"/>
  <c r="AP20" i="99" s="1"/>
  <c r="AM20" i="99"/>
  <c r="AK20" i="99"/>
  <c r="AL20" i="99" s="1"/>
  <c r="AJ20" i="99"/>
  <c r="AH20" i="99"/>
  <c r="AI20" i="99" s="1"/>
  <c r="AF20" i="99"/>
  <c r="AG20" i="99" s="1"/>
  <c r="AD20" i="99"/>
  <c r="AE20" i="99" s="1"/>
  <c r="AB20" i="99"/>
  <c r="AC20" i="99" s="1"/>
  <c r="Z20" i="99"/>
  <c r="X20" i="99"/>
  <c r="Y20" i="99" s="1"/>
  <c r="V20" i="99"/>
  <c r="S20" i="99"/>
  <c r="R20" i="99"/>
  <c r="Q20" i="99"/>
  <c r="P20" i="99"/>
  <c r="O20" i="99"/>
  <c r="N20" i="99"/>
  <c r="M20" i="99"/>
  <c r="L20" i="99"/>
  <c r="D20" i="99"/>
  <c r="CI19" i="99"/>
  <c r="CH19" i="99"/>
  <c r="CG19" i="99"/>
  <c r="CF19" i="99"/>
  <c r="CE19" i="99"/>
  <c r="CD19" i="99"/>
  <c r="CC19" i="99"/>
  <c r="CB19" i="99"/>
  <c r="CA19" i="99"/>
  <c r="BX19" i="99"/>
  <c r="BW19" i="99"/>
  <c r="BV19" i="99"/>
  <c r="BU19" i="99"/>
  <c r="BT19" i="99"/>
  <c r="BS19" i="99"/>
  <c r="BR19" i="99"/>
  <c r="BQ19" i="99"/>
  <c r="BP19" i="99"/>
  <c r="BD19" i="99"/>
  <c r="BC19" i="99"/>
  <c r="BA19" i="99"/>
  <c r="BB19" i="99" s="1"/>
  <c r="AY19" i="99"/>
  <c r="AW19" i="99"/>
  <c r="AX19" i="99" s="1"/>
  <c r="AU19" i="99"/>
  <c r="BE19" i="99" s="1"/>
  <c r="AS19" i="99"/>
  <c r="AT19" i="99" s="1"/>
  <c r="AQ19" i="99"/>
  <c r="AR19" i="99" s="1"/>
  <c r="AO19" i="99"/>
  <c r="AP19" i="99" s="1"/>
  <c r="AM19" i="99"/>
  <c r="AN19" i="99" s="1"/>
  <c r="AK19" i="99"/>
  <c r="AL19" i="99" s="1"/>
  <c r="AJ19" i="99"/>
  <c r="AH19" i="99"/>
  <c r="AF19" i="99"/>
  <c r="AG19" i="99" s="1"/>
  <c r="AD19" i="99"/>
  <c r="AB19" i="99"/>
  <c r="AC19" i="99" s="1"/>
  <c r="Z19" i="99"/>
  <c r="X19" i="99"/>
  <c r="Y19" i="99" s="1"/>
  <c r="V19" i="99"/>
  <c r="W19" i="99" s="1"/>
  <c r="S19" i="99"/>
  <c r="R19" i="99"/>
  <c r="Q19" i="99"/>
  <c r="P19" i="99"/>
  <c r="O19" i="99"/>
  <c r="N19" i="99"/>
  <c r="M19" i="99"/>
  <c r="L19" i="99"/>
  <c r="D19" i="99"/>
  <c r="CI18" i="99"/>
  <c r="CH18" i="99"/>
  <c r="CG18" i="99"/>
  <c r="CF18" i="99"/>
  <c r="CE18" i="99"/>
  <c r="CD18" i="99"/>
  <c r="CC18" i="99"/>
  <c r="CB18" i="99"/>
  <c r="CA18" i="99"/>
  <c r="BX18" i="99"/>
  <c r="BW18" i="99"/>
  <c r="BV18" i="99"/>
  <c r="BU18" i="99"/>
  <c r="BT18" i="99"/>
  <c r="BS18" i="99"/>
  <c r="BR18" i="99"/>
  <c r="BQ18" i="99"/>
  <c r="BP18" i="99"/>
  <c r="BD18" i="99"/>
  <c r="BC18" i="99"/>
  <c r="BA18" i="99"/>
  <c r="BB18" i="99" s="1"/>
  <c r="AY18" i="99"/>
  <c r="AW18" i="99"/>
  <c r="AX18" i="99" s="1"/>
  <c r="AU18" i="99"/>
  <c r="BE18" i="99" s="1"/>
  <c r="AS18" i="99"/>
  <c r="AQ18" i="99"/>
  <c r="AR18" i="99" s="1"/>
  <c r="AO18" i="99"/>
  <c r="AM18" i="99"/>
  <c r="AN18" i="99" s="1"/>
  <c r="AK18" i="99"/>
  <c r="AJ18" i="99"/>
  <c r="AH18" i="99"/>
  <c r="AI18" i="99" s="1"/>
  <c r="AF18" i="99"/>
  <c r="AG18" i="99" s="1"/>
  <c r="AD18" i="99"/>
  <c r="AE18" i="99" s="1"/>
  <c r="AB18" i="99"/>
  <c r="AC18" i="99" s="1"/>
  <c r="Z18" i="99"/>
  <c r="X18" i="99"/>
  <c r="V18" i="99"/>
  <c r="W18" i="99" s="1"/>
  <c r="S18" i="99"/>
  <c r="R18" i="99"/>
  <c r="Q18" i="99"/>
  <c r="P18" i="99"/>
  <c r="O18" i="99"/>
  <c r="N18" i="99"/>
  <c r="M18" i="99"/>
  <c r="L18" i="99"/>
  <c r="D18" i="99"/>
  <c r="CI17" i="99"/>
  <c r="CH17" i="99"/>
  <c r="CG17" i="99"/>
  <c r="CF17" i="99"/>
  <c r="CE17" i="99"/>
  <c r="CD17" i="99"/>
  <c r="CC17" i="99"/>
  <c r="CB17" i="99"/>
  <c r="CA17" i="99"/>
  <c r="BX17" i="99"/>
  <c r="BW17" i="99"/>
  <c r="BV17" i="99"/>
  <c r="BU17" i="99"/>
  <c r="BT17" i="99"/>
  <c r="BS17" i="99"/>
  <c r="BR17" i="99"/>
  <c r="BQ17" i="99"/>
  <c r="BP17" i="99"/>
  <c r="BD17" i="99"/>
  <c r="BC17" i="99"/>
  <c r="BA17" i="99"/>
  <c r="BB17" i="99" s="1"/>
  <c r="AY17" i="99"/>
  <c r="AW17" i="99"/>
  <c r="AU17" i="99"/>
  <c r="BE17" i="99" s="1"/>
  <c r="AS17" i="99"/>
  <c r="AT17" i="99" s="1"/>
  <c r="AQ17" i="99"/>
  <c r="AR17" i="99" s="1"/>
  <c r="AO17" i="99"/>
  <c r="AP17" i="99" s="1"/>
  <c r="AM17" i="99"/>
  <c r="AN17" i="99" s="1"/>
  <c r="AK17" i="99"/>
  <c r="AL17" i="99" s="1"/>
  <c r="AJ17" i="99"/>
  <c r="AH17" i="99"/>
  <c r="AI17" i="99" s="1"/>
  <c r="AF17" i="99"/>
  <c r="AD17" i="99"/>
  <c r="AE17" i="99" s="1"/>
  <c r="AB17" i="99"/>
  <c r="Z17" i="99"/>
  <c r="X17" i="99"/>
  <c r="Y17" i="99" s="1"/>
  <c r="V17" i="99"/>
  <c r="W17" i="99" s="1"/>
  <c r="S17" i="99"/>
  <c r="R17" i="99"/>
  <c r="Q17" i="99"/>
  <c r="P17" i="99"/>
  <c r="O17" i="99"/>
  <c r="N17" i="99"/>
  <c r="M17" i="99"/>
  <c r="L17" i="99"/>
  <c r="D17" i="99"/>
  <c r="CI16" i="99"/>
  <c r="CH16" i="99"/>
  <c r="CG16" i="99"/>
  <c r="CF16" i="99"/>
  <c r="CE16" i="99"/>
  <c r="CD16" i="99"/>
  <c r="CC16" i="99"/>
  <c r="CB16" i="99"/>
  <c r="CA16" i="99"/>
  <c r="BX16" i="99"/>
  <c r="BW16" i="99"/>
  <c r="BV16" i="99"/>
  <c r="BU16" i="99"/>
  <c r="BT16" i="99"/>
  <c r="BS16" i="99"/>
  <c r="BR16" i="99"/>
  <c r="BQ16" i="99"/>
  <c r="BP16" i="99"/>
  <c r="BD16" i="99"/>
  <c r="BC16" i="99"/>
  <c r="BA16" i="99"/>
  <c r="AY16" i="99"/>
  <c r="AW16" i="99"/>
  <c r="AX16" i="99" s="1"/>
  <c r="AU16" i="99"/>
  <c r="BE16" i="99" s="1"/>
  <c r="AS16" i="99"/>
  <c r="AT16" i="99" s="1"/>
  <c r="AQ16" i="99"/>
  <c r="AO16" i="99"/>
  <c r="AP16" i="99" s="1"/>
  <c r="AM16" i="99"/>
  <c r="AK16" i="99"/>
  <c r="AL16" i="99" s="1"/>
  <c r="AJ16" i="99"/>
  <c r="AH16" i="99"/>
  <c r="AI16" i="99" s="1"/>
  <c r="AF16" i="99"/>
  <c r="AG16" i="99" s="1"/>
  <c r="AD16" i="99"/>
  <c r="AE16" i="99" s="1"/>
  <c r="AB16" i="99"/>
  <c r="AC16" i="99" s="1"/>
  <c r="Z16" i="99"/>
  <c r="X16" i="99"/>
  <c r="Y16" i="99" s="1"/>
  <c r="V16" i="99"/>
  <c r="S16" i="99"/>
  <c r="R16" i="99"/>
  <c r="Q16" i="99"/>
  <c r="P16" i="99"/>
  <c r="O16" i="99"/>
  <c r="N16" i="99"/>
  <c r="M16" i="99"/>
  <c r="L16" i="99"/>
  <c r="D16" i="99"/>
  <c r="CI15" i="99"/>
  <c r="CH15" i="99"/>
  <c r="CG15" i="99"/>
  <c r="CF15" i="99"/>
  <c r="CE15" i="99"/>
  <c r="CD15" i="99"/>
  <c r="CC15" i="99"/>
  <c r="CB15" i="99"/>
  <c r="CA15" i="99"/>
  <c r="BX15" i="99"/>
  <c r="BW15" i="99"/>
  <c r="BV15" i="99"/>
  <c r="BU15" i="99"/>
  <c r="BT15" i="99"/>
  <c r="BS15" i="99"/>
  <c r="BR15" i="99"/>
  <c r="BQ15" i="99"/>
  <c r="BP15" i="99"/>
  <c r="BE15" i="99"/>
  <c r="BD15" i="99"/>
  <c r="BC15" i="99"/>
  <c r="BA15" i="99"/>
  <c r="AY15" i="99"/>
  <c r="AW15" i="99"/>
  <c r="AU15" i="99"/>
  <c r="AS15" i="99"/>
  <c r="AT15" i="99" s="1"/>
  <c r="AQ15" i="99"/>
  <c r="AO15" i="99"/>
  <c r="AP15" i="99" s="1"/>
  <c r="AM15" i="99"/>
  <c r="AK15" i="99"/>
  <c r="AL15" i="99" s="1"/>
  <c r="AJ15" i="99"/>
  <c r="AI15" i="99"/>
  <c r="AH15" i="99"/>
  <c r="AF15" i="99"/>
  <c r="AE15" i="99"/>
  <c r="AD15" i="99"/>
  <c r="AB15" i="99"/>
  <c r="Z15" i="99"/>
  <c r="X15" i="99"/>
  <c r="Y15" i="99" s="1"/>
  <c r="V15" i="99"/>
  <c r="S15" i="99"/>
  <c r="R15" i="99"/>
  <c r="Q15" i="99"/>
  <c r="P15" i="99"/>
  <c r="O15" i="99"/>
  <c r="N15" i="99"/>
  <c r="M15" i="99"/>
  <c r="L15" i="99"/>
  <c r="D15" i="99"/>
  <c r="CI14" i="99"/>
  <c r="CH14" i="99"/>
  <c r="CG14" i="99"/>
  <c r="CF14" i="99"/>
  <c r="CE14" i="99"/>
  <c r="CD14" i="99"/>
  <c r="CC14" i="99"/>
  <c r="CB14" i="99"/>
  <c r="CA14" i="99"/>
  <c r="BZ14" i="99"/>
  <c r="BX14" i="99"/>
  <c r="BW14" i="99"/>
  <c r="BV14" i="99"/>
  <c r="BU14" i="99"/>
  <c r="BT14" i="99"/>
  <c r="BS14" i="99"/>
  <c r="BR14" i="99"/>
  <c r="BQ14" i="99"/>
  <c r="BP14" i="99"/>
  <c r="BO14" i="99"/>
  <c r="BK14" i="99"/>
  <c r="BL14" i="99" s="1"/>
  <c r="BD14" i="99"/>
  <c r="BC14" i="99"/>
  <c r="BA14" i="99"/>
  <c r="AY14" i="99"/>
  <c r="AW14" i="99"/>
  <c r="AX14" i="99" s="1"/>
  <c r="AU14" i="99"/>
  <c r="BE14" i="99" s="1"/>
  <c r="AS14" i="99"/>
  <c r="AT14" i="99" s="1"/>
  <c r="AQ14" i="99"/>
  <c r="AO14" i="99"/>
  <c r="AP14" i="99" s="1"/>
  <c r="AM14" i="99"/>
  <c r="AK14" i="99"/>
  <c r="AL14" i="99" s="1"/>
  <c r="AJ14" i="99"/>
  <c r="AH14" i="99"/>
  <c r="AI14" i="99" s="1"/>
  <c r="AF14" i="99"/>
  <c r="AG14" i="99" s="1"/>
  <c r="AD14" i="99"/>
  <c r="AE14" i="99" s="1"/>
  <c r="AB14" i="99"/>
  <c r="AC14" i="99" s="1"/>
  <c r="Z14" i="99"/>
  <c r="X14" i="99"/>
  <c r="Y14" i="99" s="1"/>
  <c r="V14" i="99"/>
  <c r="S14" i="99"/>
  <c r="R14" i="99"/>
  <c r="Q14" i="99"/>
  <c r="P14" i="99"/>
  <c r="O14" i="99"/>
  <c r="N14" i="99"/>
  <c r="M14" i="99"/>
  <c r="L14" i="99"/>
  <c r="D14" i="99"/>
  <c r="CI13" i="99"/>
  <c r="CH13" i="99"/>
  <c r="CG13" i="99"/>
  <c r="CF13" i="99"/>
  <c r="CE13" i="99"/>
  <c r="CD13" i="99"/>
  <c r="CC13" i="99"/>
  <c r="CB13" i="99"/>
  <c r="CA13" i="99"/>
  <c r="BZ13" i="99"/>
  <c r="BZ12" i="99" s="1"/>
  <c r="BZ11" i="99" s="1"/>
  <c r="BX13" i="99"/>
  <c r="BW13" i="99"/>
  <c r="BV13" i="99"/>
  <c r="BU13" i="99"/>
  <c r="BT13" i="99"/>
  <c r="BS13" i="99"/>
  <c r="BR13" i="99"/>
  <c r="BQ13" i="99"/>
  <c r="BP13" i="99"/>
  <c r="BO13" i="99"/>
  <c r="BO12" i="99" s="1"/>
  <c r="BJ13" i="99"/>
  <c r="BK13" i="99" s="1"/>
  <c r="BL13" i="99" s="1"/>
  <c r="BI13" i="99"/>
  <c r="BD13" i="99"/>
  <c r="BC13" i="99"/>
  <c r="BA13" i="99"/>
  <c r="BB13" i="99" s="1"/>
  <c r="AY13" i="99"/>
  <c r="AW13" i="99"/>
  <c r="AX13" i="99" s="1"/>
  <c r="AU13" i="99"/>
  <c r="BE13" i="99" s="1"/>
  <c r="AS13" i="99"/>
  <c r="AT13" i="99" s="1"/>
  <c r="AQ13" i="99"/>
  <c r="AR13" i="99" s="1"/>
  <c r="AO13" i="99"/>
  <c r="AP13" i="99" s="1"/>
  <c r="AM13" i="99"/>
  <c r="AN13" i="99" s="1"/>
  <c r="AK13" i="99"/>
  <c r="AL13" i="99" s="1"/>
  <c r="AJ13" i="99"/>
  <c r="AI13" i="99"/>
  <c r="AH13" i="99"/>
  <c r="AF13" i="99"/>
  <c r="AG13" i="99" s="1"/>
  <c r="AD13" i="99"/>
  <c r="AB13" i="99"/>
  <c r="AC13" i="99" s="1"/>
  <c r="Z13" i="99"/>
  <c r="X13" i="99"/>
  <c r="Y13" i="99" s="1"/>
  <c r="V13" i="99"/>
  <c r="W13" i="99" s="1"/>
  <c r="S13" i="99"/>
  <c r="R13" i="99"/>
  <c r="Q13" i="99"/>
  <c r="P13" i="99"/>
  <c r="O13" i="99"/>
  <c r="N13" i="99"/>
  <c r="M13" i="99"/>
  <c r="L13" i="99"/>
  <c r="D13" i="99"/>
  <c r="CI12" i="99"/>
  <c r="CH12" i="99"/>
  <c r="CG12" i="99"/>
  <c r="CF12" i="99"/>
  <c r="CE12" i="99"/>
  <c r="CD12" i="99"/>
  <c r="CC12" i="99"/>
  <c r="CB12" i="99"/>
  <c r="CA12" i="99"/>
  <c r="BX12" i="99"/>
  <c r="BW12" i="99"/>
  <c r="BV12" i="99"/>
  <c r="BU12" i="99"/>
  <c r="BT12" i="99"/>
  <c r="BS12" i="99"/>
  <c r="BR12" i="99"/>
  <c r="BQ12" i="99"/>
  <c r="BP12" i="99"/>
  <c r="BK12" i="99"/>
  <c r="BL12" i="99" s="1"/>
  <c r="BJ12" i="99"/>
  <c r="BI12" i="99"/>
  <c r="BD12" i="99"/>
  <c r="BC12" i="99"/>
  <c r="BA12" i="99"/>
  <c r="BB12" i="99" s="1"/>
  <c r="AY12" i="99"/>
  <c r="AW12" i="99"/>
  <c r="AX12" i="99" s="1"/>
  <c r="AU12" i="99"/>
  <c r="BE12" i="99" s="1"/>
  <c r="AT12" i="99"/>
  <c r="AS12" i="99"/>
  <c r="AQ12" i="99"/>
  <c r="AR12" i="99" s="1"/>
  <c r="AP12" i="99"/>
  <c r="AO12" i="99"/>
  <c r="AM12" i="99"/>
  <c r="AL12" i="99"/>
  <c r="AK12" i="99"/>
  <c r="AJ12" i="99"/>
  <c r="AH12" i="99"/>
  <c r="AI12" i="99" s="1"/>
  <c r="AF12" i="99"/>
  <c r="AD12" i="99"/>
  <c r="AE12" i="99" s="1"/>
  <c r="AB12" i="99"/>
  <c r="AC12" i="99" s="1"/>
  <c r="Z12" i="99"/>
  <c r="X12" i="99"/>
  <c r="V12" i="99"/>
  <c r="W12" i="99" s="1"/>
  <c r="S12" i="99"/>
  <c r="R12" i="99"/>
  <c r="Q12" i="99"/>
  <c r="P12" i="99"/>
  <c r="O12" i="99"/>
  <c r="N12" i="99"/>
  <c r="M12" i="99"/>
  <c r="L12" i="99"/>
  <c r="D12" i="99"/>
  <c r="CI11" i="99"/>
  <c r="CH11" i="99"/>
  <c r="CG11" i="99"/>
  <c r="CF11" i="99"/>
  <c r="CE11" i="99"/>
  <c r="CD11" i="99"/>
  <c r="CC11" i="99"/>
  <c r="CB11" i="99"/>
  <c r="CA11" i="99"/>
  <c r="BX11" i="99"/>
  <c r="BW11" i="99"/>
  <c r="BV11" i="99"/>
  <c r="BU11" i="99"/>
  <c r="BT11" i="99"/>
  <c r="BS11" i="99"/>
  <c r="BR11" i="99"/>
  <c r="BQ11" i="99"/>
  <c r="BP11" i="99"/>
  <c r="BO11" i="99"/>
  <c r="BO10" i="99" s="1"/>
  <c r="BJ11" i="99"/>
  <c r="BK11" i="99" s="1"/>
  <c r="BI11" i="99"/>
  <c r="BD11" i="99"/>
  <c r="BC11" i="99"/>
  <c r="BA11" i="99"/>
  <c r="AY11" i="99"/>
  <c r="AW11" i="99"/>
  <c r="AU11" i="99"/>
  <c r="BE11" i="99" s="1"/>
  <c r="AS11" i="99"/>
  <c r="AQ11" i="99"/>
  <c r="AO11" i="99"/>
  <c r="AM11" i="99"/>
  <c r="AK11" i="99"/>
  <c r="AJ11" i="99"/>
  <c r="AH11" i="99"/>
  <c r="AF11" i="99"/>
  <c r="AD11" i="99"/>
  <c r="AB11" i="99"/>
  <c r="Z11" i="99"/>
  <c r="X11" i="99"/>
  <c r="Y12" i="99" s="1"/>
  <c r="V11" i="99"/>
  <c r="S11" i="99"/>
  <c r="R11" i="99"/>
  <c r="Q11" i="99"/>
  <c r="P11" i="99"/>
  <c r="O11" i="99"/>
  <c r="N11" i="99"/>
  <c r="M11" i="99"/>
  <c r="L11" i="99"/>
  <c r="D11" i="99"/>
  <c r="CI10" i="99"/>
  <c r="CH10" i="99"/>
  <c r="CG10" i="99"/>
  <c r="CF10" i="99"/>
  <c r="CE10" i="99"/>
  <c r="CD10" i="99"/>
  <c r="CC10" i="99"/>
  <c r="CB10" i="99"/>
  <c r="CA10" i="99"/>
  <c r="BZ10" i="99"/>
  <c r="BZ9" i="99" s="1"/>
  <c r="BX10" i="99"/>
  <c r="BW10" i="99"/>
  <c r="BV10" i="99"/>
  <c r="BU10" i="99"/>
  <c r="BT10" i="99"/>
  <c r="BS10" i="99"/>
  <c r="BR10" i="99"/>
  <c r="BQ10" i="99"/>
  <c r="BP10" i="99"/>
  <c r="BJ10" i="99"/>
  <c r="BK10" i="99" s="1"/>
  <c r="BL10" i="99" s="1"/>
  <c r="BI10" i="99"/>
  <c r="BE10" i="99"/>
  <c r="BD10" i="99"/>
  <c r="BC10" i="99"/>
  <c r="BA10" i="99"/>
  <c r="AY10" i="99"/>
  <c r="AW10" i="99"/>
  <c r="AU10" i="99"/>
  <c r="AS10" i="99"/>
  <c r="AQ10" i="99"/>
  <c r="AO10" i="99"/>
  <c r="AM10" i="99"/>
  <c r="AK10" i="99"/>
  <c r="AJ10" i="99"/>
  <c r="AH10" i="99"/>
  <c r="AF10" i="99"/>
  <c r="AD10" i="99"/>
  <c r="AB10" i="99"/>
  <c r="Z10" i="99"/>
  <c r="X10" i="99"/>
  <c r="V10" i="99"/>
  <c r="S10" i="99"/>
  <c r="R10" i="99"/>
  <c r="Q10" i="99"/>
  <c r="P10" i="99"/>
  <c r="O10" i="99"/>
  <c r="N10" i="99"/>
  <c r="M10" i="99"/>
  <c r="L10" i="99"/>
  <c r="D10" i="99"/>
  <c r="CI9" i="99"/>
  <c r="CH9" i="99"/>
  <c r="CG9" i="99"/>
  <c r="CF9" i="99"/>
  <c r="CE9" i="99"/>
  <c r="CD9" i="99"/>
  <c r="CC9" i="99"/>
  <c r="CB9" i="99"/>
  <c r="CA9" i="99"/>
  <c r="BX9" i="99"/>
  <c r="BW9" i="99"/>
  <c r="BV9" i="99"/>
  <c r="BU9" i="99"/>
  <c r="BT9" i="99"/>
  <c r="BS9" i="99"/>
  <c r="BR9" i="99"/>
  <c r="BQ9" i="99"/>
  <c r="BP9" i="99"/>
  <c r="BO9" i="99"/>
  <c r="BO8" i="99" s="1"/>
  <c r="BJ9" i="99"/>
  <c r="BK9" i="99" s="1"/>
  <c r="BL9" i="99" s="1"/>
  <c r="BI9" i="99"/>
  <c r="BD9" i="99"/>
  <c r="BC9" i="99"/>
  <c r="BA9" i="99"/>
  <c r="AY9" i="99"/>
  <c r="AW9" i="99"/>
  <c r="AU9" i="99"/>
  <c r="BE9" i="99" s="1"/>
  <c r="AS9" i="99"/>
  <c r="AQ9" i="99"/>
  <c r="AO9" i="99"/>
  <c r="AM9" i="99"/>
  <c r="AK9" i="99"/>
  <c r="AJ9" i="99"/>
  <c r="AH9" i="99"/>
  <c r="AF9" i="99"/>
  <c r="AD9" i="99"/>
  <c r="AB9" i="99"/>
  <c r="Z9" i="99"/>
  <c r="X9" i="99"/>
  <c r="V9" i="99"/>
  <c r="S9" i="99"/>
  <c r="R9" i="99"/>
  <c r="Q9" i="99"/>
  <c r="P9" i="99"/>
  <c r="O9" i="99"/>
  <c r="N9" i="99"/>
  <c r="M9" i="99"/>
  <c r="L9" i="99"/>
  <c r="D9" i="99"/>
  <c r="CI8" i="99"/>
  <c r="CH8" i="99"/>
  <c r="CG8" i="99"/>
  <c r="CF8" i="99"/>
  <c r="CE8" i="99"/>
  <c r="CD8" i="99"/>
  <c r="CC8" i="99"/>
  <c r="CB8" i="99"/>
  <c r="CA8" i="99"/>
  <c r="BZ8" i="99"/>
  <c r="BZ7" i="99" s="1"/>
  <c r="BX8" i="99"/>
  <c r="BW8" i="99"/>
  <c r="BV8" i="99"/>
  <c r="BU8" i="99"/>
  <c r="BT8" i="99"/>
  <c r="BS8" i="99"/>
  <c r="BR8" i="99"/>
  <c r="BQ8" i="99"/>
  <c r="BP8" i="99"/>
  <c r="BJ8" i="99"/>
  <c r="BK8" i="99" s="1"/>
  <c r="BL8" i="99" s="1"/>
  <c r="BI8" i="99"/>
  <c r="BE8" i="99"/>
  <c r="BD8" i="99"/>
  <c r="BC8" i="99"/>
  <c r="BA8" i="99"/>
  <c r="AY8" i="99"/>
  <c r="AW8" i="99"/>
  <c r="AU8" i="99"/>
  <c r="AS8" i="99"/>
  <c r="AQ8" i="99"/>
  <c r="AO8" i="99"/>
  <c r="AM8" i="99"/>
  <c r="AK8" i="99"/>
  <c r="AJ8" i="99"/>
  <c r="AH8" i="99"/>
  <c r="AF8" i="99"/>
  <c r="AD8" i="99"/>
  <c r="AB8" i="99"/>
  <c r="Z8" i="99"/>
  <c r="X8" i="99"/>
  <c r="V8" i="99"/>
  <c r="S8" i="99"/>
  <c r="R8" i="99"/>
  <c r="Q8" i="99"/>
  <c r="P8" i="99"/>
  <c r="O8" i="99"/>
  <c r="N8" i="99"/>
  <c r="M8" i="99"/>
  <c r="L8" i="99"/>
  <c r="D8" i="99"/>
  <c r="CI7" i="99"/>
  <c r="CH7" i="99"/>
  <c r="CG7" i="99"/>
  <c r="CF7" i="99"/>
  <c r="CE7" i="99"/>
  <c r="CD7" i="99"/>
  <c r="CC7" i="99"/>
  <c r="CB7" i="99"/>
  <c r="CA7" i="99"/>
  <c r="BX7" i="99"/>
  <c r="BW7" i="99"/>
  <c r="BV7" i="99"/>
  <c r="BU7" i="99"/>
  <c r="BT7" i="99"/>
  <c r="BS7" i="99"/>
  <c r="BR7" i="99"/>
  <c r="BQ7" i="99"/>
  <c r="BP7" i="99"/>
  <c r="BO7" i="99"/>
  <c r="BO6" i="99" s="1"/>
  <c r="BJ7" i="99"/>
  <c r="BK7" i="99" s="1"/>
  <c r="BL7" i="99" s="1"/>
  <c r="BI7" i="99"/>
  <c r="BD7" i="99"/>
  <c r="BC7" i="99"/>
  <c r="BA7" i="99"/>
  <c r="AY7" i="99"/>
  <c r="AW7" i="99"/>
  <c r="AU7" i="99"/>
  <c r="BE7" i="99" s="1"/>
  <c r="AS7" i="99"/>
  <c r="AQ7" i="99"/>
  <c r="AO7" i="99"/>
  <c r="AM7" i="99"/>
  <c r="AK7" i="99"/>
  <c r="AJ7" i="99"/>
  <c r="AH7" i="99"/>
  <c r="AF7" i="99"/>
  <c r="AD7" i="99"/>
  <c r="AB7" i="99"/>
  <c r="Z7" i="99"/>
  <c r="X7" i="99"/>
  <c r="V7" i="99"/>
  <c r="S7" i="99"/>
  <c r="R7" i="99"/>
  <c r="Q7" i="99"/>
  <c r="P7" i="99"/>
  <c r="O7" i="99"/>
  <c r="N7" i="99"/>
  <c r="M7" i="99"/>
  <c r="L7" i="99"/>
  <c r="D7" i="99"/>
  <c r="CI6" i="99"/>
  <c r="CH6" i="99"/>
  <c r="CG6" i="99"/>
  <c r="CF6" i="99"/>
  <c r="CE6" i="99"/>
  <c r="CD6" i="99"/>
  <c r="CC6" i="99"/>
  <c r="CB6" i="99"/>
  <c r="CA6" i="99"/>
  <c r="BZ6" i="99"/>
  <c r="BZ5" i="99" s="1"/>
  <c r="BX6" i="99"/>
  <c r="BW6" i="99"/>
  <c r="BV6" i="99"/>
  <c r="BU6" i="99"/>
  <c r="BT6" i="99"/>
  <c r="BS6" i="99"/>
  <c r="BR6" i="99"/>
  <c r="BQ6" i="99"/>
  <c r="BP6" i="99"/>
  <c r="BJ6" i="99"/>
  <c r="BK6" i="99" s="1"/>
  <c r="BL6" i="99" s="1"/>
  <c r="BI6" i="99"/>
  <c r="BE6" i="99"/>
  <c r="BD6" i="99"/>
  <c r="BC6" i="99"/>
  <c r="BA6" i="99"/>
  <c r="AY6" i="99"/>
  <c r="AW6" i="99"/>
  <c r="AU6" i="99"/>
  <c r="AS6" i="99"/>
  <c r="AQ6" i="99"/>
  <c r="AO6" i="99"/>
  <c r="AM6" i="99"/>
  <c r="AK6" i="99"/>
  <c r="AJ6" i="99"/>
  <c r="AH6" i="99"/>
  <c r="AF6" i="99"/>
  <c r="AD6" i="99"/>
  <c r="AB6" i="99"/>
  <c r="Z6" i="99"/>
  <c r="X6" i="99"/>
  <c r="V6" i="99"/>
  <c r="S6" i="99"/>
  <c r="R6" i="99"/>
  <c r="Q6" i="99"/>
  <c r="P6" i="99"/>
  <c r="O6" i="99"/>
  <c r="N6" i="99"/>
  <c r="M6" i="99"/>
  <c r="L6" i="99"/>
  <c r="D6" i="99"/>
  <c r="CI5" i="99"/>
  <c r="CH5" i="99"/>
  <c r="CG5" i="99"/>
  <c r="CF5" i="99"/>
  <c r="CE5" i="99"/>
  <c r="CD5" i="99"/>
  <c r="CC5" i="99"/>
  <c r="CB5" i="99"/>
  <c r="CA5" i="99"/>
  <c r="BX5" i="99"/>
  <c r="BW5" i="99"/>
  <c r="BV5" i="99"/>
  <c r="BU5" i="99"/>
  <c r="BT5" i="99"/>
  <c r="BS5" i="99"/>
  <c r="BR5" i="99"/>
  <c r="BQ5" i="99"/>
  <c r="BP5" i="99"/>
  <c r="BO5" i="99"/>
  <c r="BJ5" i="99"/>
  <c r="BK5" i="99" s="1"/>
  <c r="BL5" i="99" s="1"/>
  <c r="BI5" i="99"/>
  <c r="S5" i="99"/>
  <c r="R5" i="99"/>
  <c r="Q5" i="99"/>
  <c r="P5" i="99"/>
  <c r="O5" i="99"/>
  <c r="N5" i="99"/>
  <c r="M5" i="99"/>
  <c r="L5" i="99"/>
  <c r="D5" i="99"/>
  <c r="CI4" i="99"/>
  <c r="CH4" i="99"/>
  <c r="CG4" i="99"/>
  <c r="CF4" i="99"/>
  <c r="CE4" i="99"/>
  <c r="CD4" i="99"/>
  <c r="CC4" i="99"/>
  <c r="CB4" i="99"/>
  <c r="CA4" i="99"/>
  <c r="BX4" i="99"/>
  <c r="BW4" i="99"/>
  <c r="BV4" i="99"/>
  <c r="BU4" i="99"/>
  <c r="BT4" i="99"/>
  <c r="BS4" i="99"/>
  <c r="BR4" i="99"/>
  <c r="BQ4" i="99"/>
  <c r="BP4" i="99"/>
  <c r="S4" i="99"/>
  <c r="BK24" i="99" s="1"/>
  <c r="BL24" i="99" s="1"/>
  <c r="R4" i="99"/>
  <c r="BK23" i="99" s="1"/>
  <c r="BL23" i="99" s="1"/>
  <c r="Q4" i="99"/>
  <c r="BK22" i="99" s="1"/>
  <c r="BL22" i="99" s="1"/>
  <c r="P4" i="99"/>
  <c r="BK21" i="99" s="1"/>
  <c r="BL21" i="99" s="1"/>
  <c r="O4" i="99"/>
  <c r="BK20" i="99" s="1"/>
  <c r="BL20" i="99" s="1"/>
  <c r="N4" i="99"/>
  <c r="BK19" i="99" s="1"/>
  <c r="BL19" i="99" s="1"/>
  <c r="M4" i="99"/>
  <c r="BK18" i="99" s="1"/>
  <c r="BL18" i="99" s="1"/>
  <c r="L4" i="99"/>
  <c r="K4" i="99"/>
  <c r="BK17" i="99" s="1"/>
  <c r="BL17" i="99" s="1"/>
  <c r="J4" i="99"/>
  <c r="BK15" i="99" s="1"/>
  <c r="I4" i="99"/>
  <c r="H4" i="99"/>
  <c r="G4" i="99"/>
  <c r="E4" i="99"/>
  <c r="D4" i="99"/>
  <c r="B4" i="99"/>
  <c r="H44" i="98"/>
  <c r="H45" i="98" s="1"/>
  <c r="H46" i="98" s="1"/>
  <c r="H47" i="98" s="1"/>
  <c r="H48" i="98" s="1"/>
  <c r="H49" i="98" s="1"/>
  <c r="H50" i="98" s="1"/>
  <c r="C44" i="98"/>
  <c r="C45" i="98" s="1"/>
  <c r="C46" i="98" s="1"/>
  <c r="C47" i="98" s="1"/>
  <c r="C48" i="98" s="1"/>
  <c r="C49" i="98" s="1"/>
  <c r="C50" i="98" s="1"/>
  <c r="B44" i="98"/>
  <c r="B45" i="98" s="1"/>
  <c r="B46" i="98" s="1"/>
  <c r="B47" i="98" s="1"/>
  <c r="B48" i="98" s="1"/>
  <c r="B49" i="98" s="1"/>
  <c r="B50" i="98" s="1"/>
  <c r="N43" i="98"/>
  <c r="N44" i="98" s="1"/>
  <c r="N45" i="98" s="1"/>
  <c r="N46" i="98" s="1"/>
  <c r="N47" i="98" s="1"/>
  <c r="N48" i="98" s="1"/>
  <c r="N49" i="98" s="1"/>
  <c r="N50" i="98" s="1"/>
  <c r="M43" i="98"/>
  <c r="M44" i="98" s="1"/>
  <c r="M45" i="98" s="1"/>
  <c r="M46" i="98" s="1"/>
  <c r="M47" i="98" s="1"/>
  <c r="M48" i="98" s="1"/>
  <c r="M49" i="98" s="1"/>
  <c r="M50" i="98" s="1"/>
  <c r="K43" i="98"/>
  <c r="L43" i="98" s="1"/>
  <c r="H43" i="98"/>
  <c r="G43" i="98"/>
  <c r="G44" i="98" s="1"/>
  <c r="G45" i="98" s="1"/>
  <c r="G46" i="98" s="1"/>
  <c r="G47" i="98" s="1"/>
  <c r="G48" i="98" s="1"/>
  <c r="G49" i="98" s="1"/>
  <c r="G50" i="98" s="1"/>
  <c r="F43" i="98"/>
  <c r="I43" i="98" s="1"/>
  <c r="D43" i="98"/>
  <c r="D44" i="98" s="1"/>
  <c r="D45" i="98" s="1"/>
  <c r="D46" i="98" s="1"/>
  <c r="D47" i="98" s="1"/>
  <c r="D48" i="98" s="1"/>
  <c r="D49" i="98" s="1"/>
  <c r="D50" i="98" s="1"/>
  <c r="C43" i="98"/>
  <c r="B43" i="98"/>
  <c r="I42" i="98"/>
  <c r="K42" i="98" s="1"/>
  <c r="L42" i="98" s="1"/>
  <c r="I41" i="98"/>
  <c r="K41" i="98" s="1"/>
  <c r="L41" i="98" s="1"/>
  <c r="I40" i="98"/>
  <c r="K40" i="98" s="1"/>
  <c r="L40" i="98" s="1"/>
  <c r="I39" i="98"/>
  <c r="K39" i="98" s="1"/>
  <c r="L39" i="98" s="1"/>
  <c r="I38" i="98"/>
  <c r="K38" i="98" s="1"/>
  <c r="L38" i="98" s="1"/>
  <c r="I37" i="98"/>
  <c r="K37" i="98" s="1"/>
  <c r="L37" i="98" s="1"/>
  <c r="I36" i="98"/>
  <c r="K36" i="98" s="1"/>
  <c r="L36" i="98" s="1"/>
  <c r="I35" i="98"/>
  <c r="K35" i="98" s="1"/>
  <c r="L35" i="98" s="1"/>
  <c r="I34" i="98"/>
  <c r="K34" i="98" s="1"/>
  <c r="L34" i="98" s="1"/>
  <c r="I33" i="98"/>
  <c r="K33" i="98" s="1"/>
  <c r="L33" i="98" s="1"/>
  <c r="A33" i="98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A45" i="98" s="1"/>
  <c r="A46" i="98" s="1"/>
  <c r="A47" i="98" s="1"/>
  <c r="A48" i="98" s="1"/>
  <c r="A49" i="98" s="1"/>
  <c r="A50" i="98" s="1"/>
  <c r="I32" i="98"/>
  <c r="K32" i="98" s="1"/>
  <c r="L32" i="98" s="1"/>
  <c r="I31" i="98"/>
  <c r="K31" i="98" s="1"/>
  <c r="L31" i="98" s="1"/>
  <c r="I30" i="98"/>
  <c r="K30" i="98" s="1"/>
  <c r="L30" i="98" s="1"/>
  <c r="K29" i="98"/>
  <c r="L29" i="98" s="1"/>
  <c r="I29" i="98"/>
  <c r="I28" i="98"/>
  <c r="K28" i="98" s="1"/>
  <c r="L28" i="98" s="1"/>
  <c r="I27" i="98"/>
  <c r="K27" i="98" s="1"/>
  <c r="L27" i="98" s="1"/>
  <c r="I26" i="98"/>
  <c r="K26" i="98" s="1"/>
  <c r="L26" i="98" s="1"/>
  <c r="K25" i="98"/>
  <c r="L25" i="98" s="1"/>
  <c r="I25" i="98"/>
  <c r="I24" i="98"/>
  <c r="K24" i="98" s="1"/>
  <c r="L24" i="98" s="1"/>
  <c r="I23" i="98"/>
  <c r="K23" i="98" s="1"/>
  <c r="L23" i="98" s="1"/>
  <c r="I22" i="98"/>
  <c r="K22" i="98" s="1"/>
  <c r="L22" i="98" s="1"/>
  <c r="K21" i="98"/>
  <c r="L21" i="98" s="1"/>
  <c r="I21" i="98"/>
  <c r="I20" i="98"/>
  <c r="K20" i="98" s="1"/>
  <c r="L20" i="98" s="1"/>
  <c r="I19" i="98"/>
  <c r="K19" i="98" s="1"/>
  <c r="L19" i="98" s="1"/>
  <c r="I18" i="98"/>
  <c r="K18" i="98" s="1"/>
  <c r="L18" i="98" s="1"/>
  <c r="K17" i="98"/>
  <c r="L17" i="98" s="1"/>
  <c r="I17" i="98"/>
  <c r="I16" i="98"/>
  <c r="K16" i="98" s="1"/>
  <c r="L16" i="98" s="1"/>
  <c r="I15" i="98"/>
  <c r="K15" i="98" s="1"/>
  <c r="L15" i="98" s="1"/>
  <c r="I14" i="98"/>
  <c r="K14" i="98" s="1"/>
  <c r="L14" i="98" s="1"/>
  <c r="K13" i="98"/>
  <c r="L13" i="98" s="1"/>
  <c r="I13" i="98"/>
  <c r="I12" i="98"/>
  <c r="K12" i="98" s="1"/>
  <c r="V50" i="97"/>
  <c r="W50" i="97" s="1"/>
  <c r="T50" i="97"/>
  <c r="S50" i="97"/>
  <c r="R50" i="97"/>
  <c r="Q50" i="97"/>
  <c r="P50" i="97"/>
  <c r="O50" i="97"/>
  <c r="N50" i="97"/>
  <c r="L50" i="97"/>
  <c r="M50" i="97" s="1"/>
  <c r="K50" i="97"/>
  <c r="J50" i="97"/>
  <c r="I50" i="97"/>
  <c r="H50" i="97"/>
  <c r="G50" i="97"/>
  <c r="F50" i="97"/>
  <c r="E50" i="97"/>
  <c r="D50" i="97"/>
  <c r="C50" i="97"/>
  <c r="W49" i="97"/>
  <c r="V49" i="97"/>
  <c r="T49" i="97"/>
  <c r="S49" i="97"/>
  <c r="R49" i="97"/>
  <c r="Q49" i="97"/>
  <c r="P49" i="97"/>
  <c r="O49" i="97"/>
  <c r="N49" i="97"/>
  <c r="L49" i="97"/>
  <c r="M49" i="97" s="1"/>
  <c r="K49" i="97"/>
  <c r="J49" i="97"/>
  <c r="I49" i="97"/>
  <c r="H49" i="97"/>
  <c r="G49" i="97"/>
  <c r="F49" i="97"/>
  <c r="E49" i="97"/>
  <c r="D49" i="97"/>
  <c r="C49" i="97"/>
  <c r="W48" i="97"/>
  <c r="T48" i="97"/>
  <c r="S48" i="97"/>
  <c r="R48" i="97"/>
  <c r="Q48" i="97"/>
  <c r="P48" i="97"/>
  <c r="O48" i="97"/>
  <c r="N48" i="97"/>
  <c r="L48" i="97"/>
  <c r="M48" i="97" s="1"/>
  <c r="K48" i="97"/>
  <c r="J48" i="97"/>
  <c r="I48" i="97"/>
  <c r="H48" i="97"/>
  <c r="G48" i="97"/>
  <c r="F48" i="97"/>
  <c r="E48" i="97"/>
  <c r="D48" i="97"/>
  <c r="C48" i="97"/>
  <c r="W47" i="97"/>
  <c r="T47" i="97"/>
  <c r="S47" i="97"/>
  <c r="R47" i="97"/>
  <c r="Q47" i="97"/>
  <c r="P47" i="97"/>
  <c r="O47" i="97"/>
  <c r="N47" i="97"/>
  <c r="L47" i="97"/>
  <c r="M47" i="97" s="1"/>
  <c r="K47" i="97"/>
  <c r="J47" i="97"/>
  <c r="I47" i="97"/>
  <c r="H47" i="97"/>
  <c r="G47" i="97"/>
  <c r="F47" i="97"/>
  <c r="E47" i="97"/>
  <c r="D47" i="97"/>
  <c r="C47" i="97"/>
  <c r="W46" i="97"/>
  <c r="T46" i="97"/>
  <c r="S46" i="97"/>
  <c r="R46" i="97"/>
  <c r="Q46" i="97"/>
  <c r="P46" i="97"/>
  <c r="O46" i="97"/>
  <c r="N46" i="97"/>
  <c r="M46" i="97"/>
  <c r="L46" i="97"/>
  <c r="K46" i="97"/>
  <c r="J46" i="97"/>
  <c r="I46" i="97"/>
  <c r="H46" i="97"/>
  <c r="G46" i="97"/>
  <c r="F46" i="97"/>
  <c r="E46" i="97"/>
  <c r="D46" i="97"/>
  <c r="C46" i="97"/>
  <c r="W45" i="97"/>
  <c r="T45" i="97"/>
  <c r="S45" i="97"/>
  <c r="R45" i="97"/>
  <c r="Q45" i="97"/>
  <c r="P45" i="97"/>
  <c r="O45" i="97"/>
  <c r="N45" i="97"/>
  <c r="L45" i="97"/>
  <c r="M45" i="97" s="1"/>
  <c r="K45" i="97"/>
  <c r="J45" i="97"/>
  <c r="I45" i="97"/>
  <c r="H45" i="97"/>
  <c r="G45" i="97"/>
  <c r="F45" i="97"/>
  <c r="E45" i="97"/>
  <c r="D45" i="97"/>
  <c r="C45" i="97"/>
  <c r="W44" i="97"/>
  <c r="T44" i="97"/>
  <c r="S44" i="97"/>
  <c r="R44" i="97"/>
  <c r="Q44" i="97"/>
  <c r="P44" i="97"/>
  <c r="O44" i="97"/>
  <c r="N44" i="97"/>
  <c r="L44" i="97"/>
  <c r="M44" i="97" s="1"/>
  <c r="K44" i="97"/>
  <c r="J44" i="97"/>
  <c r="I44" i="97"/>
  <c r="H44" i="97"/>
  <c r="G44" i="97"/>
  <c r="F44" i="97"/>
  <c r="E44" i="97"/>
  <c r="D44" i="97"/>
  <c r="C44" i="97"/>
  <c r="W43" i="97"/>
  <c r="T43" i="97"/>
  <c r="S43" i="97"/>
  <c r="R43" i="97"/>
  <c r="Q43" i="97"/>
  <c r="P43" i="97"/>
  <c r="O43" i="97"/>
  <c r="N43" i="97"/>
  <c r="L43" i="97"/>
  <c r="M43" i="97" s="1"/>
  <c r="K43" i="97"/>
  <c r="J43" i="97"/>
  <c r="I43" i="97"/>
  <c r="H43" i="97"/>
  <c r="G43" i="97"/>
  <c r="F43" i="97"/>
  <c r="E43" i="97"/>
  <c r="D43" i="97"/>
  <c r="C43" i="97"/>
  <c r="W42" i="97"/>
  <c r="T42" i="97"/>
  <c r="U42" i="97" s="1"/>
  <c r="S42" i="97"/>
  <c r="R42" i="97"/>
  <c r="Q42" i="97"/>
  <c r="P42" i="97"/>
  <c r="O42" i="97"/>
  <c r="N42" i="97"/>
  <c r="L42" i="97"/>
  <c r="M42" i="97" s="1"/>
  <c r="K42" i="97"/>
  <c r="J42" i="97"/>
  <c r="I42" i="97"/>
  <c r="H42" i="97"/>
  <c r="G42" i="97"/>
  <c r="F42" i="97"/>
  <c r="E42" i="97"/>
  <c r="D42" i="97"/>
  <c r="C42" i="97"/>
  <c r="X41" i="97"/>
  <c r="W41" i="97"/>
  <c r="T41" i="97"/>
  <c r="U41" i="97" s="1"/>
  <c r="S41" i="97"/>
  <c r="R41" i="97"/>
  <c r="Q41" i="97"/>
  <c r="P41" i="97"/>
  <c r="O41" i="97"/>
  <c r="N41" i="97"/>
  <c r="L41" i="97"/>
  <c r="M41" i="97" s="1"/>
  <c r="K41" i="97"/>
  <c r="J41" i="97"/>
  <c r="I41" i="97"/>
  <c r="H41" i="97"/>
  <c r="G41" i="97"/>
  <c r="F41" i="97"/>
  <c r="E41" i="97"/>
  <c r="D41" i="97"/>
  <c r="C41" i="97"/>
  <c r="X40" i="97"/>
  <c r="W40" i="97"/>
  <c r="T40" i="97"/>
  <c r="U40" i="97" s="1"/>
  <c r="S40" i="97"/>
  <c r="R40" i="97"/>
  <c r="Q40" i="97"/>
  <c r="P40" i="97"/>
  <c r="O40" i="97"/>
  <c r="N40" i="97"/>
  <c r="L40" i="97"/>
  <c r="M40" i="97" s="1"/>
  <c r="K40" i="97"/>
  <c r="J40" i="97"/>
  <c r="I40" i="97"/>
  <c r="H40" i="97"/>
  <c r="G40" i="97"/>
  <c r="F40" i="97"/>
  <c r="E40" i="97"/>
  <c r="D40" i="97"/>
  <c r="C40" i="97"/>
  <c r="X39" i="97"/>
  <c r="W39" i="97"/>
  <c r="T39" i="97"/>
  <c r="U39" i="97" s="1"/>
  <c r="S39" i="97"/>
  <c r="R39" i="97"/>
  <c r="Q39" i="97"/>
  <c r="P39" i="97"/>
  <c r="O39" i="97"/>
  <c r="N39" i="97"/>
  <c r="L39" i="97"/>
  <c r="M39" i="97" s="1"/>
  <c r="K39" i="97"/>
  <c r="J39" i="97"/>
  <c r="I39" i="97"/>
  <c r="H39" i="97"/>
  <c r="G39" i="97"/>
  <c r="F39" i="97"/>
  <c r="E39" i="97"/>
  <c r="D39" i="97"/>
  <c r="C39" i="97"/>
  <c r="X38" i="97"/>
  <c r="W38" i="97"/>
  <c r="T38" i="97"/>
  <c r="U38" i="97" s="1"/>
  <c r="S38" i="97"/>
  <c r="R38" i="97"/>
  <c r="Q38" i="97"/>
  <c r="P38" i="97"/>
  <c r="O38" i="97"/>
  <c r="N38" i="97"/>
  <c r="L38" i="97"/>
  <c r="M38" i="97" s="1"/>
  <c r="K38" i="97"/>
  <c r="J38" i="97"/>
  <c r="I38" i="97"/>
  <c r="H38" i="97"/>
  <c r="G38" i="97"/>
  <c r="F38" i="97"/>
  <c r="E38" i="97"/>
  <c r="D38" i="97"/>
  <c r="C38" i="97"/>
  <c r="X37" i="97"/>
  <c r="T37" i="97"/>
  <c r="S37" i="97"/>
  <c r="R37" i="97"/>
  <c r="Q37" i="97"/>
  <c r="P37" i="97"/>
  <c r="O37" i="97"/>
  <c r="N37" i="97"/>
  <c r="L37" i="97"/>
  <c r="M37" i="97" s="1"/>
  <c r="K37" i="97"/>
  <c r="J37" i="97"/>
  <c r="I37" i="97"/>
  <c r="H37" i="97"/>
  <c r="G37" i="97"/>
  <c r="F37" i="97"/>
  <c r="E37" i="97"/>
  <c r="D37" i="97"/>
  <c r="C37" i="97"/>
  <c r="X36" i="97"/>
  <c r="T36" i="97"/>
  <c r="U36" i="97" s="1"/>
  <c r="S36" i="97"/>
  <c r="R36" i="97"/>
  <c r="Q36" i="97"/>
  <c r="P36" i="97"/>
  <c r="O36" i="97"/>
  <c r="N36" i="97"/>
  <c r="L36" i="97"/>
  <c r="M36" i="97" s="1"/>
  <c r="K36" i="97"/>
  <c r="J36" i="97"/>
  <c r="I36" i="97"/>
  <c r="H36" i="97"/>
  <c r="G36" i="97"/>
  <c r="F36" i="97"/>
  <c r="E36" i="97"/>
  <c r="D36" i="97"/>
  <c r="C36" i="97"/>
  <c r="X35" i="97"/>
  <c r="U35" i="97"/>
  <c r="T35" i="97"/>
  <c r="S35" i="97"/>
  <c r="R35" i="97"/>
  <c r="Q35" i="97"/>
  <c r="P35" i="97"/>
  <c r="O35" i="97"/>
  <c r="N35" i="97"/>
  <c r="M35" i="97"/>
  <c r="L35" i="97"/>
  <c r="K35" i="97"/>
  <c r="J35" i="97"/>
  <c r="I35" i="97"/>
  <c r="H35" i="97"/>
  <c r="G35" i="97"/>
  <c r="F35" i="97"/>
  <c r="E35" i="97"/>
  <c r="D35" i="97"/>
  <c r="C35" i="97"/>
  <c r="X34" i="97"/>
  <c r="T34" i="97"/>
  <c r="U34" i="97" s="1"/>
  <c r="S34" i="97"/>
  <c r="R34" i="97"/>
  <c r="Q34" i="97"/>
  <c r="P34" i="97"/>
  <c r="O34" i="97"/>
  <c r="N34" i="97"/>
  <c r="L34" i="97"/>
  <c r="M34" i="97" s="1"/>
  <c r="K34" i="97"/>
  <c r="J34" i="97"/>
  <c r="I34" i="97"/>
  <c r="H34" i="97"/>
  <c r="G34" i="97"/>
  <c r="F34" i="97"/>
  <c r="E34" i="97"/>
  <c r="D34" i="97"/>
  <c r="C34" i="97"/>
  <c r="A34" i="97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A45" i="97" s="1"/>
  <c r="A46" i="97" s="1"/>
  <c r="A47" i="97" s="1"/>
  <c r="A48" i="97" s="1"/>
  <c r="A49" i="97" s="1"/>
  <c r="A50" i="97" s="1"/>
  <c r="X33" i="97"/>
  <c r="T33" i="97"/>
  <c r="S33" i="97"/>
  <c r="R33" i="97"/>
  <c r="Q33" i="97"/>
  <c r="P33" i="97"/>
  <c r="O33" i="97"/>
  <c r="N33" i="97"/>
  <c r="L33" i="97"/>
  <c r="M33" i="97" s="1"/>
  <c r="K33" i="97"/>
  <c r="J33" i="97"/>
  <c r="I33" i="97"/>
  <c r="H33" i="97"/>
  <c r="G33" i="97"/>
  <c r="F33" i="97"/>
  <c r="E33" i="97"/>
  <c r="D33" i="97"/>
  <c r="C33" i="97"/>
  <c r="A33" i="97"/>
  <c r="X32" i="97"/>
  <c r="T32" i="97"/>
  <c r="U32" i="97" s="1"/>
  <c r="S32" i="97"/>
  <c r="R32" i="97"/>
  <c r="Q32" i="97"/>
  <c r="P32" i="97"/>
  <c r="O32" i="97"/>
  <c r="N32" i="97"/>
  <c r="L32" i="97"/>
  <c r="M32" i="97" s="1"/>
  <c r="K32" i="97"/>
  <c r="J32" i="97"/>
  <c r="I32" i="97"/>
  <c r="H32" i="97"/>
  <c r="G32" i="97"/>
  <c r="F32" i="97"/>
  <c r="E32" i="97"/>
  <c r="D32" i="97"/>
  <c r="C32" i="97"/>
  <c r="X31" i="97"/>
  <c r="T31" i="97"/>
  <c r="S31" i="97"/>
  <c r="R31" i="97"/>
  <c r="Q31" i="97"/>
  <c r="P31" i="97"/>
  <c r="O31" i="97"/>
  <c r="N31" i="97"/>
  <c r="L31" i="97"/>
  <c r="M31" i="97" s="1"/>
  <c r="K31" i="97"/>
  <c r="J31" i="97"/>
  <c r="I31" i="97"/>
  <c r="H31" i="97"/>
  <c r="G31" i="97"/>
  <c r="F31" i="97"/>
  <c r="E31" i="97"/>
  <c r="D31" i="97"/>
  <c r="C31" i="97"/>
  <c r="X30" i="97"/>
  <c r="T30" i="97"/>
  <c r="U30" i="97" s="1"/>
  <c r="S30" i="97"/>
  <c r="R30" i="97"/>
  <c r="Q30" i="97"/>
  <c r="P30" i="97"/>
  <c r="O30" i="97"/>
  <c r="N30" i="97"/>
  <c r="L30" i="97"/>
  <c r="M30" i="97" s="1"/>
  <c r="K30" i="97"/>
  <c r="J30" i="97"/>
  <c r="I30" i="97"/>
  <c r="H30" i="97"/>
  <c r="G30" i="97"/>
  <c r="F30" i="97"/>
  <c r="E30" i="97"/>
  <c r="D30" i="97"/>
  <c r="C30" i="97"/>
  <c r="X29" i="97"/>
  <c r="T29" i="97"/>
  <c r="S29" i="97"/>
  <c r="R29" i="97"/>
  <c r="Q29" i="97"/>
  <c r="P29" i="97"/>
  <c r="O29" i="97"/>
  <c r="N29" i="97"/>
  <c r="L29" i="97"/>
  <c r="M29" i="97" s="1"/>
  <c r="K29" i="97"/>
  <c r="J29" i="97"/>
  <c r="I29" i="97"/>
  <c r="H29" i="97"/>
  <c r="G29" i="97"/>
  <c r="F29" i="97"/>
  <c r="E29" i="97"/>
  <c r="D29" i="97"/>
  <c r="C29" i="97"/>
  <c r="X28" i="97"/>
  <c r="T28" i="97"/>
  <c r="U28" i="97" s="1"/>
  <c r="S28" i="97"/>
  <c r="R28" i="97"/>
  <c r="Q28" i="97"/>
  <c r="P28" i="97"/>
  <c r="O28" i="97"/>
  <c r="N28" i="97"/>
  <c r="L28" i="97"/>
  <c r="M28" i="97" s="1"/>
  <c r="K28" i="97"/>
  <c r="J28" i="97"/>
  <c r="I28" i="97"/>
  <c r="H28" i="97"/>
  <c r="G28" i="97"/>
  <c r="F28" i="97"/>
  <c r="E28" i="97"/>
  <c r="D28" i="97"/>
  <c r="C28" i="97"/>
  <c r="X27" i="97"/>
  <c r="T27" i="97"/>
  <c r="S27" i="97"/>
  <c r="R27" i="97"/>
  <c r="Q27" i="97"/>
  <c r="P27" i="97"/>
  <c r="O27" i="97"/>
  <c r="N27" i="97"/>
  <c r="L27" i="97"/>
  <c r="M27" i="97" s="1"/>
  <c r="K27" i="97"/>
  <c r="J27" i="97"/>
  <c r="I27" i="97"/>
  <c r="H27" i="97"/>
  <c r="G27" i="97"/>
  <c r="F27" i="97"/>
  <c r="E27" i="97"/>
  <c r="D27" i="97"/>
  <c r="C27" i="97"/>
  <c r="X26" i="97"/>
  <c r="T26" i="97"/>
  <c r="U26" i="97" s="1"/>
  <c r="S26" i="97"/>
  <c r="R26" i="97"/>
  <c r="Q26" i="97"/>
  <c r="P26" i="97"/>
  <c r="O26" i="97"/>
  <c r="N26" i="97"/>
  <c r="L26" i="97"/>
  <c r="M26" i="97" s="1"/>
  <c r="K26" i="97"/>
  <c r="J26" i="97"/>
  <c r="I26" i="97"/>
  <c r="H26" i="97"/>
  <c r="G26" i="97"/>
  <c r="F26" i="97"/>
  <c r="E26" i="97"/>
  <c r="D26" i="97"/>
  <c r="C26" i="97"/>
  <c r="X25" i="97"/>
  <c r="T25" i="97"/>
  <c r="S25" i="97"/>
  <c r="R25" i="97"/>
  <c r="Q25" i="97"/>
  <c r="P25" i="97"/>
  <c r="O25" i="97"/>
  <c r="N25" i="97"/>
  <c r="L25" i="97"/>
  <c r="M25" i="97" s="1"/>
  <c r="K25" i="97"/>
  <c r="J25" i="97"/>
  <c r="I25" i="97"/>
  <c r="H25" i="97"/>
  <c r="G25" i="97"/>
  <c r="F25" i="97"/>
  <c r="E25" i="97"/>
  <c r="D25" i="97"/>
  <c r="C25" i="97"/>
  <c r="X24" i="97"/>
  <c r="T24" i="97"/>
  <c r="U24" i="97" s="1"/>
  <c r="S24" i="97"/>
  <c r="R24" i="97"/>
  <c r="Q24" i="97"/>
  <c r="P24" i="97"/>
  <c r="O24" i="97"/>
  <c r="N24" i="97"/>
  <c r="L24" i="97"/>
  <c r="M24" i="97" s="1"/>
  <c r="K24" i="97"/>
  <c r="J24" i="97"/>
  <c r="I24" i="97"/>
  <c r="H24" i="97"/>
  <c r="G24" i="97"/>
  <c r="F24" i="97"/>
  <c r="E24" i="97"/>
  <c r="D24" i="97"/>
  <c r="C24" i="97"/>
  <c r="X23" i="97"/>
  <c r="T23" i="97"/>
  <c r="S23" i="97"/>
  <c r="R23" i="97"/>
  <c r="Q23" i="97"/>
  <c r="P23" i="97"/>
  <c r="O23" i="97"/>
  <c r="N23" i="97"/>
  <c r="L23" i="97"/>
  <c r="M23" i="97" s="1"/>
  <c r="K23" i="97"/>
  <c r="J23" i="97"/>
  <c r="I23" i="97"/>
  <c r="H23" i="97"/>
  <c r="G23" i="97"/>
  <c r="F23" i="97"/>
  <c r="E23" i="97"/>
  <c r="D23" i="97"/>
  <c r="C23" i="97"/>
  <c r="X22" i="97"/>
  <c r="T22" i="97"/>
  <c r="S22" i="97"/>
  <c r="R22" i="97"/>
  <c r="Q22" i="97"/>
  <c r="P22" i="97"/>
  <c r="O22" i="97"/>
  <c r="N22" i="97"/>
  <c r="L22" i="97"/>
  <c r="M22" i="97" s="1"/>
  <c r="K22" i="97"/>
  <c r="J22" i="97"/>
  <c r="I22" i="97"/>
  <c r="H22" i="97"/>
  <c r="G22" i="97"/>
  <c r="F22" i="97"/>
  <c r="E22" i="97"/>
  <c r="D22" i="97"/>
  <c r="C22" i="97"/>
  <c r="X21" i="97"/>
  <c r="T21" i="97"/>
  <c r="W21" i="97" s="1"/>
  <c r="S21" i="97"/>
  <c r="R21" i="97"/>
  <c r="Q21" i="97"/>
  <c r="P21" i="97"/>
  <c r="O21" i="97"/>
  <c r="N21" i="97"/>
  <c r="L21" i="97"/>
  <c r="M21" i="97" s="1"/>
  <c r="K21" i="97"/>
  <c r="J21" i="97"/>
  <c r="I21" i="97"/>
  <c r="H21" i="97"/>
  <c r="G21" i="97"/>
  <c r="F21" i="97"/>
  <c r="E21" i="97"/>
  <c r="D21" i="97"/>
  <c r="C21" i="97"/>
  <c r="X20" i="97"/>
  <c r="T20" i="97"/>
  <c r="W20" i="97" s="1"/>
  <c r="S20" i="97"/>
  <c r="R20" i="97"/>
  <c r="Q20" i="97"/>
  <c r="P20" i="97"/>
  <c r="O20" i="97"/>
  <c r="N20" i="97"/>
  <c r="L20" i="97"/>
  <c r="M20" i="97" s="1"/>
  <c r="K20" i="97"/>
  <c r="J20" i="97"/>
  <c r="I20" i="97"/>
  <c r="H20" i="97"/>
  <c r="G20" i="97"/>
  <c r="F20" i="97"/>
  <c r="E20" i="97"/>
  <c r="D20" i="97"/>
  <c r="C20" i="97"/>
  <c r="X19" i="97"/>
  <c r="T19" i="97"/>
  <c r="W19" i="97" s="1"/>
  <c r="S19" i="97"/>
  <c r="R19" i="97"/>
  <c r="Q19" i="97"/>
  <c r="P19" i="97"/>
  <c r="O19" i="97"/>
  <c r="N19" i="97"/>
  <c r="L19" i="97"/>
  <c r="M19" i="97" s="1"/>
  <c r="K19" i="97"/>
  <c r="J19" i="97"/>
  <c r="I19" i="97"/>
  <c r="H19" i="97"/>
  <c r="G19" i="97"/>
  <c r="F19" i="97"/>
  <c r="E19" i="97"/>
  <c r="D19" i="97"/>
  <c r="C19" i="97"/>
  <c r="X18" i="97"/>
  <c r="T18" i="97"/>
  <c r="P18" i="97"/>
  <c r="O18" i="97"/>
  <c r="N18" i="97"/>
  <c r="L18" i="97"/>
  <c r="M18" i="97" s="1"/>
  <c r="K18" i="97"/>
  <c r="J18" i="97"/>
  <c r="I18" i="97"/>
  <c r="H18" i="97"/>
  <c r="G18" i="97"/>
  <c r="F18" i="97"/>
  <c r="E18" i="97"/>
  <c r="D18" i="97"/>
  <c r="C18" i="97"/>
  <c r="X17" i="97"/>
  <c r="T17" i="97"/>
  <c r="O17" i="97"/>
  <c r="N17" i="97"/>
  <c r="M17" i="97"/>
  <c r="L17" i="97"/>
  <c r="K17" i="97"/>
  <c r="J17" i="97"/>
  <c r="I17" i="97"/>
  <c r="H17" i="97"/>
  <c r="G17" i="97"/>
  <c r="F17" i="97"/>
  <c r="D17" i="97"/>
  <c r="C17" i="97"/>
  <c r="X16" i="97"/>
  <c r="T16" i="97"/>
  <c r="O16" i="97"/>
  <c r="N16" i="97"/>
  <c r="L16" i="97"/>
  <c r="M16" i="97" s="1"/>
  <c r="K16" i="97"/>
  <c r="J16" i="97"/>
  <c r="I16" i="97"/>
  <c r="H16" i="97"/>
  <c r="G16" i="97"/>
  <c r="F16" i="97"/>
  <c r="D16" i="97"/>
  <c r="C16" i="97"/>
  <c r="X15" i="97"/>
  <c r="T15" i="97"/>
  <c r="O15" i="97"/>
  <c r="N15" i="97"/>
  <c r="M15" i="97"/>
  <c r="L15" i="97"/>
  <c r="K15" i="97"/>
  <c r="J15" i="97"/>
  <c r="I15" i="97"/>
  <c r="H15" i="97"/>
  <c r="G15" i="97"/>
  <c r="F15" i="97"/>
  <c r="D15" i="97"/>
  <c r="C15" i="97"/>
  <c r="X14" i="97"/>
  <c r="T14" i="97"/>
  <c r="O14" i="97"/>
  <c r="N14" i="97"/>
  <c r="L14" i="97"/>
  <c r="M14" i="97" s="1"/>
  <c r="K14" i="97"/>
  <c r="J14" i="97"/>
  <c r="I14" i="97"/>
  <c r="H14" i="97"/>
  <c r="G14" i="97"/>
  <c r="F14" i="97"/>
  <c r="D14" i="97"/>
  <c r="C14" i="97"/>
  <c r="X13" i="97"/>
  <c r="T13" i="97"/>
  <c r="O13" i="97"/>
  <c r="N13" i="97"/>
  <c r="M13" i="97"/>
  <c r="L13" i="97"/>
  <c r="K13" i="97"/>
  <c r="J13" i="97"/>
  <c r="I13" i="97"/>
  <c r="H13" i="97"/>
  <c r="G13" i="97"/>
  <c r="F13" i="97"/>
  <c r="D13" i="97"/>
  <c r="C13" i="97"/>
  <c r="X12" i="97"/>
  <c r="T12" i="97"/>
  <c r="T3" i="97" s="1"/>
  <c r="S12" i="97"/>
  <c r="S3" i="97" s="1"/>
  <c r="S4" i="97" s="1"/>
  <c r="S5" i="97" s="1"/>
  <c r="S6" i="97" s="1"/>
  <c r="S7" i="97" s="1"/>
  <c r="S8" i="97" s="1"/>
  <c r="S9" i="97" s="1"/>
  <c r="S10" i="97" s="1"/>
  <c r="S11" i="97" s="1"/>
  <c r="R12" i="97"/>
  <c r="Q12" i="97"/>
  <c r="P12" i="97"/>
  <c r="O12" i="97"/>
  <c r="O3" i="97" s="1"/>
  <c r="O4" i="97" s="1"/>
  <c r="O5" i="97" s="1"/>
  <c r="O6" i="97" s="1"/>
  <c r="O7" i="97" s="1"/>
  <c r="O8" i="97" s="1"/>
  <c r="O9" i="97" s="1"/>
  <c r="O10" i="97" s="1"/>
  <c r="O11" i="97" s="1"/>
  <c r="N12" i="97"/>
  <c r="L12" i="97"/>
  <c r="M12" i="97" s="1"/>
  <c r="M3" i="97" s="1"/>
  <c r="M4" i="97" s="1"/>
  <c r="M5" i="97" s="1"/>
  <c r="M6" i="97" s="1"/>
  <c r="M7" i="97" s="1"/>
  <c r="M8" i="97" s="1"/>
  <c r="M9" i="97" s="1"/>
  <c r="M10" i="97" s="1"/>
  <c r="M11" i="97" s="1"/>
  <c r="K12" i="97"/>
  <c r="K3" i="97" s="1"/>
  <c r="K4" i="97" s="1"/>
  <c r="K5" i="97" s="1"/>
  <c r="K6" i="97" s="1"/>
  <c r="K7" i="97" s="1"/>
  <c r="K8" i="97" s="1"/>
  <c r="K9" i="97" s="1"/>
  <c r="K10" i="97" s="1"/>
  <c r="K11" i="97" s="1"/>
  <c r="J12" i="97"/>
  <c r="I12" i="97"/>
  <c r="H12" i="97"/>
  <c r="G12" i="97"/>
  <c r="G3" i="97" s="1"/>
  <c r="G4" i="97" s="1"/>
  <c r="G5" i="97" s="1"/>
  <c r="G6" i="97" s="1"/>
  <c r="G7" i="97" s="1"/>
  <c r="G8" i="97" s="1"/>
  <c r="G9" i="97" s="1"/>
  <c r="G10" i="97" s="1"/>
  <c r="G11" i="97" s="1"/>
  <c r="F12" i="97"/>
  <c r="E12" i="97"/>
  <c r="D12" i="97"/>
  <c r="C12" i="97"/>
  <c r="C3" i="97" s="1"/>
  <c r="C4" i="97" s="1"/>
  <c r="C5" i="97" s="1"/>
  <c r="C6" i="97" s="1"/>
  <c r="C7" i="97" s="1"/>
  <c r="C8" i="97" s="1"/>
  <c r="C9" i="97" s="1"/>
  <c r="C10" i="97" s="1"/>
  <c r="C11" i="97" s="1"/>
  <c r="R5" i="97"/>
  <c r="R6" i="97" s="1"/>
  <c r="R7" i="97" s="1"/>
  <c r="R8" i="97" s="1"/>
  <c r="R9" i="97" s="1"/>
  <c r="R10" i="97" s="1"/>
  <c r="R11" i="97" s="1"/>
  <c r="T4" i="97"/>
  <c r="T5" i="97" s="1"/>
  <c r="T6" i="97" s="1"/>
  <c r="T7" i="97" s="1"/>
  <c r="T8" i="97" s="1"/>
  <c r="T9" i="97" s="1"/>
  <c r="T10" i="97" s="1"/>
  <c r="T11" i="97" s="1"/>
  <c r="D4" i="97"/>
  <c r="D5" i="97" s="1"/>
  <c r="D6" i="97" s="1"/>
  <c r="D7" i="97" s="1"/>
  <c r="D8" i="97" s="1"/>
  <c r="D9" i="97" s="1"/>
  <c r="D10" i="97" s="1"/>
  <c r="D11" i="97" s="1"/>
  <c r="R3" i="97"/>
  <c r="R4" i="97" s="1"/>
  <c r="Q3" i="97"/>
  <c r="Q4" i="97" s="1"/>
  <c r="Q5" i="97" s="1"/>
  <c r="Q6" i="97" s="1"/>
  <c r="Q7" i="97" s="1"/>
  <c r="Q8" i="97" s="1"/>
  <c r="Q9" i="97" s="1"/>
  <c r="Q10" i="97" s="1"/>
  <c r="Q11" i="97" s="1"/>
  <c r="P3" i="97"/>
  <c r="P4" i="97" s="1"/>
  <c r="P5" i="97" s="1"/>
  <c r="P6" i="97" s="1"/>
  <c r="P7" i="97" s="1"/>
  <c r="P8" i="97" s="1"/>
  <c r="P9" i="97" s="1"/>
  <c r="P10" i="97" s="1"/>
  <c r="P11" i="97" s="1"/>
  <c r="N3" i="97"/>
  <c r="N4" i="97" s="1"/>
  <c r="N5" i="97" s="1"/>
  <c r="N6" i="97" s="1"/>
  <c r="N7" i="97" s="1"/>
  <c r="N8" i="97" s="1"/>
  <c r="N9" i="97" s="1"/>
  <c r="N10" i="97" s="1"/>
  <c r="N11" i="97" s="1"/>
  <c r="L3" i="97"/>
  <c r="L4" i="97" s="1"/>
  <c r="L5" i="97" s="1"/>
  <c r="L6" i="97" s="1"/>
  <c r="L7" i="97" s="1"/>
  <c r="L8" i="97" s="1"/>
  <c r="L9" i="97" s="1"/>
  <c r="L10" i="97" s="1"/>
  <c r="L11" i="97" s="1"/>
  <c r="J3" i="97"/>
  <c r="J4" i="97" s="1"/>
  <c r="J5" i="97" s="1"/>
  <c r="J6" i="97" s="1"/>
  <c r="J7" i="97" s="1"/>
  <c r="J8" i="97" s="1"/>
  <c r="J9" i="97" s="1"/>
  <c r="J10" i="97" s="1"/>
  <c r="J11" i="97" s="1"/>
  <c r="I3" i="97"/>
  <c r="I4" i="97" s="1"/>
  <c r="I5" i="97" s="1"/>
  <c r="I6" i="97" s="1"/>
  <c r="I7" i="97" s="1"/>
  <c r="I8" i="97" s="1"/>
  <c r="I9" i="97" s="1"/>
  <c r="I10" i="97" s="1"/>
  <c r="I11" i="97" s="1"/>
  <c r="H3" i="97"/>
  <c r="H4" i="97" s="1"/>
  <c r="H5" i="97" s="1"/>
  <c r="H6" i="97" s="1"/>
  <c r="H7" i="97" s="1"/>
  <c r="H8" i="97" s="1"/>
  <c r="H9" i="97" s="1"/>
  <c r="H10" i="97" s="1"/>
  <c r="H11" i="97" s="1"/>
  <c r="F3" i="97"/>
  <c r="F4" i="97" s="1"/>
  <c r="F5" i="97" s="1"/>
  <c r="F6" i="97" s="1"/>
  <c r="F7" i="97" s="1"/>
  <c r="F8" i="97" s="1"/>
  <c r="F9" i="97" s="1"/>
  <c r="F10" i="97" s="1"/>
  <c r="F11" i="97" s="1"/>
  <c r="E3" i="97"/>
  <c r="E4" i="97" s="1"/>
  <c r="E5" i="97" s="1"/>
  <c r="E6" i="97" s="1"/>
  <c r="E7" i="97" s="1"/>
  <c r="E8" i="97" s="1"/>
  <c r="E9" i="97" s="1"/>
  <c r="E10" i="97" s="1"/>
  <c r="E11" i="97" s="1"/>
  <c r="D3" i="97"/>
  <c r="AJ43" i="95"/>
  <c r="AJ44" i="95" s="1"/>
  <c r="AJ45" i="95" s="1"/>
  <c r="AJ46" i="95" s="1"/>
  <c r="AJ47" i="95" s="1"/>
  <c r="AJ48" i="95" s="1"/>
  <c r="AJ49" i="95" s="1"/>
  <c r="AJ50" i="95" s="1"/>
  <c r="AI43" i="95"/>
  <c r="AI44" i="95" s="1"/>
  <c r="AI45" i="95" s="1"/>
  <c r="AI46" i="95" s="1"/>
  <c r="AI47" i="95" s="1"/>
  <c r="AI48" i="95" s="1"/>
  <c r="AI49" i="95" s="1"/>
  <c r="AI50" i="95" s="1"/>
  <c r="AH43" i="95"/>
  <c r="AH42" i="95"/>
  <c r="AG42" i="95"/>
  <c r="W42" i="95"/>
  <c r="N42" i="95"/>
  <c r="N43" i="95" s="1"/>
  <c r="N44" i="95" s="1"/>
  <c r="N45" i="95" s="1"/>
  <c r="N46" i="95" s="1"/>
  <c r="N47" i="95" s="1"/>
  <c r="N48" i="95" s="1"/>
  <c r="N49" i="95" s="1"/>
  <c r="N50" i="95" s="1"/>
  <c r="AH41" i="95"/>
  <c r="AG41" i="95"/>
  <c r="W41" i="95"/>
  <c r="N41" i="95"/>
  <c r="AH40" i="95"/>
  <c r="AG40" i="95"/>
  <c r="W40" i="95"/>
  <c r="N40" i="95"/>
  <c r="AH39" i="95"/>
  <c r="AG39" i="95"/>
  <c r="W39" i="95"/>
  <c r="N39" i="95"/>
  <c r="AH38" i="95"/>
  <c r="AG38" i="95"/>
  <c r="W38" i="95"/>
  <c r="N38" i="95"/>
  <c r="AH37" i="95"/>
  <c r="AG37" i="95"/>
  <c r="W37" i="95"/>
  <c r="N37" i="95"/>
  <c r="AH36" i="95"/>
  <c r="AG36" i="95"/>
  <c r="W36" i="95"/>
  <c r="N36" i="95"/>
  <c r="AH35" i="95"/>
  <c r="AG35" i="95"/>
  <c r="W35" i="95"/>
  <c r="N35" i="95"/>
  <c r="AH34" i="95"/>
  <c r="AG34" i="95"/>
  <c r="W34" i="95"/>
  <c r="N34" i="95"/>
  <c r="A34" i="95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A45" i="95" s="1"/>
  <c r="A46" i="95" s="1"/>
  <c r="A47" i="95" s="1"/>
  <c r="A48" i="95" s="1"/>
  <c r="A49" i="95" s="1"/>
  <c r="A50" i="95" s="1"/>
  <c r="AH33" i="95"/>
  <c r="AG33" i="95"/>
  <c r="W33" i="95"/>
  <c r="N33" i="95"/>
  <c r="A33" i="95"/>
  <c r="AH32" i="95"/>
  <c r="AG32" i="95"/>
  <c r="W32" i="95"/>
  <c r="N32" i="95"/>
  <c r="AH31" i="95"/>
  <c r="AG31" i="95"/>
  <c r="W31" i="95"/>
  <c r="N31" i="95"/>
  <c r="AH30" i="95"/>
  <c r="AG30" i="95"/>
  <c r="W30" i="95"/>
  <c r="N30" i="95"/>
  <c r="AH29" i="95"/>
  <c r="AG29" i="95"/>
  <c r="W29" i="95"/>
  <c r="N29" i="95"/>
  <c r="AH28" i="95"/>
  <c r="AG28" i="95"/>
  <c r="W28" i="95"/>
  <c r="N28" i="95"/>
  <c r="AH27" i="95"/>
  <c r="AG27" i="95"/>
  <c r="W27" i="95"/>
  <c r="N27" i="95"/>
  <c r="AH26" i="95"/>
  <c r="AG26" i="95"/>
  <c r="W26" i="95"/>
  <c r="N26" i="95"/>
  <c r="AH25" i="95"/>
  <c r="AG25" i="95"/>
  <c r="W25" i="95"/>
  <c r="N25" i="95"/>
  <c r="AH24" i="95"/>
  <c r="AG24" i="95"/>
  <c r="W24" i="95"/>
  <c r="N24" i="95"/>
  <c r="AH23" i="95"/>
  <c r="AG23" i="95"/>
  <c r="W23" i="95"/>
  <c r="N23" i="95"/>
  <c r="AH22" i="95"/>
  <c r="AG22" i="95"/>
  <c r="W22" i="95"/>
  <c r="N22" i="95"/>
  <c r="AH21" i="95"/>
  <c r="AG21" i="95"/>
  <c r="W21" i="95"/>
  <c r="N21" i="95"/>
  <c r="AH20" i="95"/>
  <c r="AG20" i="95"/>
  <c r="W20" i="95"/>
  <c r="N20" i="95"/>
  <c r="AH19" i="95"/>
  <c r="AG19" i="95"/>
  <c r="W19" i="95"/>
  <c r="N19" i="95"/>
  <c r="L19" i="95"/>
  <c r="L20" i="95" s="1"/>
  <c r="L21" i="95" s="1"/>
  <c r="L22" i="95" s="1"/>
  <c r="L23" i="95" s="1"/>
  <c r="L24" i="95" s="1"/>
  <c r="H19" i="95"/>
  <c r="H20" i="95" s="1"/>
  <c r="H21" i="95" s="1"/>
  <c r="H22" i="95" s="1"/>
  <c r="H23" i="95" s="1"/>
  <c r="H24" i="95" s="1"/>
  <c r="H25" i="95" s="1"/>
  <c r="H26" i="95" s="1"/>
  <c r="H27" i="95" s="1"/>
  <c r="H28" i="95" s="1"/>
  <c r="H29" i="95" s="1"/>
  <c r="H30" i="95" s="1"/>
  <c r="H31" i="95" s="1"/>
  <c r="H32" i="95" s="1"/>
  <c r="H33" i="95" s="1"/>
  <c r="H34" i="95" s="1"/>
  <c r="H35" i="95" s="1"/>
  <c r="H36" i="95" s="1"/>
  <c r="H37" i="95" s="1"/>
  <c r="H38" i="95" s="1"/>
  <c r="H39" i="95" s="1"/>
  <c r="H40" i="95" s="1"/>
  <c r="H41" i="95" s="1"/>
  <c r="H42" i="95" s="1"/>
  <c r="H43" i="95" s="1"/>
  <c r="H44" i="95" s="1"/>
  <c r="H45" i="95" s="1"/>
  <c r="H46" i="95" s="1"/>
  <c r="H47" i="95" s="1"/>
  <c r="H48" i="95" s="1"/>
  <c r="H49" i="95" s="1"/>
  <c r="H50" i="95" s="1"/>
  <c r="AH18" i="95"/>
  <c r="AG18" i="95"/>
  <c r="W18" i="95"/>
  <c r="N18" i="95"/>
  <c r="L18" i="95"/>
  <c r="H18" i="95"/>
  <c r="BK17" i="95"/>
  <c r="BI17" i="95"/>
  <c r="BG17" i="95"/>
  <c r="BE17" i="95"/>
  <c r="BD15" i="95" s="1"/>
  <c r="BD16" i="95" s="1"/>
  <c r="Y16" i="95" s="1"/>
  <c r="BC17" i="95"/>
  <c r="BA17" i="95"/>
  <c r="AY17" i="95"/>
  <c r="AW17" i="95"/>
  <c r="AV15" i="95" s="1"/>
  <c r="AV16" i="95" s="1"/>
  <c r="P16" i="95" s="1"/>
  <c r="AU17" i="95"/>
  <c r="AS17" i="95"/>
  <c r="AO17" i="95"/>
  <c r="AN17" i="95"/>
  <c r="AM17" i="95"/>
  <c r="AH17" i="95"/>
  <c r="AG17" i="95"/>
  <c r="AE17" i="95"/>
  <c r="AE18" i="95" s="1"/>
  <c r="AE19" i="95" s="1"/>
  <c r="AE20" i="95" s="1"/>
  <c r="AE21" i="95" s="1"/>
  <c r="AE22" i="95" s="1"/>
  <c r="AE23" i="95" s="1"/>
  <c r="AC17" i="95"/>
  <c r="AC18" i="95" s="1"/>
  <c r="AC19" i="95" s="1"/>
  <c r="AC20" i="95" s="1"/>
  <c r="AC21" i="95" s="1"/>
  <c r="AC22" i="95" s="1"/>
  <c r="AC23" i="95" s="1"/>
  <c r="AA17" i="95"/>
  <c r="Y17" i="95"/>
  <c r="Y18" i="95" s="1"/>
  <c r="Y19" i="95" s="1"/>
  <c r="Y20" i="95" s="1"/>
  <c r="W17" i="95"/>
  <c r="T17" i="95"/>
  <c r="T18" i="95" s="1"/>
  <c r="T19" i="95" s="1"/>
  <c r="R17" i="95"/>
  <c r="R18" i="95" s="1"/>
  <c r="R19" i="95" s="1"/>
  <c r="R20" i="95" s="1"/>
  <c r="R21" i="95" s="1"/>
  <c r="R22" i="95" s="1"/>
  <c r="R23" i="95" s="1"/>
  <c r="P17" i="95"/>
  <c r="P18" i="95" s="1"/>
  <c r="P19" i="95" s="1"/>
  <c r="P20" i="95" s="1"/>
  <c r="P21" i="95" s="1"/>
  <c r="P22" i="95" s="1"/>
  <c r="P23" i="95" s="1"/>
  <c r="P24" i="95" s="1"/>
  <c r="P25" i="95" s="1"/>
  <c r="P26" i="95" s="1"/>
  <c r="P27" i="95" s="1"/>
  <c r="P28" i="95" s="1"/>
  <c r="P29" i="95" s="1"/>
  <c r="P30" i="95" s="1"/>
  <c r="P31" i="95" s="1"/>
  <c r="P32" i="95" s="1"/>
  <c r="P33" i="95" s="1"/>
  <c r="P34" i="95" s="1"/>
  <c r="P35" i="95" s="1"/>
  <c r="P36" i="95" s="1"/>
  <c r="P37" i="95" s="1"/>
  <c r="P38" i="95" s="1"/>
  <c r="P39" i="95" s="1"/>
  <c r="P40" i="95" s="1"/>
  <c r="P41" i="95" s="1"/>
  <c r="P42" i="95" s="1"/>
  <c r="P43" i="95" s="1"/>
  <c r="P44" i="95" s="1"/>
  <c r="P45" i="95" s="1"/>
  <c r="P46" i="95" s="1"/>
  <c r="P47" i="95" s="1"/>
  <c r="P48" i="95" s="1"/>
  <c r="P49" i="95" s="1"/>
  <c r="P50" i="95" s="1"/>
  <c r="N17" i="95"/>
  <c r="L17" i="95"/>
  <c r="J17" i="95"/>
  <c r="H17" i="95"/>
  <c r="D17" i="95"/>
  <c r="D18" i="95" s="1"/>
  <c r="D19" i="95" s="1"/>
  <c r="D20" i="95" s="1"/>
  <c r="D21" i="95" s="1"/>
  <c r="D22" i="95" s="1"/>
  <c r="D23" i="95" s="1"/>
  <c r="B17" i="95"/>
  <c r="B18" i="95" s="1"/>
  <c r="B19" i="95" s="1"/>
  <c r="BB16" i="95"/>
  <c r="AZ16" i="95"/>
  <c r="AR16" i="95"/>
  <c r="AH16" i="95"/>
  <c r="AG16" i="95"/>
  <c r="AE16" i="95"/>
  <c r="AA16" i="95"/>
  <c r="W16" i="95"/>
  <c r="N16" i="95"/>
  <c r="J16" i="95"/>
  <c r="H16" i="95"/>
  <c r="BJ15" i="95"/>
  <c r="BJ16" i="95" s="1"/>
  <c r="BH15" i="95"/>
  <c r="BH16" i="95" s="1"/>
  <c r="AC16" i="95" s="1"/>
  <c r="BF15" i="95"/>
  <c r="BF16" i="95" s="1"/>
  <c r="BB15" i="95"/>
  <c r="AZ15" i="95"/>
  <c r="T15" i="95" s="1"/>
  <c r="AX15" i="95"/>
  <c r="AX16" i="95" s="1"/>
  <c r="R16" i="95" s="1"/>
  <c r="AT15" i="95"/>
  <c r="AT16" i="95" s="1"/>
  <c r="L16" i="95" s="1"/>
  <c r="AR15" i="95"/>
  <c r="J15" i="95" s="1"/>
  <c r="AL15" i="95"/>
  <c r="AN15" i="95" s="1"/>
  <c r="B15" i="95" s="1"/>
  <c r="AH15" i="95"/>
  <c r="AG15" i="95"/>
  <c r="AE15" i="95"/>
  <c r="AA15" i="95"/>
  <c r="W15" i="95"/>
  <c r="R15" i="95"/>
  <c r="N15" i="95"/>
  <c r="L15" i="95"/>
  <c r="H15" i="95"/>
  <c r="AW14" i="95"/>
  <c r="AU14" i="95"/>
  <c r="AO14" i="95"/>
  <c r="D14" i="95" s="1"/>
  <c r="AN14" i="95"/>
  <c r="B14" i="95" s="1"/>
  <c r="AM14" i="95"/>
  <c r="AH14" i="95"/>
  <c r="AG14" i="95"/>
  <c r="AE14" i="95"/>
  <c r="AC14" i="95"/>
  <c r="AA14" i="95"/>
  <c r="Y14" i="95"/>
  <c r="W14" i="95"/>
  <c r="T14" i="95"/>
  <c r="T13" i="95" s="1"/>
  <c r="T12" i="95" s="1"/>
  <c r="T11" i="95" s="1"/>
  <c r="T10" i="95" s="1"/>
  <c r="T9" i="95" s="1"/>
  <c r="T8" i="95" s="1"/>
  <c r="T7" i="95" s="1"/>
  <c r="T6" i="95" s="1"/>
  <c r="T5" i="95" s="1"/>
  <c r="T4" i="95" s="1"/>
  <c r="T3" i="95" s="1"/>
  <c r="T2" i="95" s="1"/>
  <c r="R14" i="95"/>
  <c r="P14" i="95"/>
  <c r="N14" i="95"/>
  <c r="L14" i="95"/>
  <c r="L13" i="95" s="1"/>
  <c r="L12" i="95" s="1"/>
  <c r="L11" i="95" s="1"/>
  <c r="L10" i="95" s="1"/>
  <c r="L9" i="95" s="1"/>
  <c r="L8" i="95" s="1"/>
  <c r="L7" i="95" s="1"/>
  <c r="L6" i="95" s="1"/>
  <c r="L5" i="95" s="1"/>
  <c r="L4" i="95" s="1"/>
  <c r="L3" i="95" s="1"/>
  <c r="L2" i="95" s="1"/>
  <c r="J14" i="95"/>
  <c r="H14" i="95"/>
  <c r="AN13" i="95"/>
  <c r="AH13" i="95"/>
  <c r="AG13" i="95"/>
  <c r="AE13" i="95"/>
  <c r="W13" i="95"/>
  <c r="R13" i="95"/>
  <c r="N13" i="95"/>
  <c r="J13" i="95"/>
  <c r="H13" i="95"/>
  <c r="B13" i="95"/>
  <c r="AS12" i="95"/>
  <c r="AN12" i="95"/>
  <c r="B12" i="95" s="1"/>
  <c r="AH12" i="95"/>
  <c r="AG12" i="95"/>
  <c r="AE12" i="95"/>
  <c r="W12" i="95"/>
  <c r="R12" i="95"/>
  <c r="N12" i="95"/>
  <c r="J12" i="95"/>
  <c r="H12" i="95"/>
  <c r="AV11" i="95"/>
  <c r="P11" i="95" s="1"/>
  <c r="AT11" i="95"/>
  <c r="AT12" i="95" s="1"/>
  <c r="AT13" i="95" s="1"/>
  <c r="AL11" i="95"/>
  <c r="AO11" i="95" s="1"/>
  <c r="AE11" i="95"/>
  <c r="R11" i="95"/>
  <c r="N11" i="95"/>
  <c r="J11" i="95"/>
  <c r="H11" i="95"/>
  <c r="D11" i="95"/>
  <c r="AN11" i="95"/>
  <c r="B11" i="95" s="1"/>
  <c r="AW10" i="95"/>
  <c r="AU10" i="95"/>
  <c r="AT5" i="95" s="1"/>
  <c r="AT6" i="95" s="1"/>
  <c r="AT7" i="95" s="1"/>
  <c r="AT8" i="95" s="1"/>
  <c r="AT9" i="95" s="1"/>
  <c r="AO10" i="95"/>
  <c r="AM10" i="95"/>
  <c r="AE10" i="95"/>
  <c r="R10" i="95"/>
  <c r="P10" i="95"/>
  <c r="N10" i="95"/>
  <c r="J10" i="95"/>
  <c r="H10" i="95"/>
  <c r="D10" i="95"/>
  <c r="AN10" i="95"/>
  <c r="B10" i="95" s="1"/>
  <c r="AE9" i="95"/>
  <c r="R9" i="95"/>
  <c r="N9" i="95"/>
  <c r="J9" i="95"/>
  <c r="H9" i="95"/>
  <c r="AN9" i="95"/>
  <c r="B9" i="95" s="1"/>
  <c r="AN8" i="95"/>
  <c r="AE8" i="95"/>
  <c r="R8" i="95"/>
  <c r="N8" i="95"/>
  <c r="J8" i="95"/>
  <c r="H8" i="95"/>
  <c r="B8" i="95"/>
  <c r="AN7" i="95"/>
  <c r="B7" i="95" s="1"/>
  <c r="AE7" i="95"/>
  <c r="R7" i="95"/>
  <c r="N7" i="95"/>
  <c r="J7" i="95"/>
  <c r="H7" i="95"/>
  <c r="AS6" i="95"/>
  <c r="AN6" i="95"/>
  <c r="B6" i="95" s="1"/>
  <c r="AE6" i="95"/>
  <c r="R6" i="95"/>
  <c r="N6" i="95"/>
  <c r="J6" i="95"/>
  <c r="H6" i="95"/>
  <c r="AV5" i="95"/>
  <c r="AV6" i="95" s="1"/>
  <c r="AL5" i="95"/>
  <c r="AL6" i="95" s="1"/>
  <c r="AE5" i="95"/>
  <c r="R5" i="95"/>
  <c r="N5" i="95"/>
  <c r="J5" i="95"/>
  <c r="H5" i="95"/>
  <c r="AN5" i="95"/>
  <c r="B5" i="95" s="1"/>
  <c r="AO4" i="95"/>
  <c r="AN4" i="95"/>
  <c r="B4" i="95" s="1"/>
  <c r="AH4" i="95"/>
  <c r="AH5" i="95" s="1"/>
  <c r="AH6" i="95" s="1"/>
  <c r="AH7" i="95" s="1"/>
  <c r="AH8" i="95" s="1"/>
  <c r="AH9" i="95" s="1"/>
  <c r="AH10" i="95" s="1"/>
  <c r="AH11" i="95" s="1"/>
  <c r="AE4" i="95"/>
  <c r="AC4" i="95"/>
  <c r="AC5" i="95" s="1"/>
  <c r="AC6" i="95" s="1"/>
  <c r="AC7" i="95" s="1"/>
  <c r="AC8" i="95" s="1"/>
  <c r="AC9" i="95" s="1"/>
  <c r="AC10" i="95" s="1"/>
  <c r="AC11" i="95" s="1"/>
  <c r="AC12" i="95" s="1"/>
  <c r="AC13" i="95" s="1"/>
  <c r="Y4" i="95"/>
  <c r="Y5" i="95" s="1"/>
  <c r="Y6" i="95" s="1"/>
  <c r="Y7" i="95" s="1"/>
  <c r="Y8" i="95" s="1"/>
  <c r="Y9" i="95" s="1"/>
  <c r="Y10" i="95" s="1"/>
  <c r="Y11" i="95" s="1"/>
  <c r="Y12" i="95" s="1"/>
  <c r="Y13" i="95" s="1"/>
  <c r="U4" i="95"/>
  <c r="U5" i="95" s="1"/>
  <c r="U6" i="95" s="1"/>
  <c r="U7" i="95" s="1"/>
  <c r="U8" i="95" s="1"/>
  <c r="U9" i="95" s="1"/>
  <c r="U10" i="95" s="1"/>
  <c r="U11" i="95" s="1"/>
  <c r="R4" i="95"/>
  <c r="P4" i="95"/>
  <c r="N4" i="95"/>
  <c r="J4" i="95"/>
  <c r="H4" i="95"/>
  <c r="D4" i="95"/>
  <c r="AV3" i="95"/>
  <c r="AO3" i="95"/>
  <c r="D3" i="95" s="1"/>
  <c r="AN3" i="95"/>
  <c r="B3" i="95" s="1"/>
  <c r="AH3" i="95"/>
  <c r="AE3" i="95"/>
  <c r="AC3" i="95"/>
  <c r="AA3" i="95"/>
  <c r="AA4" i="95" s="1"/>
  <c r="AA5" i="95" s="1"/>
  <c r="AA6" i="95" s="1"/>
  <c r="AA7" i="95" s="1"/>
  <c r="AA8" i="95" s="1"/>
  <c r="AA9" i="95" s="1"/>
  <c r="AA10" i="95" s="1"/>
  <c r="AA11" i="95" s="1"/>
  <c r="AA12" i="95" s="1"/>
  <c r="AA13" i="95" s="1"/>
  <c r="Y3" i="95"/>
  <c r="W3" i="95"/>
  <c r="W4" i="95" s="1"/>
  <c r="W5" i="95" s="1"/>
  <c r="W6" i="95" s="1"/>
  <c r="W7" i="95" s="1"/>
  <c r="W8" i="95" s="1"/>
  <c r="W9" i="95" s="1"/>
  <c r="W10" i="95" s="1"/>
  <c r="W11" i="95" s="1"/>
  <c r="U3" i="95"/>
  <c r="R3" i="95"/>
  <c r="P3" i="95"/>
  <c r="N3" i="95"/>
  <c r="J3" i="95"/>
  <c r="H3" i="95"/>
  <c r="AO2" i="95"/>
  <c r="D2" i="95" s="1"/>
  <c r="AE2" i="95"/>
  <c r="R2" i="95"/>
  <c r="P2" i="95"/>
  <c r="N2" i="95"/>
  <c r="J2" i="95"/>
  <c r="H2" i="95"/>
  <c r="AN2" i="95"/>
  <c r="B2" i="95" s="1"/>
  <c r="W41" i="94"/>
  <c r="W40" i="94"/>
  <c r="W39" i="94"/>
  <c r="W38" i="94"/>
  <c r="W37" i="94"/>
  <c r="W36" i="94"/>
  <c r="W35" i="94"/>
  <c r="W34" i="94"/>
  <c r="W33" i="94"/>
  <c r="A33" i="94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A45" i="94" s="1"/>
  <c r="A46" i="94" s="1"/>
  <c r="A47" i="94" s="1"/>
  <c r="A48" i="94" s="1"/>
  <c r="A49" i="94" s="1"/>
  <c r="A50" i="94" s="1"/>
  <c r="W32" i="94"/>
  <c r="W31" i="94"/>
  <c r="W30" i="94"/>
  <c r="W29" i="94"/>
  <c r="W28" i="94"/>
  <c r="W27" i="94"/>
  <c r="W26" i="94"/>
  <c r="W25" i="94"/>
  <c r="W24" i="94"/>
  <c r="W23" i="94"/>
  <c r="W22" i="94"/>
  <c r="W21" i="94"/>
  <c r="W20" i="94"/>
  <c r="W19" i="94"/>
  <c r="W18" i="94"/>
  <c r="W17" i="94"/>
  <c r="W16" i="94"/>
  <c r="W15" i="94"/>
  <c r="W14" i="94"/>
  <c r="W13" i="94"/>
  <c r="W12" i="94"/>
  <c r="W11" i="94"/>
  <c r="W10" i="94"/>
  <c r="W9" i="94"/>
  <c r="W8" i="94"/>
  <c r="W7" i="94"/>
  <c r="W6" i="94"/>
  <c r="W5" i="94"/>
  <c r="W4" i="94"/>
  <c r="W3" i="94"/>
  <c r="W2" i="94"/>
  <c r="V48" i="93"/>
  <c r="T48" i="93"/>
  <c r="R48" i="93"/>
  <c r="V47" i="93"/>
  <c r="T47" i="93"/>
  <c r="R47" i="93"/>
  <c r="V46" i="93"/>
  <c r="T46" i="93"/>
  <c r="R46" i="93"/>
  <c r="V45" i="93"/>
  <c r="T45" i="93"/>
  <c r="R45" i="93"/>
  <c r="V44" i="93"/>
  <c r="T44" i="93"/>
  <c r="R44" i="93"/>
  <c r="V43" i="93"/>
  <c r="T43" i="93"/>
  <c r="R43" i="93"/>
  <c r="V42" i="93"/>
  <c r="T42" i="93"/>
  <c r="R42" i="93"/>
  <c r="V41" i="93"/>
  <c r="T41" i="93"/>
  <c r="R41" i="93"/>
  <c r="V40" i="93"/>
  <c r="T40" i="93"/>
  <c r="R40" i="93"/>
  <c r="V39" i="93"/>
  <c r="T39" i="93"/>
  <c r="R39" i="93"/>
  <c r="V38" i="93"/>
  <c r="T38" i="93"/>
  <c r="R38" i="93"/>
  <c r="V37" i="93"/>
  <c r="T37" i="93"/>
  <c r="R37" i="93"/>
  <c r="N37" i="93"/>
  <c r="N38" i="93" s="1"/>
  <c r="N39" i="93" s="1"/>
  <c r="N40" i="93" s="1"/>
  <c r="N41" i="93" s="1"/>
  <c r="N42" i="93" s="1"/>
  <c r="N43" i="93" s="1"/>
  <c r="N44" i="93" s="1"/>
  <c r="N45" i="93" s="1"/>
  <c r="N46" i="93" s="1"/>
  <c r="N47" i="93" s="1"/>
  <c r="N48" i="93" s="1"/>
  <c r="V36" i="93"/>
  <c r="T36" i="93"/>
  <c r="R36" i="93"/>
  <c r="V35" i="93"/>
  <c r="T35" i="93"/>
  <c r="R35" i="93"/>
  <c r="V34" i="93"/>
  <c r="T34" i="93"/>
  <c r="R34" i="93"/>
  <c r="P34" i="93"/>
  <c r="W34" i="93" s="1"/>
  <c r="V33" i="93"/>
  <c r="T33" i="93"/>
  <c r="R33" i="93"/>
  <c r="P33" i="93"/>
  <c r="W33" i="93" s="1"/>
  <c r="V32" i="93"/>
  <c r="T32" i="93"/>
  <c r="R32" i="93"/>
  <c r="V31" i="93"/>
  <c r="T31" i="93"/>
  <c r="R31" i="93"/>
  <c r="V30" i="93"/>
  <c r="T30" i="93"/>
  <c r="R30" i="93"/>
  <c r="V29" i="93"/>
  <c r="T29" i="93"/>
  <c r="R29" i="93"/>
  <c r="P30" i="93"/>
  <c r="W30" i="93" s="1"/>
  <c r="V28" i="93"/>
  <c r="T28" i="93"/>
  <c r="R28" i="93"/>
  <c r="P28" i="93"/>
  <c r="W28" i="93" s="1"/>
  <c r="V27" i="93"/>
  <c r="T27" i="93"/>
  <c r="R27" i="93"/>
  <c r="V26" i="93"/>
  <c r="T26" i="93"/>
  <c r="R26" i="93"/>
  <c r="V25" i="93"/>
  <c r="T25" i="93"/>
  <c r="R25" i="93"/>
  <c r="V24" i="93"/>
  <c r="T24" i="93"/>
  <c r="R24" i="93"/>
  <c r="V23" i="93"/>
  <c r="T23" i="93"/>
  <c r="R23" i="93"/>
  <c r="V22" i="93"/>
  <c r="T22" i="93"/>
  <c r="R22" i="93"/>
  <c r="V21" i="93"/>
  <c r="T21" i="93"/>
  <c r="R21" i="93"/>
  <c r="V20" i="93"/>
  <c r="T20" i="93"/>
  <c r="R20" i="93"/>
  <c r="V19" i="93"/>
  <c r="T19" i="93"/>
  <c r="R19" i="93"/>
  <c r="V18" i="93"/>
  <c r="T18" i="93"/>
  <c r="R18" i="93"/>
  <c r="V17" i="93"/>
  <c r="T17" i="93"/>
  <c r="R17" i="93"/>
  <c r="V16" i="93"/>
  <c r="T16" i="93"/>
  <c r="R16" i="93"/>
  <c r="V15" i="93"/>
  <c r="T15" i="93"/>
  <c r="R15" i="93"/>
  <c r="V14" i="93"/>
  <c r="T14" i="93"/>
  <c r="R14" i="93"/>
  <c r="V13" i="93"/>
  <c r="T13" i="93"/>
  <c r="R13" i="93"/>
  <c r="V12" i="93"/>
  <c r="T12" i="93"/>
  <c r="R12" i="93"/>
  <c r="V11" i="93"/>
  <c r="T11" i="93"/>
  <c r="R11" i="93"/>
  <c r="V10" i="93"/>
  <c r="T10" i="93"/>
  <c r="R10" i="93"/>
  <c r="V9" i="93"/>
  <c r="T9" i="93"/>
  <c r="R9" i="93"/>
  <c r="V8" i="93"/>
  <c r="T8" i="93"/>
  <c r="R8" i="93"/>
  <c r="V7" i="93"/>
  <c r="T7" i="93"/>
  <c r="R7" i="93"/>
  <c r="V6" i="93"/>
  <c r="T6" i="93"/>
  <c r="R6" i="93"/>
  <c r="N6" i="93"/>
  <c r="N7" i="93" s="1"/>
  <c r="N8" i="93" s="1"/>
  <c r="N9" i="93" s="1"/>
  <c r="N10" i="93" s="1"/>
  <c r="N11" i="93" s="1"/>
  <c r="N12" i="93" s="1"/>
  <c r="N13" i="93" s="1"/>
  <c r="N14" i="93" s="1"/>
  <c r="N15" i="93" s="1"/>
  <c r="N16" i="93" s="1"/>
  <c r="N17" i="93" s="1"/>
  <c r="N18" i="93" s="1"/>
  <c r="N19" i="93" s="1"/>
  <c r="N20" i="93" s="1"/>
  <c r="N21" i="93" s="1"/>
  <c r="N22" i="93" s="1"/>
  <c r="N23" i="93" s="1"/>
  <c r="N24" i="93" s="1"/>
  <c r="N25" i="93" s="1"/>
  <c r="N26" i="93" s="1"/>
  <c r="N27" i="93" s="1"/>
  <c r="V5" i="93"/>
  <c r="T5" i="93"/>
  <c r="R5" i="93"/>
  <c r="N5" i="93"/>
  <c r="V4" i="93"/>
  <c r="T4" i="93"/>
  <c r="R4" i="93"/>
  <c r="N4" i="93"/>
  <c r="V3" i="93"/>
  <c r="T3" i="93"/>
  <c r="R3" i="93"/>
  <c r="N3" i="93"/>
  <c r="A3" i="93"/>
  <c r="A4" i="93" s="1"/>
  <c r="A5" i="93" s="1"/>
  <c r="A6" i="93" s="1"/>
  <c r="A7" i="93" s="1"/>
  <c r="A8" i="93" s="1"/>
  <c r="A9" i="93" s="1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A45" i="93" s="1"/>
  <c r="A46" i="93" s="1"/>
  <c r="A47" i="93" s="1"/>
  <c r="A48" i="93" s="1"/>
  <c r="A49" i="93" s="1"/>
  <c r="A50" i="93" s="1"/>
  <c r="W2" i="93"/>
  <c r="B517" i="92"/>
  <c r="A517" i="92"/>
  <c r="B516" i="92"/>
  <c r="K515" i="92"/>
  <c r="S515" i="92" s="1"/>
  <c r="B515" i="92"/>
  <c r="A515" i="92"/>
  <c r="B514" i="92"/>
  <c r="B513" i="92"/>
  <c r="A513" i="92"/>
  <c r="B512" i="92"/>
  <c r="K511" i="92"/>
  <c r="S511" i="92" s="1"/>
  <c r="B511" i="92"/>
  <c r="A511" i="92"/>
  <c r="B510" i="92"/>
  <c r="B509" i="92"/>
  <c r="A509" i="92"/>
  <c r="B508" i="92"/>
  <c r="K507" i="92"/>
  <c r="S507" i="92" s="1"/>
  <c r="B507" i="92"/>
  <c r="A507" i="92"/>
  <c r="B506" i="92"/>
  <c r="S505" i="92"/>
  <c r="M505" i="92"/>
  <c r="N505" i="92" s="1"/>
  <c r="K505" i="92"/>
  <c r="K517" i="92" s="1"/>
  <c r="S517" i="92" s="1"/>
  <c r="H505" i="92"/>
  <c r="J505" i="92" s="1"/>
  <c r="D505" i="92"/>
  <c r="A505" i="92"/>
  <c r="M504" i="92"/>
  <c r="M516" i="92" s="1"/>
  <c r="N516" i="92" s="1"/>
  <c r="K504" i="92"/>
  <c r="K516" i="92" s="1"/>
  <c r="S516" i="92" s="1"/>
  <c r="J504" i="92"/>
  <c r="H504" i="92"/>
  <c r="H516" i="92" s="1"/>
  <c r="D504" i="92"/>
  <c r="A504" i="92"/>
  <c r="A516" i="92" s="1"/>
  <c r="S503" i="92"/>
  <c r="M503" i="92"/>
  <c r="M515" i="92" s="1"/>
  <c r="N515" i="92" s="1"/>
  <c r="K503" i="92"/>
  <c r="H503" i="92"/>
  <c r="H515" i="92" s="1"/>
  <c r="D503" i="92"/>
  <c r="A503" i="92"/>
  <c r="M502" i="92"/>
  <c r="M514" i="92" s="1"/>
  <c r="N514" i="92" s="1"/>
  <c r="K502" i="92"/>
  <c r="S502" i="92" s="1"/>
  <c r="J502" i="92"/>
  <c r="H502" i="92"/>
  <c r="H514" i="92" s="1"/>
  <c r="G502" i="92"/>
  <c r="G514" i="92" s="1"/>
  <c r="D502" i="92"/>
  <c r="A502" i="92"/>
  <c r="A514" i="92" s="1"/>
  <c r="S501" i="92"/>
  <c r="M501" i="92"/>
  <c r="N501" i="92" s="1"/>
  <c r="K501" i="92"/>
  <c r="K513" i="92" s="1"/>
  <c r="S513" i="92" s="1"/>
  <c r="H501" i="92"/>
  <c r="J501" i="92" s="1"/>
  <c r="D501" i="92"/>
  <c r="A501" i="92"/>
  <c r="M500" i="92"/>
  <c r="M512" i="92" s="1"/>
  <c r="N512" i="92" s="1"/>
  <c r="K500" i="92"/>
  <c r="K512" i="92" s="1"/>
  <c r="S512" i="92" s="1"/>
  <c r="J500" i="92"/>
  <c r="H500" i="92"/>
  <c r="H512" i="92" s="1"/>
  <c r="D500" i="92"/>
  <c r="A500" i="92"/>
  <c r="A512" i="92" s="1"/>
  <c r="S499" i="92"/>
  <c r="M499" i="92"/>
  <c r="M511" i="92" s="1"/>
  <c r="N511" i="92" s="1"/>
  <c r="K499" i="92"/>
  <c r="H499" i="92"/>
  <c r="H511" i="92" s="1"/>
  <c r="D499" i="92"/>
  <c r="A499" i="92"/>
  <c r="M498" i="92"/>
  <c r="M510" i="92" s="1"/>
  <c r="N510" i="92" s="1"/>
  <c r="K498" i="92"/>
  <c r="S498" i="92" s="1"/>
  <c r="J498" i="92"/>
  <c r="H498" i="92"/>
  <c r="H510" i="92" s="1"/>
  <c r="G498" i="92"/>
  <c r="G510" i="92" s="1"/>
  <c r="D498" i="92"/>
  <c r="A498" i="92"/>
  <c r="A510" i="92" s="1"/>
  <c r="S497" i="92"/>
  <c r="M497" i="92"/>
  <c r="N497" i="92" s="1"/>
  <c r="K497" i="92"/>
  <c r="K509" i="92" s="1"/>
  <c r="S509" i="92" s="1"/>
  <c r="H497" i="92"/>
  <c r="J497" i="92" s="1"/>
  <c r="D497" i="92"/>
  <c r="A497" i="92"/>
  <c r="M496" i="92"/>
  <c r="M508" i="92" s="1"/>
  <c r="N508" i="92" s="1"/>
  <c r="K496" i="92"/>
  <c r="K508" i="92" s="1"/>
  <c r="S508" i="92" s="1"/>
  <c r="J496" i="92"/>
  <c r="H496" i="92"/>
  <c r="H508" i="92" s="1"/>
  <c r="D496" i="92"/>
  <c r="A496" i="92"/>
  <c r="A508" i="92" s="1"/>
  <c r="S495" i="92"/>
  <c r="M495" i="92"/>
  <c r="M507" i="92" s="1"/>
  <c r="N507" i="92" s="1"/>
  <c r="K495" i="92"/>
  <c r="H495" i="92"/>
  <c r="H507" i="92" s="1"/>
  <c r="D495" i="92"/>
  <c r="A495" i="92"/>
  <c r="M494" i="92"/>
  <c r="M506" i="92" s="1"/>
  <c r="N506" i="92" s="1"/>
  <c r="K494" i="92"/>
  <c r="S494" i="92" s="1"/>
  <c r="J494" i="92"/>
  <c r="H494" i="92"/>
  <c r="H506" i="92" s="1"/>
  <c r="G494" i="92"/>
  <c r="G506" i="92" s="1"/>
  <c r="D494" i="92"/>
  <c r="A494" i="92"/>
  <c r="A506" i="92" s="1"/>
  <c r="S493" i="92"/>
  <c r="N493" i="92"/>
  <c r="J493" i="92"/>
  <c r="I493" i="92"/>
  <c r="G493" i="92"/>
  <c r="G505" i="92" s="1"/>
  <c r="G517" i="92" s="1"/>
  <c r="S492" i="92"/>
  <c r="N492" i="92"/>
  <c r="J492" i="92"/>
  <c r="I492" i="92"/>
  <c r="G492" i="92"/>
  <c r="G504" i="92" s="1"/>
  <c r="G516" i="92" s="1"/>
  <c r="S491" i="92"/>
  <c r="N491" i="92"/>
  <c r="J491" i="92"/>
  <c r="I491" i="92"/>
  <c r="G491" i="92"/>
  <c r="G503" i="92" s="1"/>
  <c r="G515" i="92" s="1"/>
  <c r="S490" i="92"/>
  <c r="N490" i="92"/>
  <c r="J490" i="92"/>
  <c r="I490" i="92"/>
  <c r="G490" i="92"/>
  <c r="S489" i="92"/>
  <c r="N489" i="92"/>
  <c r="J489" i="92"/>
  <c r="I489" i="92"/>
  <c r="G489" i="92"/>
  <c r="G501" i="92" s="1"/>
  <c r="G513" i="92" s="1"/>
  <c r="S488" i="92"/>
  <c r="N488" i="92"/>
  <c r="J488" i="92"/>
  <c r="I488" i="92"/>
  <c r="G488" i="92"/>
  <c r="G500" i="92" s="1"/>
  <c r="G512" i="92" s="1"/>
  <c r="S487" i="92"/>
  <c r="N487" i="92"/>
  <c r="J487" i="92"/>
  <c r="I487" i="92"/>
  <c r="G487" i="92"/>
  <c r="G499" i="92" s="1"/>
  <c r="G511" i="92" s="1"/>
  <c r="S486" i="92"/>
  <c r="N486" i="92"/>
  <c r="J486" i="92"/>
  <c r="I486" i="92"/>
  <c r="G486" i="92"/>
  <c r="S485" i="92"/>
  <c r="N485" i="92"/>
  <c r="J485" i="92"/>
  <c r="I485" i="92"/>
  <c r="G485" i="92"/>
  <c r="G497" i="92" s="1"/>
  <c r="G509" i="92" s="1"/>
  <c r="S484" i="92"/>
  <c r="N484" i="92"/>
  <c r="J484" i="92"/>
  <c r="I484" i="92"/>
  <c r="G484" i="92"/>
  <c r="G496" i="92" s="1"/>
  <c r="G508" i="92" s="1"/>
  <c r="S483" i="92"/>
  <c r="N483" i="92"/>
  <c r="J483" i="92"/>
  <c r="I483" i="92"/>
  <c r="G483" i="92"/>
  <c r="G495" i="92" s="1"/>
  <c r="G507" i="92" s="1"/>
  <c r="S482" i="92"/>
  <c r="N482" i="92"/>
  <c r="J482" i="92"/>
  <c r="I482" i="92"/>
  <c r="G482" i="92"/>
  <c r="S481" i="92"/>
  <c r="N481" i="92"/>
  <c r="J481" i="92"/>
  <c r="I481" i="92"/>
  <c r="S480" i="92"/>
  <c r="N480" i="92"/>
  <c r="J480" i="92"/>
  <c r="I480" i="92"/>
  <c r="S479" i="92"/>
  <c r="N479" i="92"/>
  <c r="J479" i="92"/>
  <c r="I479" i="92"/>
  <c r="S478" i="92"/>
  <c r="N478" i="92"/>
  <c r="J478" i="92"/>
  <c r="I478" i="92"/>
  <c r="S477" i="92"/>
  <c r="N477" i="92"/>
  <c r="J477" i="92"/>
  <c r="I477" i="92"/>
  <c r="S476" i="92"/>
  <c r="N476" i="92"/>
  <c r="J476" i="92"/>
  <c r="I476" i="92"/>
  <c r="S475" i="92"/>
  <c r="N475" i="92"/>
  <c r="J475" i="92"/>
  <c r="I475" i="92"/>
  <c r="S474" i="92"/>
  <c r="N474" i="92"/>
  <c r="J474" i="92"/>
  <c r="I474" i="92"/>
  <c r="S473" i="92"/>
  <c r="N473" i="92"/>
  <c r="J473" i="92"/>
  <c r="I473" i="92"/>
  <c r="S472" i="92"/>
  <c r="N472" i="92"/>
  <c r="J472" i="92"/>
  <c r="I472" i="92"/>
  <c r="S471" i="92"/>
  <c r="N471" i="92"/>
  <c r="J471" i="92"/>
  <c r="I471" i="92"/>
  <c r="S470" i="92"/>
  <c r="N470" i="92"/>
  <c r="J470" i="92"/>
  <c r="I470" i="92"/>
  <c r="S469" i="92"/>
  <c r="N469" i="92"/>
  <c r="J469" i="92"/>
  <c r="I469" i="92"/>
  <c r="S468" i="92"/>
  <c r="N468" i="92"/>
  <c r="J468" i="92"/>
  <c r="I468" i="92"/>
  <c r="S467" i="92"/>
  <c r="N467" i="92"/>
  <c r="J467" i="92"/>
  <c r="I467" i="92"/>
  <c r="S466" i="92"/>
  <c r="N466" i="92"/>
  <c r="J466" i="92"/>
  <c r="I466" i="92"/>
  <c r="S465" i="92"/>
  <c r="N465" i="92"/>
  <c r="J465" i="92"/>
  <c r="I465" i="92"/>
  <c r="S464" i="92"/>
  <c r="N464" i="92"/>
  <c r="J464" i="92"/>
  <c r="I464" i="92"/>
  <c r="S463" i="92"/>
  <c r="N463" i="92"/>
  <c r="J463" i="92"/>
  <c r="I463" i="92"/>
  <c r="S462" i="92"/>
  <c r="N462" i="92"/>
  <c r="J462" i="92"/>
  <c r="I462" i="92"/>
  <c r="S461" i="92"/>
  <c r="N461" i="92"/>
  <c r="J461" i="92"/>
  <c r="I461" i="92"/>
  <c r="S460" i="92"/>
  <c r="N460" i="92"/>
  <c r="J460" i="92"/>
  <c r="I460" i="92"/>
  <c r="S459" i="92"/>
  <c r="N459" i="92"/>
  <c r="J459" i="92"/>
  <c r="I459" i="92"/>
  <c r="S458" i="92"/>
  <c r="N458" i="92"/>
  <c r="J458" i="92"/>
  <c r="I458" i="92"/>
  <c r="S457" i="92"/>
  <c r="N457" i="92"/>
  <c r="J457" i="92"/>
  <c r="I457" i="92"/>
  <c r="S456" i="92"/>
  <c r="N456" i="92"/>
  <c r="J456" i="92"/>
  <c r="I456" i="92"/>
  <c r="S455" i="92"/>
  <c r="N455" i="92"/>
  <c r="J455" i="92"/>
  <c r="I455" i="92"/>
  <c r="S454" i="92"/>
  <c r="N454" i="92"/>
  <c r="J454" i="92"/>
  <c r="I454" i="92"/>
  <c r="S453" i="92"/>
  <c r="N453" i="92"/>
  <c r="J453" i="92"/>
  <c r="I453" i="92"/>
  <c r="S452" i="92"/>
  <c r="N452" i="92"/>
  <c r="J452" i="92"/>
  <c r="I452" i="92"/>
  <c r="S451" i="92"/>
  <c r="N451" i="92"/>
  <c r="J451" i="92"/>
  <c r="I451" i="92"/>
  <c r="S450" i="92"/>
  <c r="N450" i="92"/>
  <c r="J450" i="92"/>
  <c r="I450" i="92"/>
  <c r="S449" i="92"/>
  <c r="N449" i="92"/>
  <c r="J449" i="92"/>
  <c r="I449" i="92"/>
  <c r="S448" i="92"/>
  <c r="N448" i="92"/>
  <c r="J448" i="92"/>
  <c r="I448" i="92"/>
  <c r="S447" i="92"/>
  <c r="N447" i="92"/>
  <c r="J447" i="92"/>
  <c r="I447" i="92"/>
  <c r="S446" i="92"/>
  <c r="N446" i="92"/>
  <c r="J446" i="92"/>
  <c r="I446" i="92"/>
  <c r="S445" i="92"/>
  <c r="N445" i="92"/>
  <c r="J445" i="92"/>
  <c r="I445" i="92"/>
  <c r="S444" i="92"/>
  <c r="N444" i="92"/>
  <c r="J444" i="92"/>
  <c r="I444" i="92"/>
  <c r="S443" i="92"/>
  <c r="N443" i="92"/>
  <c r="J443" i="92"/>
  <c r="I443" i="92"/>
  <c r="S442" i="92"/>
  <c r="N442" i="92"/>
  <c r="J442" i="92"/>
  <c r="I442" i="92"/>
  <c r="S441" i="92"/>
  <c r="N441" i="92"/>
  <c r="J441" i="92"/>
  <c r="I441" i="92"/>
  <c r="S440" i="92"/>
  <c r="N440" i="92"/>
  <c r="J440" i="92"/>
  <c r="I440" i="92"/>
  <c r="S439" i="92"/>
  <c r="N439" i="92"/>
  <c r="J439" i="92"/>
  <c r="I439" i="92"/>
  <c r="S438" i="92"/>
  <c r="N438" i="92"/>
  <c r="J438" i="92"/>
  <c r="I438" i="92"/>
  <c r="S437" i="92"/>
  <c r="N437" i="92"/>
  <c r="J437" i="92"/>
  <c r="I437" i="92"/>
  <c r="S436" i="92"/>
  <c r="N436" i="92"/>
  <c r="J436" i="92"/>
  <c r="I436" i="92"/>
  <c r="S435" i="92"/>
  <c r="N435" i="92"/>
  <c r="J435" i="92"/>
  <c r="I435" i="92"/>
  <c r="S434" i="92"/>
  <c r="N434" i="92"/>
  <c r="J434" i="92"/>
  <c r="I434" i="92"/>
  <c r="S433" i="92"/>
  <c r="N433" i="92"/>
  <c r="J433" i="92"/>
  <c r="I433" i="92"/>
  <c r="S432" i="92"/>
  <c r="N432" i="92"/>
  <c r="J432" i="92"/>
  <c r="I432" i="92"/>
  <c r="S431" i="92"/>
  <c r="N431" i="92"/>
  <c r="J431" i="92"/>
  <c r="I431" i="92"/>
  <c r="S430" i="92"/>
  <c r="N430" i="92"/>
  <c r="J430" i="92"/>
  <c r="I430" i="92"/>
  <c r="S429" i="92"/>
  <c r="N429" i="92"/>
  <c r="J429" i="92"/>
  <c r="I429" i="92"/>
  <c r="S428" i="92"/>
  <c r="N428" i="92"/>
  <c r="J428" i="92"/>
  <c r="I428" i="92"/>
  <c r="S427" i="92"/>
  <c r="N427" i="92"/>
  <c r="J427" i="92"/>
  <c r="I427" i="92"/>
  <c r="S426" i="92"/>
  <c r="N426" i="92"/>
  <c r="J426" i="92"/>
  <c r="I426" i="92"/>
  <c r="S425" i="92"/>
  <c r="N425" i="92"/>
  <c r="J425" i="92"/>
  <c r="I425" i="92"/>
  <c r="S424" i="92"/>
  <c r="N424" i="92"/>
  <c r="J424" i="92"/>
  <c r="I424" i="92"/>
  <c r="S423" i="92"/>
  <c r="N423" i="92"/>
  <c r="J423" i="92"/>
  <c r="I423" i="92"/>
  <c r="S422" i="92"/>
  <c r="N422" i="92"/>
  <c r="J422" i="92"/>
  <c r="I422" i="92"/>
  <c r="S421" i="92"/>
  <c r="N421" i="92"/>
  <c r="J421" i="92"/>
  <c r="I421" i="92"/>
  <c r="S420" i="92"/>
  <c r="N420" i="92"/>
  <c r="J420" i="92"/>
  <c r="I420" i="92"/>
  <c r="S419" i="92"/>
  <c r="N419" i="92"/>
  <c r="J419" i="92"/>
  <c r="I419" i="92"/>
  <c r="S418" i="92"/>
  <c r="N418" i="92"/>
  <c r="J418" i="92"/>
  <c r="I418" i="92"/>
  <c r="S417" i="92"/>
  <c r="N417" i="92"/>
  <c r="J417" i="92"/>
  <c r="I417" i="92"/>
  <c r="S416" i="92"/>
  <c r="N416" i="92"/>
  <c r="J416" i="92"/>
  <c r="I416" i="92"/>
  <c r="S415" i="92"/>
  <c r="N415" i="92"/>
  <c r="J415" i="92"/>
  <c r="I415" i="92"/>
  <c r="S414" i="92"/>
  <c r="N414" i="92"/>
  <c r="J414" i="92"/>
  <c r="I414" i="92"/>
  <c r="S413" i="92"/>
  <c r="N413" i="92"/>
  <c r="J413" i="92"/>
  <c r="I413" i="92"/>
  <c r="S412" i="92"/>
  <c r="N412" i="92"/>
  <c r="J412" i="92"/>
  <c r="I412" i="92"/>
  <c r="S411" i="92"/>
  <c r="N411" i="92"/>
  <c r="J411" i="92"/>
  <c r="I411" i="92"/>
  <c r="S410" i="92"/>
  <c r="N410" i="92"/>
  <c r="J410" i="92"/>
  <c r="I410" i="92"/>
  <c r="S409" i="92"/>
  <c r="N409" i="92"/>
  <c r="J409" i="92"/>
  <c r="I409" i="92"/>
  <c r="S408" i="92"/>
  <c r="N408" i="92"/>
  <c r="J408" i="92"/>
  <c r="I408" i="92"/>
  <c r="S407" i="92"/>
  <c r="N407" i="92"/>
  <c r="J407" i="92"/>
  <c r="I407" i="92"/>
  <c r="S406" i="92"/>
  <c r="N406" i="92"/>
  <c r="J406" i="92"/>
  <c r="I406" i="92"/>
  <c r="S405" i="92"/>
  <c r="N405" i="92"/>
  <c r="J405" i="92"/>
  <c r="I405" i="92"/>
  <c r="S404" i="92"/>
  <c r="N404" i="92"/>
  <c r="J404" i="92"/>
  <c r="I404" i="92"/>
  <c r="S403" i="92"/>
  <c r="N403" i="92"/>
  <c r="J403" i="92"/>
  <c r="I403" i="92"/>
  <c r="S402" i="92"/>
  <c r="N402" i="92"/>
  <c r="J402" i="92"/>
  <c r="I402" i="92"/>
  <c r="S401" i="92"/>
  <c r="N401" i="92"/>
  <c r="J401" i="92"/>
  <c r="I401" i="92"/>
  <c r="S400" i="92"/>
  <c r="N400" i="92"/>
  <c r="J400" i="92"/>
  <c r="I400" i="92"/>
  <c r="S399" i="92"/>
  <c r="N399" i="92"/>
  <c r="J399" i="92"/>
  <c r="I399" i="92"/>
  <c r="S398" i="92"/>
  <c r="N398" i="92"/>
  <c r="J398" i="92"/>
  <c r="I398" i="92"/>
  <c r="S397" i="92"/>
  <c r="N397" i="92"/>
  <c r="J397" i="92"/>
  <c r="I397" i="92"/>
  <c r="S396" i="92"/>
  <c r="N396" i="92"/>
  <c r="J396" i="92"/>
  <c r="I396" i="92"/>
  <c r="S395" i="92"/>
  <c r="N395" i="92"/>
  <c r="J395" i="92"/>
  <c r="I395" i="92"/>
  <c r="S394" i="92"/>
  <c r="N394" i="92"/>
  <c r="J394" i="92"/>
  <c r="I394" i="92"/>
  <c r="S393" i="92"/>
  <c r="N393" i="92"/>
  <c r="J393" i="92"/>
  <c r="I393" i="92"/>
  <c r="S392" i="92"/>
  <c r="N392" i="92"/>
  <c r="J392" i="92"/>
  <c r="I392" i="92"/>
  <c r="S391" i="92"/>
  <c r="N391" i="92"/>
  <c r="J391" i="92"/>
  <c r="I391" i="92"/>
  <c r="S390" i="92"/>
  <c r="N390" i="92"/>
  <c r="J390" i="92"/>
  <c r="I390" i="92"/>
  <c r="S389" i="92"/>
  <c r="N389" i="92"/>
  <c r="J389" i="92"/>
  <c r="I389" i="92"/>
  <c r="S388" i="92"/>
  <c r="N388" i="92"/>
  <c r="J388" i="92"/>
  <c r="I388" i="92"/>
  <c r="S387" i="92"/>
  <c r="N387" i="92"/>
  <c r="J387" i="92"/>
  <c r="I387" i="92"/>
  <c r="S386" i="92"/>
  <c r="N386" i="92"/>
  <c r="J386" i="92"/>
  <c r="I386" i="92"/>
  <c r="S385" i="92"/>
  <c r="N385" i="92"/>
  <c r="J385" i="92"/>
  <c r="I385" i="92"/>
  <c r="S384" i="92"/>
  <c r="N384" i="92"/>
  <c r="J384" i="92"/>
  <c r="I384" i="92"/>
  <c r="S383" i="92"/>
  <c r="N383" i="92"/>
  <c r="J383" i="92"/>
  <c r="I383" i="92"/>
  <c r="S382" i="92"/>
  <c r="N382" i="92"/>
  <c r="J382" i="92"/>
  <c r="I382" i="92"/>
  <c r="S381" i="92"/>
  <c r="N381" i="92"/>
  <c r="J381" i="92"/>
  <c r="I381" i="92"/>
  <c r="S380" i="92"/>
  <c r="N380" i="92"/>
  <c r="J380" i="92"/>
  <c r="I380" i="92"/>
  <c r="S379" i="92"/>
  <c r="N379" i="92"/>
  <c r="J379" i="92"/>
  <c r="I379" i="92"/>
  <c r="S378" i="92"/>
  <c r="N378" i="92"/>
  <c r="J378" i="92"/>
  <c r="I378" i="92"/>
  <c r="S377" i="92"/>
  <c r="N377" i="92"/>
  <c r="J377" i="92"/>
  <c r="I377" i="92"/>
  <c r="S376" i="92"/>
  <c r="N376" i="92"/>
  <c r="J376" i="92"/>
  <c r="I376" i="92"/>
  <c r="S375" i="92"/>
  <c r="N375" i="92"/>
  <c r="J375" i="92"/>
  <c r="I375" i="92"/>
  <c r="S374" i="92"/>
  <c r="N374" i="92"/>
  <c r="J374" i="92"/>
  <c r="I374" i="92"/>
  <c r="S373" i="92"/>
  <c r="N373" i="92"/>
  <c r="J373" i="92"/>
  <c r="I373" i="92"/>
  <c r="S372" i="92"/>
  <c r="N372" i="92"/>
  <c r="J372" i="92"/>
  <c r="I372" i="92"/>
  <c r="S371" i="92"/>
  <c r="N371" i="92"/>
  <c r="J371" i="92"/>
  <c r="I371" i="92"/>
  <c r="S370" i="92"/>
  <c r="N370" i="92"/>
  <c r="J370" i="92"/>
  <c r="I370" i="92"/>
  <c r="S369" i="92"/>
  <c r="N369" i="92"/>
  <c r="J369" i="92"/>
  <c r="I369" i="92"/>
  <c r="S368" i="92"/>
  <c r="N368" i="92"/>
  <c r="J368" i="92"/>
  <c r="I368" i="92"/>
  <c r="S367" i="92"/>
  <c r="N367" i="92"/>
  <c r="J367" i="92"/>
  <c r="I367" i="92"/>
  <c r="S366" i="92"/>
  <c r="N366" i="92"/>
  <c r="J366" i="92"/>
  <c r="I366" i="92"/>
  <c r="S365" i="92"/>
  <c r="N365" i="92"/>
  <c r="J365" i="92"/>
  <c r="I365" i="92"/>
  <c r="S364" i="92"/>
  <c r="N364" i="92"/>
  <c r="J364" i="92"/>
  <c r="I364" i="92"/>
  <c r="S363" i="92"/>
  <c r="N363" i="92"/>
  <c r="J363" i="92"/>
  <c r="I363" i="92"/>
  <c r="S362" i="92"/>
  <c r="N362" i="92"/>
  <c r="J362" i="92"/>
  <c r="I362" i="92"/>
  <c r="S361" i="92"/>
  <c r="N361" i="92"/>
  <c r="J361" i="92"/>
  <c r="I361" i="92"/>
  <c r="S360" i="92"/>
  <c r="N360" i="92"/>
  <c r="J360" i="92"/>
  <c r="I360" i="92"/>
  <c r="S359" i="92"/>
  <c r="N359" i="92"/>
  <c r="J359" i="92"/>
  <c r="I359" i="92"/>
  <c r="S358" i="92"/>
  <c r="N358" i="92"/>
  <c r="J358" i="92"/>
  <c r="I358" i="92"/>
  <c r="S357" i="92"/>
  <c r="N357" i="92"/>
  <c r="J357" i="92"/>
  <c r="I357" i="92"/>
  <c r="S356" i="92"/>
  <c r="N356" i="92"/>
  <c r="J356" i="92"/>
  <c r="I356" i="92"/>
  <c r="S355" i="92"/>
  <c r="N355" i="92"/>
  <c r="J355" i="92"/>
  <c r="I355" i="92"/>
  <c r="S354" i="92"/>
  <c r="N354" i="92"/>
  <c r="J354" i="92"/>
  <c r="I354" i="92"/>
  <c r="S353" i="92"/>
  <c r="N353" i="92"/>
  <c r="J353" i="92"/>
  <c r="I353" i="92"/>
  <c r="S352" i="92"/>
  <c r="N352" i="92"/>
  <c r="J352" i="92"/>
  <c r="I352" i="92"/>
  <c r="S351" i="92"/>
  <c r="N351" i="92"/>
  <c r="J351" i="92"/>
  <c r="I351" i="92"/>
  <c r="S350" i="92"/>
  <c r="N350" i="92"/>
  <c r="J350" i="92"/>
  <c r="I350" i="92"/>
  <c r="S349" i="92"/>
  <c r="N349" i="92"/>
  <c r="J349" i="92"/>
  <c r="I349" i="92"/>
  <c r="S348" i="92"/>
  <c r="N348" i="92"/>
  <c r="J348" i="92"/>
  <c r="I348" i="92"/>
  <c r="S347" i="92"/>
  <c r="N347" i="92"/>
  <c r="J347" i="92"/>
  <c r="I347" i="92"/>
  <c r="S346" i="92"/>
  <c r="N346" i="92"/>
  <c r="J346" i="92"/>
  <c r="I346" i="92"/>
  <c r="S345" i="92"/>
  <c r="N345" i="92"/>
  <c r="J345" i="92"/>
  <c r="I345" i="92"/>
  <c r="S344" i="92"/>
  <c r="N344" i="92"/>
  <c r="J344" i="92"/>
  <c r="I344" i="92"/>
  <c r="S343" i="92"/>
  <c r="N343" i="92"/>
  <c r="J343" i="92"/>
  <c r="I343" i="92"/>
  <c r="S342" i="92"/>
  <c r="N342" i="92"/>
  <c r="J342" i="92"/>
  <c r="I342" i="92"/>
  <c r="S341" i="92"/>
  <c r="N341" i="92"/>
  <c r="J341" i="92"/>
  <c r="I341" i="92"/>
  <c r="S340" i="92"/>
  <c r="N340" i="92"/>
  <c r="J340" i="92"/>
  <c r="I340" i="92"/>
  <c r="S339" i="92"/>
  <c r="N339" i="92"/>
  <c r="J339" i="92"/>
  <c r="I339" i="92"/>
  <c r="S338" i="92"/>
  <c r="N338" i="92"/>
  <c r="J338" i="92"/>
  <c r="I338" i="92"/>
  <c r="S337" i="92"/>
  <c r="N337" i="92"/>
  <c r="J337" i="92"/>
  <c r="I337" i="92"/>
  <c r="S336" i="92"/>
  <c r="N336" i="92"/>
  <c r="J336" i="92"/>
  <c r="I336" i="92"/>
  <c r="S335" i="92"/>
  <c r="N335" i="92"/>
  <c r="J335" i="92"/>
  <c r="I335" i="92"/>
  <c r="S334" i="92"/>
  <c r="N334" i="92"/>
  <c r="J334" i="92"/>
  <c r="I334" i="92"/>
  <c r="S333" i="92"/>
  <c r="N333" i="92"/>
  <c r="J333" i="92"/>
  <c r="I333" i="92"/>
  <c r="S332" i="92"/>
  <c r="N332" i="92"/>
  <c r="J332" i="92"/>
  <c r="I332" i="92"/>
  <c r="S331" i="92"/>
  <c r="N331" i="92"/>
  <c r="J331" i="92"/>
  <c r="I331" i="92"/>
  <c r="S330" i="92"/>
  <c r="N330" i="92"/>
  <c r="J330" i="92"/>
  <c r="I330" i="92"/>
  <c r="S329" i="92"/>
  <c r="N329" i="92"/>
  <c r="J329" i="92"/>
  <c r="I329" i="92"/>
  <c r="S328" i="92"/>
  <c r="N328" i="92"/>
  <c r="J328" i="92"/>
  <c r="I328" i="92"/>
  <c r="S327" i="92"/>
  <c r="N327" i="92"/>
  <c r="J327" i="92"/>
  <c r="I327" i="92"/>
  <c r="S326" i="92"/>
  <c r="N326" i="92"/>
  <c r="J326" i="92"/>
  <c r="I326" i="92"/>
  <c r="S325" i="92"/>
  <c r="N325" i="92"/>
  <c r="J325" i="92"/>
  <c r="I325" i="92"/>
  <c r="S324" i="92"/>
  <c r="N324" i="92"/>
  <c r="J324" i="92"/>
  <c r="I324" i="92"/>
  <c r="S323" i="92"/>
  <c r="N323" i="92"/>
  <c r="J323" i="92"/>
  <c r="I323" i="92"/>
  <c r="S322" i="92"/>
  <c r="N322" i="92"/>
  <c r="J322" i="92"/>
  <c r="I322" i="92"/>
  <c r="S321" i="92"/>
  <c r="N321" i="92"/>
  <c r="J321" i="92"/>
  <c r="I321" i="92"/>
  <c r="S320" i="92"/>
  <c r="N320" i="92"/>
  <c r="J320" i="92"/>
  <c r="I320" i="92"/>
  <c r="S319" i="92"/>
  <c r="N319" i="92"/>
  <c r="J319" i="92"/>
  <c r="I319" i="92"/>
  <c r="S318" i="92"/>
  <c r="N318" i="92"/>
  <c r="J318" i="92"/>
  <c r="I318" i="92"/>
  <c r="S317" i="92"/>
  <c r="N317" i="92"/>
  <c r="J317" i="92"/>
  <c r="I317" i="92"/>
  <c r="S316" i="92"/>
  <c r="N316" i="92"/>
  <c r="J316" i="92"/>
  <c r="I316" i="92"/>
  <c r="S315" i="92"/>
  <c r="N315" i="92"/>
  <c r="J315" i="92"/>
  <c r="I315" i="92"/>
  <c r="S314" i="92"/>
  <c r="N314" i="92"/>
  <c r="J314" i="92"/>
  <c r="I314" i="92"/>
  <c r="S313" i="92"/>
  <c r="N313" i="92"/>
  <c r="J313" i="92"/>
  <c r="I313" i="92"/>
  <c r="S312" i="92"/>
  <c r="N312" i="92"/>
  <c r="J312" i="92"/>
  <c r="I312" i="92"/>
  <c r="S311" i="92"/>
  <c r="N311" i="92"/>
  <c r="J311" i="92"/>
  <c r="I311" i="92"/>
  <c r="S310" i="92"/>
  <c r="N310" i="92"/>
  <c r="J310" i="92"/>
  <c r="I310" i="92"/>
  <c r="S309" i="92"/>
  <c r="N309" i="92"/>
  <c r="J309" i="92"/>
  <c r="I309" i="92"/>
  <c r="S308" i="92"/>
  <c r="N308" i="92"/>
  <c r="J308" i="92"/>
  <c r="I308" i="92"/>
  <c r="S307" i="92"/>
  <c r="N307" i="92"/>
  <c r="J307" i="92"/>
  <c r="I307" i="92"/>
  <c r="S306" i="92"/>
  <c r="N306" i="92"/>
  <c r="J306" i="92"/>
  <c r="I306" i="92"/>
  <c r="S305" i="92"/>
  <c r="N305" i="92"/>
  <c r="J305" i="92"/>
  <c r="I305" i="92"/>
  <c r="S304" i="92"/>
  <c r="N304" i="92"/>
  <c r="J304" i="92"/>
  <c r="I304" i="92"/>
  <c r="S303" i="92"/>
  <c r="N303" i="92"/>
  <c r="J303" i="92"/>
  <c r="I303" i="92"/>
  <c r="S302" i="92"/>
  <c r="N302" i="92"/>
  <c r="J302" i="92"/>
  <c r="I302" i="92"/>
  <c r="S301" i="92"/>
  <c r="N301" i="92"/>
  <c r="J301" i="92"/>
  <c r="I301" i="92"/>
  <c r="S300" i="92"/>
  <c r="N300" i="92"/>
  <c r="J300" i="92"/>
  <c r="I300" i="92"/>
  <c r="S299" i="92"/>
  <c r="N299" i="92"/>
  <c r="J299" i="92"/>
  <c r="I299" i="92"/>
  <c r="S298" i="92"/>
  <c r="N298" i="92"/>
  <c r="J298" i="92"/>
  <c r="I298" i="92"/>
  <c r="S297" i="92"/>
  <c r="N297" i="92"/>
  <c r="J297" i="92"/>
  <c r="I297" i="92"/>
  <c r="S296" i="92"/>
  <c r="N296" i="92"/>
  <c r="J296" i="92"/>
  <c r="I296" i="92"/>
  <c r="S295" i="92"/>
  <c r="N295" i="92"/>
  <c r="J295" i="92"/>
  <c r="I295" i="92"/>
  <c r="S294" i="92"/>
  <c r="N294" i="92"/>
  <c r="J294" i="92"/>
  <c r="I294" i="92"/>
  <c r="S293" i="92"/>
  <c r="N293" i="92"/>
  <c r="J293" i="92"/>
  <c r="I293" i="92"/>
  <c r="S292" i="92"/>
  <c r="N292" i="92"/>
  <c r="J292" i="92"/>
  <c r="I292" i="92"/>
  <c r="S291" i="92"/>
  <c r="N291" i="92"/>
  <c r="J291" i="92"/>
  <c r="I291" i="92"/>
  <c r="S290" i="92"/>
  <c r="N290" i="92"/>
  <c r="J290" i="92"/>
  <c r="I290" i="92"/>
  <c r="S289" i="92"/>
  <c r="N289" i="92"/>
  <c r="J289" i="92"/>
  <c r="I289" i="92"/>
  <c r="S288" i="92"/>
  <c r="N288" i="92"/>
  <c r="J288" i="92"/>
  <c r="I288" i="92"/>
  <c r="S287" i="92"/>
  <c r="N287" i="92"/>
  <c r="J287" i="92"/>
  <c r="I287" i="92"/>
  <c r="S286" i="92"/>
  <c r="N286" i="92"/>
  <c r="J286" i="92"/>
  <c r="I286" i="92"/>
  <c r="S285" i="92"/>
  <c r="N285" i="92"/>
  <c r="J285" i="92"/>
  <c r="I285" i="92"/>
  <c r="S284" i="92"/>
  <c r="N284" i="92"/>
  <c r="J284" i="92"/>
  <c r="I284" i="92"/>
  <c r="S283" i="92"/>
  <c r="N283" i="92"/>
  <c r="J283" i="92"/>
  <c r="I283" i="92"/>
  <c r="S282" i="92"/>
  <c r="N282" i="92"/>
  <c r="J282" i="92"/>
  <c r="I282" i="92"/>
  <c r="S281" i="92"/>
  <c r="N281" i="92"/>
  <c r="J281" i="92"/>
  <c r="I281" i="92"/>
  <c r="S280" i="92"/>
  <c r="N280" i="92"/>
  <c r="J280" i="92"/>
  <c r="I280" i="92"/>
  <c r="S279" i="92"/>
  <c r="N279" i="92"/>
  <c r="J279" i="92"/>
  <c r="I279" i="92"/>
  <c r="S278" i="92"/>
  <c r="N278" i="92"/>
  <c r="J278" i="92"/>
  <c r="I278" i="92"/>
  <c r="S277" i="92"/>
  <c r="N277" i="92"/>
  <c r="J277" i="92"/>
  <c r="I277" i="92"/>
  <c r="S276" i="92"/>
  <c r="N276" i="92"/>
  <c r="J276" i="92"/>
  <c r="I276" i="92"/>
  <c r="S275" i="92"/>
  <c r="N275" i="92"/>
  <c r="J275" i="92"/>
  <c r="I275" i="92"/>
  <c r="S274" i="92"/>
  <c r="N274" i="92"/>
  <c r="J274" i="92"/>
  <c r="I274" i="92"/>
  <c r="S273" i="92"/>
  <c r="N273" i="92"/>
  <c r="J273" i="92"/>
  <c r="I273" i="92"/>
  <c r="S272" i="92"/>
  <c r="N272" i="92"/>
  <c r="J272" i="92"/>
  <c r="I272" i="92"/>
  <c r="S271" i="92"/>
  <c r="N271" i="92"/>
  <c r="J271" i="92"/>
  <c r="I271" i="92"/>
  <c r="S270" i="92"/>
  <c r="N270" i="92"/>
  <c r="J270" i="92"/>
  <c r="I270" i="92"/>
  <c r="S269" i="92"/>
  <c r="N269" i="92"/>
  <c r="J269" i="92"/>
  <c r="I269" i="92"/>
  <c r="S268" i="92"/>
  <c r="N268" i="92"/>
  <c r="J268" i="92"/>
  <c r="I268" i="92"/>
  <c r="S267" i="92"/>
  <c r="N267" i="92"/>
  <c r="J267" i="92"/>
  <c r="I267" i="92"/>
  <c r="S266" i="92"/>
  <c r="N266" i="92"/>
  <c r="J266" i="92"/>
  <c r="I266" i="92"/>
  <c r="S265" i="92"/>
  <c r="N265" i="92"/>
  <c r="J265" i="92"/>
  <c r="I265" i="92"/>
  <c r="S264" i="92"/>
  <c r="N264" i="92"/>
  <c r="J264" i="92"/>
  <c r="I264" i="92"/>
  <c r="S263" i="92"/>
  <c r="N263" i="92"/>
  <c r="J263" i="92"/>
  <c r="I263" i="92"/>
  <c r="S262" i="92"/>
  <c r="N262" i="92"/>
  <c r="J262" i="92"/>
  <c r="I262" i="92"/>
  <c r="S261" i="92"/>
  <c r="N261" i="92"/>
  <c r="J261" i="92"/>
  <c r="I261" i="92"/>
  <c r="S260" i="92"/>
  <c r="N260" i="92"/>
  <c r="J260" i="92"/>
  <c r="I260" i="92"/>
  <c r="S259" i="92"/>
  <c r="N259" i="92"/>
  <c r="J259" i="92"/>
  <c r="I259" i="92"/>
  <c r="S258" i="92"/>
  <c r="N258" i="92"/>
  <c r="J258" i="92"/>
  <c r="I258" i="92"/>
  <c r="S257" i="92"/>
  <c r="N257" i="92"/>
  <c r="J257" i="92"/>
  <c r="I257" i="92"/>
  <c r="S256" i="92"/>
  <c r="N256" i="92"/>
  <c r="J256" i="92"/>
  <c r="I256" i="92"/>
  <c r="S255" i="92"/>
  <c r="N255" i="92"/>
  <c r="J255" i="92"/>
  <c r="I255" i="92"/>
  <c r="S254" i="92"/>
  <c r="N254" i="92"/>
  <c r="J254" i="92"/>
  <c r="I254" i="92"/>
  <c r="S253" i="92"/>
  <c r="N253" i="92"/>
  <c r="J253" i="92"/>
  <c r="I253" i="92"/>
  <c r="S252" i="92"/>
  <c r="N252" i="92"/>
  <c r="J252" i="92"/>
  <c r="I252" i="92"/>
  <c r="S251" i="92"/>
  <c r="N251" i="92"/>
  <c r="J251" i="92"/>
  <c r="I251" i="92"/>
  <c r="S250" i="92"/>
  <c r="N250" i="92"/>
  <c r="J250" i="92"/>
  <c r="I250" i="92"/>
  <c r="S249" i="92"/>
  <c r="N249" i="92"/>
  <c r="J249" i="92"/>
  <c r="I249" i="92"/>
  <c r="S248" i="92"/>
  <c r="N248" i="92"/>
  <c r="J248" i="92"/>
  <c r="I248" i="92"/>
  <c r="S247" i="92"/>
  <c r="N247" i="92"/>
  <c r="J247" i="92"/>
  <c r="I247" i="92"/>
  <c r="S246" i="92"/>
  <c r="N246" i="92"/>
  <c r="J246" i="92"/>
  <c r="I246" i="92"/>
  <c r="S245" i="92"/>
  <c r="N245" i="92"/>
  <c r="J245" i="92"/>
  <c r="I245" i="92"/>
  <c r="S244" i="92"/>
  <c r="N244" i="92"/>
  <c r="J244" i="92"/>
  <c r="I244" i="92"/>
  <c r="S243" i="92"/>
  <c r="N243" i="92"/>
  <c r="J243" i="92"/>
  <c r="I243" i="92"/>
  <c r="S242" i="92"/>
  <c r="N242" i="92"/>
  <c r="J242" i="92"/>
  <c r="I242" i="92"/>
  <c r="S241" i="92"/>
  <c r="N241" i="92"/>
  <c r="J241" i="92"/>
  <c r="I241" i="92"/>
  <c r="S240" i="92"/>
  <c r="N240" i="92"/>
  <c r="J240" i="92"/>
  <c r="I240" i="92"/>
  <c r="S239" i="92"/>
  <c r="N239" i="92"/>
  <c r="J239" i="92"/>
  <c r="I239" i="92"/>
  <c r="S238" i="92"/>
  <c r="N238" i="92"/>
  <c r="J238" i="92"/>
  <c r="I238" i="92"/>
  <c r="S237" i="92"/>
  <c r="N237" i="92"/>
  <c r="J237" i="92"/>
  <c r="I237" i="92"/>
  <c r="S236" i="92"/>
  <c r="N236" i="92"/>
  <c r="J236" i="92"/>
  <c r="I236" i="92"/>
  <c r="S235" i="92"/>
  <c r="N235" i="92"/>
  <c r="J235" i="92"/>
  <c r="I235" i="92"/>
  <c r="S234" i="92"/>
  <c r="N234" i="92"/>
  <c r="J234" i="92"/>
  <c r="I234" i="92"/>
  <c r="S233" i="92"/>
  <c r="N233" i="92"/>
  <c r="J233" i="92"/>
  <c r="I233" i="92"/>
  <c r="S232" i="92"/>
  <c r="N232" i="92"/>
  <c r="J232" i="92"/>
  <c r="I232" i="92"/>
  <c r="S231" i="92"/>
  <c r="N231" i="92"/>
  <c r="J231" i="92"/>
  <c r="I231" i="92"/>
  <c r="S230" i="92"/>
  <c r="N230" i="92"/>
  <c r="J230" i="92"/>
  <c r="I230" i="92"/>
  <c r="S229" i="92"/>
  <c r="N229" i="92"/>
  <c r="J229" i="92"/>
  <c r="I229" i="92"/>
  <c r="S228" i="92"/>
  <c r="N228" i="92"/>
  <c r="J228" i="92"/>
  <c r="I228" i="92"/>
  <c r="S227" i="92"/>
  <c r="N227" i="92"/>
  <c r="J227" i="92"/>
  <c r="I227" i="92"/>
  <c r="S226" i="92"/>
  <c r="N226" i="92"/>
  <c r="J226" i="92"/>
  <c r="I226" i="92"/>
  <c r="S225" i="92"/>
  <c r="N225" i="92"/>
  <c r="J225" i="92"/>
  <c r="I225" i="92"/>
  <c r="S224" i="92"/>
  <c r="N224" i="92"/>
  <c r="J224" i="92"/>
  <c r="I224" i="92"/>
  <c r="S223" i="92"/>
  <c r="N223" i="92"/>
  <c r="J223" i="92"/>
  <c r="I223" i="92"/>
  <c r="S222" i="92"/>
  <c r="N222" i="92"/>
  <c r="J222" i="92"/>
  <c r="I222" i="92"/>
  <c r="S221" i="92"/>
  <c r="N221" i="92"/>
  <c r="J221" i="92"/>
  <c r="I221" i="92"/>
  <c r="S220" i="92"/>
  <c r="N220" i="92"/>
  <c r="J220" i="92"/>
  <c r="I220" i="92"/>
  <c r="S219" i="92"/>
  <c r="N219" i="92"/>
  <c r="J219" i="92"/>
  <c r="I219" i="92"/>
  <c r="S218" i="92"/>
  <c r="N218" i="92"/>
  <c r="J218" i="92"/>
  <c r="I218" i="92"/>
  <c r="S217" i="92"/>
  <c r="N217" i="92"/>
  <c r="J217" i="92"/>
  <c r="I217" i="92"/>
  <c r="S216" i="92"/>
  <c r="N216" i="92"/>
  <c r="J216" i="92"/>
  <c r="I216" i="92"/>
  <c r="S215" i="92"/>
  <c r="N215" i="92"/>
  <c r="J215" i="92"/>
  <c r="I215" i="92"/>
  <c r="S214" i="92"/>
  <c r="N214" i="92"/>
  <c r="J214" i="92"/>
  <c r="I214" i="92"/>
  <c r="S213" i="92"/>
  <c r="N213" i="92"/>
  <c r="J213" i="92"/>
  <c r="I213" i="92"/>
  <c r="S212" i="92"/>
  <c r="N212" i="92"/>
  <c r="J212" i="92"/>
  <c r="I212" i="92"/>
  <c r="S211" i="92"/>
  <c r="N211" i="92"/>
  <c r="J211" i="92"/>
  <c r="I211" i="92"/>
  <c r="S210" i="92"/>
  <c r="N210" i="92"/>
  <c r="J210" i="92"/>
  <c r="I210" i="92"/>
  <c r="S209" i="92"/>
  <c r="N209" i="92"/>
  <c r="J209" i="92"/>
  <c r="I209" i="92"/>
  <c r="S208" i="92"/>
  <c r="N208" i="92"/>
  <c r="J208" i="92"/>
  <c r="I208" i="92"/>
  <c r="S207" i="92"/>
  <c r="N207" i="92"/>
  <c r="J207" i="92"/>
  <c r="I207" i="92"/>
  <c r="S206" i="92"/>
  <c r="N206" i="92"/>
  <c r="J206" i="92"/>
  <c r="I206" i="92"/>
  <c r="S205" i="92"/>
  <c r="N205" i="92"/>
  <c r="J205" i="92"/>
  <c r="I205" i="92"/>
  <c r="F205" i="92"/>
  <c r="F217" i="92" s="1"/>
  <c r="F229" i="92" s="1"/>
  <c r="F241" i="92" s="1"/>
  <c r="F253" i="92" s="1"/>
  <c r="F265" i="92" s="1"/>
  <c r="F277" i="92" s="1"/>
  <c r="F289" i="92" s="1"/>
  <c r="F301" i="92" s="1"/>
  <c r="F313" i="92" s="1"/>
  <c r="F325" i="92" s="1"/>
  <c r="F337" i="92" s="1"/>
  <c r="F349" i="92" s="1"/>
  <c r="F361" i="92" s="1"/>
  <c r="F373" i="92" s="1"/>
  <c r="F385" i="92" s="1"/>
  <c r="F397" i="92" s="1"/>
  <c r="F409" i="92" s="1"/>
  <c r="F421" i="92" s="1"/>
  <c r="F433" i="92" s="1"/>
  <c r="F445" i="92" s="1"/>
  <c r="F457" i="92" s="1"/>
  <c r="F469" i="92" s="1"/>
  <c r="F481" i="92" s="1"/>
  <c r="F493" i="92" s="1"/>
  <c r="F505" i="92" s="1"/>
  <c r="F517" i="92" s="1"/>
  <c r="S204" i="92"/>
  <c r="N204" i="92"/>
  <c r="J204" i="92"/>
  <c r="I204" i="92"/>
  <c r="F204" i="92"/>
  <c r="F216" i="92" s="1"/>
  <c r="F228" i="92" s="1"/>
  <c r="F240" i="92" s="1"/>
  <c r="F252" i="92" s="1"/>
  <c r="F264" i="92" s="1"/>
  <c r="F276" i="92" s="1"/>
  <c r="F288" i="92" s="1"/>
  <c r="F300" i="92" s="1"/>
  <c r="F312" i="92" s="1"/>
  <c r="F324" i="92" s="1"/>
  <c r="F336" i="92" s="1"/>
  <c r="F348" i="92" s="1"/>
  <c r="F360" i="92" s="1"/>
  <c r="F372" i="92" s="1"/>
  <c r="F384" i="92" s="1"/>
  <c r="F396" i="92" s="1"/>
  <c r="F408" i="92" s="1"/>
  <c r="F420" i="92" s="1"/>
  <c r="F432" i="92" s="1"/>
  <c r="F444" i="92" s="1"/>
  <c r="F456" i="92" s="1"/>
  <c r="F468" i="92" s="1"/>
  <c r="F480" i="92" s="1"/>
  <c r="F492" i="92" s="1"/>
  <c r="F504" i="92" s="1"/>
  <c r="F516" i="92" s="1"/>
  <c r="S203" i="92"/>
  <c r="N203" i="92"/>
  <c r="J203" i="92"/>
  <c r="I203" i="92"/>
  <c r="F203" i="92"/>
  <c r="F215" i="92" s="1"/>
  <c r="F227" i="92" s="1"/>
  <c r="F239" i="92" s="1"/>
  <c r="F251" i="92" s="1"/>
  <c r="F263" i="92" s="1"/>
  <c r="F275" i="92" s="1"/>
  <c r="F287" i="92" s="1"/>
  <c r="F299" i="92" s="1"/>
  <c r="F311" i="92" s="1"/>
  <c r="F323" i="92" s="1"/>
  <c r="F335" i="92" s="1"/>
  <c r="F347" i="92" s="1"/>
  <c r="F359" i="92" s="1"/>
  <c r="F371" i="92" s="1"/>
  <c r="F383" i="92" s="1"/>
  <c r="F395" i="92" s="1"/>
  <c r="F407" i="92" s="1"/>
  <c r="F419" i="92" s="1"/>
  <c r="F431" i="92" s="1"/>
  <c r="F443" i="92" s="1"/>
  <c r="F455" i="92" s="1"/>
  <c r="F467" i="92" s="1"/>
  <c r="F479" i="92" s="1"/>
  <c r="F491" i="92" s="1"/>
  <c r="F503" i="92" s="1"/>
  <c r="F515" i="92" s="1"/>
  <c r="S202" i="92"/>
  <c r="N202" i="92"/>
  <c r="J202" i="92"/>
  <c r="I202" i="92"/>
  <c r="F202" i="92"/>
  <c r="F214" i="92" s="1"/>
  <c r="F226" i="92" s="1"/>
  <c r="F238" i="92" s="1"/>
  <c r="F250" i="92" s="1"/>
  <c r="F262" i="92" s="1"/>
  <c r="F274" i="92" s="1"/>
  <c r="F286" i="92" s="1"/>
  <c r="F298" i="92" s="1"/>
  <c r="F310" i="92" s="1"/>
  <c r="F322" i="92" s="1"/>
  <c r="F334" i="92" s="1"/>
  <c r="F346" i="92" s="1"/>
  <c r="F358" i="92" s="1"/>
  <c r="F370" i="92" s="1"/>
  <c r="F382" i="92" s="1"/>
  <c r="F394" i="92" s="1"/>
  <c r="F406" i="92" s="1"/>
  <c r="F418" i="92" s="1"/>
  <c r="F430" i="92" s="1"/>
  <c r="F442" i="92" s="1"/>
  <c r="F454" i="92" s="1"/>
  <c r="F466" i="92" s="1"/>
  <c r="F478" i="92" s="1"/>
  <c r="F490" i="92" s="1"/>
  <c r="F502" i="92" s="1"/>
  <c r="F514" i="92" s="1"/>
  <c r="S201" i="92"/>
  <c r="N201" i="92"/>
  <c r="J201" i="92"/>
  <c r="I201" i="92"/>
  <c r="F201" i="92"/>
  <c r="F213" i="92" s="1"/>
  <c r="F225" i="92" s="1"/>
  <c r="F237" i="92" s="1"/>
  <c r="F249" i="92" s="1"/>
  <c r="F261" i="92" s="1"/>
  <c r="F273" i="92" s="1"/>
  <c r="F285" i="92" s="1"/>
  <c r="F297" i="92" s="1"/>
  <c r="F309" i="92" s="1"/>
  <c r="F321" i="92" s="1"/>
  <c r="F333" i="92" s="1"/>
  <c r="F345" i="92" s="1"/>
  <c r="F357" i="92" s="1"/>
  <c r="F369" i="92" s="1"/>
  <c r="F381" i="92" s="1"/>
  <c r="F393" i="92" s="1"/>
  <c r="F405" i="92" s="1"/>
  <c r="F417" i="92" s="1"/>
  <c r="F429" i="92" s="1"/>
  <c r="F441" i="92" s="1"/>
  <c r="F453" i="92" s="1"/>
  <c r="F465" i="92" s="1"/>
  <c r="F477" i="92" s="1"/>
  <c r="F489" i="92" s="1"/>
  <c r="F501" i="92" s="1"/>
  <c r="F513" i="92" s="1"/>
  <c r="S200" i="92"/>
  <c r="N200" i="92"/>
  <c r="J200" i="92"/>
  <c r="I200" i="92"/>
  <c r="F200" i="92"/>
  <c r="F212" i="92" s="1"/>
  <c r="F224" i="92" s="1"/>
  <c r="F236" i="92" s="1"/>
  <c r="F248" i="92" s="1"/>
  <c r="F260" i="92" s="1"/>
  <c r="F272" i="92" s="1"/>
  <c r="F284" i="92" s="1"/>
  <c r="F296" i="92" s="1"/>
  <c r="F308" i="92" s="1"/>
  <c r="F320" i="92" s="1"/>
  <c r="F332" i="92" s="1"/>
  <c r="F344" i="92" s="1"/>
  <c r="F356" i="92" s="1"/>
  <c r="F368" i="92" s="1"/>
  <c r="F380" i="92" s="1"/>
  <c r="F392" i="92" s="1"/>
  <c r="F404" i="92" s="1"/>
  <c r="F416" i="92" s="1"/>
  <c r="F428" i="92" s="1"/>
  <c r="F440" i="92" s="1"/>
  <c r="F452" i="92" s="1"/>
  <c r="F464" i="92" s="1"/>
  <c r="F476" i="92" s="1"/>
  <c r="F488" i="92" s="1"/>
  <c r="F500" i="92" s="1"/>
  <c r="F512" i="92" s="1"/>
  <c r="S199" i="92"/>
  <c r="N199" i="92"/>
  <c r="J199" i="92"/>
  <c r="I199" i="92"/>
  <c r="F199" i="92"/>
  <c r="F211" i="92" s="1"/>
  <c r="F223" i="92" s="1"/>
  <c r="F235" i="92" s="1"/>
  <c r="F247" i="92" s="1"/>
  <c r="F259" i="92" s="1"/>
  <c r="F271" i="92" s="1"/>
  <c r="F283" i="92" s="1"/>
  <c r="F295" i="92" s="1"/>
  <c r="F307" i="92" s="1"/>
  <c r="F319" i="92" s="1"/>
  <c r="F331" i="92" s="1"/>
  <c r="F343" i="92" s="1"/>
  <c r="F355" i="92" s="1"/>
  <c r="F367" i="92" s="1"/>
  <c r="F379" i="92" s="1"/>
  <c r="F391" i="92" s="1"/>
  <c r="F403" i="92" s="1"/>
  <c r="F415" i="92" s="1"/>
  <c r="F427" i="92" s="1"/>
  <c r="F439" i="92" s="1"/>
  <c r="F451" i="92" s="1"/>
  <c r="F463" i="92" s="1"/>
  <c r="F475" i="92" s="1"/>
  <c r="F487" i="92" s="1"/>
  <c r="F499" i="92" s="1"/>
  <c r="F511" i="92" s="1"/>
  <c r="S198" i="92"/>
  <c r="N198" i="92"/>
  <c r="J198" i="92"/>
  <c r="I198" i="92"/>
  <c r="F198" i="92"/>
  <c r="F210" i="92" s="1"/>
  <c r="F222" i="92" s="1"/>
  <c r="F234" i="92" s="1"/>
  <c r="F246" i="92" s="1"/>
  <c r="F258" i="92" s="1"/>
  <c r="F270" i="92" s="1"/>
  <c r="F282" i="92" s="1"/>
  <c r="F294" i="92" s="1"/>
  <c r="F306" i="92" s="1"/>
  <c r="F318" i="92" s="1"/>
  <c r="F330" i="92" s="1"/>
  <c r="F342" i="92" s="1"/>
  <c r="F354" i="92" s="1"/>
  <c r="F366" i="92" s="1"/>
  <c r="F378" i="92" s="1"/>
  <c r="F390" i="92" s="1"/>
  <c r="F402" i="92" s="1"/>
  <c r="F414" i="92" s="1"/>
  <c r="F426" i="92" s="1"/>
  <c r="F438" i="92" s="1"/>
  <c r="F450" i="92" s="1"/>
  <c r="F462" i="92" s="1"/>
  <c r="F474" i="92" s="1"/>
  <c r="F486" i="92" s="1"/>
  <c r="F498" i="92" s="1"/>
  <c r="F510" i="92" s="1"/>
  <c r="S197" i="92"/>
  <c r="N197" i="92"/>
  <c r="J197" i="92"/>
  <c r="I197" i="92"/>
  <c r="F197" i="92"/>
  <c r="F209" i="92" s="1"/>
  <c r="F221" i="92" s="1"/>
  <c r="F233" i="92" s="1"/>
  <c r="F245" i="92" s="1"/>
  <c r="F257" i="92" s="1"/>
  <c r="F269" i="92" s="1"/>
  <c r="F281" i="92" s="1"/>
  <c r="F293" i="92" s="1"/>
  <c r="F305" i="92" s="1"/>
  <c r="F317" i="92" s="1"/>
  <c r="F329" i="92" s="1"/>
  <c r="F341" i="92" s="1"/>
  <c r="F353" i="92" s="1"/>
  <c r="F365" i="92" s="1"/>
  <c r="F377" i="92" s="1"/>
  <c r="F389" i="92" s="1"/>
  <c r="F401" i="92" s="1"/>
  <c r="F413" i="92" s="1"/>
  <c r="F425" i="92" s="1"/>
  <c r="F437" i="92" s="1"/>
  <c r="F449" i="92" s="1"/>
  <c r="F461" i="92" s="1"/>
  <c r="F473" i="92" s="1"/>
  <c r="F485" i="92" s="1"/>
  <c r="F497" i="92" s="1"/>
  <c r="F509" i="92" s="1"/>
  <c r="S196" i="92"/>
  <c r="N196" i="92"/>
  <c r="J196" i="92"/>
  <c r="I196" i="92"/>
  <c r="F196" i="92"/>
  <c r="F208" i="92" s="1"/>
  <c r="F220" i="92" s="1"/>
  <c r="F232" i="92" s="1"/>
  <c r="F244" i="92" s="1"/>
  <c r="F256" i="92" s="1"/>
  <c r="F268" i="92" s="1"/>
  <c r="F280" i="92" s="1"/>
  <c r="F292" i="92" s="1"/>
  <c r="F304" i="92" s="1"/>
  <c r="F316" i="92" s="1"/>
  <c r="F328" i="92" s="1"/>
  <c r="F340" i="92" s="1"/>
  <c r="F352" i="92" s="1"/>
  <c r="F364" i="92" s="1"/>
  <c r="F376" i="92" s="1"/>
  <c r="F388" i="92" s="1"/>
  <c r="F400" i="92" s="1"/>
  <c r="F412" i="92" s="1"/>
  <c r="F424" i="92" s="1"/>
  <c r="F436" i="92" s="1"/>
  <c r="F448" i="92" s="1"/>
  <c r="F460" i="92" s="1"/>
  <c r="F472" i="92" s="1"/>
  <c r="F484" i="92" s="1"/>
  <c r="F496" i="92" s="1"/>
  <c r="F508" i="92" s="1"/>
  <c r="S195" i="92"/>
  <c r="N195" i="92"/>
  <c r="J195" i="92"/>
  <c r="I195" i="92"/>
  <c r="F195" i="92"/>
  <c r="F207" i="92" s="1"/>
  <c r="F219" i="92" s="1"/>
  <c r="F231" i="92" s="1"/>
  <c r="F243" i="92" s="1"/>
  <c r="F255" i="92" s="1"/>
  <c r="F267" i="92" s="1"/>
  <c r="F279" i="92" s="1"/>
  <c r="F291" i="92" s="1"/>
  <c r="F303" i="92" s="1"/>
  <c r="F315" i="92" s="1"/>
  <c r="F327" i="92" s="1"/>
  <c r="F339" i="92" s="1"/>
  <c r="F351" i="92" s="1"/>
  <c r="F363" i="92" s="1"/>
  <c r="F375" i="92" s="1"/>
  <c r="F387" i="92" s="1"/>
  <c r="F399" i="92" s="1"/>
  <c r="F411" i="92" s="1"/>
  <c r="F423" i="92" s="1"/>
  <c r="F435" i="92" s="1"/>
  <c r="F447" i="92" s="1"/>
  <c r="F459" i="92" s="1"/>
  <c r="F471" i="92" s="1"/>
  <c r="F483" i="92" s="1"/>
  <c r="F495" i="92" s="1"/>
  <c r="F507" i="92" s="1"/>
  <c r="S194" i="92"/>
  <c r="N194" i="92"/>
  <c r="J194" i="92"/>
  <c r="I194" i="92"/>
  <c r="F194" i="92"/>
  <c r="F206" i="92" s="1"/>
  <c r="F218" i="92" s="1"/>
  <c r="F230" i="92" s="1"/>
  <c r="F242" i="92" s="1"/>
  <c r="F254" i="92" s="1"/>
  <c r="F266" i="92" s="1"/>
  <c r="F278" i="92" s="1"/>
  <c r="F290" i="92" s="1"/>
  <c r="F302" i="92" s="1"/>
  <c r="F314" i="92" s="1"/>
  <c r="F326" i="92" s="1"/>
  <c r="F338" i="92" s="1"/>
  <c r="F350" i="92" s="1"/>
  <c r="F362" i="92" s="1"/>
  <c r="F374" i="92" s="1"/>
  <c r="F386" i="92" s="1"/>
  <c r="F398" i="92" s="1"/>
  <c r="F410" i="92" s="1"/>
  <c r="F422" i="92" s="1"/>
  <c r="F434" i="92" s="1"/>
  <c r="F446" i="92" s="1"/>
  <c r="F458" i="92" s="1"/>
  <c r="F470" i="92" s="1"/>
  <c r="F482" i="92" s="1"/>
  <c r="F494" i="92" s="1"/>
  <c r="F506" i="92" s="1"/>
  <c r="S193" i="92"/>
  <c r="N193" i="92"/>
  <c r="J193" i="92"/>
  <c r="I193" i="92"/>
  <c r="F193" i="92"/>
  <c r="E193" i="92"/>
  <c r="E205" i="92" s="1"/>
  <c r="E217" i="92" s="1"/>
  <c r="E229" i="92" s="1"/>
  <c r="E241" i="92" s="1"/>
  <c r="E253" i="92" s="1"/>
  <c r="E265" i="92" s="1"/>
  <c r="E277" i="92" s="1"/>
  <c r="E289" i="92" s="1"/>
  <c r="E301" i="92" s="1"/>
  <c r="E313" i="92" s="1"/>
  <c r="E325" i="92" s="1"/>
  <c r="E337" i="92" s="1"/>
  <c r="E349" i="92" s="1"/>
  <c r="E361" i="92" s="1"/>
  <c r="E373" i="92" s="1"/>
  <c r="E385" i="92" s="1"/>
  <c r="E397" i="92" s="1"/>
  <c r="E409" i="92" s="1"/>
  <c r="E421" i="92" s="1"/>
  <c r="E433" i="92" s="1"/>
  <c r="E445" i="92" s="1"/>
  <c r="E457" i="92" s="1"/>
  <c r="E469" i="92" s="1"/>
  <c r="E481" i="92" s="1"/>
  <c r="E493" i="92" s="1"/>
  <c r="E505" i="92" s="1"/>
  <c r="S192" i="92"/>
  <c r="N192" i="92"/>
  <c r="J192" i="92"/>
  <c r="I192" i="92"/>
  <c r="F192" i="92"/>
  <c r="E192" i="92"/>
  <c r="E204" i="92" s="1"/>
  <c r="E216" i="92" s="1"/>
  <c r="E228" i="92" s="1"/>
  <c r="E240" i="92" s="1"/>
  <c r="E252" i="92" s="1"/>
  <c r="E264" i="92" s="1"/>
  <c r="E276" i="92" s="1"/>
  <c r="E288" i="92" s="1"/>
  <c r="E300" i="92" s="1"/>
  <c r="E312" i="92" s="1"/>
  <c r="E324" i="92" s="1"/>
  <c r="E336" i="92" s="1"/>
  <c r="E348" i="92" s="1"/>
  <c r="E360" i="92" s="1"/>
  <c r="E372" i="92" s="1"/>
  <c r="E384" i="92" s="1"/>
  <c r="E396" i="92" s="1"/>
  <c r="E408" i="92" s="1"/>
  <c r="E420" i="92" s="1"/>
  <c r="E432" i="92" s="1"/>
  <c r="E444" i="92" s="1"/>
  <c r="E456" i="92" s="1"/>
  <c r="E468" i="92" s="1"/>
  <c r="E480" i="92" s="1"/>
  <c r="E492" i="92" s="1"/>
  <c r="E504" i="92" s="1"/>
  <c r="S191" i="92"/>
  <c r="N191" i="92"/>
  <c r="J191" i="92"/>
  <c r="I191" i="92"/>
  <c r="F191" i="92"/>
  <c r="E191" i="92"/>
  <c r="E203" i="92" s="1"/>
  <c r="E215" i="92" s="1"/>
  <c r="E227" i="92" s="1"/>
  <c r="E239" i="92" s="1"/>
  <c r="E251" i="92" s="1"/>
  <c r="E263" i="92" s="1"/>
  <c r="E275" i="92" s="1"/>
  <c r="E287" i="92" s="1"/>
  <c r="E299" i="92" s="1"/>
  <c r="E311" i="92" s="1"/>
  <c r="E323" i="92" s="1"/>
  <c r="E335" i="92" s="1"/>
  <c r="E347" i="92" s="1"/>
  <c r="E359" i="92" s="1"/>
  <c r="E371" i="92" s="1"/>
  <c r="E383" i="92" s="1"/>
  <c r="E395" i="92" s="1"/>
  <c r="E407" i="92" s="1"/>
  <c r="E419" i="92" s="1"/>
  <c r="E431" i="92" s="1"/>
  <c r="E443" i="92" s="1"/>
  <c r="E455" i="92" s="1"/>
  <c r="E467" i="92" s="1"/>
  <c r="E479" i="92" s="1"/>
  <c r="E491" i="92" s="1"/>
  <c r="E503" i="92" s="1"/>
  <c r="S190" i="92"/>
  <c r="N190" i="92"/>
  <c r="J190" i="92"/>
  <c r="I190" i="92"/>
  <c r="F190" i="92"/>
  <c r="E190" i="92"/>
  <c r="E202" i="92" s="1"/>
  <c r="E214" i="92" s="1"/>
  <c r="E226" i="92" s="1"/>
  <c r="E238" i="92" s="1"/>
  <c r="E250" i="92" s="1"/>
  <c r="E262" i="92" s="1"/>
  <c r="E274" i="92" s="1"/>
  <c r="E286" i="92" s="1"/>
  <c r="E298" i="92" s="1"/>
  <c r="E310" i="92" s="1"/>
  <c r="E322" i="92" s="1"/>
  <c r="E334" i="92" s="1"/>
  <c r="E346" i="92" s="1"/>
  <c r="E358" i="92" s="1"/>
  <c r="E370" i="92" s="1"/>
  <c r="E382" i="92" s="1"/>
  <c r="E394" i="92" s="1"/>
  <c r="E406" i="92" s="1"/>
  <c r="E418" i="92" s="1"/>
  <c r="E430" i="92" s="1"/>
  <c r="E442" i="92" s="1"/>
  <c r="E454" i="92" s="1"/>
  <c r="E466" i="92" s="1"/>
  <c r="E478" i="92" s="1"/>
  <c r="E490" i="92" s="1"/>
  <c r="E502" i="92" s="1"/>
  <c r="S189" i="92"/>
  <c r="N189" i="92"/>
  <c r="J189" i="92"/>
  <c r="I189" i="92"/>
  <c r="F189" i="92"/>
  <c r="E189" i="92"/>
  <c r="E201" i="92" s="1"/>
  <c r="E213" i="92" s="1"/>
  <c r="E225" i="92" s="1"/>
  <c r="E237" i="92" s="1"/>
  <c r="E249" i="92" s="1"/>
  <c r="E261" i="92" s="1"/>
  <c r="E273" i="92" s="1"/>
  <c r="E285" i="92" s="1"/>
  <c r="E297" i="92" s="1"/>
  <c r="E309" i="92" s="1"/>
  <c r="E321" i="92" s="1"/>
  <c r="E333" i="92" s="1"/>
  <c r="E345" i="92" s="1"/>
  <c r="E357" i="92" s="1"/>
  <c r="E369" i="92" s="1"/>
  <c r="E381" i="92" s="1"/>
  <c r="E393" i="92" s="1"/>
  <c r="E405" i="92" s="1"/>
  <c r="E417" i="92" s="1"/>
  <c r="E429" i="92" s="1"/>
  <c r="E441" i="92" s="1"/>
  <c r="E453" i="92" s="1"/>
  <c r="E465" i="92" s="1"/>
  <c r="E477" i="92" s="1"/>
  <c r="E489" i="92" s="1"/>
  <c r="E501" i="92" s="1"/>
  <c r="S188" i="92"/>
  <c r="N188" i="92"/>
  <c r="J188" i="92"/>
  <c r="I188" i="92"/>
  <c r="F188" i="92"/>
  <c r="E188" i="92"/>
  <c r="E200" i="92" s="1"/>
  <c r="E212" i="92" s="1"/>
  <c r="E224" i="92" s="1"/>
  <c r="E236" i="92" s="1"/>
  <c r="E248" i="92" s="1"/>
  <c r="E260" i="92" s="1"/>
  <c r="E272" i="92" s="1"/>
  <c r="E284" i="92" s="1"/>
  <c r="E296" i="92" s="1"/>
  <c r="E308" i="92" s="1"/>
  <c r="E320" i="92" s="1"/>
  <c r="E332" i="92" s="1"/>
  <c r="E344" i="92" s="1"/>
  <c r="E356" i="92" s="1"/>
  <c r="E368" i="92" s="1"/>
  <c r="E380" i="92" s="1"/>
  <c r="E392" i="92" s="1"/>
  <c r="E404" i="92" s="1"/>
  <c r="E416" i="92" s="1"/>
  <c r="E428" i="92" s="1"/>
  <c r="E440" i="92" s="1"/>
  <c r="E452" i="92" s="1"/>
  <c r="E464" i="92" s="1"/>
  <c r="E476" i="92" s="1"/>
  <c r="E488" i="92" s="1"/>
  <c r="E500" i="92" s="1"/>
  <c r="S187" i="92"/>
  <c r="N187" i="92"/>
  <c r="J187" i="92"/>
  <c r="I187" i="92"/>
  <c r="F187" i="92"/>
  <c r="E187" i="92"/>
  <c r="E199" i="92" s="1"/>
  <c r="E211" i="92" s="1"/>
  <c r="E223" i="92" s="1"/>
  <c r="E235" i="92" s="1"/>
  <c r="E247" i="92" s="1"/>
  <c r="E259" i="92" s="1"/>
  <c r="E271" i="92" s="1"/>
  <c r="E283" i="92" s="1"/>
  <c r="E295" i="92" s="1"/>
  <c r="E307" i="92" s="1"/>
  <c r="E319" i="92" s="1"/>
  <c r="E331" i="92" s="1"/>
  <c r="E343" i="92" s="1"/>
  <c r="E355" i="92" s="1"/>
  <c r="E367" i="92" s="1"/>
  <c r="E379" i="92" s="1"/>
  <c r="E391" i="92" s="1"/>
  <c r="E403" i="92" s="1"/>
  <c r="E415" i="92" s="1"/>
  <c r="E427" i="92" s="1"/>
  <c r="E439" i="92" s="1"/>
  <c r="E451" i="92" s="1"/>
  <c r="E463" i="92" s="1"/>
  <c r="E475" i="92" s="1"/>
  <c r="E487" i="92" s="1"/>
  <c r="E499" i="92" s="1"/>
  <c r="S186" i="92"/>
  <c r="N186" i="92"/>
  <c r="J186" i="92"/>
  <c r="I186" i="92"/>
  <c r="F186" i="92"/>
  <c r="E186" i="92"/>
  <c r="E198" i="92" s="1"/>
  <c r="E210" i="92" s="1"/>
  <c r="E222" i="92" s="1"/>
  <c r="E234" i="92" s="1"/>
  <c r="E246" i="92" s="1"/>
  <c r="E258" i="92" s="1"/>
  <c r="E270" i="92" s="1"/>
  <c r="E282" i="92" s="1"/>
  <c r="E294" i="92" s="1"/>
  <c r="E306" i="92" s="1"/>
  <c r="E318" i="92" s="1"/>
  <c r="E330" i="92" s="1"/>
  <c r="E342" i="92" s="1"/>
  <c r="E354" i="92" s="1"/>
  <c r="E366" i="92" s="1"/>
  <c r="E378" i="92" s="1"/>
  <c r="E390" i="92" s="1"/>
  <c r="E402" i="92" s="1"/>
  <c r="E414" i="92" s="1"/>
  <c r="E426" i="92" s="1"/>
  <c r="E438" i="92" s="1"/>
  <c r="E450" i="92" s="1"/>
  <c r="E462" i="92" s="1"/>
  <c r="E474" i="92" s="1"/>
  <c r="E486" i="92" s="1"/>
  <c r="E498" i="92" s="1"/>
  <c r="S185" i="92"/>
  <c r="N185" i="92"/>
  <c r="J185" i="92"/>
  <c r="I185" i="92"/>
  <c r="F185" i="92"/>
  <c r="E185" i="92"/>
  <c r="E197" i="92" s="1"/>
  <c r="E209" i="92" s="1"/>
  <c r="E221" i="92" s="1"/>
  <c r="E233" i="92" s="1"/>
  <c r="E245" i="92" s="1"/>
  <c r="E257" i="92" s="1"/>
  <c r="E269" i="92" s="1"/>
  <c r="E281" i="92" s="1"/>
  <c r="E293" i="92" s="1"/>
  <c r="E305" i="92" s="1"/>
  <c r="E317" i="92" s="1"/>
  <c r="E329" i="92" s="1"/>
  <c r="E341" i="92" s="1"/>
  <c r="E353" i="92" s="1"/>
  <c r="E365" i="92" s="1"/>
  <c r="E377" i="92" s="1"/>
  <c r="E389" i="92" s="1"/>
  <c r="E401" i="92" s="1"/>
  <c r="E413" i="92" s="1"/>
  <c r="E425" i="92" s="1"/>
  <c r="E437" i="92" s="1"/>
  <c r="E449" i="92" s="1"/>
  <c r="E461" i="92" s="1"/>
  <c r="E473" i="92" s="1"/>
  <c r="E485" i="92" s="1"/>
  <c r="E497" i="92" s="1"/>
  <c r="S184" i="92"/>
  <c r="N184" i="92"/>
  <c r="J184" i="92"/>
  <c r="I184" i="92"/>
  <c r="F184" i="92"/>
  <c r="E184" i="92"/>
  <c r="E196" i="92" s="1"/>
  <c r="E208" i="92" s="1"/>
  <c r="E220" i="92" s="1"/>
  <c r="E232" i="92" s="1"/>
  <c r="E244" i="92" s="1"/>
  <c r="E256" i="92" s="1"/>
  <c r="E268" i="92" s="1"/>
  <c r="E280" i="92" s="1"/>
  <c r="E292" i="92" s="1"/>
  <c r="E304" i="92" s="1"/>
  <c r="E316" i="92" s="1"/>
  <c r="E328" i="92" s="1"/>
  <c r="E340" i="92" s="1"/>
  <c r="E352" i="92" s="1"/>
  <c r="E364" i="92" s="1"/>
  <c r="E376" i="92" s="1"/>
  <c r="E388" i="92" s="1"/>
  <c r="E400" i="92" s="1"/>
  <c r="E412" i="92" s="1"/>
  <c r="E424" i="92" s="1"/>
  <c r="E436" i="92" s="1"/>
  <c r="E448" i="92" s="1"/>
  <c r="E460" i="92" s="1"/>
  <c r="E472" i="92" s="1"/>
  <c r="E484" i="92" s="1"/>
  <c r="E496" i="92" s="1"/>
  <c r="S183" i="92"/>
  <c r="N183" i="92"/>
  <c r="J183" i="92"/>
  <c r="I183" i="92"/>
  <c r="F183" i="92"/>
  <c r="E183" i="92"/>
  <c r="E195" i="92" s="1"/>
  <c r="E207" i="92" s="1"/>
  <c r="E219" i="92" s="1"/>
  <c r="E231" i="92" s="1"/>
  <c r="E243" i="92" s="1"/>
  <c r="E255" i="92" s="1"/>
  <c r="E267" i="92" s="1"/>
  <c r="E279" i="92" s="1"/>
  <c r="E291" i="92" s="1"/>
  <c r="E303" i="92" s="1"/>
  <c r="E315" i="92" s="1"/>
  <c r="E327" i="92" s="1"/>
  <c r="E339" i="92" s="1"/>
  <c r="E351" i="92" s="1"/>
  <c r="E363" i="92" s="1"/>
  <c r="E375" i="92" s="1"/>
  <c r="E387" i="92" s="1"/>
  <c r="E399" i="92" s="1"/>
  <c r="E411" i="92" s="1"/>
  <c r="E423" i="92" s="1"/>
  <c r="E435" i="92" s="1"/>
  <c r="E447" i="92" s="1"/>
  <c r="E459" i="92" s="1"/>
  <c r="E471" i="92" s="1"/>
  <c r="E483" i="92" s="1"/>
  <c r="E495" i="92" s="1"/>
  <c r="S182" i="92"/>
  <c r="N182" i="92"/>
  <c r="J182" i="92"/>
  <c r="I182" i="92"/>
  <c r="F182" i="92"/>
  <c r="E182" i="92"/>
  <c r="E194" i="92" s="1"/>
  <c r="E206" i="92" s="1"/>
  <c r="E218" i="92" s="1"/>
  <c r="E230" i="92" s="1"/>
  <c r="E242" i="92" s="1"/>
  <c r="E254" i="92" s="1"/>
  <c r="E266" i="92" s="1"/>
  <c r="E278" i="92" s="1"/>
  <c r="E290" i="92" s="1"/>
  <c r="E302" i="92" s="1"/>
  <c r="E314" i="92" s="1"/>
  <c r="E326" i="92" s="1"/>
  <c r="E338" i="92" s="1"/>
  <c r="E350" i="92" s="1"/>
  <c r="E362" i="92" s="1"/>
  <c r="E374" i="92" s="1"/>
  <c r="E386" i="92" s="1"/>
  <c r="E398" i="92" s="1"/>
  <c r="E410" i="92" s="1"/>
  <c r="E422" i="92" s="1"/>
  <c r="E434" i="92" s="1"/>
  <c r="E446" i="92" s="1"/>
  <c r="E458" i="92" s="1"/>
  <c r="E470" i="92" s="1"/>
  <c r="E482" i="92" s="1"/>
  <c r="E494" i="92" s="1"/>
  <c r="S181" i="92"/>
  <c r="P181" i="92"/>
  <c r="P193" i="92" s="1"/>
  <c r="P205" i="92" s="1"/>
  <c r="P217" i="92" s="1"/>
  <c r="P229" i="92" s="1"/>
  <c r="P241" i="92" s="1"/>
  <c r="P253" i="92" s="1"/>
  <c r="P265" i="92" s="1"/>
  <c r="P277" i="92" s="1"/>
  <c r="P289" i="92" s="1"/>
  <c r="P301" i="92" s="1"/>
  <c r="P313" i="92" s="1"/>
  <c r="P325" i="92" s="1"/>
  <c r="P337" i="92" s="1"/>
  <c r="P349" i="92" s="1"/>
  <c r="P361" i="92" s="1"/>
  <c r="P373" i="92" s="1"/>
  <c r="P385" i="92" s="1"/>
  <c r="P397" i="92" s="1"/>
  <c r="P409" i="92" s="1"/>
  <c r="P421" i="92" s="1"/>
  <c r="P433" i="92" s="1"/>
  <c r="P445" i="92" s="1"/>
  <c r="P457" i="92" s="1"/>
  <c r="P469" i="92" s="1"/>
  <c r="P481" i="92" s="1"/>
  <c r="P493" i="92" s="1"/>
  <c r="P505" i="92" s="1"/>
  <c r="P517" i="92" s="1"/>
  <c r="O181" i="92"/>
  <c r="O193" i="92" s="1"/>
  <c r="O205" i="92" s="1"/>
  <c r="O217" i="92" s="1"/>
  <c r="O229" i="92" s="1"/>
  <c r="O241" i="92" s="1"/>
  <c r="O253" i="92" s="1"/>
  <c r="O265" i="92" s="1"/>
  <c r="O277" i="92" s="1"/>
  <c r="O289" i="92" s="1"/>
  <c r="O301" i="92" s="1"/>
  <c r="O313" i="92" s="1"/>
  <c r="O325" i="92" s="1"/>
  <c r="O337" i="92" s="1"/>
  <c r="O349" i="92" s="1"/>
  <c r="O361" i="92" s="1"/>
  <c r="O373" i="92" s="1"/>
  <c r="O385" i="92" s="1"/>
  <c r="O397" i="92" s="1"/>
  <c r="O409" i="92" s="1"/>
  <c r="O421" i="92" s="1"/>
  <c r="O433" i="92" s="1"/>
  <c r="O445" i="92" s="1"/>
  <c r="O457" i="92" s="1"/>
  <c r="O469" i="92" s="1"/>
  <c r="O481" i="92" s="1"/>
  <c r="O493" i="92" s="1"/>
  <c r="O505" i="92" s="1"/>
  <c r="O517" i="92" s="1"/>
  <c r="N181" i="92"/>
  <c r="J181" i="92"/>
  <c r="I181" i="92"/>
  <c r="F181" i="92"/>
  <c r="E181" i="92"/>
  <c r="S180" i="92"/>
  <c r="P180" i="92"/>
  <c r="P192" i="92" s="1"/>
  <c r="P204" i="92" s="1"/>
  <c r="P216" i="92" s="1"/>
  <c r="P228" i="92" s="1"/>
  <c r="P240" i="92" s="1"/>
  <c r="P252" i="92" s="1"/>
  <c r="P264" i="92" s="1"/>
  <c r="P276" i="92" s="1"/>
  <c r="P288" i="92" s="1"/>
  <c r="P300" i="92" s="1"/>
  <c r="P312" i="92" s="1"/>
  <c r="P324" i="92" s="1"/>
  <c r="P336" i="92" s="1"/>
  <c r="P348" i="92" s="1"/>
  <c r="P360" i="92" s="1"/>
  <c r="P372" i="92" s="1"/>
  <c r="P384" i="92" s="1"/>
  <c r="P396" i="92" s="1"/>
  <c r="P408" i="92" s="1"/>
  <c r="P420" i="92" s="1"/>
  <c r="P432" i="92" s="1"/>
  <c r="P444" i="92" s="1"/>
  <c r="P456" i="92" s="1"/>
  <c r="P468" i="92" s="1"/>
  <c r="P480" i="92" s="1"/>
  <c r="P492" i="92" s="1"/>
  <c r="P504" i="92" s="1"/>
  <c r="P516" i="92" s="1"/>
  <c r="O180" i="92"/>
  <c r="O192" i="92" s="1"/>
  <c r="O204" i="92" s="1"/>
  <c r="O216" i="92" s="1"/>
  <c r="O228" i="92" s="1"/>
  <c r="O240" i="92" s="1"/>
  <c r="O252" i="92" s="1"/>
  <c r="O264" i="92" s="1"/>
  <c r="O276" i="92" s="1"/>
  <c r="O288" i="92" s="1"/>
  <c r="O300" i="92" s="1"/>
  <c r="O312" i="92" s="1"/>
  <c r="O324" i="92" s="1"/>
  <c r="O336" i="92" s="1"/>
  <c r="O348" i="92" s="1"/>
  <c r="O360" i="92" s="1"/>
  <c r="O372" i="92" s="1"/>
  <c r="O384" i="92" s="1"/>
  <c r="O396" i="92" s="1"/>
  <c r="O408" i="92" s="1"/>
  <c r="O420" i="92" s="1"/>
  <c r="O432" i="92" s="1"/>
  <c r="O444" i="92" s="1"/>
  <c r="O456" i="92" s="1"/>
  <c r="O468" i="92" s="1"/>
  <c r="O480" i="92" s="1"/>
  <c r="O492" i="92" s="1"/>
  <c r="O504" i="92" s="1"/>
  <c r="O516" i="92" s="1"/>
  <c r="N180" i="92"/>
  <c r="J180" i="92"/>
  <c r="I180" i="92"/>
  <c r="F180" i="92"/>
  <c r="E180" i="92"/>
  <c r="S179" i="92"/>
  <c r="P179" i="92"/>
  <c r="P191" i="92" s="1"/>
  <c r="P203" i="92" s="1"/>
  <c r="P215" i="92" s="1"/>
  <c r="P227" i="92" s="1"/>
  <c r="P239" i="92" s="1"/>
  <c r="P251" i="92" s="1"/>
  <c r="P263" i="92" s="1"/>
  <c r="P275" i="92" s="1"/>
  <c r="P287" i="92" s="1"/>
  <c r="P299" i="92" s="1"/>
  <c r="P311" i="92" s="1"/>
  <c r="P323" i="92" s="1"/>
  <c r="P335" i="92" s="1"/>
  <c r="P347" i="92" s="1"/>
  <c r="P359" i="92" s="1"/>
  <c r="P371" i="92" s="1"/>
  <c r="P383" i="92" s="1"/>
  <c r="P395" i="92" s="1"/>
  <c r="P407" i="92" s="1"/>
  <c r="P419" i="92" s="1"/>
  <c r="P431" i="92" s="1"/>
  <c r="P443" i="92" s="1"/>
  <c r="P455" i="92" s="1"/>
  <c r="P467" i="92" s="1"/>
  <c r="P479" i="92" s="1"/>
  <c r="P491" i="92" s="1"/>
  <c r="P503" i="92" s="1"/>
  <c r="P515" i="92" s="1"/>
  <c r="O179" i="92"/>
  <c r="O191" i="92" s="1"/>
  <c r="O203" i="92" s="1"/>
  <c r="O215" i="92" s="1"/>
  <c r="O227" i="92" s="1"/>
  <c r="O239" i="92" s="1"/>
  <c r="O251" i="92" s="1"/>
  <c r="O263" i="92" s="1"/>
  <c r="O275" i="92" s="1"/>
  <c r="O287" i="92" s="1"/>
  <c r="O299" i="92" s="1"/>
  <c r="O311" i="92" s="1"/>
  <c r="O323" i="92" s="1"/>
  <c r="O335" i="92" s="1"/>
  <c r="O347" i="92" s="1"/>
  <c r="O359" i="92" s="1"/>
  <c r="O371" i="92" s="1"/>
  <c r="O383" i="92" s="1"/>
  <c r="O395" i="92" s="1"/>
  <c r="O407" i="92" s="1"/>
  <c r="O419" i="92" s="1"/>
  <c r="O431" i="92" s="1"/>
  <c r="O443" i="92" s="1"/>
  <c r="O455" i="92" s="1"/>
  <c r="O467" i="92" s="1"/>
  <c r="O479" i="92" s="1"/>
  <c r="O491" i="92" s="1"/>
  <c r="O503" i="92" s="1"/>
  <c r="O515" i="92" s="1"/>
  <c r="N179" i="92"/>
  <c r="J179" i="92"/>
  <c r="I179" i="92"/>
  <c r="F179" i="92"/>
  <c r="E179" i="92"/>
  <c r="S178" i="92"/>
  <c r="P178" i="92"/>
  <c r="P190" i="92" s="1"/>
  <c r="P202" i="92" s="1"/>
  <c r="P214" i="92" s="1"/>
  <c r="P226" i="92" s="1"/>
  <c r="P238" i="92" s="1"/>
  <c r="P250" i="92" s="1"/>
  <c r="P262" i="92" s="1"/>
  <c r="P274" i="92" s="1"/>
  <c r="P286" i="92" s="1"/>
  <c r="P298" i="92" s="1"/>
  <c r="P310" i="92" s="1"/>
  <c r="P322" i="92" s="1"/>
  <c r="P334" i="92" s="1"/>
  <c r="P346" i="92" s="1"/>
  <c r="P358" i="92" s="1"/>
  <c r="P370" i="92" s="1"/>
  <c r="P382" i="92" s="1"/>
  <c r="P394" i="92" s="1"/>
  <c r="P406" i="92" s="1"/>
  <c r="P418" i="92" s="1"/>
  <c r="P430" i="92" s="1"/>
  <c r="P442" i="92" s="1"/>
  <c r="P454" i="92" s="1"/>
  <c r="P466" i="92" s="1"/>
  <c r="P478" i="92" s="1"/>
  <c r="P490" i="92" s="1"/>
  <c r="P502" i="92" s="1"/>
  <c r="P514" i="92" s="1"/>
  <c r="O178" i="92"/>
  <c r="O190" i="92" s="1"/>
  <c r="O202" i="92" s="1"/>
  <c r="O214" i="92" s="1"/>
  <c r="O226" i="92" s="1"/>
  <c r="O238" i="92" s="1"/>
  <c r="O250" i="92" s="1"/>
  <c r="O262" i="92" s="1"/>
  <c r="O274" i="92" s="1"/>
  <c r="O286" i="92" s="1"/>
  <c r="O298" i="92" s="1"/>
  <c r="O310" i="92" s="1"/>
  <c r="O322" i="92" s="1"/>
  <c r="O334" i="92" s="1"/>
  <c r="O346" i="92" s="1"/>
  <c r="O358" i="92" s="1"/>
  <c r="O370" i="92" s="1"/>
  <c r="O382" i="92" s="1"/>
  <c r="O394" i="92" s="1"/>
  <c r="O406" i="92" s="1"/>
  <c r="O418" i="92" s="1"/>
  <c r="O430" i="92" s="1"/>
  <c r="O442" i="92" s="1"/>
  <c r="O454" i="92" s="1"/>
  <c r="O466" i="92" s="1"/>
  <c r="O478" i="92" s="1"/>
  <c r="O490" i="92" s="1"/>
  <c r="O502" i="92" s="1"/>
  <c r="O514" i="92" s="1"/>
  <c r="N178" i="92"/>
  <c r="J178" i="92"/>
  <c r="I178" i="92"/>
  <c r="F178" i="92"/>
  <c r="E178" i="92"/>
  <c r="S177" i="92"/>
  <c r="P177" i="92"/>
  <c r="P189" i="92" s="1"/>
  <c r="P201" i="92" s="1"/>
  <c r="P213" i="92" s="1"/>
  <c r="P225" i="92" s="1"/>
  <c r="P237" i="92" s="1"/>
  <c r="P249" i="92" s="1"/>
  <c r="P261" i="92" s="1"/>
  <c r="P273" i="92" s="1"/>
  <c r="P285" i="92" s="1"/>
  <c r="P297" i="92" s="1"/>
  <c r="P309" i="92" s="1"/>
  <c r="P321" i="92" s="1"/>
  <c r="P333" i="92" s="1"/>
  <c r="P345" i="92" s="1"/>
  <c r="P357" i="92" s="1"/>
  <c r="P369" i="92" s="1"/>
  <c r="P381" i="92" s="1"/>
  <c r="P393" i="92" s="1"/>
  <c r="P405" i="92" s="1"/>
  <c r="P417" i="92" s="1"/>
  <c r="P429" i="92" s="1"/>
  <c r="P441" i="92" s="1"/>
  <c r="P453" i="92" s="1"/>
  <c r="P465" i="92" s="1"/>
  <c r="P477" i="92" s="1"/>
  <c r="P489" i="92" s="1"/>
  <c r="P501" i="92" s="1"/>
  <c r="P513" i="92" s="1"/>
  <c r="O177" i="92"/>
  <c r="O189" i="92" s="1"/>
  <c r="O201" i="92" s="1"/>
  <c r="O213" i="92" s="1"/>
  <c r="O225" i="92" s="1"/>
  <c r="O237" i="92" s="1"/>
  <c r="O249" i="92" s="1"/>
  <c r="O261" i="92" s="1"/>
  <c r="O273" i="92" s="1"/>
  <c r="O285" i="92" s="1"/>
  <c r="O297" i="92" s="1"/>
  <c r="O309" i="92" s="1"/>
  <c r="O321" i="92" s="1"/>
  <c r="O333" i="92" s="1"/>
  <c r="O345" i="92" s="1"/>
  <c r="O357" i="92" s="1"/>
  <c r="O369" i="92" s="1"/>
  <c r="O381" i="92" s="1"/>
  <c r="O393" i="92" s="1"/>
  <c r="O405" i="92" s="1"/>
  <c r="O417" i="92" s="1"/>
  <c r="O429" i="92" s="1"/>
  <c r="O441" i="92" s="1"/>
  <c r="O453" i="92" s="1"/>
  <c r="O465" i="92" s="1"/>
  <c r="O477" i="92" s="1"/>
  <c r="O489" i="92" s="1"/>
  <c r="O501" i="92" s="1"/>
  <c r="O513" i="92" s="1"/>
  <c r="N177" i="92"/>
  <c r="J177" i="92"/>
  <c r="I177" i="92"/>
  <c r="F177" i="92"/>
  <c r="E177" i="92"/>
  <c r="S176" i="92"/>
  <c r="P176" i="92"/>
  <c r="P188" i="92" s="1"/>
  <c r="P200" i="92" s="1"/>
  <c r="P212" i="92" s="1"/>
  <c r="P224" i="92" s="1"/>
  <c r="P236" i="92" s="1"/>
  <c r="P248" i="92" s="1"/>
  <c r="P260" i="92" s="1"/>
  <c r="P272" i="92" s="1"/>
  <c r="P284" i="92" s="1"/>
  <c r="P296" i="92" s="1"/>
  <c r="P308" i="92" s="1"/>
  <c r="P320" i="92" s="1"/>
  <c r="P332" i="92" s="1"/>
  <c r="P344" i="92" s="1"/>
  <c r="P356" i="92" s="1"/>
  <c r="P368" i="92" s="1"/>
  <c r="P380" i="92" s="1"/>
  <c r="P392" i="92" s="1"/>
  <c r="P404" i="92" s="1"/>
  <c r="P416" i="92" s="1"/>
  <c r="P428" i="92" s="1"/>
  <c r="P440" i="92" s="1"/>
  <c r="P452" i="92" s="1"/>
  <c r="P464" i="92" s="1"/>
  <c r="P476" i="92" s="1"/>
  <c r="P488" i="92" s="1"/>
  <c r="P500" i="92" s="1"/>
  <c r="P512" i="92" s="1"/>
  <c r="O176" i="92"/>
  <c r="O188" i="92" s="1"/>
  <c r="O200" i="92" s="1"/>
  <c r="O212" i="92" s="1"/>
  <c r="O224" i="92" s="1"/>
  <c r="O236" i="92" s="1"/>
  <c r="O248" i="92" s="1"/>
  <c r="O260" i="92" s="1"/>
  <c r="O272" i="92" s="1"/>
  <c r="O284" i="92" s="1"/>
  <c r="O296" i="92" s="1"/>
  <c r="O308" i="92" s="1"/>
  <c r="O320" i="92" s="1"/>
  <c r="O332" i="92" s="1"/>
  <c r="O344" i="92" s="1"/>
  <c r="O356" i="92" s="1"/>
  <c r="O368" i="92" s="1"/>
  <c r="O380" i="92" s="1"/>
  <c r="O392" i="92" s="1"/>
  <c r="O404" i="92" s="1"/>
  <c r="O416" i="92" s="1"/>
  <c r="O428" i="92" s="1"/>
  <c r="O440" i="92" s="1"/>
  <c r="O452" i="92" s="1"/>
  <c r="O464" i="92" s="1"/>
  <c r="O476" i="92" s="1"/>
  <c r="O488" i="92" s="1"/>
  <c r="O500" i="92" s="1"/>
  <c r="O512" i="92" s="1"/>
  <c r="N176" i="92"/>
  <c r="J176" i="92"/>
  <c r="I176" i="92"/>
  <c r="F176" i="92"/>
  <c r="E176" i="92"/>
  <c r="S175" i="92"/>
  <c r="P175" i="92"/>
  <c r="P187" i="92" s="1"/>
  <c r="P199" i="92" s="1"/>
  <c r="P211" i="92" s="1"/>
  <c r="P223" i="92" s="1"/>
  <c r="P235" i="92" s="1"/>
  <c r="P247" i="92" s="1"/>
  <c r="P259" i="92" s="1"/>
  <c r="P271" i="92" s="1"/>
  <c r="P283" i="92" s="1"/>
  <c r="P295" i="92" s="1"/>
  <c r="P307" i="92" s="1"/>
  <c r="P319" i="92" s="1"/>
  <c r="P331" i="92" s="1"/>
  <c r="P343" i="92" s="1"/>
  <c r="P355" i="92" s="1"/>
  <c r="P367" i="92" s="1"/>
  <c r="P379" i="92" s="1"/>
  <c r="P391" i="92" s="1"/>
  <c r="P403" i="92" s="1"/>
  <c r="P415" i="92" s="1"/>
  <c r="P427" i="92" s="1"/>
  <c r="P439" i="92" s="1"/>
  <c r="P451" i="92" s="1"/>
  <c r="P463" i="92" s="1"/>
  <c r="P475" i="92" s="1"/>
  <c r="P487" i="92" s="1"/>
  <c r="P499" i="92" s="1"/>
  <c r="P511" i="92" s="1"/>
  <c r="O175" i="92"/>
  <c r="O187" i="92" s="1"/>
  <c r="O199" i="92" s="1"/>
  <c r="O211" i="92" s="1"/>
  <c r="O223" i="92" s="1"/>
  <c r="O235" i="92" s="1"/>
  <c r="O247" i="92" s="1"/>
  <c r="O259" i="92" s="1"/>
  <c r="O271" i="92" s="1"/>
  <c r="O283" i="92" s="1"/>
  <c r="O295" i="92" s="1"/>
  <c r="O307" i="92" s="1"/>
  <c r="O319" i="92" s="1"/>
  <c r="O331" i="92" s="1"/>
  <c r="O343" i="92" s="1"/>
  <c r="O355" i="92" s="1"/>
  <c r="O367" i="92" s="1"/>
  <c r="O379" i="92" s="1"/>
  <c r="O391" i="92" s="1"/>
  <c r="O403" i="92" s="1"/>
  <c r="O415" i="92" s="1"/>
  <c r="O427" i="92" s="1"/>
  <c r="O439" i="92" s="1"/>
  <c r="O451" i="92" s="1"/>
  <c r="O463" i="92" s="1"/>
  <c r="O475" i="92" s="1"/>
  <c r="O487" i="92" s="1"/>
  <c r="O499" i="92" s="1"/>
  <c r="O511" i="92" s="1"/>
  <c r="N175" i="92"/>
  <c r="J175" i="92"/>
  <c r="I175" i="92"/>
  <c r="F175" i="92"/>
  <c r="E175" i="92"/>
  <c r="S174" i="92"/>
  <c r="P174" i="92"/>
  <c r="P186" i="92" s="1"/>
  <c r="P198" i="92" s="1"/>
  <c r="P210" i="92" s="1"/>
  <c r="P222" i="92" s="1"/>
  <c r="P234" i="92" s="1"/>
  <c r="P246" i="92" s="1"/>
  <c r="P258" i="92" s="1"/>
  <c r="P270" i="92" s="1"/>
  <c r="P282" i="92" s="1"/>
  <c r="P294" i="92" s="1"/>
  <c r="P306" i="92" s="1"/>
  <c r="P318" i="92" s="1"/>
  <c r="P330" i="92" s="1"/>
  <c r="P342" i="92" s="1"/>
  <c r="P354" i="92" s="1"/>
  <c r="P366" i="92" s="1"/>
  <c r="P378" i="92" s="1"/>
  <c r="P390" i="92" s="1"/>
  <c r="P402" i="92" s="1"/>
  <c r="P414" i="92" s="1"/>
  <c r="P426" i="92" s="1"/>
  <c r="P438" i="92" s="1"/>
  <c r="P450" i="92" s="1"/>
  <c r="P462" i="92" s="1"/>
  <c r="P474" i="92" s="1"/>
  <c r="P486" i="92" s="1"/>
  <c r="P498" i="92" s="1"/>
  <c r="P510" i="92" s="1"/>
  <c r="O174" i="92"/>
  <c r="O186" i="92" s="1"/>
  <c r="O198" i="92" s="1"/>
  <c r="O210" i="92" s="1"/>
  <c r="O222" i="92" s="1"/>
  <c r="O234" i="92" s="1"/>
  <c r="O246" i="92" s="1"/>
  <c r="O258" i="92" s="1"/>
  <c r="O270" i="92" s="1"/>
  <c r="O282" i="92" s="1"/>
  <c r="O294" i="92" s="1"/>
  <c r="O306" i="92" s="1"/>
  <c r="O318" i="92" s="1"/>
  <c r="O330" i="92" s="1"/>
  <c r="O342" i="92" s="1"/>
  <c r="O354" i="92" s="1"/>
  <c r="O366" i="92" s="1"/>
  <c r="O378" i="92" s="1"/>
  <c r="O390" i="92" s="1"/>
  <c r="O402" i="92" s="1"/>
  <c r="O414" i="92" s="1"/>
  <c r="O426" i="92" s="1"/>
  <c r="O438" i="92" s="1"/>
  <c r="O450" i="92" s="1"/>
  <c r="O462" i="92" s="1"/>
  <c r="O474" i="92" s="1"/>
  <c r="O486" i="92" s="1"/>
  <c r="O498" i="92" s="1"/>
  <c r="O510" i="92" s="1"/>
  <c r="N174" i="92"/>
  <c r="J174" i="92"/>
  <c r="I174" i="92"/>
  <c r="F174" i="92"/>
  <c r="E174" i="92"/>
  <c r="S173" i="92"/>
  <c r="P173" i="92"/>
  <c r="P185" i="92" s="1"/>
  <c r="P197" i="92" s="1"/>
  <c r="P209" i="92" s="1"/>
  <c r="P221" i="92" s="1"/>
  <c r="P233" i="92" s="1"/>
  <c r="P245" i="92" s="1"/>
  <c r="P257" i="92" s="1"/>
  <c r="P269" i="92" s="1"/>
  <c r="P281" i="92" s="1"/>
  <c r="P293" i="92" s="1"/>
  <c r="P305" i="92" s="1"/>
  <c r="P317" i="92" s="1"/>
  <c r="P329" i="92" s="1"/>
  <c r="P341" i="92" s="1"/>
  <c r="P353" i="92" s="1"/>
  <c r="P365" i="92" s="1"/>
  <c r="P377" i="92" s="1"/>
  <c r="P389" i="92" s="1"/>
  <c r="P401" i="92" s="1"/>
  <c r="P413" i="92" s="1"/>
  <c r="P425" i="92" s="1"/>
  <c r="P437" i="92" s="1"/>
  <c r="P449" i="92" s="1"/>
  <c r="P461" i="92" s="1"/>
  <c r="P473" i="92" s="1"/>
  <c r="P485" i="92" s="1"/>
  <c r="P497" i="92" s="1"/>
  <c r="P509" i="92" s="1"/>
  <c r="O173" i="92"/>
  <c r="O185" i="92" s="1"/>
  <c r="O197" i="92" s="1"/>
  <c r="O209" i="92" s="1"/>
  <c r="O221" i="92" s="1"/>
  <c r="O233" i="92" s="1"/>
  <c r="O245" i="92" s="1"/>
  <c r="O257" i="92" s="1"/>
  <c r="O269" i="92" s="1"/>
  <c r="O281" i="92" s="1"/>
  <c r="O293" i="92" s="1"/>
  <c r="O305" i="92" s="1"/>
  <c r="O317" i="92" s="1"/>
  <c r="O329" i="92" s="1"/>
  <c r="O341" i="92" s="1"/>
  <c r="O353" i="92" s="1"/>
  <c r="O365" i="92" s="1"/>
  <c r="O377" i="92" s="1"/>
  <c r="O389" i="92" s="1"/>
  <c r="O401" i="92" s="1"/>
  <c r="O413" i="92" s="1"/>
  <c r="O425" i="92" s="1"/>
  <c r="O437" i="92" s="1"/>
  <c r="O449" i="92" s="1"/>
  <c r="O461" i="92" s="1"/>
  <c r="O473" i="92" s="1"/>
  <c r="O485" i="92" s="1"/>
  <c r="O497" i="92" s="1"/>
  <c r="O509" i="92" s="1"/>
  <c r="N173" i="92"/>
  <c r="J173" i="92"/>
  <c r="I173" i="92"/>
  <c r="F173" i="92"/>
  <c r="E173" i="92"/>
  <c r="S172" i="92"/>
  <c r="P172" i="92"/>
  <c r="P184" i="92" s="1"/>
  <c r="P196" i="92" s="1"/>
  <c r="P208" i="92" s="1"/>
  <c r="P220" i="92" s="1"/>
  <c r="P232" i="92" s="1"/>
  <c r="P244" i="92" s="1"/>
  <c r="P256" i="92" s="1"/>
  <c r="P268" i="92" s="1"/>
  <c r="P280" i="92" s="1"/>
  <c r="P292" i="92" s="1"/>
  <c r="P304" i="92" s="1"/>
  <c r="P316" i="92" s="1"/>
  <c r="P328" i="92" s="1"/>
  <c r="P340" i="92" s="1"/>
  <c r="P352" i="92" s="1"/>
  <c r="P364" i="92" s="1"/>
  <c r="P376" i="92" s="1"/>
  <c r="P388" i="92" s="1"/>
  <c r="P400" i="92" s="1"/>
  <c r="P412" i="92" s="1"/>
  <c r="P424" i="92" s="1"/>
  <c r="P436" i="92" s="1"/>
  <c r="P448" i="92" s="1"/>
  <c r="P460" i="92" s="1"/>
  <c r="P472" i="92" s="1"/>
  <c r="P484" i="92" s="1"/>
  <c r="P496" i="92" s="1"/>
  <c r="P508" i="92" s="1"/>
  <c r="O172" i="92"/>
  <c r="O184" i="92" s="1"/>
  <c r="O196" i="92" s="1"/>
  <c r="O208" i="92" s="1"/>
  <c r="O220" i="92" s="1"/>
  <c r="O232" i="92" s="1"/>
  <c r="O244" i="92" s="1"/>
  <c r="O256" i="92" s="1"/>
  <c r="O268" i="92" s="1"/>
  <c r="O280" i="92" s="1"/>
  <c r="O292" i="92" s="1"/>
  <c r="O304" i="92" s="1"/>
  <c r="O316" i="92" s="1"/>
  <c r="O328" i="92" s="1"/>
  <c r="O340" i="92" s="1"/>
  <c r="O352" i="92" s="1"/>
  <c r="O364" i="92" s="1"/>
  <c r="O376" i="92" s="1"/>
  <c r="O388" i="92" s="1"/>
  <c r="O400" i="92" s="1"/>
  <c r="O412" i="92" s="1"/>
  <c r="O424" i="92" s="1"/>
  <c r="O436" i="92" s="1"/>
  <c r="O448" i="92" s="1"/>
  <c r="O460" i="92" s="1"/>
  <c r="O472" i="92" s="1"/>
  <c r="O484" i="92" s="1"/>
  <c r="O496" i="92" s="1"/>
  <c r="O508" i="92" s="1"/>
  <c r="N172" i="92"/>
  <c r="J172" i="92"/>
  <c r="I172" i="92"/>
  <c r="F172" i="92"/>
  <c r="E172" i="92"/>
  <c r="S171" i="92"/>
  <c r="P171" i="92"/>
  <c r="P183" i="92" s="1"/>
  <c r="P195" i="92" s="1"/>
  <c r="P207" i="92" s="1"/>
  <c r="P219" i="92" s="1"/>
  <c r="P231" i="92" s="1"/>
  <c r="P243" i="92" s="1"/>
  <c r="P255" i="92" s="1"/>
  <c r="P267" i="92" s="1"/>
  <c r="P279" i="92" s="1"/>
  <c r="P291" i="92" s="1"/>
  <c r="P303" i="92" s="1"/>
  <c r="P315" i="92" s="1"/>
  <c r="P327" i="92" s="1"/>
  <c r="P339" i="92" s="1"/>
  <c r="P351" i="92" s="1"/>
  <c r="P363" i="92" s="1"/>
  <c r="P375" i="92" s="1"/>
  <c r="P387" i="92" s="1"/>
  <c r="P399" i="92" s="1"/>
  <c r="P411" i="92" s="1"/>
  <c r="P423" i="92" s="1"/>
  <c r="P435" i="92" s="1"/>
  <c r="P447" i="92" s="1"/>
  <c r="P459" i="92" s="1"/>
  <c r="P471" i="92" s="1"/>
  <c r="P483" i="92" s="1"/>
  <c r="P495" i="92" s="1"/>
  <c r="P507" i="92" s="1"/>
  <c r="O171" i="92"/>
  <c r="O183" i="92" s="1"/>
  <c r="O195" i="92" s="1"/>
  <c r="O207" i="92" s="1"/>
  <c r="O219" i="92" s="1"/>
  <c r="O231" i="92" s="1"/>
  <c r="O243" i="92" s="1"/>
  <c r="O255" i="92" s="1"/>
  <c r="O267" i="92" s="1"/>
  <c r="O279" i="92" s="1"/>
  <c r="O291" i="92" s="1"/>
  <c r="O303" i="92" s="1"/>
  <c r="O315" i="92" s="1"/>
  <c r="O327" i="92" s="1"/>
  <c r="O339" i="92" s="1"/>
  <c r="O351" i="92" s="1"/>
  <c r="O363" i="92" s="1"/>
  <c r="O375" i="92" s="1"/>
  <c r="O387" i="92" s="1"/>
  <c r="O399" i="92" s="1"/>
  <c r="O411" i="92" s="1"/>
  <c r="O423" i="92" s="1"/>
  <c r="O435" i="92" s="1"/>
  <c r="O447" i="92" s="1"/>
  <c r="O459" i="92" s="1"/>
  <c r="O471" i="92" s="1"/>
  <c r="O483" i="92" s="1"/>
  <c r="O495" i="92" s="1"/>
  <c r="O507" i="92" s="1"/>
  <c r="N171" i="92"/>
  <c r="J171" i="92"/>
  <c r="I171" i="92"/>
  <c r="F171" i="92"/>
  <c r="E171" i="92"/>
  <c r="S170" i="92"/>
  <c r="P170" i="92"/>
  <c r="P182" i="92" s="1"/>
  <c r="P194" i="92" s="1"/>
  <c r="P206" i="92" s="1"/>
  <c r="P218" i="92" s="1"/>
  <c r="P230" i="92" s="1"/>
  <c r="P242" i="92" s="1"/>
  <c r="P254" i="92" s="1"/>
  <c r="P266" i="92" s="1"/>
  <c r="P278" i="92" s="1"/>
  <c r="P290" i="92" s="1"/>
  <c r="P302" i="92" s="1"/>
  <c r="P314" i="92" s="1"/>
  <c r="P326" i="92" s="1"/>
  <c r="P338" i="92" s="1"/>
  <c r="P350" i="92" s="1"/>
  <c r="P362" i="92" s="1"/>
  <c r="P374" i="92" s="1"/>
  <c r="P386" i="92" s="1"/>
  <c r="P398" i="92" s="1"/>
  <c r="P410" i="92" s="1"/>
  <c r="P422" i="92" s="1"/>
  <c r="P434" i="92" s="1"/>
  <c r="P446" i="92" s="1"/>
  <c r="P458" i="92" s="1"/>
  <c r="P470" i="92" s="1"/>
  <c r="P482" i="92" s="1"/>
  <c r="P494" i="92" s="1"/>
  <c r="P506" i="92" s="1"/>
  <c r="O170" i="92"/>
  <c r="O182" i="92" s="1"/>
  <c r="O194" i="92" s="1"/>
  <c r="O206" i="92" s="1"/>
  <c r="O218" i="92" s="1"/>
  <c r="O230" i="92" s="1"/>
  <c r="O242" i="92" s="1"/>
  <c r="O254" i="92" s="1"/>
  <c r="O266" i="92" s="1"/>
  <c r="O278" i="92" s="1"/>
  <c r="O290" i="92" s="1"/>
  <c r="O302" i="92" s="1"/>
  <c r="O314" i="92" s="1"/>
  <c r="O326" i="92" s="1"/>
  <c r="O338" i="92" s="1"/>
  <c r="O350" i="92" s="1"/>
  <c r="O362" i="92" s="1"/>
  <c r="O374" i="92" s="1"/>
  <c r="O386" i="92" s="1"/>
  <c r="O398" i="92" s="1"/>
  <c r="O410" i="92" s="1"/>
  <c r="O422" i="92" s="1"/>
  <c r="O434" i="92" s="1"/>
  <c r="O446" i="92" s="1"/>
  <c r="O458" i="92" s="1"/>
  <c r="O470" i="92" s="1"/>
  <c r="O482" i="92" s="1"/>
  <c r="O494" i="92" s="1"/>
  <c r="O506" i="92" s="1"/>
  <c r="N170" i="92"/>
  <c r="J170" i="92"/>
  <c r="I170" i="92"/>
  <c r="F170" i="92"/>
  <c r="E170" i="92"/>
  <c r="S169" i="92"/>
  <c r="N169" i="92"/>
  <c r="J169" i="92"/>
  <c r="I169" i="92"/>
  <c r="F169" i="92"/>
  <c r="E169" i="92"/>
  <c r="S168" i="92"/>
  <c r="N168" i="92"/>
  <c r="J168" i="92"/>
  <c r="I168" i="92"/>
  <c r="F168" i="92"/>
  <c r="E168" i="92"/>
  <c r="S167" i="92"/>
  <c r="N167" i="92"/>
  <c r="J167" i="92"/>
  <c r="I167" i="92"/>
  <c r="F167" i="92"/>
  <c r="E167" i="92"/>
  <c r="S166" i="92"/>
  <c r="N166" i="92"/>
  <c r="J166" i="92"/>
  <c r="I166" i="92"/>
  <c r="F166" i="92"/>
  <c r="E166" i="92"/>
  <c r="S165" i="92"/>
  <c r="N165" i="92"/>
  <c r="J165" i="92"/>
  <c r="I165" i="92"/>
  <c r="F165" i="92"/>
  <c r="E165" i="92"/>
  <c r="S164" i="92"/>
  <c r="N164" i="92"/>
  <c r="J164" i="92"/>
  <c r="I164" i="92"/>
  <c r="F164" i="92"/>
  <c r="E164" i="92"/>
  <c r="S163" i="92"/>
  <c r="N163" i="92"/>
  <c r="J163" i="92"/>
  <c r="I163" i="92"/>
  <c r="F163" i="92"/>
  <c r="E163" i="92"/>
  <c r="S162" i="92"/>
  <c r="N162" i="92"/>
  <c r="J162" i="92"/>
  <c r="I162" i="92"/>
  <c r="F162" i="92"/>
  <c r="E162" i="92"/>
  <c r="S161" i="92"/>
  <c r="N161" i="92"/>
  <c r="J161" i="92"/>
  <c r="I161" i="92"/>
  <c r="F161" i="92"/>
  <c r="E161" i="92"/>
  <c r="S160" i="92"/>
  <c r="N160" i="92"/>
  <c r="J160" i="92"/>
  <c r="I160" i="92"/>
  <c r="F160" i="92"/>
  <c r="E160" i="92"/>
  <c r="S159" i="92"/>
  <c r="N159" i="92"/>
  <c r="J159" i="92"/>
  <c r="I159" i="92"/>
  <c r="F159" i="92"/>
  <c r="E159" i="92"/>
  <c r="S158" i="92"/>
  <c r="N158" i="92"/>
  <c r="J158" i="92"/>
  <c r="I158" i="92"/>
  <c r="F158" i="92"/>
  <c r="E158" i="92"/>
  <c r="S157" i="92"/>
  <c r="N157" i="92"/>
  <c r="J157" i="92"/>
  <c r="I157" i="92"/>
  <c r="F157" i="92"/>
  <c r="E157" i="92"/>
  <c r="S156" i="92"/>
  <c r="N156" i="92"/>
  <c r="J156" i="92"/>
  <c r="I156" i="92"/>
  <c r="F156" i="92"/>
  <c r="E156" i="92"/>
  <c r="S155" i="92"/>
  <c r="N155" i="92"/>
  <c r="J155" i="92"/>
  <c r="I155" i="92"/>
  <c r="F155" i="92"/>
  <c r="E155" i="92"/>
  <c r="S154" i="92"/>
  <c r="N154" i="92"/>
  <c r="J154" i="92"/>
  <c r="I154" i="92"/>
  <c r="F154" i="92"/>
  <c r="E154" i="92"/>
  <c r="S153" i="92"/>
  <c r="N153" i="92"/>
  <c r="J153" i="92"/>
  <c r="I153" i="92"/>
  <c r="F153" i="92"/>
  <c r="E153" i="92"/>
  <c r="S152" i="92"/>
  <c r="N152" i="92"/>
  <c r="J152" i="92"/>
  <c r="I152" i="92"/>
  <c r="F152" i="92"/>
  <c r="E152" i="92"/>
  <c r="S151" i="92"/>
  <c r="N151" i="92"/>
  <c r="J151" i="92"/>
  <c r="I151" i="92"/>
  <c r="F151" i="92"/>
  <c r="E151" i="92"/>
  <c r="S150" i="92"/>
  <c r="N150" i="92"/>
  <c r="J150" i="92"/>
  <c r="I150" i="92"/>
  <c r="F150" i="92"/>
  <c r="E150" i="92"/>
  <c r="S149" i="92"/>
  <c r="N149" i="92"/>
  <c r="J149" i="92"/>
  <c r="I149" i="92"/>
  <c r="F149" i="92"/>
  <c r="E149" i="92"/>
  <c r="S148" i="92"/>
  <c r="N148" i="92"/>
  <c r="J148" i="92"/>
  <c r="I148" i="92"/>
  <c r="F148" i="92"/>
  <c r="E148" i="92"/>
  <c r="S147" i="92"/>
  <c r="N147" i="92"/>
  <c r="J147" i="92"/>
  <c r="I147" i="92"/>
  <c r="F147" i="92"/>
  <c r="E147" i="92"/>
  <c r="S146" i="92"/>
  <c r="N146" i="92"/>
  <c r="J146" i="92"/>
  <c r="I146" i="92"/>
  <c r="F146" i="92"/>
  <c r="E146" i="92"/>
  <c r="S145" i="92"/>
  <c r="N145" i="92"/>
  <c r="J145" i="92"/>
  <c r="I145" i="92"/>
  <c r="F145" i="92"/>
  <c r="E145" i="92"/>
  <c r="S144" i="92"/>
  <c r="N144" i="92"/>
  <c r="J144" i="92"/>
  <c r="I144" i="92"/>
  <c r="F144" i="92"/>
  <c r="E144" i="92"/>
  <c r="S143" i="92"/>
  <c r="N143" i="92"/>
  <c r="J143" i="92"/>
  <c r="I143" i="92"/>
  <c r="F143" i="92"/>
  <c r="E143" i="92"/>
  <c r="S142" i="92"/>
  <c r="N142" i="92"/>
  <c r="J142" i="92"/>
  <c r="I142" i="92"/>
  <c r="F142" i="92"/>
  <c r="E142" i="92"/>
  <c r="S141" i="92"/>
  <c r="N141" i="92"/>
  <c r="J141" i="92"/>
  <c r="I141" i="92"/>
  <c r="F141" i="92"/>
  <c r="E141" i="92"/>
  <c r="S140" i="92"/>
  <c r="N140" i="92"/>
  <c r="J140" i="92"/>
  <c r="I140" i="92"/>
  <c r="F140" i="92"/>
  <c r="E140" i="92"/>
  <c r="S139" i="92"/>
  <c r="N139" i="92"/>
  <c r="J139" i="92"/>
  <c r="I139" i="92"/>
  <c r="F139" i="92"/>
  <c r="E139" i="92"/>
  <c r="S138" i="92"/>
  <c r="N138" i="92"/>
  <c r="J138" i="92"/>
  <c r="I138" i="92"/>
  <c r="F138" i="92"/>
  <c r="E138" i="92"/>
  <c r="S137" i="92"/>
  <c r="N137" i="92"/>
  <c r="J137" i="92"/>
  <c r="I137" i="92"/>
  <c r="F137" i="92"/>
  <c r="E137" i="92"/>
  <c r="S136" i="92"/>
  <c r="N136" i="92"/>
  <c r="J136" i="92"/>
  <c r="I136" i="92"/>
  <c r="F136" i="92"/>
  <c r="E136" i="92"/>
  <c r="S135" i="92"/>
  <c r="N135" i="92"/>
  <c r="J135" i="92"/>
  <c r="I135" i="92"/>
  <c r="F135" i="92"/>
  <c r="E135" i="92"/>
  <c r="S134" i="92"/>
  <c r="N134" i="92"/>
  <c r="J134" i="92"/>
  <c r="I134" i="92"/>
  <c r="F134" i="92"/>
  <c r="E134" i="92"/>
  <c r="S133" i="92"/>
  <c r="N133" i="92"/>
  <c r="J133" i="92"/>
  <c r="I133" i="92"/>
  <c r="F133" i="92"/>
  <c r="E133" i="92"/>
  <c r="S132" i="92"/>
  <c r="N132" i="92"/>
  <c r="J132" i="92"/>
  <c r="I132" i="92"/>
  <c r="F132" i="92"/>
  <c r="E132" i="92"/>
  <c r="S131" i="92"/>
  <c r="N131" i="92"/>
  <c r="J131" i="92"/>
  <c r="I131" i="92"/>
  <c r="F131" i="92"/>
  <c r="E131" i="92"/>
  <c r="S130" i="92"/>
  <c r="N130" i="92"/>
  <c r="J130" i="92"/>
  <c r="I130" i="92"/>
  <c r="F130" i="92"/>
  <c r="E130" i="92"/>
  <c r="S129" i="92"/>
  <c r="N129" i="92"/>
  <c r="J129" i="92"/>
  <c r="I129" i="92"/>
  <c r="F129" i="92"/>
  <c r="E129" i="92"/>
  <c r="S128" i="92"/>
  <c r="N128" i="92"/>
  <c r="J128" i="92"/>
  <c r="I128" i="92"/>
  <c r="F128" i="92"/>
  <c r="E128" i="92"/>
  <c r="S127" i="92"/>
  <c r="N127" i="92"/>
  <c r="J127" i="92"/>
  <c r="I127" i="92"/>
  <c r="F127" i="92"/>
  <c r="E127" i="92"/>
  <c r="S126" i="92"/>
  <c r="N126" i="92"/>
  <c r="J126" i="92"/>
  <c r="I126" i="92"/>
  <c r="F126" i="92"/>
  <c r="E126" i="92"/>
  <c r="S125" i="92"/>
  <c r="N125" i="92"/>
  <c r="J125" i="92"/>
  <c r="I125" i="92"/>
  <c r="F125" i="92"/>
  <c r="E125" i="92"/>
  <c r="S124" i="92"/>
  <c r="N124" i="92"/>
  <c r="J124" i="92"/>
  <c r="I124" i="92"/>
  <c r="F124" i="92"/>
  <c r="E124" i="92"/>
  <c r="S123" i="92"/>
  <c r="N123" i="92"/>
  <c r="J123" i="92"/>
  <c r="I123" i="92"/>
  <c r="F123" i="92"/>
  <c r="E123" i="92"/>
  <c r="S122" i="92"/>
  <c r="N122" i="92"/>
  <c r="J122" i="92"/>
  <c r="I122" i="92"/>
  <c r="F122" i="92"/>
  <c r="E122" i="92"/>
  <c r="S121" i="92"/>
  <c r="N121" i="92"/>
  <c r="J121" i="92"/>
  <c r="I121" i="92"/>
  <c r="F121" i="92"/>
  <c r="S120" i="92"/>
  <c r="N120" i="92"/>
  <c r="J120" i="92"/>
  <c r="I120" i="92"/>
  <c r="F120" i="92"/>
  <c r="S119" i="92"/>
  <c r="N119" i="92"/>
  <c r="J119" i="92"/>
  <c r="I119" i="92"/>
  <c r="F119" i="92"/>
  <c r="S118" i="92"/>
  <c r="N118" i="92"/>
  <c r="J118" i="92"/>
  <c r="I118" i="92"/>
  <c r="F118" i="92"/>
  <c r="S117" i="92"/>
  <c r="N117" i="92"/>
  <c r="J117" i="92"/>
  <c r="I117" i="92"/>
  <c r="F117" i="92"/>
  <c r="S116" i="92"/>
  <c r="N116" i="92"/>
  <c r="J116" i="92"/>
  <c r="I116" i="92"/>
  <c r="F116" i="92"/>
  <c r="S115" i="92"/>
  <c r="N115" i="92"/>
  <c r="J115" i="92"/>
  <c r="I115" i="92"/>
  <c r="F115" i="92"/>
  <c r="S114" i="92"/>
  <c r="N114" i="92"/>
  <c r="J114" i="92"/>
  <c r="I114" i="92"/>
  <c r="F114" i="92"/>
  <c r="S113" i="92"/>
  <c r="N113" i="92"/>
  <c r="J113" i="92"/>
  <c r="I113" i="92"/>
  <c r="F113" i="92"/>
  <c r="S112" i="92"/>
  <c r="N112" i="92"/>
  <c r="J112" i="92"/>
  <c r="I112" i="92"/>
  <c r="F112" i="92"/>
  <c r="S111" i="92"/>
  <c r="N111" i="92"/>
  <c r="J111" i="92"/>
  <c r="I111" i="92"/>
  <c r="F111" i="92"/>
  <c r="S110" i="92"/>
  <c r="N110" i="92"/>
  <c r="J110" i="92"/>
  <c r="I110" i="92"/>
  <c r="F110" i="92"/>
  <c r="S109" i="92"/>
  <c r="N109" i="92"/>
  <c r="J109" i="92"/>
  <c r="I109" i="92"/>
  <c r="F109" i="92"/>
  <c r="S108" i="92"/>
  <c r="N108" i="92"/>
  <c r="J108" i="92"/>
  <c r="I108" i="92"/>
  <c r="F108" i="92"/>
  <c r="S107" i="92"/>
  <c r="N107" i="92"/>
  <c r="J107" i="92"/>
  <c r="I107" i="92"/>
  <c r="F107" i="92"/>
  <c r="S106" i="92"/>
  <c r="N106" i="92"/>
  <c r="J106" i="92"/>
  <c r="I106" i="92"/>
  <c r="F106" i="92"/>
  <c r="S105" i="92"/>
  <c r="N105" i="92"/>
  <c r="J105" i="92"/>
  <c r="I105" i="92"/>
  <c r="F105" i="92"/>
  <c r="S104" i="92"/>
  <c r="N104" i="92"/>
  <c r="J104" i="92"/>
  <c r="I104" i="92"/>
  <c r="F104" i="92"/>
  <c r="S103" i="92"/>
  <c r="N103" i="92"/>
  <c r="J103" i="92"/>
  <c r="I103" i="92"/>
  <c r="F103" i="92"/>
  <c r="S102" i="92"/>
  <c r="N102" i="92"/>
  <c r="J102" i="92"/>
  <c r="I102" i="92"/>
  <c r="F102" i="92"/>
  <c r="S101" i="92"/>
  <c r="N101" i="92"/>
  <c r="J101" i="92"/>
  <c r="I101" i="92"/>
  <c r="F101" i="92"/>
  <c r="S100" i="92"/>
  <c r="N100" i="92"/>
  <c r="J100" i="92"/>
  <c r="I100" i="92"/>
  <c r="F100" i="92"/>
  <c r="S99" i="92"/>
  <c r="N99" i="92"/>
  <c r="J99" i="92"/>
  <c r="I99" i="92"/>
  <c r="F99" i="92"/>
  <c r="S98" i="92"/>
  <c r="N98" i="92"/>
  <c r="J98" i="92"/>
  <c r="I98" i="92"/>
  <c r="F98" i="92"/>
  <c r="S97" i="92"/>
  <c r="N97" i="92"/>
  <c r="J97" i="92"/>
  <c r="I97" i="92"/>
  <c r="F97" i="92"/>
  <c r="S96" i="92"/>
  <c r="N96" i="92"/>
  <c r="J96" i="92"/>
  <c r="I96" i="92"/>
  <c r="F96" i="92"/>
  <c r="S95" i="92"/>
  <c r="N95" i="92"/>
  <c r="J95" i="92"/>
  <c r="I95" i="92"/>
  <c r="F95" i="92"/>
  <c r="S94" i="92"/>
  <c r="N94" i="92"/>
  <c r="J94" i="92"/>
  <c r="I94" i="92"/>
  <c r="F94" i="92"/>
  <c r="S93" i="92"/>
  <c r="N93" i="92"/>
  <c r="J93" i="92"/>
  <c r="I93" i="92"/>
  <c r="F93" i="92"/>
  <c r="S92" i="92"/>
  <c r="N92" i="92"/>
  <c r="J92" i="92"/>
  <c r="I92" i="92"/>
  <c r="F92" i="92"/>
  <c r="S91" i="92"/>
  <c r="N91" i="92"/>
  <c r="J91" i="92"/>
  <c r="I91" i="92"/>
  <c r="F91" i="92"/>
  <c r="S90" i="92"/>
  <c r="N90" i="92"/>
  <c r="J90" i="92"/>
  <c r="I90" i="92"/>
  <c r="F90" i="92"/>
  <c r="S89" i="92"/>
  <c r="N89" i="92"/>
  <c r="J89" i="92"/>
  <c r="I89" i="92"/>
  <c r="F89" i="92"/>
  <c r="S88" i="92"/>
  <c r="N88" i="92"/>
  <c r="J88" i="92"/>
  <c r="I88" i="92"/>
  <c r="F88" i="92"/>
  <c r="S87" i="92"/>
  <c r="N87" i="92"/>
  <c r="J87" i="92"/>
  <c r="I87" i="92"/>
  <c r="F87" i="92"/>
  <c r="S86" i="92"/>
  <c r="N86" i="92"/>
  <c r="J86" i="92"/>
  <c r="I86" i="92"/>
  <c r="F86" i="92"/>
  <c r="S85" i="92"/>
  <c r="N85" i="92"/>
  <c r="J85" i="92"/>
  <c r="I85" i="92"/>
  <c r="F85" i="92"/>
  <c r="S84" i="92"/>
  <c r="N84" i="92"/>
  <c r="J84" i="92"/>
  <c r="I84" i="92"/>
  <c r="F84" i="92"/>
  <c r="S83" i="92"/>
  <c r="N83" i="92"/>
  <c r="J83" i="92"/>
  <c r="I83" i="92"/>
  <c r="F83" i="92"/>
  <c r="S82" i="92"/>
  <c r="N82" i="92"/>
  <c r="J82" i="92"/>
  <c r="I82" i="92"/>
  <c r="F82" i="92"/>
  <c r="S81" i="92"/>
  <c r="N81" i="92"/>
  <c r="J81" i="92"/>
  <c r="I81" i="92"/>
  <c r="F81" i="92"/>
  <c r="S80" i="92"/>
  <c r="N80" i="92"/>
  <c r="J80" i="92"/>
  <c r="I80" i="92"/>
  <c r="F80" i="92"/>
  <c r="S79" i="92"/>
  <c r="N79" i="92"/>
  <c r="J79" i="92"/>
  <c r="I79" i="92"/>
  <c r="F79" i="92"/>
  <c r="S78" i="92"/>
  <c r="N78" i="92"/>
  <c r="J78" i="92"/>
  <c r="I78" i="92"/>
  <c r="F78" i="92"/>
  <c r="S77" i="92"/>
  <c r="N77" i="92"/>
  <c r="J77" i="92"/>
  <c r="I77" i="92"/>
  <c r="F77" i="92"/>
  <c r="S76" i="92"/>
  <c r="N76" i="92"/>
  <c r="J76" i="92"/>
  <c r="I76" i="92"/>
  <c r="F76" i="92"/>
  <c r="S75" i="92"/>
  <c r="N75" i="92"/>
  <c r="J75" i="92"/>
  <c r="I75" i="92"/>
  <c r="F75" i="92"/>
  <c r="S74" i="92"/>
  <c r="N74" i="92"/>
  <c r="J74" i="92"/>
  <c r="I74" i="92"/>
  <c r="F74" i="92"/>
  <c r="S73" i="92"/>
  <c r="N73" i="92"/>
  <c r="J73" i="92"/>
  <c r="I73" i="92"/>
  <c r="F73" i="92"/>
  <c r="S72" i="92"/>
  <c r="N72" i="92"/>
  <c r="J72" i="92"/>
  <c r="I72" i="92"/>
  <c r="F72" i="92"/>
  <c r="S71" i="92"/>
  <c r="N71" i="92"/>
  <c r="J71" i="92"/>
  <c r="I71" i="92"/>
  <c r="F71" i="92"/>
  <c r="S70" i="92"/>
  <c r="N70" i="92"/>
  <c r="J70" i="92"/>
  <c r="I70" i="92"/>
  <c r="F70" i="92"/>
  <c r="S69" i="92"/>
  <c r="N69" i="92"/>
  <c r="J69" i="92"/>
  <c r="I69" i="92"/>
  <c r="F69" i="92"/>
  <c r="S68" i="92"/>
  <c r="N68" i="92"/>
  <c r="J68" i="92"/>
  <c r="I68" i="92"/>
  <c r="F68" i="92"/>
  <c r="S67" i="92"/>
  <c r="N67" i="92"/>
  <c r="J67" i="92"/>
  <c r="I67" i="92"/>
  <c r="F67" i="92"/>
  <c r="S66" i="92"/>
  <c r="N66" i="92"/>
  <c r="J66" i="92"/>
  <c r="I66" i="92"/>
  <c r="F66" i="92"/>
  <c r="S65" i="92"/>
  <c r="N65" i="92"/>
  <c r="J65" i="92"/>
  <c r="I65" i="92"/>
  <c r="F65" i="92"/>
  <c r="S64" i="92"/>
  <c r="N64" i="92"/>
  <c r="J64" i="92"/>
  <c r="I64" i="92"/>
  <c r="F64" i="92"/>
  <c r="S63" i="92"/>
  <c r="N63" i="92"/>
  <c r="J63" i="92"/>
  <c r="I63" i="92"/>
  <c r="F63" i="92"/>
  <c r="S62" i="92"/>
  <c r="N62" i="92"/>
  <c r="J62" i="92"/>
  <c r="I62" i="92"/>
  <c r="F62" i="92"/>
  <c r="S61" i="92"/>
  <c r="N61" i="92"/>
  <c r="J61" i="92"/>
  <c r="I61" i="92"/>
  <c r="F61" i="92"/>
  <c r="S60" i="92"/>
  <c r="N60" i="92"/>
  <c r="J60" i="92"/>
  <c r="I60" i="92"/>
  <c r="F60" i="92"/>
  <c r="S59" i="92"/>
  <c r="N59" i="92"/>
  <c r="J59" i="92"/>
  <c r="I59" i="92"/>
  <c r="F59" i="92"/>
  <c r="S58" i="92"/>
  <c r="N58" i="92"/>
  <c r="J58" i="92"/>
  <c r="I58" i="92"/>
  <c r="F58" i="92"/>
  <c r="S57" i="92"/>
  <c r="N57" i="92"/>
  <c r="J57" i="92"/>
  <c r="I57" i="92"/>
  <c r="F57" i="92"/>
  <c r="S56" i="92"/>
  <c r="N56" i="92"/>
  <c r="J56" i="92"/>
  <c r="I56" i="92"/>
  <c r="F56" i="92"/>
  <c r="S55" i="92"/>
  <c r="N55" i="92"/>
  <c r="J55" i="92"/>
  <c r="I55" i="92"/>
  <c r="F55" i="92"/>
  <c r="S54" i="92"/>
  <c r="N54" i="92"/>
  <c r="J54" i="92"/>
  <c r="I54" i="92"/>
  <c r="F54" i="92"/>
  <c r="S53" i="92"/>
  <c r="N53" i="92"/>
  <c r="J53" i="92"/>
  <c r="I53" i="92"/>
  <c r="F53" i="92"/>
  <c r="S52" i="92"/>
  <c r="N52" i="92"/>
  <c r="J52" i="92"/>
  <c r="I52" i="92"/>
  <c r="F52" i="92"/>
  <c r="S51" i="92"/>
  <c r="N51" i="92"/>
  <c r="J51" i="92"/>
  <c r="I51" i="92"/>
  <c r="F51" i="92"/>
  <c r="S50" i="92"/>
  <c r="N50" i="92"/>
  <c r="J50" i="92"/>
  <c r="I50" i="92"/>
  <c r="F50" i="92"/>
  <c r="S49" i="92"/>
  <c r="N49" i="92"/>
  <c r="J49" i="92"/>
  <c r="I49" i="92"/>
  <c r="F49" i="92"/>
  <c r="S48" i="92"/>
  <c r="N48" i="92"/>
  <c r="J48" i="92"/>
  <c r="I48" i="92"/>
  <c r="F48" i="92"/>
  <c r="S47" i="92"/>
  <c r="N47" i="92"/>
  <c r="J47" i="92"/>
  <c r="I47" i="92"/>
  <c r="F47" i="92"/>
  <c r="S46" i="92"/>
  <c r="N46" i="92"/>
  <c r="J46" i="92"/>
  <c r="I46" i="92"/>
  <c r="F46" i="92"/>
  <c r="S45" i="92"/>
  <c r="N45" i="92"/>
  <c r="J45" i="92"/>
  <c r="I45" i="92"/>
  <c r="F45" i="92"/>
  <c r="S44" i="92"/>
  <c r="N44" i="92"/>
  <c r="J44" i="92"/>
  <c r="I44" i="92"/>
  <c r="F44" i="92"/>
  <c r="S43" i="92"/>
  <c r="N43" i="92"/>
  <c r="J43" i="92"/>
  <c r="I43" i="92"/>
  <c r="F43" i="92"/>
  <c r="S42" i="92"/>
  <c r="N42" i="92"/>
  <c r="J42" i="92"/>
  <c r="I42" i="92"/>
  <c r="F42" i="92"/>
  <c r="S41" i="92"/>
  <c r="N41" i="92"/>
  <c r="J41" i="92"/>
  <c r="I41" i="92"/>
  <c r="F41" i="92"/>
  <c r="S40" i="92"/>
  <c r="N40" i="92"/>
  <c r="J40" i="92"/>
  <c r="I40" i="92"/>
  <c r="F40" i="92"/>
  <c r="S39" i="92"/>
  <c r="N39" i="92"/>
  <c r="J39" i="92"/>
  <c r="I39" i="92"/>
  <c r="F39" i="92"/>
  <c r="S38" i="92"/>
  <c r="N38" i="92"/>
  <c r="J38" i="92"/>
  <c r="I38" i="92"/>
  <c r="F38" i="92"/>
  <c r="S37" i="92"/>
  <c r="N37" i="92"/>
  <c r="J37" i="92"/>
  <c r="I37" i="92"/>
  <c r="F37" i="92"/>
  <c r="S36" i="92"/>
  <c r="N36" i="92"/>
  <c r="J36" i="92"/>
  <c r="I36" i="92"/>
  <c r="F36" i="92"/>
  <c r="S35" i="92"/>
  <c r="N35" i="92"/>
  <c r="J35" i="92"/>
  <c r="I35" i="92"/>
  <c r="F35" i="92"/>
  <c r="S34" i="92"/>
  <c r="N34" i="92"/>
  <c r="J34" i="92"/>
  <c r="I34" i="92"/>
  <c r="F34" i="92"/>
  <c r="S33" i="92"/>
  <c r="N33" i="92"/>
  <c r="J33" i="92"/>
  <c r="I33" i="92"/>
  <c r="F33" i="92"/>
  <c r="V32" i="92"/>
  <c r="S32" i="92"/>
  <c r="N32" i="92"/>
  <c r="J32" i="92"/>
  <c r="I32" i="92"/>
  <c r="F32" i="92"/>
  <c r="S31" i="92"/>
  <c r="N31" i="92"/>
  <c r="J31" i="92"/>
  <c r="I31" i="92"/>
  <c r="F31" i="92"/>
  <c r="S30" i="92"/>
  <c r="N30" i="92"/>
  <c r="J30" i="92"/>
  <c r="I30" i="92"/>
  <c r="F30" i="92"/>
  <c r="S29" i="92"/>
  <c r="N29" i="92"/>
  <c r="J29" i="92"/>
  <c r="I29" i="92"/>
  <c r="F29" i="92"/>
  <c r="S28" i="92"/>
  <c r="N28" i="92"/>
  <c r="J28" i="92"/>
  <c r="I28" i="92"/>
  <c r="F28" i="92"/>
  <c r="S27" i="92"/>
  <c r="N27" i="92"/>
  <c r="J27" i="92"/>
  <c r="I27" i="92"/>
  <c r="F27" i="92"/>
  <c r="S26" i="92"/>
  <c r="N26" i="92"/>
  <c r="J26" i="92"/>
  <c r="I26" i="92"/>
  <c r="F26" i="92"/>
  <c r="S25" i="92"/>
  <c r="N25" i="92"/>
  <c r="J25" i="92"/>
  <c r="I25" i="92"/>
  <c r="F25" i="92"/>
  <c r="S24" i="92"/>
  <c r="N24" i="92"/>
  <c r="J24" i="92"/>
  <c r="I24" i="92"/>
  <c r="F24" i="92"/>
  <c r="S23" i="92"/>
  <c r="N23" i="92"/>
  <c r="J23" i="92"/>
  <c r="I23" i="92"/>
  <c r="F23" i="92"/>
  <c r="S22" i="92"/>
  <c r="N22" i="92"/>
  <c r="J22" i="92"/>
  <c r="I22" i="92"/>
  <c r="F22" i="92"/>
  <c r="S21" i="92"/>
  <c r="N21" i="92"/>
  <c r="J21" i="92"/>
  <c r="I21" i="92"/>
  <c r="F21" i="92"/>
  <c r="S20" i="92"/>
  <c r="N20" i="92"/>
  <c r="J20" i="92"/>
  <c r="I20" i="92"/>
  <c r="F20" i="92"/>
  <c r="S19" i="92"/>
  <c r="N19" i="92"/>
  <c r="J19" i="92"/>
  <c r="I19" i="92"/>
  <c r="F19" i="92"/>
  <c r="S18" i="92"/>
  <c r="N18" i="92"/>
  <c r="J18" i="92"/>
  <c r="I18" i="92"/>
  <c r="F18" i="92"/>
  <c r="S17" i="92"/>
  <c r="N17" i="92"/>
  <c r="J17" i="92"/>
  <c r="I17" i="92"/>
  <c r="F17" i="92"/>
  <c r="S16" i="92"/>
  <c r="N16" i="92"/>
  <c r="J16" i="92"/>
  <c r="I16" i="92"/>
  <c r="F16" i="92"/>
  <c r="S15" i="92"/>
  <c r="N15" i="92"/>
  <c r="J15" i="92"/>
  <c r="I15" i="92"/>
  <c r="F15" i="92"/>
  <c r="S14" i="92"/>
  <c r="N14" i="92"/>
  <c r="J14" i="92"/>
  <c r="I14" i="92"/>
  <c r="F14" i="92"/>
  <c r="S13" i="92"/>
  <c r="N13" i="92"/>
  <c r="J13" i="92"/>
  <c r="I13" i="92"/>
  <c r="F13" i="92"/>
  <c r="S12" i="92"/>
  <c r="N12" i="92"/>
  <c r="J12" i="92"/>
  <c r="I12" i="92"/>
  <c r="F12" i="92"/>
  <c r="S11" i="92"/>
  <c r="N11" i="92"/>
  <c r="J11" i="92"/>
  <c r="I11" i="92"/>
  <c r="F11" i="92"/>
  <c r="S10" i="92"/>
  <c r="N10" i="92"/>
  <c r="J10" i="92"/>
  <c r="I10" i="92"/>
  <c r="F10" i="92"/>
  <c r="S9" i="92"/>
  <c r="N9" i="92"/>
  <c r="J9" i="92"/>
  <c r="I9" i="92"/>
  <c r="F9" i="92"/>
  <c r="S8" i="92"/>
  <c r="N8" i="92"/>
  <c r="J8" i="92"/>
  <c r="I8" i="92"/>
  <c r="F8" i="92"/>
  <c r="S7" i="92"/>
  <c r="N7" i="92"/>
  <c r="J7" i="92"/>
  <c r="I7" i="92"/>
  <c r="F7" i="92"/>
  <c r="S6" i="92"/>
  <c r="N6" i="92"/>
  <c r="J6" i="92"/>
  <c r="I6" i="92"/>
  <c r="F6" i="92"/>
  <c r="S5" i="92"/>
  <c r="N5" i="92"/>
  <c r="J5" i="92"/>
  <c r="I5" i="92"/>
  <c r="F5" i="92"/>
  <c r="S4" i="92"/>
  <c r="N4" i="92"/>
  <c r="J4" i="92"/>
  <c r="I4" i="92"/>
  <c r="F4" i="92"/>
  <c r="U3" i="92"/>
  <c r="V3" i="92" s="1"/>
  <c r="S3" i="92"/>
  <c r="N3" i="92"/>
  <c r="J3" i="92"/>
  <c r="I3" i="92"/>
  <c r="F3" i="92"/>
  <c r="U2" i="92"/>
  <c r="V2" i="92" s="1"/>
  <c r="S2" i="92"/>
  <c r="N2" i="92"/>
  <c r="J2" i="92"/>
  <c r="I2" i="92"/>
  <c r="F2" i="92"/>
  <c r="K28" i="90"/>
  <c r="J28" i="90"/>
  <c r="I28" i="90"/>
  <c r="H28" i="90"/>
  <c r="G28" i="90"/>
  <c r="F28" i="90"/>
  <c r="E28" i="90"/>
  <c r="D28" i="90"/>
  <c r="C28" i="90"/>
  <c r="B517" i="89"/>
  <c r="B516" i="89"/>
  <c r="A516" i="89"/>
  <c r="B515" i="89"/>
  <c r="A515" i="89"/>
  <c r="B514" i="89"/>
  <c r="B513" i="89"/>
  <c r="B512" i="89"/>
  <c r="A512" i="89"/>
  <c r="B511" i="89"/>
  <c r="A511" i="89"/>
  <c r="B510" i="89"/>
  <c r="B509" i="89"/>
  <c r="B508" i="89"/>
  <c r="A508" i="89"/>
  <c r="B507" i="89"/>
  <c r="A507" i="89"/>
  <c r="B506" i="89"/>
  <c r="A505" i="89"/>
  <c r="A504" i="89"/>
  <c r="C503" i="89"/>
  <c r="A503" i="89"/>
  <c r="A502" i="89"/>
  <c r="A501" i="89"/>
  <c r="A500" i="89"/>
  <c r="C499" i="89"/>
  <c r="A499" i="89"/>
  <c r="A498" i="89"/>
  <c r="A497" i="89"/>
  <c r="A496" i="89"/>
  <c r="C495" i="89"/>
  <c r="A495" i="89"/>
  <c r="A494" i="89"/>
  <c r="C493" i="89"/>
  <c r="C492" i="89"/>
  <c r="C491" i="89"/>
  <c r="C490" i="89"/>
  <c r="C489" i="89"/>
  <c r="C488" i="89"/>
  <c r="C487" i="89"/>
  <c r="C486" i="89"/>
  <c r="C485" i="89"/>
  <c r="C484" i="89"/>
  <c r="C483" i="89"/>
  <c r="C482" i="89"/>
  <c r="C481" i="89"/>
  <c r="C480" i="89"/>
  <c r="C479" i="89"/>
  <c r="C478" i="89"/>
  <c r="C477" i="89"/>
  <c r="C476" i="89"/>
  <c r="C475" i="89"/>
  <c r="C474" i="89"/>
  <c r="C473" i="89"/>
  <c r="C472" i="89"/>
  <c r="C471" i="89"/>
  <c r="C470" i="89"/>
  <c r="C469" i="89"/>
  <c r="C468" i="89"/>
  <c r="C467" i="89"/>
  <c r="C466" i="89"/>
  <c r="C465" i="89"/>
  <c r="C464" i="89"/>
  <c r="C463" i="89"/>
  <c r="C462" i="89"/>
  <c r="C461" i="89"/>
  <c r="C460" i="89"/>
  <c r="C459" i="89"/>
  <c r="C458" i="89"/>
  <c r="C457" i="89"/>
  <c r="C456" i="89"/>
  <c r="C455" i="89"/>
  <c r="C454" i="89"/>
  <c r="C453" i="89"/>
  <c r="C452" i="89"/>
  <c r="C451" i="89"/>
  <c r="C450" i="89"/>
  <c r="C449" i="89"/>
  <c r="C448" i="89"/>
  <c r="C447" i="89"/>
  <c r="C446" i="89"/>
  <c r="C445" i="89"/>
  <c r="C444" i="89"/>
  <c r="C443" i="89"/>
  <c r="C442" i="89"/>
  <c r="C441" i="89"/>
  <c r="C440" i="89"/>
  <c r="C439" i="89"/>
  <c r="C438" i="89"/>
  <c r="C437" i="89"/>
  <c r="C436" i="89"/>
  <c r="C435" i="89"/>
  <c r="C434" i="89"/>
  <c r="C433" i="89"/>
  <c r="C432" i="89"/>
  <c r="C431" i="89"/>
  <c r="C430" i="89"/>
  <c r="C429" i="89"/>
  <c r="C428" i="89"/>
  <c r="C427" i="89"/>
  <c r="C426" i="89"/>
  <c r="C425" i="89"/>
  <c r="C424" i="89"/>
  <c r="C423" i="89"/>
  <c r="C422" i="89"/>
  <c r="C421" i="89"/>
  <c r="C420" i="89"/>
  <c r="C419" i="89"/>
  <c r="C418" i="89"/>
  <c r="C417" i="89"/>
  <c r="C416" i="89"/>
  <c r="C415" i="89"/>
  <c r="C414" i="89"/>
  <c r="C413" i="89"/>
  <c r="C412" i="89"/>
  <c r="C411" i="89"/>
  <c r="C410" i="89"/>
  <c r="C409" i="89"/>
  <c r="C408" i="89"/>
  <c r="C407" i="89"/>
  <c r="C406" i="89"/>
  <c r="C405" i="89"/>
  <c r="C404" i="89"/>
  <c r="C403" i="89"/>
  <c r="C402" i="89"/>
  <c r="C401" i="89"/>
  <c r="C400" i="89"/>
  <c r="C399" i="89"/>
  <c r="C398" i="89"/>
  <c r="C397" i="89"/>
  <c r="C396" i="89"/>
  <c r="C395" i="89"/>
  <c r="C394" i="89"/>
  <c r="C393" i="89"/>
  <c r="C392" i="89"/>
  <c r="C391" i="89"/>
  <c r="C390" i="89"/>
  <c r="C389" i="89"/>
  <c r="C388" i="89"/>
  <c r="C387" i="89"/>
  <c r="C386" i="89"/>
  <c r="C385" i="89"/>
  <c r="C384" i="89"/>
  <c r="C383" i="89"/>
  <c r="C382" i="89"/>
  <c r="C381" i="89"/>
  <c r="C380" i="89"/>
  <c r="C379" i="89"/>
  <c r="C378" i="89"/>
  <c r="C377" i="89"/>
  <c r="C376" i="89"/>
  <c r="C375" i="89"/>
  <c r="C374" i="89"/>
  <c r="C373" i="89"/>
  <c r="C372" i="89"/>
  <c r="C371" i="89"/>
  <c r="C370" i="89"/>
  <c r="C369" i="89"/>
  <c r="C368" i="89"/>
  <c r="C367" i="89"/>
  <c r="C366" i="89"/>
  <c r="C365" i="89"/>
  <c r="C364" i="89"/>
  <c r="C363" i="89"/>
  <c r="C362" i="89"/>
  <c r="C361" i="89"/>
  <c r="C360" i="89"/>
  <c r="C359" i="89"/>
  <c r="C358" i="89"/>
  <c r="C357" i="89"/>
  <c r="C356" i="89"/>
  <c r="C355" i="89"/>
  <c r="C354" i="89"/>
  <c r="C353" i="89"/>
  <c r="C352" i="89"/>
  <c r="C351" i="89"/>
  <c r="C350" i="89"/>
  <c r="C349" i="89"/>
  <c r="C348" i="89"/>
  <c r="C347" i="89"/>
  <c r="C346" i="89"/>
  <c r="C345" i="89"/>
  <c r="C344" i="89"/>
  <c r="C343" i="89"/>
  <c r="C342" i="89"/>
  <c r="C341" i="89"/>
  <c r="C340" i="89"/>
  <c r="C339" i="89"/>
  <c r="C338" i="89"/>
  <c r="C337" i="89"/>
  <c r="C336" i="89"/>
  <c r="C335" i="89"/>
  <c r="C334" i="89"/>
  <c r="C333" i="89"/>
  <c r="C332" i="89"/>
  <c r="C331" i="89"/>
  <c r="C330" i="89"/>
  <c r="C329" i="89"/>
  <c r="C328" i="89"/>
  <c r="C327" i="89"/>
  <c r="C326" i="89"/>
  <c r="C325" i="89"/>
  <c r="C324" i="89"/>
  <c r="C323" i="89"/>
  <c r="C322" i="89"/>
  <c r="C321" i="89"/>
  <c r="C320" i="89"/>
  <c r="C319" i="89"/>
  <c r="C318" i="89"/>
  <c r="C317" i="89"/>
  <c r="C316" i="89"/>
  <c r="C315" i="89"/>
  <c r="C314" i="89"/>
  <c r="C313" i="89"/>
  <c r="C312" i="89"/>
  <c r="C311" i="89"/>
  <c r="C310" i="89"/>
  <c r="C309" i="89"/>
  <c r="C308" i="89"/>
  <c r="C307" i="89"/>
  <c r="C306" i="89"/>
  <c r="C305" i="89"/>
  <c r="C304" i="89"/>
  <c r="C303" i="89"/>
  <c r="C302" i="89"/>
  <c r="C301" i="89"/>
  <c r="C300" i="89"/>
  <c r="C299" i="89"/>
  <c r="C298" i="89"/>
  <c r="C297" i="89"/>
  <c r="C296" i="89"/>
  <c r="C295" i="89"/>
  <c r="C294" i="89"/>
  <c r="C293" i="89"/>
  <c r="C292" i="89"/>
  <c r="C291" i="89"/>
  <c r="C290" i="89"/>
  <c r="C289" i="89"/>
  <c r="C288" i="89"/>
  <c r="C287" i="89"/>
  <c r="C286" i="89"/>
  <c r="C285" i="89"/>
  <c r="C284" i="89"/>
  <c r="C283" i="89"/>
  <c r="C282" i="89"/>
  <c r="C281" i="89"/>
  <c r="C280" i="89"/>
  <c r="C279" i="89"/>
  <c r="C278" i="89"/>
  <c r="C277" i="89"/>
  <c r="C276" i="89"/>
  <c r="C275" i="89"/>
  <c r="C274" i="89"/>
  <c r="C273" i="89"/>
  <c r="C272" i="89"/>
  <c r="C271" i="89"/>
  <c r="C270" i="89"/>
  <c r="C269" i="89"/>
  <c r="C268" i="89"/>
  <c r="C267" i="89"/>
  <c r="C266" i="89"/>
  <c r="C265" i="89"/>
  <c r="C264" i="89"/>
  <c r="C263" i="89"/>
  <c r="C262" i="89"/>
  <c r="C261" i="89"/>
  <c r="C260" i="89"/>
  <c r="C259" i="89"/>
  <c r="C258" i="89"/>
  <c r="C257" i="89"/>
  <c r="C256" i="89"/>
  <c r="C255" i="89"/>
  <c r="C254" i="89"/>
  <c r="C253" i="89"/>
  <c r="C252" i="89"/>
  <c r="C251" i="89"/>
  <c r="C250" i="89"/>
  <c r="C249" i="89"/>
  <c r="C248" i="89"/>
  <c r="C247" i="89"/>
  <c r="C246" i="89"/>
  <c r="C245" i="89"/>
  <c r="C244" i="89"/>
  <c r="C243" i="89"/>
  <c r="C242" i="89"/>
  <c r="C241" i="89"/>
  <c r="C240" i="89"/>
  <c r="C239" i="89"/>
  <c r="C238" i="89"/>
  <c r="C237" i="89"/>
  <c r="C236" i="89"/>
  <c r="C235" i="89"/>
  <c r="C234" i="89"/>
  <c r="C233" i="89"/>
  <c r="C232" i="89"/>
  <c r="C231" i="89"/>
  <c r="C230" i="89"/>
  <c r="C229" i="89"/>
  <c r="C228" i="89"/>
  <c r="C227" i="89"/>
  <c r="C226" i="89"/>
  <c r="C225" i="89"/>
  <c r="C224" i="89"/>
  <c r="C223" i="89"/>
  <c r="C222" i="89"/>
  <c r="C221" i="89"/>
  <c r="C220" i="89"/>
  <c r="C219" i="89"/>
  <c r="C218" i="89"/>
  <c r="C217" i="89"/>
  <c r="C216" i="89"/>
  <c r="C215" i="89"/>
  <c r="C214" i="89"/>
  <c r="C213" i="89"/>
  <c r="C212" i="89"/>
  <c r="C211" i="89"/>
  <c r="C210" i="89"/>
  <c r="C209" i="89"/>
  <c r="C208" i="89"/>
  <c r="C207" i="89"/>
  <c r="C206" i="89"/>
  <c r="C205" i="89"/>
  <c r="C204" i="89"/>
  <c r="C203" i="89"/>
  <c r="C202" i="89"/>
  <c r="C201" i="89"/>
  <c r="C200" i="89"/>
  <c r="C199" i="89"/>
  <c r="C198" i="89"/>
  <c r="C197" i="89"/>
  <c r="C196" i="89"/>
  <c r="C195" i="89"/>
  <c r="C194" i="89"/>
  <c r="C193" i="89"/>
  <c r="C192" i="89"/>
  <c r="C191" i="89"/>
  <c r="C190" i="89"/>
  <c r="C189" i="89"/>
  <c r="C188" i="89"/>
  <c r="C187" i="89"/>
  <c r="C186" i="89"/>
  <c r="C185" i="89"/>
  <c r="C184" i="89"/>
  <c r="C183" i="89"/>
  <c r="C182" i="89"/>
  <c r="C181" i="89"/>
  <c r="C180" i="89"/>
  <c r="C179" i="89"/>
  <c r="C178" i="89"/>
  <c r="C177" i="89"/>
  <c r="C176" i="89"/>
  <c r="C175" i="89"/>
  <c r="C174" i="89"/>
  <c r="C173" i="89"/>
  <c r="C172" i="89"/>
  <c r="P171" i="89"/>
  <c r="C171" i="89"/>
  <c r="P170" i="89"/>
  <c r="C170" i="89"/>
  <c r="T169" i="89"/>
  <c r="T173" i="89" s="1"/>
  <c r="R169" i="89"/>
  <c r="R173" i="89" s="1"/>
  <c r="P169" i="89"/>
  <c r="O169" i="89"/>
  <c r="O173" i="89" s="1"/>
  <c r="C169" i="89"/>
  <c r="T168" i="89"/>
  <c r="T172" i="89" s="1"/>
  <c r="R168" i="89"/>
  <c r="R172" i="89" s="1"/>
  <c r="P168" i="89"/>
  <c r="P173" i="89" s="1"/>
  <c r="O168" i="89"/>
  <c r="O172" i="89" s="1"/>
  <c r="C168" i="89"/>
  <c r="R167" i="89"/>
  <c r="R171" i="89" s="1"/>
  <c r="P167" i="89"/>
  <c r="P172" i="89" s="1"/>
  <c r="O167" i="89"/>
  <c r="O178" i="89" s="1"/>
  <c r="O179" i="89" s="1"/>
  <c r="O166" i="89" s="1"/>
  <c r="O170" i="89" s="1"/>
  <c r="C167" i="89"/>
  <c r="T166" i="89"/>
  <c r="T170" i="89" s="1"/>
  <c r="R166" i="89"/>
  <c r="R170" i="89" s="1"/>
  <c r="P166" i="89"/>
  <c r="C166" i="89"/>
  <c r="X165" i="89"/>
  <c r="W165" i="89"/>
  <c r="T165" i="89"/>
  <c r="C165" i="89"/>
  <c r="X164" i="89"/>
  <c r="W164" i="89"/>
  <c r="T164" i="89"/>
  <c r="C164" i="89"/>
  <c r="X163" i="89"/>
  <c r="W163" i="89"/>
  <c r="T163" i="89"/>
  <c r="T167" i="89" s="1"/>
  <c r="T171" i="89" s="1"/>
  <c r="C163" i="89"/>
  <c r="X162" i="89"/>
  <c r="W162" i="89"/>
  <c r="T162" i="89"/>
  <c r="C162" i="89"/>
  <c r="X161" i="89"/>
  <c r="W161" i="89"/>
  <c r="T161" i="89"/>
  <c r="C161" i="89"/>
  <c r="X160" i="89"/>
  <c r="W160" i="89"/>
  <c r="T160" i="89"/>
  <c r="C160" i="89"/>
  <c r="X159" i="89"/>
  <c r="W159" i="89"/>
  <c r="T159" i="89"/>
  <c r="C159" i="89"/>
  <c r="X158" i="89"/>
  <c r="W158" i="89"/>
  <c r="T158" i="89"/>
  <c r="C158" i="89"/>
  <c r="X157" i="89"/>
  <c r="W157" i="89"/>
  <c r="T157" i="89"/>
  <c r="C157" i="89"/>
  <c r="X156" i="89"/>
  <c r="W156" i="89"/>
  <c r="T156" i="89"/>
  <c r="C156" i="89"/>
  <c r="X155" i="89"/>
  <c r="W155" i="89"/>
  <c r="T155" i="89"/>
  <c r="C155" i="89"/>
  <c r="X154" i="89"/>
  <c r="W154" i="89"/>
  <c r="T154" i="89"/>
  <c r="C154" i="89"/>
  <c r="X153" i="89"/>
  <c r="W153" i="89"/>
  <c r="T153" i="89"/>
  <c r="C153" i="89"/>
  <c r="X152" i="89"/>
  <c r="W152" i="89"/>
  <c r="T152" i="89"/>
  <c r="C152" i="89"/>
  <c r="X151" i="89"/>
  <c r="W151" i="89"/>
  <c r="T151" i="89"/>
  <c r="C151" i="89"/>
  <c r="X150" i="89"/>
  <c r="W150" i="89"/>
  <c r="T150" i="89"/>
  <c r="C150" i="89"/>
  <c r="X149" i="89"/>
  <c r="W149" i="89"/>
  <c r="T149" i="89"/>
  <c r="C149" i="89"/>
  <c r="X148" i="89"/>
  <c r="W148" i="89"/>
  <c r="T148" i="89"/>
  <c r="C148" i="89"/>
  <c r="X147" i="89"/>
  <c r="W147" i="89"/>
  <c r="T147" i="89"/>
  <c r="C147" i="89"/>
  <c r="X146" i="89"/>
  <c r="W146" i="89"/>
  <c r="T146" i="89"/>
  <c r="C146" i="89"/>
  <c r="X145" i="89"/>
  <c r="W145" i="89"/>
  <c r="T145" i="89"/>
  <c r="C145" i="89"/>
  <c r="X144" i="89"/>
  <c r="W144" i="89"/>
  <c r="T144" i="89"/>
  <c r="C144" i="89"/>
  <c r="X143" i="89"/>
  <c r="W143" i="89"/>
  <c r="T143" i="89"/>
  <c r="C143" i="89"/>
  <c r="X142" i="89"/>
  <c r="W142" i="89"/>
  <c r="T142" i="89"/>
  <c r="C142" i="89"/>
  <c r="X141" i="89"/>
  <c r="W141" i="89"/>
  <c r="T141" i="89"/>
  <c r="C141" i="89"/>
  <c r="X140" i="89"/>
  <c r="W140" i="89"/>
  <c r="T140" i="89"/>
  <c r="C140" i="89"/>
  <c r="X139" i="89"/>
  <c r="W139" i="89"/>
  <c r="T139" i="89"/>
  <c r="C139" i="89"/>
  <c r="X138" i="89"/>
  <c r="W138" i="89"/>
  <c r="T138" i="89"/>
  <c r="C138" i="89"/>
  <c r="X137" i="89"/>
  <c r="W137" i="89"/>
  <c r="T137" i="89"/>
  <c r="C137" i="89"/>
  <c r="X136" i="89"/>
  <c r="W136" i="89"/>
  <c r="T136" i="89"/>
  <c r="C136" i="89"/>
  <c r="X135" i="89"/>
  <c r="W135" i="89"/>
  <c r="T135" i="89"/>
  <c r="C135" i="89"/>
  <c r="X134" i="89"/>
  <c r="W134" i="89"/>
  <c r="T134" i="89"/>
  <c r="C134" i="89"/>
  <c r="X133" i="89"/>
  <c r="W133" i="89"/>
  <c r="T133" i="89"/>
  <c r="C133" i="89"/>
  <c r="X132" i="89"/>
  <c r="W132" i="89"/>
  <c r="T132" i="89"/>
  <c r="C132" i="89"/>
  <c r="X131" i="89"/>
  <c r="W131" i="89"/>
  <c r="T131" i="89"/>
  <c r="C131" i="89"/>
  <c r="X130" i="89"/>
  <c r="W130" i="89"/>
  <c r="T130" i="89"/>
  <c r="C130" i="89"/>
  <c r="X129" i="89"/>
  <c r="W129" i="89"/>
  <c r="T129" i="89"/>
  <c r="C129" i="89"/>
  <c r="X128" i="89"/>
  <c r="W128" i="89"/>
  <c r="T128" i="89"/>
  <c r="C128" i="89"/>
  <c r="X127" i="89"/>
  <c r="W127" i="89"/>
  <c r="T127" i="89"/>
  <c r="C127" i="89"/>
  <c r="X126" i="89"/>
  <c r="W126" i="89"/>
  <c r="T126" i="89"/>
  <c r="C126" i="89"/>
  <c r="X125" i="89"/>
  <c r="W125" i="89"/>
  <c r="T125" i="89"/>
  <c r="C125" i="89"/>
  <c r="X124" i="89"/>
  <c r="W124" i="89"/>
  <c r="T124" i="89"/>
  <c r="C124" i="89"/>
  <c r="X123" i="89"/>
  <c r="W123" i="89"/>
  <c r="T123" i="89"/>
  <c r="C123" i="89"/>
  <c r="X122" i="89"/>
  <c r="W122" i="89"/>
  <c r="T122" i="89"/>
  <c r="C122" i="89"/>
  <c r="X121" i="89"/>
  <c r="W121" i="89"/>
  <c r="T121" i="89"/>
  <c r="C121" i="89"/>
  <c r="X120" i="89"/>
  <c r="W120" i="89"/>
  <c r="T120" i="89"/>
  <c r="C120" i="89"/>
  <c r="X119" i="89"/>
  <c r="W119" i="89"/>
  <c r="T119" i="89"/>
  <c r="C119" i="89"/>
  <c r="X118" i="89"/>
  <c r="W118" i="89"/>
  <c r="T118" i="89"/>
  <c r="C118" i="89"/>
  <c r="X117" i="89"/>
  <c r="W117" i="89"/>
  <c r="T117" i="89"/>
  <c r="C117" i="89"/>
  <c r="X116" i="89"/>
  <c r="W116" i="89"/>
  <c r="T116" i="89"/>
  <c r="C116" i="89"/>
  <c r="X115" i="89"/>
  <c r="W115" i="89"/>
  <c r="T115" i="89"/>
  <c r="C115" i="89"/>
  <c r="X114" i="89"/>
  <c r="W114" i="89"/>
  <c r="T114" i="89"/>
  <c r="C114" i="89"/>
  <c r="X113" i="89"/>
  <c r="W113" i="89"/>
  <c r="T113" i="89"/>
  <c r="C113" i="89"/>
  <c r="X112" i="89"/>
  <c r="W112" i="89"/>
  <c r="T112" i="89"/>
  <c r="C112" i="89"/>
  <c r="X111" i="89"/>
  <c r="W111" i="89"/>
  <c r="T111" i="89"/>
  <c r="C111" i="89"/>
  <c r="X110" i="89"/>
  <c r="W110" i="89"/>
  <c r="T110" i="89"/>
  <c r="C110" i="89"/>
  <c r="X109" i="89"/>
  <c r="W109" i="89"/>
  <c r="T109" i="89"/>
  <c r="C109" i="89"/>
  <c r="X108" i="89"/>
  <c r="W108" i="89"/>
  <c r="T108" i="89"/>
  <c r="C108" i="89"/>
  <c r="X107" i="89"/>
  <c r="W107" i="89"/>
  <c r="T107" i="89"/>
  <c r="C107" i="89"/>
  <c r="X106" i="89"/>
  <c r="W106" i="89"/>
  <c r="T106" i="89"/>
  <c r="C106" i="89"/>
  <c r="X105" i="89"/>
  <c r="W105" i="89"/>
  <c r="T105" i="89"/>
  <c r="C105" i="89"/>
  <c r="X104" i="89"/>
  <c r="W104" i="89"/>
  <c r="T104" i="89"/>
  <c r="C104" i="89"/>
  <c r="X103" i="89"/>
  <c r="W103" i="89"/>
  <c r="T103" i="89"/>
  <c r="C103" i="89"/>
  <c r="X102" i="89"/>
  <c r="W102" i="89"/>
  <c r="T102" i="89"/>
  <c r="C102" i="89"/>
  <c r="X101" i="89"/>
  <c r="W101" i="89"/>
  <c r="T101" i="89"/>
  <c r="C101" i="89"/>
  <c r="X100" i="89"/>
  <c r="W100" i="89"/>
  <c r="T100" i="89"/>
  <c r="C100" i="89"/>
  <c r="X99" i="89"/>
  <c r="W99" i="89"/>
  <c r="T99" i="89"/>
  <c r="C99" i="89"/>
  <c r="X98" i="89"/>
  <c r="W98" i="89"/>
  <c r="T98" i="89"/>
  <c r="C98" i="89"/>
  <c r="X97" i="89"/>
  <c r="W97" i="89"/>
  <c r="T97" i="89"/>
  <c r="C97" i="89"/>
  <c r="X96" i="89"/>
  <c r="W96" i="89"/>
  <c r="T96" i="89"/>
  <c r="C96" i="89"/>
  <c r="X95" i="89"/>
  <c r="W95" i="89"/>
  <c r="T95" i="89"/>
  <c r="C95" i="89"/>
  <c r="X94" i="89"/>
  <c r="W94" i="89"/>
  <c r="T94" i="89"/>
  <c r="C94" i="89"/>
  <c r="X93" i="89"/>
  <c r="W93" i="89"/>
  <c r="T93" i="89"/>
  <c r="C93" i="89"/>
  <c r="X92" i="89"/>
  <c r="W92" i="89"/>
  <c r="T92" i="89"/>
  <c r="C92" i="89"/>
  <c r="X91" i="89"/>
  <c r="W91" i="89"/>
  <c r="T91" i="89"/>
  <c r="C91" i="89"/>
  <c r="X90" i="89"/>
  <c r="W90" i="89"/>
  <c r="T90" i="89"/>
  <c r="C90" i="89"/>
  <c r="X89" i="89"/>
  <c r="W89" i="89"/>
  <c r="T89" i="89"/>
  <c r="C89" i="89"/>
  <c r="X88" i="89"/>
  <c r="W88" i="89"/>
  <c r="T88" i="89"/>
  <c r="C88" i="89"/>
  <c r="X87" i="89"/>
  <c r="W87" i="89"/>
  <c r="T87" i="89"/>
  <c r="C87" i="89"/>
  <c r="X86" i="89"/>
  <c r="W86" i="89"/>
  <c r="T86" i="89"/>
  <c r="C86" i="89"/>
  <c r="X85" i="89"/>
  <c r="W85" i="89"/>
  <c r="T85" i="89"/>
  <c r="C85" i="89"/>
  <c r="X84" i="89"/>
  <c r="W84" i="89"/>
  <c r="T84" i="89"/>
  <c r="C84" i="89"/>
  <c r="X83" i="89"/>
  <c r="W83" i="89"/>
  <c r="T83" i="89"/>
  <c r="C83" i="89"/>
  <c r="X82" i="89"/>
  <c r="W82" i="89"/>
  <c r="T82" i="89"/>
  <c r="C82" i="89"/>
  <c r="X81" i="89"/>
  <c r="W81" i="89"/>
  <c r="T81" i="89"/>
  <c r="C81" i="89"/>
  <c r="X80" i="89"/>
  <c r="W80" i="89"/>
  <c r="T80" i="89"/>
  <c r="C80" i="89"/>
  <c r="X79" i="89"/>
  <c r="W79" i="89"/>
  <c r="T79" i="89"/>
  <c r="C79" i="89"/>
  <c r="X78" i="89"/>
  <c r="W78" i="89"/>
  <c r="T78" i="89"/>
  <c r="C78" i="89"/>
  <c r="X77" i="89"/>
  <c r="W77" i="89"/>
  <c r="T77" i="89"/>
  <c r="C77" i="89"/>
  <c r="X76" i="89"/>
  <c r="W76" i="89"/>
  <c r="T76" i="89"/>
  <c r="C76" i="89"/>
  <c r="X75" i="89"/>
  <c r="W75" i="89"/>
  <c r="T75" i="89"/>
  <c r="C75" i="89"/>
  <c r="X74" i="89"/>
  <c r="W74" i="89"/>
  <c r="T74" i="89"/>
  <c r="C74" i="89"/>
  <c r="X73" i="89"/>
  <c r="W73" i="89"/>
  <c r="T73" i="89"/>
  <c r="C73" i="89"/>
  <c r="X72" i="89"/>
  <c r="W72" i="89"/>
  <c r="T72" i="89"/>
  <c r="C72" i="89"/>
  <c r="X71" i="89"/>
  <c r="W71" i="89"/>
  <c r="T71" i="89"/>
  <c r="C71" i="89"/>
  <c r="X70" i="89"/>
  <c r="W70" i="89"/>
  <c r="T70" i="89"/>
  <c r="C70" i="89"/>
  <c r="X69" i="89"/>
  <c r="W69" i="89"/>
  <c r="T69" i="89"/>
  <c r="C69" i="89"/>
  <c r="X68" i="89"/>
  <c r="W68" i="89"/>
  <c r="T68" i="89"/>
  <c r="C68" i="89"/>
  <c r="X67" i="89"/>
  <c r="W67" i="89"/>
  <c r="T67" i="89"/>
  <c r="C67" i="89"/>
  <c r="X66" i="89"/>
  <c r="W66" i="89"/>
  <c r="T66" i="89"/>
  <c r="C66" i="89"/>
  <c r="X65" i="89"/>
  <c r="W65" i="89"/>
  <c r="T65" i="89"/>
  <c r="C65" i="89"/>
  <c r="X64" i="89"/>
  <c r="W64" i="89"/>
  <c r="T64" i="89"/>
  <c r="C64" i="89"/>
  <c r="X63" i="89"/>
  <c r="W63" i="89"/>
  <c r="T63" i="89"/>
  <c r="C63" i="89"/>
  <c r="X62" i="89"/>
  <c r="W62" i="89"/>
  <c r="T62" i="89"/>
  <c r="C62" i="89"/>
  <c r="X61" i="89"/>
  <c r="W61" i="89"/>
  <c r="T61" i="89"/>
  <c r="C61" i="89"/>
  <c r="X60" i="89"/>
  <c r="W60" i="89"/>
  <c r="T60" i="89"/>
  <c r="C60" i="89"/>
  <c r="X59" i="89"/>
  <c r="W59" i="89"/>
  <c r="T59" i="89"/>
  <c r="C59" i="89"/>
  <c r="X58" i="89"/>
  <c r="W58" i="89"/>
  <c r="T58" i="89"/>
  <c r="C58" i="89"/>
  <c r="X57" i="89"/>
  <c r="W57" i="89"/>
  <c r="T57" i="89"/>
  <c r="C57" i="89"/>
  <c r="X56" i="89"/>
  <c r="W56" i="89"/>
  <c r="T56" i="89"/>
  <c r="C56" i="89"/>
  <c r="X55" i="89"/>
  <c r="W55" i="89"/>
  <c r="T55" i="89"/>
  <c r="C55" i="89"/>
  <c r="X54" i="89"/>
  <c r="W54" i="89"/>
  <c r="T54" i="89"/>
  <c r="C54" i="89"/>
  <c r="X53" i="89"/>
  <c r="W53" i="89"/>
  <c r="T53" i="89"/>
  <c r="C53" i="89"/>
  <c r="X52" i="89"/>
  <c r="W52" i="89"/>
  <c r="T52" i="89"/>
  <c r="C52" i="89"/>
  <c r="X51" i="89"/>
  <c r="W51" i="89"/>
  <c r="T51" i="89"/>
  <c r="C51" i="89"/>
  <c r="X50" i="89"/>
  <c r="W50" i="89"/>
  <c r="T50" i="89"/>
  <c r="C50" i="89"/>
  <c r="X49" i="89"/>
  <c r="W49" i="89"/>
  <c r="T49" i="89"/>
  <c r="C49" i="89"/>
  <c r="X48" i="89"/>
  <c r="W48" i="89"/>
  <c r="T48" i="89"/>
  <c r="C48" i="89"/>
  <c r="X47" i="89"/>
  <c r="W47" i="89"/>
  <c r="T47" i="89"/>
  <c r="C47" i="89"/>
  <c r="X46" i="89"/>
  <c r="W46" i="89"/>
  <c r="T46" i="89"/>
  <c r="C46" i="89"/>
  <c r="X45" i="89"/>
  <c r="W45" i="89"/>
  <c r="T45" i="89"/>
  <c r="C45" i="89"/>
  <c r="X44" i="89"/>
  <c r="W44" i="89"/>
  <c r="T44" i="89"/>
  <c r="C44" i="89"/>
  <c r="X43" i="89"/>
  <c r="W43" i="89"/>
  <c r="T43" i="89"/>
  <c r="C43" i="89"/>
  <c r="X42" i="89"/>
  <c r="W42" i="89"/>
  <c r="T42" i="89"/>
  <c r="C42" i="89"/>
  <c r="X41" i="89"/>
  <c r="W41" i="89"/>
  <c r="T41" i="89"/>
  <c r="C41" i="89"/>
  <c r="X40" i="89"/>
  <c r="W40" i="89"/>
  <c r="T40" i="89"/>
  <c r="C40" i="89"/>
  <c r="X39" i="89"/>
  <c r="W39" i="89"/>
  <c r="T39" i="89"/>
  <c r="C39" i="89"/>
  <c r="X38" i="89"/>
  <c r="W38" i="89"/>
  <c r="T38" i="89"/>
  <c r="C38" i="89"/>
  <c r="X37" i="89"/>
  <c r="W37" i="89"/>
  <c r="T37" i="89"/>
  <c r="C37" i="89"/>
  <c r="X36" i="89"/>
  <c r="W36" i="89"/>
  <c r="T36" i="89"/>
  <c r="C36" i="89"/>
  <c r="X35" i="89"/>
  <c r="W35" i="89"/>
  <c r="T35" i="89"/>
  <c r="C35" i="89"/>
  <c r="X34" i="89"/>
  <c r="W34" i="89"/>
  <c r="T34" i="89"/>
  <c r="C34" i="89"/>
  <c r="X33" i="89"/>
  <c r="W33" i="89"/>
  <c r="T33" i="89"/>
  <c r="C33" i="89"/>
  <c r="X32" i="89"/>
  <c r="W32" i="89"/>
  <c r="T32" i="89"/>
  <c r="C32" i="89"/>
  <c r="X31" i="89"/>
  <c r="W31" i="89"/>
  <c r="T31" i="89"/>
  <c r="C31" i="89"/>
  <c r="X30" i="89"/>
  <c r="W30" i="89"/>
  <c r="T30" i="89"/>
  <c r="C30" i="89"/>
  <c r="X29" i="89"/>
  <c r="W29" i="89"/>
  <c r="T29" i="89"/>
  <c r="C29" i="89"/>
  <c r="X28" i="89"/>
  <c r="W28" i="89"/>
  <c r="T28" i="89"/>
  <c r="C28" i="89"/>
  <c r="X27" i="89"/>
  <c r="W27" i="89"/>
  <c r="T27" i="89"/>
  <c r="C27" i="89"/>
  <c r="X26" i="89"/>
  <c r="W26" i="89"/>
  <c r="T26" i="89"/>
  <c r="C26" i="89"/>
  <c r="X25" i="89"/>
  <c r="W25" i="89"/>
  <c r="T25" i="89"/>
  <c r="D25" i="89"/>
  <c r="D37" i="89" s="1"/>
  <c r="C25" i="89"/>
  <c r="X24" i="89"/>
  <c r="W24" i="89"/>
  <c r="T24" i="89"/>
  <c r="D24" i="89"/>
  <c r="D36" i="89" s="1"/>
  <c r="C24" i="89"/>
  <c r="X23" i="89"/>
  <c r="W23" i="89"/>
  <c r="T23" i="89"/>
  <c r="D23" i="89"/>
  <c r="D35" i="89" s="1"/>
  <c r="C23" i="89"/>
  <c r="X22" i="89"/>
  <c r="W22" i="89"/>
  <c r="T22" i="89"/>
  <c r="D22" i="89"/>
  <c r="D34" i="89" s="1"/>
  <c r="C22" i="89"/>
  <c r="X21" i="89"/>
  <c r="W21" i="89"/>
  <c r="T21" i="89"/>
  <c r="D21" i="89"/>
  <c r="D33" i="89" s="1"/>
  <c r="C21" i="89"/>
  <c r="X20" i="89"/>
  <c r="W20" i="89"/>
  <c r="T20" i="89"/>
  <c r="D20" i="89"/>
  <c r="D32" i="89" s="1"/>
  <c r="C20" i="89"/>
  <c r="X19" i="89"/>
  <c r="W19" i="89"/>
  <c r="T19" i="89"/>
  <c r="D19" i="89"/>
  <c r="D31" i="89" s="1"/>
  <c r="C19" i="89"/>
  <c r="X18" i="89"/>
  <c r="W18" i="89"/>
  <c r="T18" i="89"/>
  <c r="D18" i="89"/>
  <c r="D30" i="89" s="1"/>
  <c r="C18" i="89"/>
  <c r="X17" i="89"/>
  <c r="W17" i="89"/>
  <c r="T17" i="89"/>
  <c r="D17" i="89"/>
  <c r="D29" i="89" s="1"/>
  <c r="C17" i="89"/>
  <c r="X16" i="89"/>
  <c r="W16" i="89"/>
  <c r="T16" i="89"/>
  <c r="D16" i="89"/>
  <c r="D28" i="89" s="1"/>
  <c r="C16" i="89"/>
  <c r="X15" i="89"/>
  <c r="W15" i="89"/>
  <c r="T15" i="89"/>
  <c r="D15" i="89"/>
  <c r="D27" i="89" s="1"/>
  <c r="C15" i="89"/>
  <c r="X14" i="89"/>
  <c r="W14" i="89"/>
  <c r="T14" i="89"/>
  <c r="D14" i="89"/>
  <c r="D26" i="89" s="1"/>
  <c r="C14" i="89"/>
  <c r="X13" i="89"/>
  <c r="W13" i="89"/>
  <c r="T13" i="89"/>
  <c r="C13" i="89"/>
  <c r="X12" i="89"/>
  <c r="W12" i="89"/>
  <c r="T12" i="89"/>
  <c r="C12" i="89"/>
  <c r="X11" i="89"/>
  <c r="W11" i="89"/>
  <c r="T11" i="89"/>
  <c r="C11" i="89"/>
  <c r="X10" i="89"/>
  <c r="W10" i="89"/>
  <c r="T10" i="89"/>
  <c r="C10" i="89"/>
  <c r="X9" i="89"/>
  <c r="W9" i="89"/>
  <c r="T9" i="89"/>
  <c r="N9" i="89"/>
  <c r="M9" i="89"/>
  <c r="M13" i="89" s="1"/>
  <c r="M17" i="89" s="1"/>
  <c r="M21" i="89" s="1"/>
  <c r="M25" i="89" s="1"/>
  <c r="M29" i="89" s="1"/>
  <c r="M33" i="89" s="1"/>
  <c r="M37" i="89" s="1"/>
  <c r="M41" i="89" s="1"/>
  <c r="M45" i="89" s="1"/>
  <c r="M49" i="89" s="1"/>
  <c r="M53" i="89" s="1"/>
  <c r="M57" i="89" s="1"/>
  <c r="M61" i="89" s="1"/>
  <c r="M65" i="89" s="1"/>
  <c r="M69" i="89" s="1"/>
  <c r="M73" i="89" s="1"/>
  <c r="M77" i="89" s="1"/>
  <c r="M81" i="89" s="1"/>
  <c r="M85" i="89" s="1"/>
  <c r="M89" i="89" s="1"/>
  <c r="M93" i="89" s="1"/>
  <c r="M97" i="89" s="1"/>
  <c r="M101" i="89" s="1"/>
  <c r="M105" i="89" s="1"/>
  <c r="M109" i="89" s="1"/>
  <c r="M113" i="89" s="1"/>
  <c r="M117" i="89" s="1"/>
  <c r="M121" i="89" s="1"/>
  <c r="M125" i="89" s="1"/>
  <c r="M129" i="89" s="1"/>
  <c r="M133" i="89" s="1"/>
  <c r="M137" i="89" s="1"/>
  <c r="M141" i="89" s="1"/>
  <c r="M145" i="89" s="1"/>
  <c r="M149" i="89" s="1"/>
  <c r="M153" i="89" s="1"/>
  <c r="M157" i="89" s="1"/>
  <c r="M161" i="89" s="1"/>
  <c r="M165" i="89" s="1"/>
  <c r="M169" i="89" s="1"/>
  <c r="M173" i="89" s="1"/>
  <c r="L9" i="89"/>
  <c r="L13" i="89" s="1"/>
  <c r="C9" i="89"/>
  <c r="X8" i="89"/>
  <c r="W8" i="89"/>
  <c r="T8" i="89"/>
  <c r="M8" i="89"/>
  <c r="M12" i="89" s="1"/>
  <c r="M16" i="89" s="1"/>
  <c r="M20" i="89" s="1"/>
  <c r="M24" i="89" s="1"/>
  <c r="M28" i="89" s="1"/>
  <c r="M32" i="89" s="1"/>
  <c r="M36" i="89" s="1"/>
  <c r="M40" i="89" s="1"/>
  <c r="M44" i="89" s="1"/>
  <c r="M48" i="89" s="1"/>
  <c r="M52" i="89" s="1"/>
  <c r="M56" i="89" s="1"/>
  <c r="M60" i="89" s="1"/>
  <c r="M64" i="89" s="1"/>
  <c r="M68" i="89" s="1"/>
  <c r="M72" i="89" s="1"/>
  <c r="M76" i="89" s="1"/>
  <c r="M80" i="89" s="1"/>
  <c r="M84" i="89" s="1"/>
  <c r="M88" i="89" s="1"/>
  <c r="M92" i="89" s="1"/>
  <c r="M96" i="89" s="1"/>
  <c r="M100" i="89" s="1"/>
  <c r="M104" i="89" s="1"/>
  <c r="M108" i="89" s="1"/>
  <c r="M112" i="89" s="1"/>
  <c r="M116" i="89" s="1"/>
  <c r="M120" i="89" s="1"/>
  <c r="M124" i="89" s="1"/>
  <c r="M128" i="89" s="1"/>
  <c r="M132" i="89" s="1"/>
  <c r="M136" i="89" s="1"/>
  <c r="M140" i="89" s="1"/>
  <c r="M144" i="89" s="1"/>
  <c r="M148" i="89" s="1"/>
  <c r="M152" i="89" s="1"/>
  <c r="M156" i="89" s="1"/>
  <c r="M160" i="89" s="1"/>
  <c r="M164" i="89" s="1"/>
  <c r="M168" i="89" s="1"/>
  <c r="M172" i="89" s="1"/>
  <c r="L8" i="89"/>
  <c r="L12" i="89" s="1"/>
  <c r="C8" i="89"/>
  <c r="X7" i="89"/>
  <c r="W7" i="89"/>
  <c r="T7" i="89"/>
  <c r="M7" i="89"/>
  <c r="M11" i="89" s="1"/>
  <c r="M15" i="89" s="1"/>
  <c r="M19" i="89" s="1"/>
  <c r="M23" i="89" s="1"/>
  <c r="M27" i="89" s="1"/>
  <c r="M31" i="89" s="1"/>
  <c r="M35" i="89" s="1"/>
  <c r="M39" i="89" s="1"/>
  <c r="M43" i="89" s="1"/>
  <c r="M47" i="89" s="1"/>
  <c r="M51" i="89" s="1"/>
  <c r="M55" i="89" s="1"/>
  <c r="M59" i="89" s="1"/>
  <c r="M63" i="89" s="1"/>
  <c r="M67" i="89" s="1"/>
  <c r="M71" i="89" s="1"/>
  <c r="M75" i="89" s="1"/>
  <c r="M79" i="89" s="1"/>
  <c r="M83" i="89" s="1"/>
  <c r="M87" i="89" s="1"/>
  <c r="M91" i="89" s="1"/>
  <c r="M95" i="89" s="1"/>
  <c r="M99" i="89" s="1"/>
  <c r="M103" i="89" s="1"/>
  <c r="M107" i="89" s="1"/>
  <c r="M111" i="89" s="1"/>
  <c r="M115" i="89" s="1"/>
  <c r="M119" i="89" s="1"/>
  <c r="M123" i="89" s="1"/>
  <c r="M127" i="89" s="1"/>
  <c r="M131" i="89" s="1"/>
  <c r="M135" i="89" s="1"/>
  <c r="M139" i="89" s="1"/>
  <c r="M143" i="89" s="1"/>
  <c r="M147" i="89" s="1"/>
  <c r="M151" i="89" s="1"/>
  <c r="M155" i="89" s="1"/>
  <c r="M159" i="89" s="1"/>
  <c r="M163" i="89" s="1"/>
  <c r="M167" i="89" s="1"/>
  <c r="M171" i="89" s="1"/>
  <c r="L7" i="89"/>
  <c r="L11" i="89" s="1"/>
  <c r="C7" i="89"/>
  <c r="X6" i="89"/>
  <c r="W6" i="89"/>
  <c r="T6" i="89"/>
  <c r="M6" i="89"/>
  <c r="N6" i="89" s="1"/>
  <c r="L6" i="89"/>
  <c r="L10" i="89" s="1"/>
  <c r="C6" i="89"/>
  <c r="X5" i="89"/>
  <c r="W5" i="89"/>
  <c r="T5" i="89"/>
  <c r="N5" i="89"/>
  <c r="C5" i="89"/>
  <c r="X4" i="89"/>
  <c r="W4" i="89"/>
  <c r="T4" i="89"/>
  <c r="N4" i="89"/>
  <c r="H4" i="89"/>
  <c r="F4" i="89"/>
  <c r="E4" i="89"/>
  <c r="C4" i="89"/>
  <c r="X3" i="89"/>
  <c r="W3" i="89"/>
  <c r="T3" i="89"/>
  <c r="N3" i="89"/>
  <c r="G3" i="89"/>
  <c r="F3" i="89"/>
  <c r="E3" i="89"/>
  <c r="C3" i="89"/>
  <c r="X2" i="89"/>
  <c r="W2" i="89"/>
  <c r="T2" i="89"/>
  <c r="G2" i="89" s="1"/>
  <c r="N2" i="89"/>
  <c r="H2" i="89"/>
  <c r="F2" i="89"/>
  <c r="E2" i="89"/>
  <c r="C2" i="89"/>
  <c r="N13" i="89" l="1"/>
  <c r="L17" i="89"/>
  <c r="D47" i="89"/>
  <c r="D40" i="89"/>
  <c r="D44" i="89"/>
  <c r="D48" i="89"/>
  <c r="D39" i="89"/>
  <c r="L14" i="89"/>
  <c r="L16" i="89"/>
  <c r="N12" i="89"/>
  <c r="D41" i="89"/>
  <c r="D45" i="89"/>
  <c r="D49" i="89"/>
  <c r="L15" i="89"/>
  <c r="N11" i="89"/>
  <c r="D43" i="89"/>
  <c r="D38" i="89"/>
  <c r="D42" i="89"/>
  <c r="D46" i="89"/>
  <c r="H6" i="89"/>
  <c r="F8" i="89"/>
  <c r="H10" i="89"/>
  <c r="F12" i="89"/>
  <c r="G14" i="89"/>
  <c r="G16" i="89"/>
  <c r="H3" i="89"/>
  <c r="G4" i="89"/>
  <c r="F5" i="89"/>
  <c r="E6" i="89"/>
  <c r="F7" i="89"/>
  <c r="G8" i="89"/>
  <c r="N8" i="89"/>
  <c r="H9" i="89"/>
  <c r="E10" i="89"/>
  <c r="F11" i="89"/>
  <c r="G12" i="89"/>
  <c r="H13" i="89"/>
  <c r="H14" i="89"/>
  <c r="H15" i="89"/>
  <c r="H16" i="89"/>
  <c r="G5" i="89"/>
  <c r="G7" i="89"/>
  <c r="H8" i="89"/>
  <c r="E9" i="89"/>
  <c r="F10" i="89"/>
  <c r="M10" i="89"/>
  <c r="M14" i="89" s="1"/>
  <c r="M18" i="89" s="1"/>
  <c r="M22" i="89" s="1"/>
  <c r="M26" i="89" s="1"/>
  <c r="M30" i="89" s="1"/>
  <c r="M34" i="89" s="1"/>
  <c r="M38" i="89" s="1"/>
  <c r="M42" i="89" s="1"/>
  <c r="M46" i="89" s="1"/>
  <c r="M50" i="89" s="1"/>
  <c r="M54" i="89" s="1"/>
  <c r="M58" i="89" s="1"/>
  <c r="M62" i="89" s="1"/>
  <c r="M66" i="89" s="1"/>
  <c r="M70" i="89" s="1"/>
  <c r="M74" i="89" s="1"/>
  <c r="M78" i="89" s="1"/>
  <c r="M82" i="89" s="1"/>
  <c r="M86" i="89" s="1"/>
  <c r="M90" i="89" s="1"/>
  <c r="M94" i="89" s="1"/>
  <c r="M98" i="89" s="1"/>
  <c r="M102" i="89" s="1"/>
  <c r="M106" i="89" s="1"/>
  <c r="M110" i="89" s="1"/>
  <c r="M114" i="89" s="1"/>
  <c r="M118" i="89" s="1"/>
  <c r="M122" i="89" s="1"/>
  <c r="M126" i="89" s="1"/>
  <c r="M130" i="89" s="1"/>
  <c r="M134" i="89" s="1"/>
  <c r="M138" i="89" s="1"/>
  <c r="M142" i="89" s="1"/>
  <c r="M146" i="89" s="1"/>
  <c r="M150" i="89" s="1"/>
  <c r="M154" i="89" s="1"/>
  <c r="M158" i="89" s="1"/>
  <c r="M162" i="89" s="1"/>
  <c r="M166" i="89" s="1"/>
  <c r="M170" i="89" s="1"/>
  <c r="G11" i="89"/>
  <c r="H12" i="89"/>
  <c r="E13" i="89"/>
  <c r="E14" i="89"/>
  <c r="E15" i="89"/>
  <c r="E16" i="89"/>
  <c r="F6" i="89"/>
  <c r="N7" i="89"/>
  <c r="H5" i="89"/>
  <c r="G6" i="89"/>
  <c r="H7" i="89"/>
  <c r="E8" i="89"/>
  <c r="F9" i="89"/>
  <c r="G10" i="89"/>
  <c r="H11" i="89"/>
  <c r="E12" i="89"/>
  <c r="F13" i="89"/>
  <c r="F14" i="89"/>
  <c r="F15" i="89"/>
  <c r="F16" i="89"/>
  <c r="F20" i="89"/>
  <c r="F24" i="89"/>
  <c r="E5" i="89"/>
  <c r="E7" i="89"/>
  <c r="G9" i="89"/>
  <c r="E11" i="89"/>
  <c r="G13" i="89"/>
  <c r="G15" i="89"/>
  <c r="G19" i="89"/>
  <c r="O171" i="89"/>
  <c r="C496" i="89"/>
  <c r="C500" i="89"/>
  <c r="C504" i="89"/>
  <c r="A506" i="89"/>
  <c r="A509" i="89"/>
  <c r="A510" i="89"/>
  <c r="A513" i="89"/>
  <c r="A514" i="89"/>
  <c r="A517" i="89"/>
  <c r="U4" i="92"/>
  <c r="C494" i="89"/>
  <c r="C498" i="89"/>
  <c r="C502" i="89"/>
  <c r="C497" i="89"/>
  <c r="C501" i="89"/>
  <c r="C505" i="89"/>
  <c r="C507" i="89"/>
  <c r="C508" i="89"/>
  <c r="C511" i="89"/>
  <c r="C512" i="89"/>
  <c r="C515" i="89"/>
  <c r="C516" i="89"/>
  <c r="J507" i="92"/>
  <c r="I507" i="92"/>
  <c r="I514" i="92"/>
  <c r="J514" i="92"/>
  <c r="J516" i="92"/>
  <c r="I516" i="92"/>
  <c r="X34" i="93"/>
  <c r="J511" i="92"/>
  <c r="I511" i="92"/>
  <c r="W10" i="93"/>
  <c r="W15" i="93"/>
  <c r="W17" i="93"/>
  <c r="I506" i="92"/>
  <c r="J506" i="92"/>
  <c r="J508" i="92"/>
  <c r="I508" i="92"/>
  <c r="J515" i="92"/>
  <c r="I515" i="92"/>
  <c r="I510" i="92"/>
  <c r="J510" i="92"/>
  <c r="J512" i="92"/>
  <c r="I512" i="92"/>
  <c r="I494" i="92"/>
  <c r="N494" i="92"/>
  <c r="I496" i="92"/>
  <c r="N496" i="92"/>
  <c r="I498" i="92"/>
  <c r="N498" i="92"/>
  <c r="I500" i="92"/>
  <c r="N500" i="92"/>
  <c r="I502" i="92"/>
  <c r="N502" i="92"/>
  <c r="I504" i="92"/>
  <c r="N504" i="92"/>
  <c r="P5" i="93"/>
  <c r="W5" i="93" s="1"/>
  <c r="X5" i="93" s="1"/>
  <c r="P9" i="93"/>
  <c r="W9" i="93" s="1"/>
  <c r="X9" i="93" s="1"/>
  <c r="P13" i="93"/>
  <c r="W13" i="93" s="1"/>
  <c r="X13" i="93" s="1"/>
  <c r="P17" i="93"/>
  <c r="W21" i="93"/>
  <c r="P21" i="93"/>
  <c r="W25" i="93"/>
  <c r="P25" i="93"/>
  <c r="P29" i="93"/>
  <c r="W29" i="93" s="1"/>
  <c r="W36" i="93"/>
  <c r="P36" i="93"/>
  <c r="W37" i="93"/>
  <c r="X37" i="93" s="1"/>
  <c r="P37" i="93"/>
  <c r="W41" i="93"/>
  <c r="P41" i="93"/>
  <c r="K506" i="92"/>
  <c r="S506" i="92" s="1"/>
  <c r="H509" i="92"/>
  <c r="M509" i="92"/>
  <c r="N509" i="92" s="1"/>
  <c r="K510" i="92"/>
  <c r="S510" i="92" s="1"/>
  <c r="H513" i="92"/>
  <c r="M513" i="92"/>
  <c r="N513" i="92" s="1"/>
  <c r="K514" i="92"/>
  <c r="S514" i="92" s="1"/>
  <c r="H517" i="92"/>
  <c r="M517" i="92"/>
  <c r="N517" i="92" s="1"/>
  <c r="P4" i="93"/>
  <c r="W4" i="93" s="1"/>
  <c r="P8" i="93"/>
  <c r="W8" i="93" s="1"/>
  <c r="P12" i="93"/>
  <c r="W12" i="93" s="1"/>
  <c r="P16" i="93"/>
  <c r="W16" i="93" s="1"/>
  <c r="X16" i="93" s="1"/>
  <c r="P20" i="93"/>
  <c r="W20" i="93" s="1"/>
  <c r="X20" i="93" s="1"/>
  <c r="P24" i="93"/>
  <c r="W24" i="93" s="1"/>
  <c r="X24" i="93" s="1"/>
  <c r="W40" i="93"/>
  <c r="P40" i="93"/>
  <c r="I495" i="92"/>
  <c r="N495" i="92"/>
  <c r="I497" i="92"/>
  <c r="I499" i="92"/>
  <c r="N499" i="92"/>
  <c r="I501" i="92"/>
  <c r="I503" i="92"/>
  <c r="N503" i="92"/>
  <c r="I505" i="92"/>
  <c r="P3" i="93"/>
  <c r="W3" i="93" s="1"/>
  <c r="X3" i="93" s="1"/>
  <c r="P7" i="93"/>
  <c r="W7" i="93" s="1"/>
  <c r="P11" i="93"/>
  <c r="W11" i="93" s="1"/>
  <c r="X11" i="93" s="1"/>
  <c r="P15" i="93"/>
  <c r="W19" i="93"/>
  <c r="P19" i="93"/>
  <c r="W23" i="93"/>
  <c r="P23" i="93"/>
  <c r="W27" i="93"/>
  <c r="P27" i="93"/>
  <c r="W32" i="93"/>
  <c r="X33" i="93" s="1"/>
  <c r="P32" i="93"/>
  <c r="W39" i="93"/>
  <c r="P39" i="93"/>
  <c r="J495" i="92"/>
  <c r="S496" i="92"/>
  <c r="J499" i="92"/>
  <c r="S500" i="92"/>
  <c r="J503" i="92"/>
  <c r="S504" i="92"/>
  <c r="P6" i="93"/>
  <c r="W6" i="93" s="1"/>
  <c r="X6" i="93" s="1"/>
  <c r="P10" i="93"/>
  <c r="P14" i="93"/>
  <c r="W14" i="93" s="1"/>
  <c r="X14" i="93" s="1"/>
  <c r="P18" i="93"/>
  <c r="W18" i="93" s="1"/>
  <c r="X18" i="93" s="1"/>
  <c r="P22" i="93"/>
  <c r="W22" i="93" s="1"/>
  <c r="X22" i="93" s="1"/>
  <c r="P26" i="93"/>
  <c r="W26" i="93" s="1"/>
  <c r="X26" i="93" s="1"/>
  <c r="P31" i="93"/>
  <c r="W31" i="93" s="1"/>
  <c r="X31" i="93" s="1"/>
  <c r="P38" i="93"/>
  <c r="W38" i="93" s="1"/>
  <c r="X38" i="93" s="1"/>
  <c r="P35" i="93"/>
  <c r="W35" i="93" s="1"/>
  <c r="X35" i="93" s="1"/>
  <c r="P6" i="95"/>
  <c r="AV7" i="95"/>
  <c r="P42" i="93"/>
  <c r="W42" i="93" s="1"/>
  <c r="X42" i="93" s="1"/>
  <c r="P43" i="93"/>
  <c r="W43" i="93" s="1"/>
  <c r="X43" i="93" s="1"/>
  <c r="P44" i="93"/>
  <c r="W44" i="93" s="1"/>
  <c r="P45" i="93"/>
  <c r="W45" i="93" s="1"/>
  <c r="X45" i="93" s="1"/>
  <c r="P46" i="93"/>
  <c r="W46" i="93" s="1"/>
  <c r="P47" i="93"/>
  <c r="W47" i="93" s="1"/>
  <c r="X47" i="93" s="1"/>
  <c r="P48" i="93"/>
  <c r="W48" i="93" s="1"/>
  <c r="AO6" i="95"/>
  <c r="D6" i="95" s="1"/>
  <c r="AL7" i="95"/>
  <c r="P5" i="95"/>
  <c r="AO5" i="95"/>
  <c r="D5" i="95" s="1"/>
  <c r="AL12" i="95"/>
  <c r="P15" i="95"/>
  <c r="Y15" i="95"/>
  <c r="AC15" i="95"/>
  <c r="T20" i="95"/>
  <c r="AV12" i="95"/>
  <c r="AL16" i="95"/>
  <c r="T16" i="95"/>
  <c r="R24" i="95"/>
  <c r="R25" i="95" s="1"/>
  <c r="R26" i="95" s="1"/>
  <c r="R27" i="95" s="1"/>
  <c r="R28" i="95" s="1"/>
  <c r="R29" i="95" s="1"/>
  <c r="R30" i="95" s="1"/>
  <c r="R31" i="95" s="1"/>
  <c r="R32" i="95" s="1"/>
  <c r="R33" i="95" s="1"/>
  <c r="R34" i="95" s="1"/>
  <c r="AO15" i="95"/>
  <c r="D15" i="95" s="1"/>
  <c r="J18" i="95"/>
  <c r="J19" i="95" s="1"/>
  <c r="J20" i="95" s="1"/>
  <c r="J21" i="95" s="1"/>
  <c r="J22" i="95" s="1"/>
  <c r="J23" i="95" s="1"/>
  <c r="J24" i="95" s="1"/>
  <c r="J25" i="95" s="1"/>
  <c r="J26" i="95" s="1"/>
  <c r="J27" i="95" s="1"/>
  <c r="J28" i="95" s="1"/>
  <c r="J29" i="95" s="1"/>
  <c r="J30" i="95" s="1"/>
  <c r="J31" i="95" s="1"/>
  <c r="J32" i="95" s="1"/>
  <c r="U33" i="97"/>
  <c r="O13" i="98"/>
  <c r="P13" i="98"/>
  <c r="P20" i="98"/>
  <c r="O20" i="98"/>
  <c r="P23" i="98"/>
  <c r="O23" i="98"/>
  <c r="P26" i="98"/>
  <c r="O26" i="98"/>
  <c r="O29" i="98"/>
  <c r="P29" i="98"/>
  <c r="O36" i="98"/>
  <c r="P36" i="98"/>
  <c r="O40" i="98"/>
  <c r="P40" i="98"/>
  <c r="P14" i="98"/>
  <c r="O14" i="98"/>
  <c r="O17" i="98"/>
  <c r="P17" i="98"/>
  <c r="P24" i="98"/>
  <c r="O24" i="98"/>
  <c r="P27" i="98"/>
  <c r="O27" i="98"/>
  <c r="P30" i="98"/>
  <c r="O30" i="98"/>
  <c r="P33" i="98"/>
  <c r="O33" i="98"/>
  <c r="P37" i="98"/>
  <c r="O37" i="98"/>
  <c r="P41" i="98"/>
  <c r="O41" i="98"/>
  <c r="P43" i="98"/>
  <c r="O43" i="98"/>
  <c r="L12" i="98"/>
  <c r="K11" i="98"/>
  <c r="P15" i="98"/>
  <c r="O15" i="98"/>
  <c r="P18" i="98"/>
  <c r="O18" i="98"/>
  <c r="O21" i="98"/>
  <c r="P21" i="98"/>
  <c r="P28" i="98"/>
  <c r="O28" i="98"/>
  <c r="P31" i="98"/>
  <c r="O31" i="98"/>
  <c r="O34" i="98"/>
  <c r="P34" i="98"/>
  <c r="O38" i="98"/>
  <c r="P38" i="98"/>
  <c r="O42" i="98"/>
  <c r="P42" i="98"/>
  <c r="U25" i="97"/>
  <c r="U27" i="97"/>
  <c r="U29" i="97"/>
  <c r="U31" i="97"/>
  <c r="U37" i="97"/>
  <c r="P16" i="98"/>
  <c r="O16" i="98"/>
  <c r="P19" i="98"/>
  <c r="O19" i="98"/>
  <c r="P22" i="98"/>
  <c r="O22" i="98"/>
  <c r="O25" i="98"/>
  <c r="P25" i="98"/>
  <c r="O32" i="98"/>
  <c r="P32" i="98"/>
  <c r="P35" i="98"/>
  <c r="O35" i="98"/>
  <c r="P39" i="98"/>
  <c r="O39" i="98"/>
  <c r="BL11" i="99"/>
  <c r="AN12" i="99"/>
  <c r="AA18" i="95" s="1"/>
  <c r="AA19" i="95" s="1"/>
  <c r="AA20" i="95" s="1"/>
  <c r="AA21" i="95" s="1"/>
  <c r="AA22" i="95" s="1"/>
  <c r="AA23" i="95" s="1"/>
  <c r="AA24" i="95" s="1"/>
  <c r="AA25" i="95" s="1"/>
  <c r="AA26" i="95" s="1"/>
  <c r="AA27" i="95" s="1"/>
  <c r="AA28" i="95" s="1"/>
  <c r="AA29" i="95" s="1"/>
  <c r="AA30" i="95" s="1"/>
  <c r="AA31" i="95" s="1"/>
  <c r="AA32" i="95" s="1"/>
  <c r="AA33" i="95" s="1"/>
  <c r="AA34" i="95" s="1"/>
  <c r="AA35" i="95" s="1"/>
  <c r="AA36" i="95" s="1"/>
  <c r="AA37" i="95" s="1"/>
  <c r="AA38" i="95" s="1"/>
  <c r="AA39" i="95" s="1"/>
  <c r="AA40" i="95" s="1"/>
  <c r="AA41" i="95" s="1"/>
  <c r="AA42" i="95" s="1"/>
  <c r="BB14" i="99"/>
  <c r="AC15" i="99"/>
  <c r="AN15" i="99"/>
  <c r="AN16" i="99"/>
  <c r="AP37" i="99"/>
  <c r="AO38" i="99" s="1"/>
  <c r="W14" i="99"/>
  <c r="B20" i="95" s="1"/>
  <c r="B21" i="95" s="1"/>
  <c r="B22" i="95" s="1"/>
  <c r="B23" i="95" s="1"/>
  <c r="B24" i="95" s="1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W15" i="99"/>
  <c r="W16" i="99"/>
  <c r="AX15" i="99"/>
  <c r="Y21" i="95" s="1"/>
  <c r="Y22" i="95" s="1"/>
  <c r="Y23" i="95" s="1"/>
  <c r="Y24" i="95" s="1"/>
  <c r="Y25" i="95" s="1"/>
  <c r="Y26" i="95" s="1"/>
  <c r="Y27" i="95" s="1"/>
  <c r="Y28" i="95" s="1"/>
  <c r="Y29" i="95" s="1"/>
  <c r="Y30" i="95" s="1"/>
  <c r="Y31" i="95" s="1"/>
  <c r="Y32" i="95" s="1"/>
  <c r="Y33" i="95" s="1"/>
  <c r="Y34" i="95" s="1"/>
  <c r="Y35" i="95" s="1"/>
  <c r="Y36" i="95" s="1"/>
  <c r="Y37" i="95" s="1"/>
  <c r="Y38" i="95" s="1"/>
  <c r="Y39" i="95" s="1"/>
  <c r="Y40" i="95" s="1"/>
  <c r="Y41" i="95" s="1"/>
  <c r="Y42" i="95" s="1"/>
  <c r="Y43" i="95" s="1"/>
  <c r="AL37" i="99"/>
  <c r="AK38" i="99" s="1"/>
  <c r="BB37" i="99"/>
  <c r="BA38" i="99" s="1"/>
  <c r="BL15" i="99"/>
  <c r="BK16" i="99"/>
  <c r="BL16" i="99" s="1"/>
  <c r="AR14" i="99"/>
  <c r="AR15" i="99"/>
  <c r="AR16" i="99"/>
  <c r="F44" i="98"/>
  <c r="AG12" i="99"/>
  <c r="AE13" i="99"/>
  <c r="AN14" i="99"/>
  <c r="AG15" i="99"/>
  <c r="BB15" i="99"/>
  <c r="BB16" i="99"/>
  <c r="AT37" i="99"/>
  <c r="AS38" i="99"/>
  <c r="Y26" i="99"/>
  <c r="AL26" i="99"/>
  <c r="AP26" i="99"/>
  <c r="AT26" i="99"/>
  <c r="AN35" i="99"/>
  <c r="AX35" i="99"/>
  <c r="AB37" i="99"/>
  <c r="AJ38" i="99"/>
  <c r="AC17" i="99"/>
  <c r="AG17" i="99"/>
  <c r="AX17" i="99"/>
  <c r="Y18" i="99"/>
  <c r="D24" i="95" s="1"/>
  <c r="D25" i="95" s="1"/>
  <c r="D26" i="95" s="1"/>
  <c r="D27" i="95" s="1"/>
  <c r="D28" i="95" s="1"/>
  <c r="D29" i="95" s="1"/>
  <c r="D30" i="95" s="1"/>
  <c r="D31" i="95" s="1"/>
  <c r="D32" i="95" s="1"/>
  <c r="D33" i="95" s="1"/>
  <c r="D34" i="95" s="1"/>
  <c r="D35" i="95" s="1"/>
  <c r="D36" i="95" s="1"/>
  <c r="D37" i="95" s="1"/>
  <c r="D38" i="95" s="1"/>
  <c r="D39" i="95" s="1"/>
  <c r="D40" i="95" s="1"/>
  <c r="D41" i="95" s="1"/>
  <c r="D42" i="95" s="1"/>
  <c r="AL18" i="99"/>
  <c r="AC24" i="95" s="1"/>
  <c r="AC25" i="95" s="1"/>
  <c r="AC26" i="95" s="1"/>
  <c r="AC27" i="95" s="1"/>
  <c r="AC28" i="95" s="1"/>
  <c r="AC29" i="95" s="1"/>
  <c r="AC30" i="95" s="1"/>
  <c r="AC31" i="95" s="1"/>
  <c r="AC32" i="95" s="1"/>
  <c r="AC33" i="95" s="1"/>
  <c r="AC34" i="95" s="1"/>
  <c r="AC35" i="95" s="1"/>
  <c r="AC36" i="95" s="1"/>
  <c r="AC37" i="95" s="1"/>
  <c r="AC38" i="95" s="1"/>
  <c r="AC39" i="95" s="1"/>
  <c r="AC40" i="95" s="1"/>
  <c r="AC41" i="95" s="1"/>
  <c r="AC42" i="95" s="1"/>
  <c r="AC43" i="95" s="1"/>
  <c r="AP18" i="99"/>
  <c r="AT18" i="99"/>
  <c r="AE24" i="95" s="1"/>
  <c r="AE25" i="95" s="1"/>
  <c r="AE26" i="95" s="1"/>
  <c r="AE27" i="95" s="1"/>
  <c r="AE28" i="95" s="1"/>
  <c r="AE29" i="95" s="1"/>
  <c r="AE30" i="95" s="1"/>
  <c r="AE31" i="95" s="1"/>
  <c r="AE32" i="95" s="1"/>
  <c r="AE33" i="95" s="1"/>
  <c r="AE34" i="95" s="1"/>
  <c r="AE35" i="95" s="1"/>
  <c r="AE36" i="95" s="1"/>
  <c r="AE37" i="95" s="1"/>
  <c r="AE38" i="95" s="1"/>
  <c r="AE39" i="95" s="1"/>
  <c r="AE40" i="95" s="1"/>
  <c r="AE41" i="95" s="1"/>
  <c r="AE42" i="95" s="1"/>
  <c r="AE43" i="95" s="1"/>
  <c r="AE19" i="99"/>
  <c r="AI19" i="99"/>
  <c r="L25" i="95" s="1"/>
  <c r="L26" i="95" s="1"/>
  <c r="L27" i="95" s="1"/>
  <c r="L28" i="95" s="1"/>
  <c r="L29" i="95" s="1"/>
  <c r="L30" i="95" s="1"/>
  <c r="L31" i="95" s="1"/>
  <c r="L32" i="95" s="1"/>
  <c r="L33" i="95" s="1"/>
  <c r="L34" i="95" s="1"/>
  <c r="L35" i="95" s="1"/>
  <c r="L36" i="95" s="1"/>
  <c r="L37" i="95" s="1"/>
  <c r="L38" i="95" s="1"/>
  <c r="L39" i="95" s="1"/>
  <c r="L40" i="95" s="1"/>
  <c r="L41" i="95" s="1"/>
  <c r="L42" i="95" s="1"/>
  <c r="W20" i="99"/>
  <c r="AN20" i="99"/>
  <c r="AR20" i="99"/>
  <c r="BB20" i="99"/>
  <c r="AC21" i="99"/>
  <c r="AG21" i="99"/>
  <c r="AX21" i="99"/>
  <c r="Y22" i="99"/>
  <c r="AL22" i="99"/>
  <c r="AP22" i="99"/>
  <c r="AT22" i="99"/>
  <c r="AE23" i="99"/>
  <c r="AI23" i="99"/>
  <c r="W24" i="99"/>
  <c r="AN24" i="99"/>
  <c r="AR24" i="99"/>
  <c r="BB24" i="99"/>
  <c r="W27" i="99"/>
  <c r="AN27" i="99"/>
  <c r="AR27" i="99"/>
  <c r="BB27" i="99"/>
  <c r="V37" i="99"/>
  <c r="W36" i="99"/>
  <c r="AD37" i="99"/>
  <c r="AE36" i="99"/>
  <c r="AU37" i="99"/>
  <c r="AX37" i="99"/>
  <c r="AW38" i="99"/>
  <c r="AC25" i="99"/>
  <c r="AG25" i="99"/>
  <c r="AC27" i="99"/>
  <c r="AG27" i="99"/>
  <c r="AX27" i="99"/>
  <c r="Y29" i="99"/>
  <c r="AL29" i="99"/>
  <c r="AP29" i="99"/>
  <c r="AT29" i="99"/>
  <c r="AC30" i="99"/>
  <c r="AG30" i="99"/>
  <c r="AX30" i="99"/>
  <c r="W31" i="99"/>
  <c r="AN31" i="99"/>
  <c r="AR31" i="99"/>
  <c r="BB31" i="99"/>
  <c r="AE32" i="99"/>
  <c r="AI32" i="99"/>
  <c r="Y33" i="99"/>
  <c r="AL33" i="99"/>
  <c r="AP33" i="99"/>
  <c r="AT33" i="99"/>
  <c r="AG35" i="99"/>
  <c r="BE35" i="99"/>
  <c r="AV35" i="99"/>
  <c r="X38" i="99"/>
  <c r="AQ37" i="99"/>
  <c r="Y24" i="99"/>
  <c r="AC35" i="99"/>
  <c r="AC36" i="99"/>
  <c r="Z37" i="99"/>
  <c r="AA36" i="99"/>
  <c r="AH37" i="99"/>
  <c r="AI36" i="99"/>
  <c r="AM37" i="99"/>
  <c r="Y37" i="99"/>
  <c r="AG36" i="99"/>
  <c r="AF37" i="99" s="1"/>
  <c r="BE56" i="99"/>
  <c r="BE55" i="99"/>
  <c r="AN36" i="99"/>
  <c r="AR36" i="99"/>
  <c r="AV36" i="99"/>
  <c r="AZ36" i="99"/>
  <c r="AY37" i="99" s="1"/>
  <c r="BE59" i="99"/>
  <c r="BE61" i="99"/>
  <c r="BE63" i="99"/>
  <c r="BE65" i="99"/>
  <c r="BE68" i="99"/>
  <c r="BE67" i="99"/>
  <c r="BD80" i="99"/>
  <c r="BE104" i="99"/>
  <c r="AL38" i="99" l="1"/>
  <c r="AC44" i="95" s="1"/>
  <c r="AY38" i="99"/>
  <c r="AZ37" i="99"/>
  <c r="AG43" i="95"/>
  <c r="Y44" i="95"/>
  <c r="AP38" i="99"/>
  <c r="AO39" i="99" s="1"/>
  <c r="X48" i="93"/>
  <c r="X44" i="93"/>
  <c r="X7" i="93"/>
  <c r="AG37" i="99"/>
  <c r="AF38" i="99" s="1"/>
  <c r="BA39" i="99"/>
  <c r="BB38" i="99"/>
  <c r="AH44" i="95"/>
  <c r="X46" i="93"/>
  <c r="X29" i="93"/>
  <c r="X30" i="93"/>
  <c r="AN37" i="99"/>
  <c r="AM38" i="99" s="1"/>
  <c r="AA37" i="99"/>
  <c r="Z38" i="99" s="1"/>
  <c r="AR37" i="99"/>
  <c r="AQ38" i="99" s="1"/>
  <c r="AW39" i="99"/>
  <c r="AX38" i="99"/>
  <c r="AE37" i="99"/>
  <c r="AD38" i="99"/>
  <c r="BM11" i="99"/>
  <c r="H54" i="97" s="1"/>
  <c r="BL26" i="99"/>
  <c r="BL28" i="99" s="1"/>
  <c r="R22" i="98"/>
  <c r="R16" i="98"/>
  <c r="R28" i="98"/>
  <c r="R18" i="98"/>
  <c r="P12" i="98"/>
  <c r="R12" i="98" s="1"/>
  <c r="O12" i="98"/>
  <c r="Q12" i="98" s="1"/>
  <c r="R17" i="98"/>
  <c r="R26" i="98"/>
  <c r="R20" i="98"/>
  <c r="J33" i="95"/>
  <c r="J34" i="95" s="1"/>
  <c r="J35" i="95" s="1"/>
  <c r="J36" i="95" s="1"/>
  <c r="J37" i="95" s="1"/>
  <c r="J38" i="95" s="1"/>
  <c r="J39" i="95" s="1"/>
  <c r="J40" i="95" s="1"/>
  <c r="J41" i="95" s="1"/>
  <c r="J42" i="95" s="1"/>
  <c r="J43" i="95" s="1"/>
  <c r="R35" i="95"/>
  <c r="R36" i="95" s="1"/>
  <c r="R37" i="95" s="1"/>
  <c r="R38" i="95" s="1"/>
  <c r="R39" i="95" s="1"/>
  <c r="R40" i="95" s="1"/>
  <c r="R41" i="95" s="1"/>
  <c r="R42" i="95" s="1"/>
  <c r="R43" i="95" s="1"/>
  <c r="R44" i="95" s="1"/>
  <c r="AO16" i="95"/>
  <c r="D16" i="95" s="1"/>
  <c r="AN16" i="95"/>
  <c r="B16" i="95" s="1"/>
  <c r="T21" i="95"/>
  <c r="T22" i="95" s="1"/>
  <c r="T23" i="95" s="1"/>
  <c r="T24" i="95" s="1"/>
  <c r="T25" i="95" s="1"/>
  <c r="T26" i="95" s="1"/>
  <c r="T27" i="95" s="1"/>
  <c r="T28" i="95" s="1"/>
  <c r="T29" i="95" s="1"/>
  <c r="T30" i="95" s="1"/>
  <c r="T31" i="95" s="1"/>
  <c r="T32" i="95" s="1"/>
  <c r="T33" i="95" s="1"/>
  <c r="T34" i="95" s="1"/>
  <c r="T35" i="95" s="1"/>
  <c r="T36" i="95" s="1"/>
  <c r="T37" i="95" s="1"/>
  <c r="T38" i="95" s="1"/>
  <c r="T39" i="95" s="1"/>
  <c r="T40" i="95" s="1"/>
  <c r="T41" i="95" s="1"/>
  <c r="T42" i="95" s="1"/>
  <c r="T43" i="95" s="1"/>
  <c r="AO7" i="95"/>
  <c r="D7" i="95" s="1"/>
  <c r="AL8" i="95"/>
  <c r="X39" i="93"/>
  <c r="X27" i="93"/>
  <c r="X19" i="93"/>
  <c r="J513" i="92"/>
  <c r="I513" i="92"/>
  <c r="X21" i="93"/>
  <c r="X15" i="93"/>
  <c r="X10" i="93"/>
  <c r="E23" i="89"/>
  <c r="E19" i="89"/>
  <c r="H24" i="89"/>
  <c r="H20" i="89"/>
  <c r="G23" i="89"/>
  <c r="E34" i="89"/>
  <c r="E31" i="89"/>
  <c r="F25" i="89"/>
  <c r="D57" i="89"/>
  <c r="D53" i="89"/>
  <c r="D56" i="89"/>
  <c r="BD81" i="99"/>
  <c r="BD36" i="99"/>
  <c r="BD37" i="99" s="1"/>
  <c r="BD38" i="99" s="1"/>
  <c r="BD39" i="99" s="1"/>
  <c r="BD40" i="99" s="1"/>
  <c r="BD41" i="99" s="1"/>
  <c r="BD42" i="99" s="1"/>
  <c r="BD43" i="99" s="1"/>
  <c r="BD44" i="99" s="1"/>
  <c r="S34" i="99"/>
  <c r="X42" i="97" s="1"/>
  <c r="W42" i="94" s="1"/>
  <c r="BM16" i="99"/>
  <c r="M54" i="97" s="1"/>
  <c r="Q35" i="98"/>
  <c r="R25" i="98"/>
  <c r="R38" i="98"/>
  <c r="Q31" i="98"/>
  <c r="R21" i="98"/>
  <c r="R41" i="98"/>
  <c r="R33" i="98"/>
  <c r="R27" i="98"/>
  <c r="R40" i="98"/>
  <c r="R29" i="98"/>
  <c r="R13" i="98"/>
  <c r="AV13" i="95"/>
  <c r="P13" i="95" s="1"/>
  <c r="P12" i="95"/>
  <c r="AL13" i="95"/>
  <c r="AO13" i="95" s="1"/>
  <c r="D13" i="95" s="1"/>
  <c r="AO12" i="95"/>
  <c r="D12" i="95" s="1"/>
  <c r="P7" i="95"/>
  <c r="AV8" i="95"/>
  <c r="X12" i="93"/>
  <c r="J517" i="92"/>
  <c r="I517" i="92"/>
  <c r="G17" i="89"/>
  <c r="F23" i="89"/>
  <c r="F19" i="89"/>
  <c r="E22" i="89"/>
  <c r="E18" i="89"/>
  <c r="H23" i="89"/>
  <c r="H19" i="89"/>
  <c r="G22" i="89"/>
  <c r="F34" i="89"/>
  <c r="D54" i="89"/>
  <c r="F31" i="89"/>
  <c r="E29" i="89"/>
  <c r="L20" i="89"/>
  <c r="N16" i="89"/>
  <c r="D51" i="89"/>
  <c r="G24" i="89"/>
  <c r="H35" i="89"/>
  <c r="AI37" i="99"/>
  <c r="L43" i="95" s="1"/>
  <c r="AH38" i="99"/>
  <c r="X39" i="99"/>
  <c r="Y38" i="99"/>
  <c r="AV37" i="99"/>
  <c r="AU38" i="99" s="1"/>
  <c r="BE37" i="99"/>
  <c r="W43" i="95"/>
  <c r="W37" i="99"/>
  <c r="V38" i="99"/>
  <c r="AJ39" i="99"/>
  <c r="AS39" i="99"/>
  <c r="AT38" i="99"/>
  <c r="AE44" i="95" s="1"/>
  <c r="I44" i="98"/>
  <c r="K44" i="98" s="1"/>
  <c r="L44" i="98" s="1"/>
  <c r="F45" i="98"/>
  <c r="BM15" i="99"/>
  <c r="L54" i="97" s="1"/>
  <c r="R35" i="98"/>
  <c r="R19" i="98"/>
  <c r="R31" i="98"/>
  <c r="R15" i="98"/>
  <c r="Q24" i="98"/>
  <c r="R23" i="98"/>
  <c r="X32" i="93"/>
  <c r="X23" i="93"/>
  <c r="X40" i="93"/>
  <c r="X8" i="93"/>
  <c r="X41" i="93"/>
  <c r="X36" i="93"/>
  <c r="X25" i="93"/>
  <c r="V4" i="92"/>
  <c r="U5" i="92"/>
  <c r="C514" i="89"/>
  <c r="C510" i="89"/>
  <c r="C506" i="89"/>
  <c r="F22" i="89"/>
  <c r="F18" i="89"/>
  <c r="E25" i="89"/>
  <c r="E21" i="89"/>
  <c r="E17" i="89"/>
  <c r="H22" i="89"/>
  <c r="H18" i="89"/>
  <c r="G20" i="89"/>
  <c r="E30" i="89"/>
  <c r="D50" i="89"/>
  <c r="D61" i="89"/>
  <c r="G33" i="89"/>
  <c r="F33" i="89"/>
  <c r="L18" i="89"/>
  <c r="N14" i="89"/>
  <c r="G38" i="89" s="1"/>
  <c r="E27" i="89"/>
  <c r="F32" i="89"/>
  <c r="D52" i="89"/>
  <c r="D59" i="89"/>
  <c r="N17" i="89"/>
  <c r="L21" i="89"/>
  <c r="AB38" i="99"/>
  <c r="AC37" i="99"/>
  <c r="Q39" i="98"/>
  <c r="R32" i="98"/>
  <c r="Q22" i="98"/>
  <c r="Q16" i="98"/>
  <c r="R42" i="98"/>
  <c r="R34" i="98"/>
  <c r="Q28" i="98"/>
  <c r="Q18" i="98"/>
  <c r="K10" i="98"/>
  <c r="L11" i="98"/>
  <c r="R43" i="98"/>
  <c r="R37" i="98"/>
  <c r="R30" i="98"/>
  <c r="R24" i="98"/>
  <c r="R14" i="98"/>
  <c r="R36" i="98"/>
  <c r="Q26" i="98"/>
  <c r="Q20" i="98"/>
  <c r="X4" i="93"/>
  <c r="J509" i="92"/>
  <c r="I509" i="92"/>
  <c r="X28" i="93"/>
  <c r="X17" i="93"/>
  <c r="C517" i="89"/>
  <c r="C513" i="89"/>
  <c r="C509" i="89"/>
  <c r="G21" i="89"/>
  <c r="F21" i="89"/>
  <c r="F17" i="89"/>
  <c r="E24" i="89"/>
  <c r="E20" i="89"/>
  <c r="H25" i="89"/>
  <c r="H21" i="89"/>
  <c r="H17" i="89"/>
  <c r="G25" i="89"/>
  <c r="G18" i="89"/>
  <c r="D58" i="89"/>
  <c r="G30" i="89"/>
  <c r="F30" i="89"/>
  <c r="D55" i="89"/>
  <c r="N15" i="89"/>
  <c r="E47" i="89" s="1"/>
  <c r="L19" i="89"/>
  <c r="H33" i="89"/>
  <c r="H29" i="89"/>
  <c r="G29" i="89"/>
  <c r="N10" i="89"/>
  <c r="E35" i="89" s="1"/>
  <c r="F27" i="89"/>
  <c r="G48" i="89"/>
  <c r="D60" i="89"/>
  <c r="H48" i="89"/>
  <c r="H32" i="89"/>
  <c r="G32" i="89"/>
  <c r="E28" i="89"/>
  <c r="AR38" i="99" l="1"/>
  <c r="AQ39" i="99" s="1"/>
  <c r="AV38" i="99"/>
  <c r="BE38" i="99"/>
  <c r="AU39" i="99"/>
  <c r="W44" i="95"/>
  <c r="AA38" i="99"/>
  <c r="Z39" i="99" s="1"/>
  <c r="AF39" i="99"/>
  <c r="AG38" i="99"/>
  <c r="AO40" i="99"/>
  <c r="AP39" i="99"/>
  <c r="AN38" i="99"/>
  <c r="AM39" i="99"/>
  <c r="F43" i="89"/>
  <c r="F46" i="89"/>
  <c r="P11" i="98"/>
  <c r="R11" i="98" s="1"/>
  <c r="O11" i="98"/>
  <c r="Q11" i="98" s="1"/>
  <c r="N21" i="89"/>
  <c r="L25" i="89"/>
  <c r="D64" i="89"/>
  <c r="H52" i="89"/>
  <c r="F49" i="89"/>
  <c r="E50" i="89"/>
  <c r="D62" i="89"/>
  <c r="I45" i="98"/>
  <c r="K45" i="98" s="1"/>
  <c r="L45" i="98" s="1"/>
  <c r="F46" i="98"/>
  <c r="Y39" i="99"/>
  <c r="X40" i="99" s="1"/>
  <c r="F39" i="89"/>
  <c r="D66" i="89"/>
  <c r="E54" i="89"/>
  <c r="AV9" i="95"/>
  <c r="P9" i="95" s="1"/>
  <c r="P8" i="95"/>
  <c r="BD82" i="99"/>
  <c r="S35" i="99"/>
  <c r="X43" i="97" s="1"/>
  <c r="W43" i="94" s="1"/>
  <c r="H44" i="89"/>
  <c r="G44" i="89"/>
  <c r="H41" i="89"/>
  <c r="G41" i="89"/>
  <c r="F45" i="89"/>
  <c r="J44" i="95"/>
  <c r="Q34" i="98"/>
  <c r="Q32" i="98"/>
  <c r="AE38" i="99"/>
  <c r="AD39" i="99"/>
  <c r="AA43" i="95"/>
  <c r="AA44" i="95" s="1"/>
  <c r="AZ38" i="99"/>
  <c r="AY39" i="99"/>
  <c r="AG44" i="95"/>
  <c r="D72" i="89"/>
  <c r="H43" i="89"/>
  <c r="G43" i="89"/>
  <c r="H46" i="89"/>
  <c r="G46" i="89"/>
  <c r="K9" i="98"/>
  <c r="L10" i="98"/>
  <c r="F47" i="89"/>
  <c r="E40" i="89"/>
  <c r="G36" i="89"/>
  <c r="L22" i="89"/>
  <c r="N18" i="89"/>
  <c r="G52" i="89" s="1"/>
  <c r="H49" i="89"/>
  <c r="G49" i="89"/>
  <c r="E38" i="89"/>
  <c r="G34" i="89"/>
  <c r="Q29" i="98"/>
  <c r="Q30" i="98"/>
  <c r="Q21" i="98"/>
  <c r="Q25" i="98"/>
  <c r="P44" i="98"/>
  <c r="R44" i="98" s="1"/>
  <c r="O44" i="98"/>
  <c r="Q44" i="98" s="1"/>
  <c r="W38" i="99"/>
  <c r="V39" i="99" s="1"/>
  <c r="AI38" i="99"/>
  <c r="L44" i="95" s="1"/>
  <c r="H28" i="89"/>
  <c r="H39" i="89"/>
  <c r="G39" i="89"/>
  <c r="E33" i="89"/>
  <c r="G31" i="89"/>
  <c r="E42" i="89"/>
  <c r="O41" i="94"/>
  <c r="O37" i="94"/>
  <c r="O33" i="94"/>
  <c r="O44" i="94"/>
  <c r="O40" i="94"/>
  <c r="O43" i="94"/>
  <c r="O39" i="94"/>
  <c r="O35" i="94"/>
  <c r="O42" i="94"/>
  <c r="O38" i="94"/>
  <c r="O34" i="94"/>
  <c r="O32" i="94"/>
  <c r="O23" i="94"/>
  <c r="O19" i="94"/>
  <c r="O15" i="94"/>
  <c r="O11" i="94"/>
  <c r="O7" i="94"/>
  <c r="O31" i="94"/>
  <c r="O29" i="94"/>
  <c r="O27" i="94"/>
  <c r="O24" i="94"/>
  <c r="O20" i="94"/>
  <c r="O16" i="94"/>
  <c r="O12" i="94"/>
  <c r="O8" i="94"/>
  <c r="O4" i="94"/>
  <c r="O3" i="94"/>
  <c r="O2" i="94"/>
  <c r="O25" i="94"/>
  <c r="O21" i="94"/>
  <c r="O17" i="94"/>
  <c r="O13" i="94"/>
  <c r="O9" i="94"/>
  <c r="O5" i="94"/>
  <c r="O36" i="94"/>
  <c r="O30" i="94"/>
  <c r="O28" i="94"/>
  <c r="O26" i="94"/>
  <c r="O22" i="94"/>
  <c r="O18" i="94"/>
  <c r="O14" i="94"/>
  <c r="O10" i="94"/>
  <c r="O6" i="94"/>
  <c r="F35" i="89"/>
  <c r="D68" i="89"/>
  <c r="H56" i="89"/>
  <c r="E36" i="89"/>
  <c r="D65" i="89"/>
  <c r="F53" i="89"/>
  <c r="H45" i="89"/>
  <c r="G45" i="89"/>
  <c r="F26" i="89"/>
  <c r="Q27" i="98"/>
  <c r="Q42" i="98"/>
  <c r="R39" i="98"/>
  <c r="E48" i="89"/>
  <c r="E37" i="89"/>
  <c r="D67" i="89"/>
  <c r="G55" i="89"/>
  <c r="E26" i="89"/>
  <c r="D70" i="89"/>
  <c r="E58" i="89"/>
  <c r="H47" i="89"/>
  <c r="G47" i="89"/>
  <c r="F40" i="89"/>
  <c r="H36" i="89"/>
  <c r="F29" i="89"/>
  <c r="D73" i="89"/>
  <c r="G61" i="89"/>
  <c r="H31" i="89"/>
  <c r="F38" i="89"/>
  <c r="H34" i="89"/>
  <c r="U6" i="92"/>
  <c r="V5" i="92"/>
  <c r="Q40" i="98"/>
  <c r="Q37" i="98"/>
  <c r="E32" i="89"/>
  <c r="D63" i="89"/>
  <c r="G51" i="89"/>
  <c r="F51" i="89"/>
  <c r="E51" i="89"/>
  <c r="H51" i="89"/>
  <c r="G37" i="89"/>
  <c r="H26" i="89"/>
  <c r="F42" i="89"/>
  <c r="Q17" i="98"/>
  <c r="Q15" i="98"/>
  <c r="Q19" i="98"/>
  <c r="F28" i="89"/>
  <c r="E44" i="89"/>
  <c r="G27" i="89"/>
  <c r="E41" i="89"/>
  <c r="D69" i="89"/>
  <c r="G57" i="89"/>
  <c r="F37" i="89"/>
  <c r="G26" i="89"/>
  <c r="AL9" i="95"/>
  <c r="AO9" i="95" s="1"/>
  <c r="D9" i="95" s="1"/>
  <c r="AO8" i="95"/>
  <c r="D8" i="95" s="1"/>
  <c r="Q33" i="98"/>
  <c r="BM5" i="99"/>
  <c r="BM22" i="99"/>
  <c r="S54" i="97" s="1"/>
  <c r="BM23" i="99"/>
  <c r="T54" i="97" s="1"/>
  <c r="BM24" i="99"/>
  <c r="BM14" i="99"/>
  <c r="K54" i="97" s="1"/>
  <c r="BM13" i="99"/>
  <c r="J54" i="97" s="1"/>
  <c r="BM10" i="99"/>
  <c r="G54" i="97" s="1"/>
  <c r="BM7" i="99"/>
  <c r="D54" i="97" s="1"/>
  <c r="BM12" i="99"/>
  <c r="I54" i="97" s="1"/>
  <c r="BM6" i="99"/>
  <c r="C54" i="97" s="1"/>
  <c r="BM21" i="99"/>
  <c r="R54" i="97" s="1"/>
  <c r="BM9" i="99"/>
  <c r="F54" i="97" s="1"/>
  <c r="BM17" i="99"/>
  <c r="N54" i="97" s="1"/>
  <c r="BM8" i="99"/>
  <c r="E54" i="97" s="1"/>
  <c r="BM18" i="99"/>
  <c r="O54" i="97" s="1"/>
  <c r="BM19" i="99"/>
  <c r="P54" i="97" s="1"/>
  <c r="BM20" i="99"/>
  <c r="Q54" i="97" s="1"/>
  <c r="AK39" i="99"/>
  <c r="F48" i="89"/>
  <c r="L23" i="89"/>
  <c r="N19" i="89"/>
  <c r="G56" i="89" s="1"/>
  <c r="E43" i="89"/>
  <c r="E46" i="89"/>
  <c r="AB39" i="99"/>
  <c r="AC38" i="99"/>
  <c r="D71" i="89"/>
  <c r="F59" i="89"/>
  <c r="H40" i="89"/>
  <c r="G40" i="89"/>
  <c r="E49" i="89"/>
  <c r="H38" i="89"/>
  <c r="Q13" i="98"/>
  <c r="Q14" i="98"/>
  <c r="Q43" i="98"/>
  <c r="Q38" i="98"/>
  <c r="N42" i="94"/>
  <c r="N43" i="94" s="1"/>
  <c r="N44" i="94" s="1"/>
  <c r="N45" i="94" s="1"/>
  <c r="N46" i="94" s="1"/>
  <c r="N47" i="94" s="1"/>
  <c r="N48" i="94" s="1"/>
  <c r="N49" i="94" s="1"/>
  <c r="N50" i="94" s="1"/>
  <c r="N38" i="94"/>
  <c r="N34" i="94"/>
  <c r="N41" i="94"/>
  <c r="N40" i="94"/>
  <c r="N36" i="94"/>
  <c r="N32" i="94"/>
  <c r="N39" i="94"/>
  <c r="N35" i="94"/>
  <c r="N30" i="94"/>
  <c r="N28" i="94"/>
  <c r="N26" i="94"/>
  <c r="N22" i="94"/>
  <c r="N18" i="94"/>
  <c r="N14" i="94"/>
  <c r="N10" i="94"/>
  <c r="N6" i="94"/>
  <c r="N23" i="94"/>
  <c r="N19" i="94"/>
  <c r="N15" i="94"/>
  <c r="N11" i="94"/>
  <c r="N7" i="94"/>
  <c r="N37" i="94"/>
  <c r="N33" i="94"/>
  <c r="N31" i="94"/>
  <c r="N29" i="94"/>
  <c r="N27" i="94"/>
  <c r="N24" i="94"/>
  <c r="N20" i="94"/>
  <c r="N16" i="94"/>
  <c r="N12" i="94"/>
  <c r="N8" i="94"/>
  <c r="N4" i="94"/>
  <c r="N3" i="94"/>
  <c r="N2" i="94"/>
  <c r="N25" i="94"/>
  <c r="N21" i="94"/>
  <c r="N17" i="94"/>
  <c r="N13" i="94"/>
  <c r="N9" i="94"/>
  <c r="N5" i="94"/>
  <c r="AS40" i="99"/>
  <c r="AT39" i="99"/>
  <c r="AE45" i="95" s="1"/>
  <c r="G35" i="89"/>
  <c r="F36" i="89"/>
  <c r="E39" i="89"/>
  <c r="L24" i="89"/>
  <c r="N20" i="89"/>
  <c r="E59" i="89" s="1"/>
  <c r="H37" i="89"/>
  <c r="H42" i="89"/>
  <c r="G42" i="89"/>
  <c r="Q23" i="98"/>
  <c r="G28" i="89"/>
  <c r="F44" i="89"/>
  <c r="H27" i="89"/>
  <c r="F41" i="89"/>
  <c r="E45" i="89"/>
  <c r="H30" i="89"/>
  <c r="R45" i="95"/>
  <c r="Q36" i="98"/>
  <c r="Q41" i="98"/>
  <c r="AW40" i="99"/>
  <c r="AX39" i="99"/>
  <c r="Y45" i="95" s="1"/>
  <c r="BA40" i="99"/>
  <c r="BB39" i="99"/>
  <c r="AH45" i="95"/>
  <c r="W39" i="99" l="1"/>
  <c r="V40" i="99" s="1"/>
  <c r="Y40" i="99"/>
  <c r="X41" i="99" s="1"/>
  <c r="AA39" i="99"/>
  <c r="Z40" i="99" s="1"/>
  <c r="AR39" i="99"/>
  <c r="AQ40" i="99" s="1"/>
  <c r="L26" i="89"/>
  <c r="N22" i="89"/>
  <c r="O10" i="98"/>
  <c r="Q10" i="98" s="1"/>
  <c r="P10" i="98"/>
  <c r="R10" i="98" s="1"/>
  <c r="F60" i="89"/>
  <c r="AZ39" i="99"/>
  <c r="AY40" i="99"/>
  <c r="AG45" i="95"/>
  <c r="AD40" i="99"/>
  <c r="AE39" i="99"/>
  <c r="BD83" i="99"/>
  <c r="S36" i="99"/>
  <c r="X44" i="97" s="1"/>
  <c r="W44" i="94" s="1"/>
  <c r="I46" i="98"/>
  <c r="K46" i="98" s="1"/>
  <c r="L46" i="98" s="1"/>
  <c r="F47" i="98"/>
  <c r="D76" i="89"/>
  <c r="H64" i="89"/>
  <c r="F64" i="89"/>
  <c r="E64" i="89"/>
  <c r="G64" i="89"/>
  <c r="AN39" i="99"/>
  <c r="AM40" i="99" s="1"/>
  <c r="AP40" i="99"/>
  <c r="AO41" i="99" s="1"/>
  <c r="G59" i="89"/>
  <c r="Q43" i="94"/>
  <c r="Q39" i="94"/>
  <c r="Q35" i="94"/>
  <c r="Q42" i="94"/>
  <c r="Q38" i="94"/>
  <c r="Q41" i="94"/>
  <c r="Q37" i="94"/>
  <c r="Q33" i="94"/>
  <c r="Q44" i="94"/>
  <c r="Q40" i="94"/>
  <c r="Q36" i="94"/>
  <c r="Q32" i="94"/>
  <c r="Q31" i="94"/>
  <c r="Q30" i="94"/>
  <c r="Q29" i="94"/>
  <c r="Q28" i="94"/>
  <c r="Q27" i="94"/>
  <c r="Q26" i="94"/>
  <c r="Q25" i="94"/>
  <c r="Q24" i="94"/>
  <c r="Q23" i="94"/>
  <c r="Q22" i="94"/>
  <c r="Q21" i="94"/>
  <c r="Q20" i="94"/>
  <c r="Q19" i="94"/>
  <c r="Q18" i="94"/>
  <c r="Q17" i="94"/>
  <c r="Q16" i="94"/>
  <c r="Q15" i="94"/>
  <c r="Q14" i="94"/>
  <c r="Q13" i="94"/>
  <c r="Q12" i="94"/>
  <c r="Q11" i="94"/>
  <c r="Q10" i="94"/>
  <c r="Q9" i="94"/>
  <c r="Q8" i="94"/>
  <c r="Q7" i="94"/>
  <c r="Q6" i="94"/>
  <c r="Q5" i="94"/>
  <c r="Q4" i="94"/>
  <c r="Q34" i="94"/>
  <c r="Q3" i="94"/>
  <c r="Q2" i="94"/>
  <c r="T44" i="94"/>
  <c r="T40" i="94"/>
  <c r="T36" i="94"/>
  <c r="T32" i="94"/>
  <c r="T31" i="94"/>
  <c r="T30" i="94"/>
  <c r="T29" i="94"/>
  <c r="T28" i="94"/>
  <c r="T27" i="94"/>
  <c r="T26" i="94"/>
  <c r="T25" i="94"/>
  <c r="T43" i="94"/>
  <c r="T39" i="94"/>
  <c r="T42" i="94"/>
  <c r="T38" i="94"/>
  <c r="T34" i="94"/>
  <c r="T45" i="94"/>
  <c r="T41" i="94"/>
  <c r="T37" i="94"/>
  <c r="T33" i="94"/>
  <c r="T35" i="94"/>
  <c r="T23" i="94"/>
  <c r="T19" i="94"/>
  <c r="T15" i="94"/>
  <c r="T11" i="94"/>
  <c r="T7" i="94"/>
  <c r="T3" i="94"/>
  <c r="T2" i="94"/>
  <c r="T24" i="94"/>
  <c r="T20" i="94"/>
  <c r="T16" i="94"/>
  <c r="T12" i="94"/>
  <c r="T8" i="94"/>
  <c r="T4" i="94"/>
  <c r="T21" i="94"/>
  <c r="T17" i="94"/>
  <c r="T13" i="94"/>
  <c r="T9" i="94"/>
  <c r="T5" i="94"/>
  <c r="T22" i="94"/>
  <c r="T18" i="94"/>
  <c r="T14" i="94"/>
  <c r="T10" i="94"/>
  <c r="T6" i="94"/>
  <c r="I42" i="94"/>
  <c r="I38" i="94"/>
  <c r="I34" i="94"/>
  <c r="I41" i="94"/>
  <c r="I44" i="94"/>
  <c r="I40" i="94"/>
  <c r="I36" i="94"/>
  <c r="I32" i="94"/>
  <c r="I43" i="94"/>
  <c r="I39" i="94"/>
  <c r="I35" i="94"/>
  <c r="I31" i="94"/>
  <c r="I29" i="94"/>
  <c r="I27" i="94"/>
  <c r="I23" i="94"/>
  <c r="I19" i="94"/>
  <c r="I15" i="94"/>
  <c r="I11" i="94"/>
  <c r="I24" i="94"/>
  <c r="I20" i="94"/>
  <c r="I16" i="94"/>
  <c r="I12" i="94"/>
  <c r="I30" i="94"/>
  <c r="I28" i="94"/>
  <c r="I26" i="94"/>
  <c r="I25" i="94"/>
  <c r="I21" i="94"/>
  <c r="I17" i="94"/>
  <c r="I13" i="94"/>
  <c r="I37" i="94"/>
  <c r="I33" i="94"/>
  <c r="I22" i="94"/>
  <c r="I18" i="94"/>
  <c r="I14" i="94"/>
  <c r="I10" i="94"/>
  <c r="V50" i="94"/>
  <c r="V46" i="94"/>
  <c r="V42" i="94"/>
  <c r="V38" i="94"/>
  <c r="V34" i="94"/>
  <c r="V49" i="94"/>
  <c r="V45" i="94"/>
  <c r="V41" i="94"/>
  <c r="V48" i="94"/>
  <c r="V44" i="94"/>
  <c r="V40" i="94"/>
  <c r="V36" i="94"/>
  <c r="V32" i="94"/>
  <c r="V31" i="94"/>
  <c r="V47" i="94"/>
  <c r="V43" i="94"/>
  <c r="V39" i="94"/>
  <c r="V35" i="94"/>
  <c r="V37" i="94"/>
  <c r="V33" i="94"/>
  <c r="V30" i="94"/>
  <c r="V28" i="94"/>
  <c r="V26" i="94"/>
  <c r="V24" i="94"/>
  <c r="V20" i="94"/>
  <c r="V16" i="94"/>
  <c r="V12" i="94"/>
  <c r="V8" i="94"/>
  <c r="V4" i="94"/>
  <c r="V21" i="94"/>
  <c r="V17" i="94"/>
  <c r="V13" i="94"/>
  <c r="V9" i="94"/>
  <c r="V5" i="94"/>
  <c r="V29" i="94"/>
  <c r="V27" i="94"/>
  <c r="V25" i="94"/>
  <c r="V22" i="94"/>
  <c r="V18" i="94"/>
  <c r="V14" i="94"/>
  <c r="V10" i="94"/>
  <c r="V6" i="94"/>
  <c r="V2" i="94"/>
  <c r="V23" i="94"/>
  <c r="V19" i="94"/>
  <c r="V15" i="94"/>
  <c r="V11" i="94"/>
  <c r="V7" i="94"/>
  <c r="V3" i="94"/>
  <c r="H57" i="89"/>
  <c r="D81" i="89"/>
  <c r="U7" i="92"/>
  <c r="V6" i="92"/>
  <c r="H61" i="89"/>
  <c r="D85" i="89"/>
  <c r="F58" i="89"/>
  <c r="H55" i="89"/>
  <c r="D79" i="89"/>
  <c r="G53" i="89"/>
  <c r="E56" i="89"/>
  <c r="AH39" i="99"/>
  <c r="K8" i="98"/>
  <c r="L9" i="98"/>
  <c r="G60" i="89"/>
  <c r="T44" i="95"/>
  <c r="T45" i="95" s="1"/>
  <c r="F54" i="89"/>
  <c r="P45" i="98"/>
  <c r="R45" i="98" s="1"/>
  <c r="O45" i="98"/>
  <c r="Q45" i="98" s="1"/>
  <c r="F50" i="89"/>
  <c r="E52" i="89"/>
  <c r="L29" i="89"/>
  <c r="N25" i="89"/>
  <c r="AS41" i="99"/>
  <c r="AT40" i="99"/>
  <c r="AE46" i="95" s="1"/>
  <c r="AC39" i="99"/>
  <c r="AB40" i="99"/>
  <c r="R42" i="94"/>
  <c r="R38" i="94"/>
  <c r="R34" i="94"/>
  <c r="R45" i="94"/>
  <c r="R41" i="94"/>
  <c r="R44" i="94"/>
  <c r="R40" i="94"/>
  <c r="R36" i="94"/>
  <c r="R32" i="94"/>
  <c r="R31" i="94"/>
  <c r="R43" i="94"/>
  <c r="R39" i="94"/>
  <c r="R35" i="94"/>
  <c r="R29" i="94"/>
  <c r="R27" i="94"/>
  <c r="R25" i="94"/>
  <c r="R21" i="94"/>
  <c r="R17" i="94"/>
  <c r="R13" i="94"/>
  <c r="R9" i="94"/>
  <c r="R5" i="94"/>
  <c r="R37" i="94"/>
  <c r="R33" i="94"/>
  <c r="R22" i="94"/>
  <c r="R18" i="94"/>
  <c r="R14" i="94"/>
  <c r="R10" i="94"/>
  <c r="R6" i="94"/>
  <c r="R30" i="94"/>
  <c r="R28" i="94"/>
  <c r="R26" i="94"/>
  <c r="R23" i="94"/>
  <c r="R19" i="94"/>
  <c r="R15" i="94"/>
  <c r="R11" i="94"/>
  <c r="R7" i="94"/>
  <c r="R3" i="94"/>
  <c r="R2" i="94"/>
  <c r="R24" i="94"/>
  <c r="R20" i="94"/>
  <c r="R16" i="94"/>
  <c r="R12" i="94"/>
  <c r="R8" i="94"/>
  <c r="R4" i="94"/>
  <c r="D75" i="89"/>
  <c r="H63" i="89"/>
  <c r="G63" i="89"/>
  <c r="F63" i="89"/>
  <c r="E63" i="89"/>
  <c r="H59" i="89"/>
  <c r="D83" i="89"/>
  <c r="AK40" i="99"/>
  <c r="AL39" i="99"/>
  <c r="AC45" i="95" s="1"/>
  <c r="G44" i="94"/>
  <c r="G40" i="94"/>
  <c r="G36" i="94"/>
  <c r="G32" i="94"/>
  <c r="G31" i="94"/>
  <c r="G30" i="94"/>
  <c r="G29" i="94"/>
  <c r="G28" i="94"/>
  <c r="G27" i="94"/>
  <c r="G26" i="94"/>
  <c r="G43" i="94"/>
  <c r="G39" i="94"/>
  <c r="G42" i="94"/>
  <c r="G38" i="94"/>
  <c r="G34" i="94"/>
  <c r="G45" i="94"/>
  <c r="G41" i="94"/>
  <c r="G37" i="94"/>
  <c r="G33" i="94"/>
  <c r="G22" i="94"/>
  <c r="G18" i="94"/>
  <c r="G14" i="94"/>
  <c r="G10" i="94"/>
  <c r="G23" i="94"/>
  <c r="G19" i="94"/>
  <c r="G15" i="94"/>
  <c r="G11" i="94"/>
  <c r="G24" i="94"/>
  <c r="G20" i="94"/>
  <c r="G16" i="94"/>
  <c r="G12" i="94"/>
  <c r="G35" i="94"/>
  <c r="G25" i="94"/>
  <c r="G21" i="94"/>
  <c r="G17" i="94"/>
  <c r="G13" i="94"/>
  <c r="E41" i="94"/>
  <c r="E37" i="94"/>
  <c r="E33" i="94"/>
  <c r="E40" i="94"/>
  <c r="E39" i="94"/>
  <c r="E35" i="94"/>
  <c r="E42" i="94"/>
  <c r="E38" i="94"/>
  <c r="E34" i="94"/>
  <c r="E25" i="94"/>
  <c r="E21" i="94"/>
  <c r="E17" i="94"/>
  <c r="E13" i="94"/>
  <c r="E36" i="94"/>
  <c r="E31" i="94"/>
  <c r="E29" i="94"/>
  <c r="E27" i="94"/>
  <c r="E22" i="94"/>
  <c r="E18" i="94"/>
  <c r="E14" i="94"/>
  <c r="E10" i="94"/>
  <c r="E32" i="94"/>
  <c r="E23" i="94"/>
  <c r="E19" i="94"/>
  <c r="E15" i="94"/>
  <c r="E11" i="94"/>
  <c r="E30" i="94"/>
  <c r="E28" i="94"/>
  <c r="E26" i="94"/>
  <c r="E24" i="94"/>
  <c r="E20" i="94"/>
  <c r="E16" i="94"/>
  <c r="E12" i="94"/>
  <c r="L44" i="94"/>
  <c r="F44" i="93" s="1"/>
  <c r="L40" i="94"/>
  <c r="F40" i="93" s="1"/>
  <c r="G40" i="93" s="1"/>
  <c r="L36" i="94"/>
  <c r="F36" i="93" s="1"/>
  <c r="G36" i="93" s="1"/>
  <c r="L32" i="94"/>
  <c r="F32" i="93" s="1"/>
  <c r="G32" i="93" s="1"/>
  <c r="L31" i="94"/>
  <c r="F31" i="93" s="1"/>
  <c r="L30" i="94"/>
  <c r="F30" i="93" s="1"/>
  <c r="L29" i="94"/>
  <c r="F29" i="93" s="1"/>
  <c r="G29" i="93" s="1"/>
  <c r="L28" i="94"/>
  <c r="F28" i="93" s="1"/>
  <c r="G28" i="93" s="1"/>
  <c r="L27" i="94"/>
  <c r="F27" i="93" s="1"/>
  <c r="L26" i="94"/>
  <c r="F26" i="93" s="1"/>
  <c r="G26" i="93" s="1"/>
  <c r="L43" i="94"/>
  <c r="F43" i="93" s="1"/>
  <c r="L39" i="94"/>
  <c r="F39" i="93" s="1"/>
  <c r="L42" i="94"/>
  <c r="F42" i="93" s="1"/>
  <c r="G42" i="93" s="1"/>
  <c r="L38" i="94"/>
  <c r="F38" i="93" s="1"/>
  <c r="L34" i="94"/>
  <c r="F34" i="93" s="1"/>
  <c r="L45" i="94"/>
  <c r="F45" i="93" s="1"/>
  <c r="G45" i="93" s="1"/>
  <c r="L41" i="94"/>
  <c r="F41" i="93" s="1"/>
  <c r="L37" i="94"/>
  <c r="F37" i="93" s="1"/>
  <c r="L33" i="94"/>
  <c r="F33" i="93" s="1"/>
  <c r="G33" i="93" s="1"/>
  <c r="L25" i="94"/>
  <c r="F25" i="93" s="1"/>
  <c r="L21" i="94"/>
  <c r="F21" i="93" s="1"/>
  <c r="L17" i="94"/>
  <c r="F17" i="93" s="1"/>
  <c r="G17" i="93" s="1"/>
  <c r="L13" i="94"/>
  <c r="F13" i="93" s="1"/>
  <c r="G13" i="93" s="1"/>
  <c r="L9" i="94"/>
  <c r="F9" i="93" s="1"/>
  <c r="L5" i="94"/>
  <c r="F5" i="93" s="1"/>
  <c r="L3" i="94"/>
  <c r="F3" i="93" s="1"/>
  <c r="L2" i="94"/>
  <c r="F2" i="93" s="1"/>
  <c r="L22" i="94"/>
  <c r="F22" i="93" s="1"/>
  <c r="G22" i="93" s="1"/>
  <c r="L18" i="94"/>
  <c r="F18" i="93" s="1"/>
  <c r="L14" i="94"/>
  <c r="F14" i="93" s="1"/>
  <c r="L10" i="94"/>
  <c r="F10" i="93" s="1"/>
  <c r="G10" i="93" s="1"/>
  <c r="L6" i="94"/>
  <c r="F6" i="93" s="1"/>
  <c r="G6" i="93" s="1"/>
  <c r="L35" i="94"/>
  <c r="F35" i="93" s="1"/>
  <c r="L23" i="94"/>
  <c r="F23" i="93" s="1"/>
  <c r="G23" i="93" s="1"/>
  <c r="L19" i="94"/>
  <c r="F19" i="93" s="1"/>
  <c r="G19" i="93" s="1"/>
  <c r="L15" i="94"/>
  <c r="F15" i="93" s="1"/>
  <c r="L11" i="94"/>
  <c r="F11" i="93" s="1"/>
  <c r="L7" i="94"/>
  <c r="F7" i="93" s="1"/>
  <c r="G7" i="93" s="1"/>
  <c r="L24" i="94"/>
  <c r="F24" i="93" s="1"/>
  <c r="G24" i="93" s="1"/>
  <c r="L20" i="94"/>
  <c r="F20" i="93" s="1"/>
  <c r="L16" i="94"/>
  <c r="F16" i="93" s="1"/>
  <c r="L12" i="94"/>
  <c r="F12" i="93" s="1"/>
  <c r="G12" i="93" s="1"/>
  <c r="L8" i="94"/>
  <c r="F8" i="93" s="1"/>
  <c r="G8" i="93" s="1"/>
  <c r="L4" i="94"/>
  <c r="F4" i="93" s="1"/>
  <c r="G4" i="93" s="1"/>
  <c r="U43" i="94"/>
  <c r="U39" i="94"/>
  <c r="U35" i="94"/>
  <c r="U42" i="94"/>
  <c r="U38" i="94"/>
  <c r="U45" i="94"/>
  <c r="U41" i="94"/>
  <c r="U37" i="94"/>
  <c r="U33" i="94"/>
  <c r="U44" i="94"/>
  <c r="U40" i="94"/>
  <c r="U36" i="94"/>
  <c r="U32" i="94"/>
  <c r="U31" i="94"/>
  <c r="U30" i="94"/>
  <c r="U29" i="94"/>
  <c r="U28" i="94"/>
  <c r="U27" i="94"/>
  <c r="U26" i="94"/>
  <c r="U25" i="94"/>
  <c r="U24" i="94"/>
  <c r="U23" i="94"/>
  <c r="U22" i="94"/>
  <c r="U21" i="94"/>
  <c r="U20" i="94"/>
  <c r="U19" i="94"/>
  <c r="U18" i="94"/>
  <c r="U17" i="94"/>
  <c r="U16" i="94"/>
  <c r="U15" i="94"/>
  <c r="U14" i="94"/>
  <c r="U13" i="94"/>
  <c r="U12" i="94"/>
  <c r="U11" i="94"/>
  <c r="U10" i="94"/>
  <c r="U9" i="94"/>
  <c r="U8" i="94"/>
  <c r="U7" i="94"/>
  <c r="U6" i="94"/>
  <c r="U5" i="94"/>
  <c r="U4" i="94"/>
  <c r="U3" i="94"/>
  <c r="U34" i="94"/>
  <c r="U2" i="94"/>
  <c r="E57" i="89"/>
  <c r="E61" i="89"/>
  <c r="G58" i="89"/>
  <c r="E55" i="89"/>
  <c r="H53" i="89"/>
  <c r="D77" i="89"/>
  <c r="E65" i="89"/>
  <c r="F56" i="89"/>
  <c r="H60" i="89"/>
  <c r="D84" i="89"/>
  <c r="G54" i="89"/>
  <c r="H50" i="89"/>
  <c r="G50" i="89"/>
  <c r="F52" i="89"/>
  <c r="AG39" i="99"/>
  <c r="J45" i="95" s="1"/>
  <c r="AX40" i="99"/>
  <c r="AW41" i="99" s="1"/>
  <c r="L27" i="89"/>
  <c r="N23" i="89"/>
  <c r="F69" i="89" s="1"/>
  <c r="H43" i="94"/>
  <c r="H39" i="94"/>
  <c r="H35" i="94"/>
  <c r="H42" i="94"/>
  <c r="H38" i="94"/>
  <c r="H41" i="94"/>
  <c r="H37" i="94"/>
  <c r="H33" i="94"/>
  <c r="H44" i="94"/>
  <c r="H40" i="94"/>
  <c r="H36" i="94"/>
  <c r="H32" i="94"/>
  <c r="H31" i="94"/>
  <c r="H30" i="94"/>
  <c r="H29" i="94"/>
  <c r="H28" i="94"/>
  <c r="H27" i="94"/>
  <c r="H26" i="94"/>
  <c r="H25" i="94"/>
  <c r="H24" i="94"/>
  <c r="H23" i="94"/>
  <c r="H22" i="94"/>
  <c r="H21" i="94"/>
  <c r="H20" i="94"/>
  <c r="H19" i="94"/>
  <c r="H18" i="94"/>
  <c r="H17" i="94"/>
  <c r="H16" i="94"/>
  <c r="H15" i="94"/>
  <c r="H14" i="94"/>
  <c r="H13" i="94"/>
  <c r="H12" i="94"/>
  <c r="H11" i="94"/>
  <c r="H10" i="94"/>
  <c r="H34" i="94"/>
  <c r="D80" i="89"/>
  <c r="BA41" i="99"/>
  <c r="BB40" i="99"/>
  <c r="AH46" i="95"/>
  <c r="U46" i="94" s="1"/>
  <c r="R46" i="95"/>
  <c r="L46" i="94" s="1"/>
  <c r="F46" i="93" s="1"/>
  <c r="G46" i="93" s="1"/>
  <c r="N24" i="89"/>
  <c r="G68" i="89" s="1"/>
  <c r="L28" i="89"/>
  <c r="S45" i="94"/>
  <c r="S41" i="94"/>
  <c r="S37" i="94"/>
  <c r="S33" i="94"/>
  <c r="S44" i="94"/>
  <c r="S40" i="94"/>
  <c r="S43" i="94"/>
  <c r="S39" i="94"/>
  <c r="S35" i="94"/>
  <c r="S42" i="94"/>
  <c r="S38" i="94"/>
  <c r="S34" i="94"/>
  <c r="S31" i="94"/>
  <c r="S22" i="94"/>
  <c r="S18" i="94"/>
  <c r="S14" i="94"/>
  <c r="S10" i="94"/>
  <c r="S6" i="94"/>
  <c r="S30" i="94"/>
  <c r="S28" i="94"/>
  <c r="S26" i="94"/>
  <c r="S23" i="94"/>
  <c r="S19" i="94"/>
  <c r="S15" i="94"/>
  <c r="S11" i="94"/>
  <c r="S7" i="94"/>
  <c r="S3" i="94"/>
  <c r="S2" i="94"/>
  <c r="S36" i="94"/>
  <c r="S24" i="94"/>
  <c r="S20" i="94"/>
  <c r="S16" i="94"/>
  <c r="S12" i="94"/>
  <c r="S8" i="94"/>
  <c r="S4" i="94"/>
  <c r="S32" i="94"/>
  <c r="S29" i="94"/>
  <c r="S27" i="94"/>
  <c r="S25" i="94"/>
  <c r="S21" i="94"/>
  <c r="S17" i="94"/>
  <c r="S13" i="94"/>
  <c r="S9" i="94"/>
  <c r="S5" i="94"/>
  <c r="P44" i="94"/>
  <c r="P40" i="94"/>
  <c r="P36" i="94"/>
  <c r="P32" i="94"/>
  <c r="P31" i="94"/>
  <c r="P30" i="94"/>
  <c r="P29" i="94"/>
  <c r="P28" i="94"/>
  <c r="P27" i="94"/>
  <c r="P26" i="94"/>
  <c r="P43" i="94"/>
  <c r="P39" i="94"/>
  <c r="P42" i="94"/>
  <c r="P38" i="94"/>
  <c r="P34" i="94"/>
  <c r="P45" i="94"/>
  <c r="P41" i="94"/>
  <c r="P37" i="94"/>
  <c r="P33" i="94"/>
  <c r="P24" i="94"/>
  <c r="P20" i="94"/>
  <c r="P16" i="94"/>
  <c r="P12" i="94"/>
  <c r="P8" i="94"/>
  <c r="P4" i="94"/>
  <c r="P3" i="94"/>
  <c r="P2" i="94"/>
  <c r="P35" i="94"/>
  <c r="P25" i="94"/>
  <c r="P21" i="94"/>
  <c r="P17" i="94"/>
  <c r="P13" i="94"/>
  <c r="P9" i="94"/>
  <c r="P5" i="94"/>
  <c r="P22" i="94"/>
  <c r="P18" i="94"/>
  <c r="P14" i="94"/>
  <c r="P10" i="94"/>
  <c r="P6" i="94"/>
  <c r="P23" i="94"/>
  <c r="P19" i="94"/>
  <c r="P15" i="94"/>
  <c r="P11" i="94"/>
  <c r="P7" i="94"/>
  <c r="K45" i="94"/>
  <c r="K41" i="94"/>
  <c r="K37" i="94"/>
  <c r="K33" i="94"/>
  <c r="K44" i="94"/>
  <c r="K40" i="94"/>
  <c r="K43" i="94"/>
  <c r="K39" i="94"/>
  <c r="K35" i="94"/>
  <c r="K42" i="94"/>
  <c r="K38" i="94"/>
  <c r="K34" i="94"/>
  <c r="K36" i="94"/>
  <c r="K24" i="94"/>
  <c r="K20" i="94"/>
  <c r="K16" i="94"/>
  <c r="K12" i="94"/>
  <c r="K32" i="94"/>
  <c r="K30" i="94"/>
  <c r="K28" i="94"/>
  <c r="K26" i="94"/>
  <c r="K25" i="94"/>
  <c r="K21" i="94"/>
  <c r="K17" i="94"/>
  <c r="K13" i="94"/>
  <c r="K22" i="94"/>
  <c r="K18" i="94"/>
  <c r="K14" i="94"/>
  <c r="K10" i="94"/>
  <c r="K31" i="94"/>
  <c r="K29" i="94"/>
  <c r="K27" i="94"/>
  <c r="K23" i="94"/>
  <c r="K19" i="94"/>
  <c r="K15" i="94"/>
  <c r="K11" i="94"/>
  <c r="M43" i="94"/>
  <c r="M39" i="94"/>
  <c r="H39" i="93" s="1"/>
  <c r="M35" i="94"/>
  <c r="H35" i="93" s="1"/>
  <c r="M42" i="94"/>
  <c r="H42" i="93" s="1"/>
  <c r="M38" i="94"/>
  <c r="H38" i="93" s="1"/>
  <c r="M45" i="94"/>
  <c r="M41" i="94"/>
  <c r="H41" i="93" s="1"/>
  <c r="M37" i="94"/>
  <c r="H37" i="93" s="1"/>
  <c r="M33" i="94"/>
  <c r="H33" i="93" s="1"/>
  <c r="M44" i="94"/>
  <c r="H44" i="93" s="1"/>
  <c r="M40" i="94"/>
  <c r="H40" i="93" s="1"/>
  <c r="M36" i="94"/>
  <c r="H36" i="93" s="1"/>
  <c r="M32" i="94"/>
  <c r="H32" i="93" s="1"/>
  <c r="M31" i="94"/>
  <c r="H31" i="93" s="1"/>
  <c r="M30" i="94"/>
  <c r="H30" i="93" s="1"/>
  <c r="M29" i="94"/>
  <c r="H29" i="93" s="1"/>
  <c r="M28" i="94"/>
  <c r="H28" i="93" s="1"/>
  <c r="M27" i="94"/>
  <c r="H27" i="93" s="1"/>
  <c r="M26" i="94"/>
  <c r="H26" i="93" s="1"/>
  <c r="M25" i="94"/>
  <c r="H25" i="93" s="1"/>
  <c r="M24" i="94"/>
  <c r="M23" i="94"/>
  <c r="H23" i="93" s="1"/>
  <c r="M22" i="94"/>
  <c r="H22" i="93" s="1"/>
  <c r="M21" i="94"/>
  <c r="H21" i="93" s="1"/>
  <c r="M20" i="94"/>
  <c r="M19" i="94"/>
  <c r="H19" i="93" s="1"/>
  <c r="M18" i="94"/>
  <c r="H18" i="93" s="1"/>
  <c r="I18" i="93" s="1"/>
  <c r="M17" i="94"/>
  <c r="H17" i="93" s="1"/>
  <c r="I17" i="93" s="1"/>
  <c r="M16" i="94"/>
  <c r="H16" i="93" s="1"/>
  <c r="M15" i="94"/>
  <c r="H15" i="93" s="1"/>
  <c r="M14" i="94"/>
  <c r="H14" i="93" s="1"/>
  <c r="I14" i="93" s="1"/>
  <c r="M13" i="94"/>
  <c r="H13" i="93" s="1"/>
  <c r="I13" i="93" s="1"/>
  <c r="M12" i="94"/>
  <c r="H12" i="93" s="1"/>
  <c r="M11" i="94"/>
  <c r="H11" i="93" s="1"/>
  <c r="M10" i="94"/>
  <c r="H10" i="93" s="1"/>
  <c r="I10" i="93" s="1"/>
  <c r="M9" i="94"/>
  <c r="H9" i="93" s="1"/>
  <c r="I9" i="93" s="1"/>
  <c r="M8" i="94"/>
  <c r="H8" i="93" s="1"/>
  <c r="M7" i="94"/>
  <c r="H7" i="93" s="1"/>
  <c r="M6" i="94"/>
  <c r="H6" i="93" s="1"/>
  <c r="I6" i="93" s="1"/>
  <c r="M5" i="94"/>
  <c r="H5" i="93" s="1"/>
  <c r="M4" i="94"/>
  <c r="M34" i="94"/>
  <c r="H34" i="93" s="1"/>
  <c r="M3" i="94"/>
  <c r="H3" i="93" s="1"/>
  <c r="I3" i="93" s="1"/>
  <c r="M2" i="94"/>
  <c r="H2" i="93" s="1"/>
  <c r="BM26" i="99"/>
  <c r="B54" i="97"/>
  <c r="F57" i="89"/>
  <c r="F61" i="89"/>
  <c r="H58" i="89"/>
  <c r="D82" i="89"/>
  <c r="H70" i="89"/>
  <c r="F70" i="89"/>
  <c r="E70" i="89"/>
  <c r="G70" i="89"/>
  <c r="F55" i="89"/>
  <c r="E53" i="89"/>
  <c r="E60" i="89"/>
  <c r="AA45" i="95"/>
  <c r="Q45" i="94" s="1"/>
  <c r="H54" i="89"/>
  <c r="D78" i="89"/>
  <c r="H66" i="89"/>
  <c r="F66" i="89"/>
  <c r="E66" i="89"/>
  <c r="G66" i="89"/>
  <c r="AJ40" i="99"/>
  <c r="AJ41" i="99" s="1"/>
  <c r="D74" i="89"/>
  <c r="G62" i="89"/>
  <c r="F62" i="89"/>
  <c r="E62" i="89"/>
  <c r="H62" i="89"/>
  <c r="BE39" i="99"/>
  <c r="AV39" i="99"/>
  <c r="AU40" i="99" s="1"/>
  <c r="W45" i="95"/>
  <c r="O45" i="94" s="1"/>
  <c r="AA40" i="99" l="1"/>
  <c r="Z41" i="99" s="1"/>
  <c r="AM41" i="99"/>
  <c r="AN40" i="99"/>
  <c r="AR40" i="99"/>
  <c r="AQ41" i="99" s="1"/>
  <c r="BE40" i="99"/>
  <c r="AV40" i="99"/>
  <c r="AU41" i="99" s="1"/>
  <c r="W46" i="95"/>
  <c r="O46" i="94" s="1"/>
  <c r="AX41" i="99"/>
  <c r="AW42" i="99"/>
  <c r="S46" i="94"/>
  <c r="Y41" i="99"/>
  <c r="X42" i="99"/>
  <c r="H45" i="94"/>
  <c r="AP41" i="99"/>
  <c r="AO42" i="99"/>
  <c r="W40" i="99"/>
  <c r="V41" i="99" s="1"/>
  <c r="D90" i="89"/>
  <c r="M21" i="93"/>
  <c r="M25" i="93"/>
  <c r="M29" i="93"/>
  <c r="I29" i="93"/>
  <c r="M36" i="93"/>
  <c r="I36" i="93"/>
  <c r="M33" i="93"/>
  <c r="I33" i="93"/>
  <c r="L32" i="89"/>
  <c r="N28" i="89"/>
  <c r="F68" i="89"/>
  <c r="C10" i="94"/>
  <c r="D10" i="93"/>
  <c r="C14" i="94"/>
  <c r="D14" i="93"/>
  <c r="C18" i="94"/>
  <c r="D18" i="93"/>
  <c r="C22" i="94"/>
  <c r="D22" i="93"/>
  <c r="C26" i="94"/>
  <c r="D26" i="93"/>
  <c r="C30" i="94"/>
  <c r="D30" i="93"/>
  <c r="C40" i="94"/>
  <c r="D40" i="93"/>
  <c r="C37" i="94"/>
  <c r="D37" i="93"/>
  <c r="C38" i="94"/>
  <c r="D38" i="93"/>
  <c r="C35" i="94"/>
  <c r="D35" i="93"/>
  <c r="E35" i="93" s="1"/>
  <c r="AF40" i="99"/>
  <c r="F72" i="89"/>
  <c r="H65" i="89"/>
  <c r="G20" i="93"/>
  <c r="G15" i="93"/>
  <c r="G9" i="93"/>
  <c r="G25" i="93"/>
  <c r="G43" i="93"/>
  <c r="AK41" i="99"/>
  <c r="AL40" i="99"/>
  <c r="H71" i="89"/>
  <c r="AT41" i="99"/>
  <c r="AE47" i="95" s="1"/>
  <c r="AH40" i="99"/>
  <c r="AI39" i="99"/>
  <c r="L45" i="95" s="1"/>
  <c r="I45" i="94" s="1"/>
  <c r="F67" i="89"/>
  <c r="G73" i="89"/>
  <c r="G69" i="89"/>
  <c r="AE40" i="99"/>
  <c r="AD41" i="99" s="1"/>
  <c r="L30" i="89"/>
  <c r="N26" i="89"/>
  <c r="H78" i="89" s="1"/>
  <c r="I22" i="93"/>
  <c r="M22" i="93"/>
  <c r="I26" i="93"/>
  <c r="M26" i="93"/>
  <c r="I30" i="93"/>
  <c r="M30" i="93"/>
  <c r="I40" i="93"/>
  <c r="M40" i="93"/>
  <c r="I37" i="93"/>
  <c r="M37" i="93"/>
  <c r="I38" i="93"/>
  <c r="M38" i="93"/>
  <c r="I35" i="93"/>
  <c r="M35" i="93"/>
  <c r="BB41" i="99"/>
  <c r="BA42" i="99"/>
  <c r="AH47" i="95"/>
  <c r="U47" i="94" s="1"/>
  <c r="H68" i="89"/>
  <c r="D34" i="93"/>
  <c r="C34" i="94"/>
  <c r="C11" i="94"/>
  <c r="D11" i="93"/>
  <c r="E11" i="93" s="1"/>
  <c r="C15" i="94"/>
  <c r="D15" i="93"/>
  <c r="E15" i="93" s="1"/>
  <c r="C19" i="94"/>
  <c r="D19" i="93"/>
  <c r="E19" i="93" s="1"/>
  <c r="C23" i="94"/>
  <c r="D23" i="93"/>
  <c r="E23" i="93" s="1"/>
  <c r="C27" i="94"/>
  <c r="D27" i="93"/>
  <c r="E27" i="93" s="1"/>
  <c r="C31" i="94"/>
  <c r="D31" i="93"/>
  <c r="E31" i="93" s="1"/>
  <c r="C44" i="94"/>
  <c r="D44" i="93"/>
  <c r="C41" i="94"/>
  <c r="D41" i="93"/>
  <c r="E41" i="93" s="1"/>
  <c r="C42" i="94"/>
  <c r="D42" i="93"/>
  <c r="C39" i="94"/>
  <c r="D39" i="93"/>
  <c r="E39" i="93" s="1"/>
  <c r="N27" i="89"/>
  <c r="L31" i="89"/>
  <c r="H72" i="89"/>
  <c r="D89" i="89"/>
  <c r="H77" i="89"/>
  <c r="G77" i="89"/>
  <c r="E77" i="89"/>
  <c r="E71" i="89"/>
  <c r="D95" i="89"/>
  <c r="AC40" i="99"/>
  <c r="AB41" i="99" s="1"/>
  <c r="G67" i="89"/>
  <c r="H73" i="89"/>
  <c r="V7" i="92"/>
  <c r="U8" i="92"/>
  <c r="H69" i="89"/>
  <c r="D88" i="89"/>
  <c r="F76" i="89"/>
  <c r="E76" i="89"/>
  <c r="G76" i="89"/>
  <c r="BD84" i="99"/>
  <c r="S37" i="99"/>
  <c r="X45" i="97" s="1"/>
  <c r="W45" i="94" s="1"/>
  <c r="D86" i="89"/>
  <c r="H74" i="89"/>
  <c r="E74" i="89"/>
  <c r="G74" i="89"/>
  <c r="D94" i="89"/>
  <c r="F82" i="89"/>
  <c r="E82" i="89"/>
  <c r="G82" i="89"/>
  <c r="D42" i="94"/>
  <c r="D38" i="94"/>
  <c r="D34" i="94"/>
  <c r="D41" i="94"/>
  <c r="D40" i="94"/>
  <c r="D36" i="94"/>
  <c r="D32" i="94"/>
  <c r="D39" i="94"/>
  <c r="D35" i="94"/>
  <c r="D37" i="94"/>
  <c r="D33" i="94"/>
  <c r="D30" i="94"/>
  <c r="D28" i="94"/>
  <c r="D26" i="94"/>
  <c r="D24" i="94"/>
  <c r="D20" i="94"/>
  <c r="D16" i="94"/>
  <c r="D12" i="94"/>
  <c r="D25" i="94"/>
  <c r="D21" i="94"/>
  <c r="D17" i="94"/>
  <c r="D13" i="94"/>
  <c r="D31" i="94"/>
  <c r="D29" i="94"/>
  <c r="D27" i="94"/>
  <c r="D22" i="94"/>
  <c r="D18" i="94"/>
  <c r="D14" i="94"/>
  <c r="D10" i="94"/>
  <c r="D23" i="94"/>
  <c r="D19" i="94"/>
  <c r="D15" i="94"/>
  <c r="D11" i="94"/>
  <c r="I7" i="93"/>
  <c r="I11" i="93"/>
  <c r="I15" i="93"/>
  <c r="I19" i="93"/>
  <c r="M19" i="93"/>
  <c r="I23" i="93"/>
  <c r="M23" i="93"/>
  <c r="I27" i="93"/>
  <c r="M27" i="93"/>
  <c r="M31" i="93"/>
  <c r="I31" i="93"/>
  <c r="M44" i="93"/>
  <c r="I41" i="93"/>
  <c r="M41" i="93"/>
  <c r="I42" i="93"/>
  <c r="M42" i="93"/>
  <c r="I39" i="93"/>
  <c r="M39" i="93"/>
  <c r="R47" i="95"/>
  <c r="D92" i="89"/>
  <c r="H80" i="89"/>
  <c r="F80" i="89"/>
  <c r="E80" i="89"/>
  <c r="G80" i="89"/>
  <c r="C12" i="94"/>
  <c r="D12" i="93"/>
  <c r="E12" i="93" s="1"/>
  <c r="C16" i="94"/>
  <c r="D16" i="93"/>
  <c r="E16" i="93" s="1"/>
  <c r="C20" i="94"/>
  <c r="D20" i="93"/>
  <c r="E20" i="93" s="1"/>
  <c r="C24" i="94"/>
  <c r="D24" i="93"/>
  <c r="E24" i="93" s="1"/>
  <c r="C28" i="94"/>
  <c r="D28" i="93"/>
  <c r="E28" i="93" s="1"/>
  <c r="C32" i="94"/>
  <c r="D32" i="93"/>
  <c r="E32" i="93" s="1"/>
  <c r="C43" i="94"/>
  <c r="D43" i="93"/>
  <c r="E43" i="93" s="1"/>
  <c r="G72" i="89"/>
  <c r="D96" i="89"/>
  <c r="F65" i="89"/>
  <c r="G14" i="93"/>
  <c r="G3" i="93"/>
  <c r="G37" i="93"/>
  <c r="G34" i="93"/>
  <c r="G30" i="93"/>
  <c r="F71" i="89"/>
  <c r="N29" i="89"/>
  <c r="G83" i="89" s="1"/>
  <c r="L33" i="89"/>
  <c r="P9" i="98"/>
  <c r="R9" i="98" s="1"/>
  <c r="O9" i="98"/>
  <c r="Q9" i="98" s="1"/>
  <c r="H67" i="89"/>
  <c r="E73" i="89"/>
  <c r="D97" i="89"/>
  <c r="G85" i="89"/>
  <c r="F85" i="89"/>
  <c r="E85" i="89"/>
  <c r="E69" i="89"/>
  <c r="D93" i="89"/>
  <c r="H81" i="89"/>
  <c r="G81" i="89"/>
  <c r="F81" i="89"/>
  <c r="E81" i="89"/>
  <c r="I47" i="98"/>
  <c r="K47" i="98" s="1"/>
  <c r="L47" i="98" s="1"/>
  <c r="F48" i="98"/>
  <c r="AZ40" i="99"/>
  <c r="AY41" i="99" s="1"/>
  <c r="AG46" i="95"/>
  <c r="T46" i="94" s="1"/>
  <c r="Y46" i="95"/>
  <c r="AA46" i="95"/>
  <c r="M34" i="93"/>
  <c r="I34" i="93"/>
  <c r="AJ42" i="99"/>
  <c r="H4" i="93"/>
  <c r="I4" i="93" s="1"/>
  <c r="I8" i="93"/>
  <c r="I12" i="93"/>
  <c r="I16" i="93"/>
  <c r="H20" i="93"/>
  <c r="H24" i="93"/>
  <c r="M28" i="93"/>
  <c r="I28" i="93"/>
  <c r="M32" i="93"/>
  <c r="I32" i="93"/>
  <c r="H45" i="93"/>
  <c r="H43" i="93"/>
  <c r="I44" i="93" s="1"/>
  <c r="E68" i="89"/>
  <c r="C13" i="94"/>
  <c r="D13" i="93"/>
  <c r="E13" i="93" s="1"/>
  <c r="C17" i="94"/>
  <c r="D17" i="93"/>
  <c r="C21" i="94"/>
  <c r="D21" i="93"/>
  <c r="E21" i="93" s="1"/>
  <c r="C25" i="94"/>
  <c r="D25" i="93"/>
  <c r="C29" i="94"/>
  <c r="D29" i="93"/>
  <c r="E29" i="93" s="1"/>
  <c r="C36" i="94"/>
  <c r="D36" i="93"/>
  <c r="E36" i="93" s="1"/>
  <c r="C33" i="94"/>
  <c r="D33" i="93"/>
  <c r="E33" i="93" s="1"/>
  <c r="E72" i="89"/>
  <c r="G65" i="89"/>
  <c r="G16" i="93"/>
  <c r="G11" i="93"/>
  <c r="G35" i="93"/>
  <c r="G18" i="93"/>
  <c r="G5" i="93"/>
  <c r="G21" i="93"/>
  <c r="G41" i="93"/>
  <c r="G38" i="93"/>
  <c r="G39" i="93"/>
  <c r="G27" i="93"/>
  <c r="G31" i="93"/>
  <c r="G44" i="93"/>
  <c r="AC46" i="95"/>
  <c r="G71" i="89"/>
  <c r="D87" i="89"/>
  <c r="H75" i="89"/>
  <c r="G75" i="89"/>
  <c r="F75" i="89"/>
  <c r="E75" i="89"/>
  <c r="K7" i="98"/>
  <c r="L8" i="98"/>
  <c r="E67" i="89"/>
  <c r="D91" i="89"/>
  <c r="H79" i="89"/>
  <c r="G79" i="89"/>
  <c r="F79" i="89"/>
  <c r="E79" i="89"/>
  <c r="F73" i="89"/>
  <c r="P46" i="98"/>
  <c r="R46" i="98" s="1"/>
  <c r="O46" i="98"/>
  <c r="Q46" i="98" s="1"/>
  <c r="AZ41" i="99" l="1"/>
  <c r="AY42" i="99" s="1"/>
  <c r="AG47" i="95"/>
  <c r="T47" i="94" s="1"/>
  <c r="S47" i="94"/>
  <c r="V42" i="99"/>
  <c r="W41" i="99"/>
  <c r="AQ42" i="99"/>
  <c r="AR41" i="99"/>
  <c r="AC41" i="99"/>
  <c r="AB42" i="99" s="1"/>
  <c r="AD42" i="99"/>
  <c r="AE41" i="99"/>
  <c r="BE41" i="99"/>
  <c r="AU42" i="99"/>
  <c r="AV41" i="99"/>
  <c r="W47" i="95"/>
  <c r="O47" i="94" s="1"/>
  <c r="Z42" i="99"/>
  <c r="AA41" i="99"/>
  <c r="K6" i="98"/>
  <c r="L7" i="98"/>
  <c r="E25" i="93"/>
  <c r="E17" i="93"/>
  <c r="M20" i="93"/>
  <c r="I20" i="93"/>
  <c r="Q46" i="94"/>
  <c r="H85" i="89"/>
  <c r="G9" i="94"/>
  <c r="E9" i="94"/>
  <c r="E84" i="89"/>
  <c r="L47" i="94"/>
  <c r="F47" i="93" s="1"/>
  <c r="G47" i="93" s="1"/>
  <c r="B23" i="94"/>
  <c r="B23" i="93"/>
  <c r="B10" i="94"/>
  <c r="B10" i="93"/>
  <c r="B27" i="94"/>
  <c r="B27" i="93"/>
  <c r="D9" i="94"/>
  <c r="B25" i="94"/>
  <c r="B25" i="93"/>
  <c r="B16" i="94"/>
  <c r="B16" i="93"/>
  <c r="B28" i="94"/>
  <c r="B28" i="93"/>
  <c r="B35" i="94"/>
  <c r="B35" i="93"/>
  <c r="B32" i="94"/>
  <c r="B32" i="93"/>
  <c r="B34" i="94"/>
  <c r="B34" i="93"/>
  <c r="H82" i="89"/>
  <c r="F74" i="89"/>
  <c r="BD85" i="99"/>
  <c r="S38" i="99"/>
  <c r="X46" i="97" s="1"/>
  <c r="W46" i="94" s="1"/>
  <c r="H76" i="89"/>
  <c r="H83" i="89"/>
  <c r="F77" i="89"/>
  <c r="E34" i="93"/>
  <c r="L34" i="89"/>
  <c r="N30" i="89"/>
  <c r="H90" i="89" s="1"/>
  <c r="T46" i="95"/>
  <c r="E38" i="93"/>
  <c r="E40" i="93"/>
  <c r="E26" i="93"/>
  <c r="E18" i="93"/>
  <c r="N32" i="89"/>
  <c r="L36" i="89"/>
  <c r="G78" i="89"/>
  <c r="D102" i="89"/>
  <c r="E90" i="89"/>
  <c r="D103" i="89"/>
  <c r="H91" i="89"/>
  <c r="D99" i="89"/>
  <c r="F87" i="89"/>
  <c r="I43" i="93"/>
  <c r="M43" i="93"/>
  <c r="Y47" i="95"/>
  <c r="P46" i="94"/>
  <c r="I48" i="98"/>
  <c r="K48" i="98" s="1"/>
  <c r="L48" i="98" s="1"/>
  <c r="F49" i="98"/>
  <c r="D109" i="89"/>
  <c r="F97" i="89"/>
  <c r="I9" i="94"/>
  <c r="H9" i="94"/>
  <c r="K9" i="94"/>
  <c r="F84" i="89"/>
  <c r="B11" i="94"/>
  <c r="B11" i="93"/>
  <c r="B14" i="94"/>
  <c r="B14" i="93"/>
  <c r="B29" i="94"/>
  <c r="B29" i="93"/>
  <c r="B13" i="94"/>
  <c r="B13" i="93"/>
  <c r="B20" i="94"/>
  <c r="B20" i="93"/>
  <c r="B30" i="94"/>
  <c r="B30" i="93"/>
  <c r="B39" i="94"/>
  <c r="B39" i="93"/>
  <c r="B36" i="94"/>
  <c r="B36" i="93"/>
  <c r="B41" i="94"/>
  <c r="B41" i="93"/>
  <c r="B38" i="94"/>
  <c r="B38" i="93"/>
  <c r="D106" i="89"/>
  <c r="G94" i="89"/>
  <c r="D100" i="89"/>
  <c r="E88" i="89"/>
  <c r="G88" i="89"/>
  <c r="E83" i="89"/>
  <c r="D107" i="89"/>
  <c r="H95" i="89"/>
  <c r="F95" i="89"/>
  <c r="L35" i="89"/>
  <c r="N31" i="89"/>
  <c r="E42" i="93"/>
  <c r="E44" i="93"/>
  <c r="AS42" i="99"/>
  <c r="AL41" i="99"/>
  <c r="AK42" i="99" s="1"/>
  <c r="AG40" i="99"/>
  <c r="J46" i="95" s="1"/>
  <c r="H46" i="94" s="1"/>
  <c r="I21" i="93"/>
  <c r="E78" i="89"/>
  <c r="C45" i="94"/>
  <c r="D45" i="93"/>
  <c r="E45" i="93" s="1"/>
  <c r="AM42" i="99"/>
  <c r="AN41" i="99"/>
  <c r="AA47" i="95" s="1"/>
  <c r="G46" i="94"/>
  <c r="I45" i="93"/>
  <c r="M45" i="93"/>
  <c r="P47" i="98"/>
  <c r="R47" i="98" s="1"/>
  <c r="O47" i="98"/>
  <c r="Q47" i="98" s="1"/>
  <c r="L37" i="89"/>
  <c r="N33" i="89"/>
  <c r="H84" i="89"/>
  <c r="B15" i="94"/>
  <c r="B15" i="93"/>
  <c r="B18" i="94"/>
  <c r="B18" i="93"/>
  <c r="B31" i="94"/>
  <c r="B31" i="93"/>
  <c r="B17" i="94"/>
  <c r="B17" i="93"/>
  <c r="B24" i="94"/>
  <c r="B24" i="93"/>
  <c r="B33" i="94"/>
  <c r="B33" i="93"/>
  <c r="B40" i="94"/>
  <c r="B40" i="93"/>
  <c r="B42" i="94"/>
  <c r="B42" i="93"/>
  <c r="D98" i="89"/>
  <c r="H86" i="89"/>
  <c r="G86" i="89"/>
  <c r="F86" i="89"/>
  <c r="F83" i="89"/>
  <c r="E37" i="93"/>
  <c r="E30" i="93"/>
  <c r="E22" i="93"/>
  <c r="E14" i="93"/>
  <c r="F78" i="89"/>
  <c r="K46" i="94"/>
  <c r="O8" i="98"/>
  <c r="Q8" i="98" s="1"/>
  <c r="P8" i="98"/>
  <c r="R8" i="98" s="1"/>
  <c r="AC47" i="95"/>
  <c r="R46" i="94"/>
  <c r="M24" i="93"/>
  <c r="I24" i="93"/>
  <c r="D105" i="89"/>
  <c r="H93" i="89"/>
  <c r="E93" i="89"/>
  <c r="G93" i="89"/>
  <c r="F93" i="89"/>
  <c r="G84" i="89"/>
  <c r="D108" i="89"/>
  <c r="H96" i="89"/>
  <c r="E96" i="89"/>
  <c r="G96" i="89"/>
  <c r="F96" i="89"/>
  <c r="D104" i="89"/>
  <c r="H92" i="89"/>
  <c r="E92" i="89"/>
  <c r="G92" i="89"/>
  <c r="F92" i="89"/>
  <c r="B19" i="94"/>
  <c r="B19" i="93"/>
  <c r="B22" i="94"/>
  <c r="B22" i="93"/>
  <c r="B21" i="94"/>
  <c r="B21" i="93"/>
  <c r="B12" i="94"/>
  <c r="B12" i="93"/>
  <c r="B26" i="94"/>
  <c r="B26" i="93"/>
  <c r="B37" i="94"/>
  <c r="B37" i="93"/>
  <c r="V8" i="92"/>
  <c r="U9" i="92"/>
  <c r="D101" i="89"/>
  <c r="H89" i="89"/>
  <c r="E89" i="89"/>
  <c r="G89" i="89"/>
  <c r="F89" i="89"/>
  <c r="BB42" i="99"/>
  <c r="BA43" i="99"/>
  <c r="AH48" i="95"/>
  <c r="U48" i="94" s="1"/>
  <c r="AH41" i="99"/>
  <c r="AI40" i="99"/>
  <c r="L46" i="95" s="1"/>
  <c r="I25" i="93"/>
  <c r="I5" i="93"/>
  <c r="AP42" i="99"/>
  <c r="R48" i="95" s="1"/>
  <c r="Y42" i="99"/>
  <c r="D43" i="95" s="1"/>
  <c r="AX42" i="99"/>
  <c r="AW43" i="99" s="1"/>
  <c r="AC42" i="99" l="1"/>
  <c r="AB43" i="99" s="1"/>
  <c r="AX43" i="99"/>
  <c r="AW44" i="99" s="1"/>
  <c r="AX44" i="99" s="1"/>
  <c r="L47" i="95"/>
  <c r="I46" i="94"/>
  <c r="C46" i="94" s="1"/>
  <c r="AL42" i="99"/>
  <c r="AK43" i="99"/>
  <c r="AJ43" i="99"/>
  <c r="AJ44" i="99" s="1"/>
  <c r="L48" i="94"/>
  <c r="F48" i="93" s="1"/>
  <c r="G48" i="93" s="1"/>
  <c r="Q47" i="94"/>
  <c r="AZ42" i="99"/>
  <c r="AY43" i="99" s="1"/>
  <c r="AG48" i="95"/>
  <c r="T48" i="94" s="1"/>
  <c r="AO43" i="99"/>
  <c r="D117" i="89"/>
  <c r="AC48" i="95"/>
  <c r="R47" i="94"/>
  <c r="C40" i="93"/>
  <c r="J40" i="93" s="1"/>
  <c r="K40" i="93" s="1"/>
  <c r="C24" i="93"/>
  <c r="J24" i="93"/>
  <c r="J31" i="93"/>
  <c r="C31" i="93"/>
  <c r="C15" i="93"/>
  <c r="J15" i="93"/>
  <c r="N37" i="89"/>
  <c r="L41" i="89"/>
  <c r="AN42" i="99"/>
  <c r="AA48" i="95" s="1"/>
  <c r="AM43" i="99"/>
  <c r="E95" i="89"/>
  <c r="F88" i="89"/>
  <c r="D112" i="89"/>
  <c r="H94" i="89"/>
  <c r="C41" i="93"/>
  <c r="J41" i="93" s="1"/>
  <c r="K41" i="93" s="1"/>
  <c r="C39" i="93"/>
  <c r="J39" i="93"/>
  <c r="C20" i="93"/>
  <c r="J20" i="93" s="1"/>
  <c r="C29" i="93"/>
  <c r="J29" i="93" s="1"/>
  <c r="K29" i="93" s="1"/>
  <c r="C11" i="93"/>
  <c r="J11" i="93" s="1"/>
  <c r="C9" i="94"/>
  <c r="D9" i="93"/>
  <c r="E97" i="89"/>
  <c r="P48" i="98"/>
  <c r="R48" i="98" s="1"/>
  <c r="O48" i="98"/>
  <c r="Q48" i="98" s="1"/>
  <c r="E87" i="89"/>
  <c r="G91" i="89"/>
  <c r="F90" i="89"/>
  <c r="D114" i="89"/>
  <c r="C34" i="93"/>
  <c r="J34" i="93"/>
  <c r="C35" i="93"/>
  <c r="J35" i="93" s="1"/>
  <c r="K35" i="93" s="1"/>
  <c r="C16" i="93"/>
  <c r="J16" i="93"/>
  <c r="K16" i="93" s="1"/>
  <c r="B9" i="94"/>
  <c r="B9" i="93"/>
  <c r="K5" i="98"/>
  <c r="L6" i="98"/>
  <c r="AE42" i="99"/>
  <c r="AD43" i="99" s="1"/>
  <c r="AR42" i="99"/>
  <c r="AQ43" i="99" s="1"/>
  <c r="AH42" i="99"/>
  <c r="AI41" i="99"/>
  <c r="D113" i="89"/>
  <c r="C37" i="93"/>
  <c r="J37" i="93" s="1"/>
  <c r="K37" i="93" s="1"/>
  <c r="C12" i="93"/>
  <c r="J12" i="93"/>
  <c r="C22" i="93"/>
  <c r="J22" i="93" s="1"/>
  <c r="K22" i="93" s="1"/>
  <c r="D116" i="89"/>
  <c r="K8" i="94"/>
  <c r="H8" i="94"/>
  <c r="I8" i="94"/>
  <c r="D110" i="89"/>
  <c r="G47" i="94"/>
  <c r="AF41" i="99"/>
  <c r="AT42" i="99"/>
  <c r="AE48" i="95" s="1"/>
  <c r="AS43" i="99"/>
  <c r="L39" i="89"/>
  <c r="N35" i="89"/>
  <c r="F94" i="89"/>
  <c r="D118" i="89"/>
  <c r="H97" i="89"/>
  <c r="H87" i="89"/>
  <c r="E91" i="89"/>
  <c r="G90" i="89"/>
  <c r="T47" i="95"/>
  <c r="M46" i="94"/>
  <c r="H46" i="93" s="1"/>
  <c r="BD86" i="99"/>
  <c r="S39" i="99"/>
  <c r="X47" i="97" s="1"/>
  <c r="W47" i="94" s="1"/>
  <c r="C27" i="93"/>
  <c r="J27" i="93" s="1"/>
  <c r="C23" i="93"/>
  <c r="J23" i="93"/>
  <c r="AV42" i="99"/>
  <c r="BE42" i="99"/>
  <c r="AU43" i="99"/>
  <c r="W48" i="95"/>
  <c r="O48" i="94" s="1"/>
  <c r="E43" i="94"/>
  <c r="U10" i="92"/>
  <c r="V9" i="92"/>
  <c r="D120" i="89"/>
  <c r="G8" i="94"/>
  <c r="E8" i="94"/>
  <c r="D8" i="94"/>
  <c r="C42" i="93"/>
  <c r="J42" i="93" s="1"/>
  <c r="K42" i="93" s="1"/>
  <c r="C33" i="93"/>
  <c r="J33" i="93"/>
  <c r="C17" i="93"/>
  <c r="J17" i="93" s="1"/>
  <c r="K17" i="93" s="1"/>
  <c r="C18" i="93"/>
  <c r="J18" i="93" s="1"/>
  <c r="K18" i="93" s="1"/>
  <c r="K47" i="94"/>
  <c r="I47" i="94"/>
  <c r="D119" i="89"/>
  <c r="C38" i="93"/>
  <c r="J38" i="93"/>
  <c r="J36" i="93"/>
  <c r="C36" i="93"/>
  <c r="C30" i="93"/>
  <c r="J30" i="93"/>
  <c r="C13" i="93"/>
  <c r="J13" i="93" s="1"/>
  <c r="K13" i="93" s="1"/>
  <c r="C14" i="93"/>
  <c r="J14" i="93" s="1"/>
  <c r="K14" i="93" s="1"/>
  <c r="D121" i="89"/>
  <c r="Y48" i="95"/>
  <c r="P47" i="94"/>
  <c r="D111" i="89"/>
  <c r="N36" i="89"/>
  <c r="L40" i="89"/>
  <c r="C32" i="93"/>
  <c r="J32" i="93" s="1"/>
  <c r="K32" i="93" s="1"/>
  <c r="C28" i="93"/>
  <c r="J28" i="93" s="1"/>
  <c r="K28" i="93" s="1"/>
  <c r="C25" i="93"/>
  <c r="J25" i="93"/>
  <c r="K25" i="93" s="1"/>
  <c r="AA42" i="99"/>
  <c r="Z43" i="99" s="1"/>
  <c r="W42" i="99"/>
  <c r="B43" i="95" s="1"/>
  <c r="V43" i="99"/>
  <c r="X43" i="99"/>
  <c r="BB43" i="99"/>
  <c r="BA44" i="99" s="1"/>
  <c r="AH49" i="95"/>
  <c r="U49" i="94" s="1"/>
  <c r="C26" i="93"/>
  <c r="J26" i="93" s="1"/>
  <c r="K26" i="93" s="1"/>
  <c r="C21" i="93"/>
  <c r="J21" i="93"/>
  <c r="C19" i="93"/>
  <c r="J19" i="93" s="1"/>
  <c r="E86" i="89"/>
  <c r="G95" i="89"/>
  <c r="H88" i="89"/>
  <c r="E94" i="89"/>
  <c r="G97" i="89"/>
  <c r="I49" i="98"/>
  <c r="K49" i="98" s="1"/>
  <c r="L49" i="98" s="1"/>
  <c r="F50" i="98"/>
  <c r="I50" i="98" s="1"/>
  <c r="K50" i="98" s="1"/>
  <c r="L50" i="98" s="1"/>
  <c r="G87" i="89"/>
  <c r="F91" i="89"/>
  <c r="D115" i="89"/>
  <c r="N34" i="89"/>
  <c r="H105" i="89" s="1"/>
  <c r="L38" i="89"/>
  <c r="C10" i="93"/>
  <c r="P7" i="98"/>
  <c r="R7" i="98" s="1"/>
  <c r="O7" i="98"/>
  <c r="Q7" i="98" s="1"/>
  <c r="AE43" i="99" l="1"/>
  <c r="AD44" i="99" s="1"/>
  <c r="AE44" i="99" s="1"/>
  <c r="AR43" i="99"/>
  <c r="AQ44" i="99" s="1"/>
  <c r="AR44" i="99" s="1"/>
  <c r="K19" i="93"/>
  <c r="K20" i="93"/>
  <c r="AZ43" i="99"/>
  <c r="AY44" i="99"/>
  <c r="AG49" i="95"/>
  <c r="T49" i="94" s="1"/>
  <c r="BB44" i="99"/>
  <c r="AH50" i="95"/>
  <c r="U50" i="94" s="1"/>
  <c r="AA43" i="99"/>
  <c r="Z44" i="99" s="1"/>
  <c r="AA44" i="99" s="1"/>
  <c r="K27" i="93"/>
  <c r="Q48" i="94"/>
  <c r="AC43" i="99"/>
  <c r="AB44" i="99" s="1"/>
  <c r="AC44" i="99" s="1"/>
  <c r="Y43" i="99"/>
  <c r="D44" i="95" s="1"/>
  <c r="X44" i="99"/>
  <c r="Y44" i="99" s="1"/>
  <c r="F109" i="89"/>
  <c r="G108" i="89"/>
  <c r="G103" i="89"/>
  <c r="G7" i="94"/>
  <c r="E7" i="94"/>
  <c r="D7" i="94"/>
  <c r="N38" i="89"/>
  <c r="L42" i="89"/>
  <c r="E103" i="89"/>
  <c r="N40" i="89"/>
  <c r="L44" i="89"/>
  <c r="E99" i="89"/>
  <c r="Y49" i="95"/>
  <c r="P48" i="94"/>
  <c r="H109" i="89"/>
  <c r="F107" i="89"/>
  <c r="D131" i="89"/>
  <c r="F119" i="89"/>
  <c r="F108" i="89"/>
  <c r="D132" i="89"/>
  <c r="G120" i="89"/>
  <c r="E120" i="89"/>
  <c r="T48" i="95"/>
  <c r="M47" i="94"/>
  <c r="H47" i="93" s="1"/>
  <c r="H106" i="89"/>
  <c r="N39" i="89"/>
  <c r="G119" i="89" s="1"/>
  <c r="L43" i="89"/>
  <c r="G98" i="89"/>
  <c r="G104" i="89"/>
  <c r="E101" i="89"/>
  <c r="AI42" i="99"/>
  <c r="AH43" i="99"/>
  <c r="G102" i="89"/>
  <c r="K48" i="94"/>
  <c r="G100" i="89"/>
  <c r="N41" i="89"/>
  <c r="L45" i="89"/>
  <c r="F105" i="89"/>
  <c r="D129" i="89"/>
  <c r="H117" i="89"/>
  <c r="G117" i="89"/>
  <c r="E117" i="89"/>
  <c r="F117" i="89"/>
  <c r="H103" i="89"/>
  <c r="G107" i="89"/>
  <c r="K33" i="93"/>
  <c r="F106" i="89"/>
  <c r="D130" i="89"/>
  <c r="H118" i="89"/>
  <c r="G118" i="89"/>
  <c r="E118" i="89"/>
  <c r="F118" i="89"/>
  <c r="AT43" i="99"/>
  <c r="AS44" i="99" s="1"/>
  <c r="AT44" i="99" s="1"/>
  <c r="E98" i="89"/>
  <c r="C8" i="94"/>
  <c r="D8" i="93"/>
  <c r="E104" i="89"/>
  <c r="H101" i="89"/>
  <c r="O6" i="98"/>
  <c r="Q6" i="98" s="1"/>
  <c r="P6" i="98"/>
  <c r="R6" i="98" s="1"/>
  <c r="K34" i="93"/>
  <c r="E102" i="89"/>
  <c r="E100" i="89"/>
  <c r="K31" i="93"/>
  <c r="G105" i="89"/>
  <c r="AP43" i="99"/>
  <c r="R49" i="95" s="1"/>
  <c r="L48" i="95"/>
  <c r="I7" i="94"/>
  <c r="H7" i="94"/>
  <c r="K7" i="94"/>
  <c r="P50" i="98"/>
  <c r="R50" i="98" s="1"/>
  <c r="O50" i="98"/>
  <c r="Q50" i="98" s="1"/>
  <c r="H99" i="89"/>
  <c r="D133" i="89"/>
  <c r="H121" i="89"/>
  <c r="G121" i="89"/>
  <c r="E121" i="89"/>
  <c r="F121" i="89"/>
  <c r="K36" i="93"/>
  <c r="B8" i="94"/>
  <c r="B8" i="93"/>
  <c r="P49" i="98"/>
  <c r="R49" i="98" s="1"/>
  <c r="O49" i="98"/>
  <c r="Q49" i="98" s="1"/>
  <c r="K21" i="93"/>
  <c r="V44" i="99"/>
  <c r="W44" i="99" s="1"/>
  <c r="W43" i="99"/>
  <c r="F99" i="89"/>
  <c r="D123" i="89"/>
  <c r="H111" i="89"/>
  <c r="E111" i="89"/>
  <c r="G111" i="89"/>
  <c r="F111" i="89"/>
  <c r="G109" i="89"/>
  <c r="K30" i="93"/>
  <c r="K38" i="93"/>
  <c r="E107" i="89"/>
  <c r="E108" i="89"/>
  <c r="U11" i="92"/>
  <c r="V10" i="92"/>
  <c r="AV43" i="99"/>
  <c r="AU44" i="99" s="1"/>
  <c r="BE43" i="99"/>
  <c r="W49" i="95"/>
  <c r="O49" i="94" s="1"/>
  <c r="BD87" i="99"/>
  <c r="S40" i="99"/>
  <c r="X48" i="97" s="1"/>
  <c r="W48" i="94" s="1"/>
  <c r="G106" i="89"/>
  <c r="S48" i="94"/>
  <c r="H98" i="89"/>
  <c r="H104" i="89"/>
  <c r="K12" i="93"/>
  <c r="F101" i="89"/>
  <c r="D125" i="89"/>
  <c r="H113" i="89"/>
  <c r="E113" i="89"/>
  <c r="G113" i="89"/>
  <c r="F113" i="89"/>
  <c r="K4" i="98"/>
  <c r="L5" i="98"/>
  <c r="H102" i="89"/>
  <c r="E9" i="93"/>
  <c r="E10" i="93"/>
  <c r="J10" i="93" s="1"/>
  <c r="K39" i="93"/>
  <c r="H100" i="89"/>
  <c r="AN43" i="99"/>
  <c r="AA49" i="95" s="1"/>
  <c r="K15" i="93"/>
  <c r="K24" i="93"/>
  <c r="E105" i="89"/>
  <c r="AL43" i="99"/>
  <c r="AK44" i="99" s="1"/>
  <c r="AL44" i="99" s="1"/>
  <c r="D46" i="93"/>
  <c r="E46" i="93" s="1"/>
  <c r="K23" i="93"/>
  <c r="F103" i="89"/>
  <c r="D127" i="89"/>
  <c r="H115" i="89"/>
  <c r="E115" i="89"/>
  <c r="G115" i="89"/>
  <c r="F115" i="89"/>
  <c r="B44" i="95"/>
  <c r="D43" i="94"/>
  <c r="G99" i="89"/>
  <c r="E109" i="89"/>
  <c r="H107" i="89"/>
  <c r="H108" i="89"/>
  <c r="I46" i="93"/>
  <c r="M46" i="93"/>
  <c r="E106" i="89"/>
  <c r="AG41" i="99"/>
  <c r="J47" i="95" s="1"/>
  <c r="F98" i="89"/>
  <c r="D122" i="89"/>
  <c r="H110" i="89"/>
  <c r="E110" i="89"/>
  <c r="G110" i="89"/>
  <c r="F110" i="89"/>
  <c r="F104" i="89"/>
  <c r="D128" i="89"/>
  <c r="H116" i="89"/>
  <c r="E116" i="89"/>
  <c r="G116" i="89"/>
  <c r="F116" i="89"/>
  <c r="G101" i="89"/>
  <c r="C9" i="93"/>
  <c r="J9" i="93"/>
  <c r="F102" i="89"/>
  <c r="D126" i="89"/>
  <c r="H114" i="89"/>
  <c r="E114" i="89"/>
  <c r="G114" i="89"/>
  <c r="F114" i="89"/>
  <c r="G48" i="94"/>
  <c r="F100" i="89"/>
  <c r="D124" i="89"/>
  <c r="H112" i="89"/>
  <c r="E112" i="89"/>
  <c r="G112" i="89"/>
  <c r="F112" i="89"/>
  <c r="AC49" i="95"/>
  <c r="R48" i="94"/>
  <c r="K10" i="93" l="1"/>
  <c r="K11" i="93"/>
  <c r="AV44" i="99"/>
  <c r="BE44" i="99"/>
  <c r="W50" i="95"/>
  <c r="O50" i="94" s="1"/>
  <c r="Q49" i="94"/>
  <c r="AC50" i="95"/>
  <c r="R50" i="94" s="1"/>
  <c r="R49" i="94"/>
  <c r="H47" i="94"/>
  <c r="B43" i="94"/>
  <c r="B43" i="93"/>
  <c r="D137" i="89"/>
  <c r="D7" i="93"/>
  <c r="L49" i="94"/>
  <c r="F49" i="93" s="1"/>
  <c r="G49" i="93" s="1"/>
  <c r="D141" i="89"/>
  <c r="H119" i="89"/>
  <c r="B7" i="94"/>
  <c r="B7" i="93"/>
  <c r="D136" i="89"/>
  <c r="BD88" i="99"/>
  <c r="S42" i="99" s="1"/>
  <c r="X50" i="97" s="1"/>
  <c r="W50" i="94" s="1"/>
  <c r="S41" i="99"/>
  <c r="X49" i="97" s="1"/>
  <c r="W49" i="94" s="1"/>
  <c r="D135" i="89"/>
  <c r="G50" i="94"/>
  <c r="AH44" i="99"/>
  <c r="AI44" i="99" s="1"/>
  <c r="AI43" i="99"/>
  <c r="I47" i="93"/>
  <c r="M47" i="93"/>
  <c r="D143" i="89"/>
  <c r="Y50" i="95"/>
  <c r="P50" i="94" s="1"/>
  <c r="P49" i="94"/>
  <c r="D138" i="89"/>
  <c r="F126" i="89"/>
  <c r="D139" i="89"/>
  <c r="E127" i="89"/>
  <c r="P5" i="98"/>
  <c r="R5" i="98" s="1"/>
  <c r="O5" i="98"/>
  <c r="Q5" i="98" s="1"/>
  <c r="AE49" i="95"/>
  <c r="G49" i="94"/>
  <c r="I50" i="94"/>
  <c r="K50" i="94"/>
  <c r="L49" i="95"/>
  <c r="L50" i="95" s="1"/>
  <c r="I6" i="94"/>
  <c r="K6" i="94"/>
  <c r="H6" i="94"/>
  <c r="E8" i="93"/>
  <c r="N45" i="89"/>
  <c r="L49" i="89"/>
  <c r="I48" i="94"/>
  <c r="N43" i="89"/>
  <c r="L47" i="89"/>
  <c r="T49" i="95"/>
  <c r="M48" i="94"/>
  <c r="H48" i="93" s="1"/>
  <c r="H120" i="89"/>
  <c r="E119" i="89"/>
  <c r="N42" i="89"/>
  <c r="E125" i="89" s="1"/>
  <c r="L46" i="89"/>
  <c r="C7" i="94"/>
  <c r="AZ44" i="99"/>
  <c r="AG50" i="95"/>
  <c r="T50" i="94" s="1"/>
  <c r="D134" i="89"/>
  <c r="H122" i="89"/>
  <c r="G122" i="89"/>
  <c r="E122" i="89"/>
  <c r="F122" i="89"/>
  <c r="B45" i="95"/>
  <c r="D44" i="94"/>
  <c r="D140" i="89"/>
  <c r="E128" i="89"/>
  <c r="AF42" i="99"/>
  <c r="AM44" i="99"/>
  <c r="AN44" i="99" s="1"/>
  <c r="AA50" i="95" s="1"/>
  <c r="Q50" i="94" s="1"/>
  <c r="K3" i="98"/>
  <c r="L4" i="98"/>
  <c r="V11" i="92"/>
  <c r="U12" i="92"/>
  <c r="K49" i="94"/>
  <c r="I49" i="94"/>
  <c r="D145" i="89"/>
  <c r="H133" i="89"/>
  <c r="AO44" i="99"/>
  <c r="AP44" i="99" s="1"/>
  <c r="R50" i="95" s="1"/>
  <c r="L50" i="94" s="1"/>
  <c r="F50" i="93" s="1"/>
  <c r="G50" i="93" s="1"/>
  <c r="G6" i="94"/>
  <c r="C6" i="94" s="1"/>
  <c r="E6" i="94"/>
  <c r="D6" i="94"/>
  <c r="D142" i="89"/>
  <c r="H130" i="89"/>
  <c r="G130" i="89"/>
  <c r="F130" i="89"/>
  <c r="F120" i="89"/>
  <c r="D144" i="89"/>
  <c r="G132" i="89"/>
  <c r="E132" i="89"/>
  <c r="F132" i="89"/>
  <c r="N44" i="89"/>
  <c r="H128" i="89" s="1"/>
  <c r="L48" i="89"/>
  <c r="D45" i="95"/>
  <c r="E44" i="94"/>
  <c r="N48" i="89" l="1"/>
  <c r="L52" i="89"/>
  <c r="D154" i="89"/>
  <c r="D46" i="95"/>
  <c r="E45" i="94"/>
  <c r="G133" i="89"/>
  <c r="O4" i="98"/>
  <c r="Q4" i="98" s="1"/>
  <c r="P4" i="98"/>
  <c r="R4" i="98" s="1"/>
  <c r="F128" i="89"/>
  <c r="D152" i="89"/>
  <c r="T50" i="95"/>
  <c r="M50" i="94" s="1"/>
  <c r="M49" i="94"/>
  <c r="N49" i="89"/>
  <c r="L53" i="89"/>
  <c r="F127" i="89"/>
  <c r="D151" i="89"/>
  <c r="H126" i="89"/>
  <c r="F131" i="89"/>
  <c r="D155" i="89"/>
  <c r="F123" i="89"/>
  <c r="D147" i="89"/>
  <c r="E124" i="89"/>
  <c r="F129" i="89"/>
  <c r="D153" i="89"/>
  <c r="G125" i="89"/>
  <c r="K2" i="98"/>
  <c r="L2" i="98" s="1"/>
  <c r="L3" i="98"/>
  <c r="B44" i="94"/>
  <c r="B44" i="93"/>
  <c r="N47" i="89"/>
  <c r="L51" i="89"/>
  <c r="AE50" i="95"/>
  <c r="S50" i="94" s="1"/>
  <c r="S49" i="94"/>
  <c r="D150" i="89"/>
  <c r="E131" i="89"/>
  <c r="E123" i="89"/>
  <c r="G124" i="89"/>
  <c r="E129" i="89"/>
  <c r="C8" i="93"/>
  <c r="J8" i="93" s="1"/>
  <c r="H125" i="89"/>
  <c r="C47" i="94"/>
  <c r="D47" i="93"/>
  <c r="E47" i="93" s="1"/>
  <c r="H132" i="89"/>
  <c r="E130" i="89"/>
  <c r="B6" i="94"/>
  <c r="B6" i="93"/>
  <c r="F133" i="89"/>
  <c r="D157" i="89"/>
  <c r="V12" i="92"/>
  <c r="U13" i="92"/>
  <c r="G128" i="89"/>
  <c r="B46" i="95"/>
  <c r="D45" i="94"/>
  <c r="E5" i="94"/>
  <c r="G5" i="94"/>
  <c r="D5" i="94"/>
  <c r="G127" i="89"/>
  <c r="E126" i="89"/>
  <c r="G131" i="89"/>
  <c r="G123" i="89"/>
  <c r="H124" i="89"/>
  <c r="G129" i="89"/>
  <c r="F125" i="89"/>
  <c r="D149" i="89"/>
  <c r="H137" i="89"/>
  <c r="D156" i="89"/>
  <c r="E144" i="89"/>
  <c r="E133" i="89"/>
  <c r="AF43" i="99"/>
  <c r="AG42" i="99"/>
  <c r="J48" i="95" s="1"/>
  <c r="D146" i="89"/>
  <c r="F134" i="89"/>
  <c r="N46" i="89"/>
  <c r="G142" i="89" s="1"/>
  <c r="L50" i="89"/>
  <c r="I48" i="93"/>
  <c r="M48" i="93"/>
  <c r="D6" i="93"/>
  <c r="H5" i="94"/>
  <c r="I5" i="94"/>
  <c r="K5" i="94"/>
  <c r="H127" i="89"/>
  <c r="G126" i="89"/>
  <c r="H131" i="89"/>
  <c r="H123" i="89"/>
  <c r="F124" i="89"/>
  <c r="D148" i="89"/>
  <c r="G136" i="89"/>
  <c r="E136" i="89"/>
  <c r="F136" i="89"/>
  <c r="H129" i="89"/>
  <c r="E7" i="93"/>
  <c r="C43" i="93"/>
  <c r="J43" i="93" s="1"/>
  <c r="K43" i="93" s="1"/>
  <c r="H134" i="89" l="1"/>
  <c r="H144" i="89"/>
  <c r="G137" i="89"/>
  <c r="U14" i="92"/>
  <c r="V13" i="92"/>
  <c r="G145" i="89"/>
  <c r="G138" i="89"/>
  <c r="E141" i="89"/>
  <c r="D165" i="89"/>
  <c r="E135" i="89"/>
  <c r="H143" i="89"/>
  <c r="E139" i="89"/>
  <c r="D163" i="89"/>
  <c r="H49" i="93"/>
  <c r="I49" i="93" s="1"/>
  <c r="G140" i="89"/>
  <c r="I4" i="94"/>
  <c r="H4" i="94"/>
  <c r="K4" i="94"/>
  <c r="D47" i="95"/>
  <c r="E46" i="94"/>
  <c r="H142" i="89"/>
  <c r="D158" i="89"/>
  <c r="B45" i="94"/>
  <c r="B45" i="93"/>
  <c r="H145" i="89"/>
  <c r="H138" i="89"/>
  <c r="N51" i="89"/>
  <c r="L55" i="89"/>
  <c r="P3" i="98"/>
  <c r="R3" i="98" s="1"/>
  <c r="O3" i="98"/>
  <c r="Q3" i="98" s="1"/>
  <c r="F141" i="89"/>
  <c r="G135" i="89"/>
  <c r="E143" i="89"/>
  <c r="D167" i="89"/>
  <c r="F139" i="89"/>
  <c r="H50" i="93"/>
  <c r="I50" i="93" s="1"/>
  <c r="H140" i="89"/>
  <c r="G4" i="94"/>
  <c r="E4" i="94"/>
  <c r="D4" i="94"/>
  <c r="E142" i="89"/>
  <c r="D166" i="89"/>
  <c r="D168" i="89"/>
  <c r="H136" i="89"/>
  <c r="E134" i="89"/>
  <c r="H48" i="94"/>
  <c r="F144" i="89"/>
  <c r="F137" i="89"/>
  <c r="D161" i="89"/>
  <c r="B5" i="94"/>
  <c r="B5" i="93"/>
  <c r="B47" i="95"/>
  <c r="D46" i="94"/>
  <c r="E145" i="89"/>
  <c r="H157" i="89"/>
  <c r="D169" i="89"/>
  <c r="E157" i="89"/>
  <c r="C7" i="93"/>
  <c r="J7" i="93" s="1"/>
  <c r="E138" i="89"/>
  <c r="D162" i="89"/>
  <c r="H150" i="89"/>
  <c r="O2" i="98"/>
  <c r="Q2" i="98" s="1"/>
  <c r="P2" i="98"/>
  <c r="R2" i="98" s="1"/>
  <c r="G141" i="89"/>
  <c r="H135" i="89"/>
  <c r="F143" i="89"/>
  <c r="G139" i="89"/>
  <c r="N53" i="89"/>
  <c r="L57" i="89"/>
  <c r="E140" i="89"/>
  <c r="D164" i="89"/>
  <c r="F152" i="89"/>
  <c r="F142" i="89"/>
  <c r="N52" i="89"/>
  <c r="L56" i="89"/>
  <c r="D160" i="89"/>
  <c r="F148" i="89"/>
  <c r="D5" i="93"/>
  <c r="N50" i="89"/>
  <c r="H153" i="89" s="1"/>
  <c r="L54" i="89"/>
  <c r="G134" i="89"/>
  <c r="AG43" i="99"/>
  <c r="J49" i="95" s="1"/>
  <c r="AF44" i="99"/>
  <c r="AG44" i="99" s="1"/>
  <c r="G144" i="89"/>
  <c r="E137" i="89"/>
  <c r="C5" i="94"/>
  <c r="F145" i="89"/>
  <c r="K8" i="93"/>
  <c r="K9" i="93"/>
  <c r="F138" i="89"/>
  <c r="C44" i="93"/>
  <c r="J44" i="93"/>
  <c r="K44" i="93" s="1"/>
  <c r="H141" i="89"/>
  <c r="F135" i="89"/>
  <c r="D159" i="89"/>
  <c r="H147" i="89"/>
  <c r="G147" i="89"/>
  <c r="E147" i="89"/>
  <c r="G143" i="89"/>
  <c r="H139" i="89"/>
  <c r="F140" i="89"/>
  <c r="J50" i="95" l="1"/>
  <c r="H50" i="94" s="1"/>
  <c r="H49" i="94"/>
  <c r="N54" i="89"/>
  <c r="L58" i="89"/>
  <c r="E148" i="89"/>
  <c r="H160" i="89"/>
  <c r="G160" i="89"/>
  <c r="D172" i="89"/>
  <c r="F160" i="89"/>
  <c r="E160" i="89"/>
  <c r="E152" i="89"/>
  <c r="D176" i="89"/>
  <c r="H2" i="94"/>
  <c r="K2" i="94"/>
  <c r="I2" i="94"/>
  <c r="G150" i="89"/>
  <c r="D181" i="89"/>
  <c r="B48" i="95"/>
  <c r="D47" i="94"/>
  <c r="F149" i="89"/>
  <c r="D180" i="89"/>
  <c r="F154" i="89"/>
  <c r="D179" i="89"/>
  <c r="K3" i="94"/>
  <c r="I3" i="94"/>
  <c r="H3" i="94"/>
  <c r="F146" i="89"/>
  <c r="D4" i="93"/>
  <c r="E151" i="89"/>
  <c r="D175" i="89"/>
  <c r="E153" i="89"/>
  <c r="D177" i="89"/>
  <c r="C5" i="93"/>
  <c r="J5" i="93" s="1"/>
  <c r="G149" i="89"/>
  <c r="G156" i="89"/>
  <c r="G154" i="89"/>
  <c r="B4" i="94"/>
  <c r="B4" i="93"/>
  <c r="F155" i="89"/>
  <c r="N55" i="89"/>
  <c r="H164" i="89" s="1"/>
  <c r="L59" i="89"/>
  <c r="C45" i="93"/>
  <c r="J45" i="93" s="1"/>
  <c r="K45" i="93" s="1"/>
  <c r="G146" i="89"/>
  <c r="F151" i="89"/>
  <c r="F153" i="89"/>
  <c r="N56" i="89"/>
  <c r="L60" i="89"/>
  <c r="G2" i="94"/>
  <c r="C2" i="94" s="1"/>
  <c r="E2" i="94"/>
  <c r="D2" i="94"/>
  <c r="H159" i="89"/>
  <c r="G159" i="89"/>
  <c r="F159" i="89"/>
  <c r="D171" i="89"/>
  <c r="E159" i="89"/>
  <c r="G148" i="89"/>
  <c r="G152" i="89"/>
  <c r="N57" i="89"/>
  <c r="L61" i="89"/>
  <c r="E150" i="89"/>
  <c r="D174" i="89"/>
  <c r="G162" i="89"/>
  <c r="F162" i="89"/>
  <c r="E162" i="89"/>
  <c r="F157" i="89"/>
  <c r="H149" i="89"/>
  <c r="C48" i="94"/>
  <c r="D48" i="93"/>
  <c r="E48" i="93" s="1"/>
  <c r="E156" i="89"/>
  <c r="H156" i="89"/>
  <c r="H154" i="89"/>
  <c r="G155" i="89"/>
  <c r="H146" i="89"/>
  <c r="D48" i="95"/>
  <c r="E47" i="94"/>
  <c r="G151" i="89"/>
  <c r="G153" i="89"/>
  <c r="F147" i="89"/>
  <c r="E5" i="93"/>
  <c r="H148" i="89"/>
  <c r="H152" i="89"/>
  <c r="F150" i="89"/>
  <c r="G157" i="89"/>
  <c r="B46" i="94"/>
  <c r="B46" i="93"/>
  <c r="E149" i="89"/>
  <c r="H161" i="89"/>
  <c r="D173" i="89"/>
  <c r="G161" i="89"/>
  <c r="F161" i="89"/>
  <c r="E161" i="89"/>
  <c r="F156" i="89"/>
  <c r="E154" i="89"/>
  <c r="D178" i="89"/>
  <c r="H166" i="89"/>
  <c r="G166" i="89"/>
  <c r="F166" i="89"/>
  <c r="E166" i="89"/>
  <c r="C4" i="94"/>
  <c r="E155" i="89"/>
  <c r="H155" i="89"/>
  <c r="G3" i="94"/>
  <c r="C3" i="94" s="1"/>
  <c r="E3" i="94"/>
  <c r="D3" i="94"/>
  <c r="E146" i="89"/>
  <c r="D170" i="89"/>
  <c r="H158" i="89"/>
  <c r="G158" i="89"/>
  <c r="F158" i="89"/>
  <c r="E158" i="89"/>
  <c r="H151" i="89"/>
  <c r="C6" i="93"/>
  <c r="U15" i="92"/>
  <c r="V14" i="92"/>
  <c r="E6" i="93"/>
  <c r="J6" i="93" l="1"/>
  <c r="B3" i="94"/>
  <c r="B3" i="93"/>
  <c r="D185" i="89"/>
  <c r="E173" i="89"/>
  <c r="H174" i="89"/>
  <c r="D186" i="89"/>
  <c r="E174" i="89"/>
  <c r="C4" i="93"/>
  <c r="J4" i="93" s="1"/>
  <c r="F165" i="89"/>
  <c r="G163" i="89"/>
  <c r="H167" i="89"/>
  <c r="G167" i="89"/>
  <c r="D192" i="89"/>
  <c r="B47" i="94"/>
  <c r="B47" i="93"/>
  <c r="H169" i="89"/>
  <c r="E164" i="89"/>
  <c r="H176" i="89"/>
  <c r="D188" i="89"/>
  <c r="E176" i="89"/>
  <c r="F172" i="89"/>
  <c r="D184" i="89"/>
  <c r="H172" i="89"/>
  <c r="G172" i="89"/>
  <c r="N58" i="89"/>
  <c r="F173" i="89" s="1"/>
  <c r="L62" i="89"/>
  <c r="H170" i="89"/>
  <c r="G170" i="89"/>
  <c r="D182" i="89"/>
  <c r="F170" i="89"/>
  <c r="E170" i="89"/>
  <c r="L63" i="89"/>
  <c r="N59" i="89"/>
  <c r="D189" i="89"/>
  <c r="F177" i="89"/>
  <c r="E163" i="89"/>
  <c r="H163" i="89"/>
  <c r="D3" i="93"/>
  <c r="E167" i="89"/>
  <c r="E168" i="89"/>
  <c r="B49" i="95"/>
  <c r="D48" i="94"/>
  <c r="E169" i="89"/>
  <c r="F164" i="89"/>
  <c r="D49" i="95"/>
  <c r="E48" i="94"/>
  <c r="L65" i="89"/>
  <c r="N61" i="89"/>
  <c r="G181" i="89" s="1"/>
  <c r="N60" i="89"/>
  <c r="F176" i="89" s="1"/>
  <c r="L64" i="89"/>
  <c r="G165" i="89"/>
  <c r="F163" i="89"/>
  <c r="F167" i="89"/>
  <c r="G168" i="89"/>
  <c r="F168" i="89"/>
  <c r="F169" i="89"/>
  <c r="D193" i="89"/>
  <c r="F181" i="89"/>
  <c r="G164" i="89"/>
  <c r="C49" i="94"/>
  <c r="D49" i="93"/>
  <c r="E49" i="93" s="1"/>
  <c r="H178" i="89"/>
  <c r="G178" i="89"/>
  <c r="D190" i="89"/>
  <c r="F178" i="89"/>
  <c r="E178" i="89"/>
  <c r="V15" i="92"/>
  <c r="U16" i="92"/>
  <c r="C46" i="93"/>
  <c r="J46" i="93" s="1"/>
  <c r="K46" i="93" s="1"/>
  <c r="H162" i="89"/>
  <c r="D183" i="89"/>
  <c r="G171" i="89"/>
  <c r="F171" i="89"/>
  <c r="E171" i="89"/>
  <c r="H171" i="89"/>
  <c r="B2" i="94"/>
  <c r="B2" i="93"/>
  <c r="E165" i="89"/>
  <c r="H165" i="89"/>
  <c r="D187" i="89"/>
  <c r="F175" i="89"/>
  <c r="E175" i="89"/>
  <c r="H175" i="89"/>
  <c r="G175" i="89"/>
  <c r="E4" i="93"/>
  <c r="D191" i="89"/>
  <c r="H179" i="89"/>
  <c r="H168" i="89"/>
  <c r="G169" i="89"/>
  <c r="D2" i="93"/>
  <c r="C50" i="94"/>
  <c r="D50" i="93"/>
  <c r="K5" i="93" l="1"/>
  <c r="F179" i="89"/>
  <c r="D203" i="89"/>
  <c r="H181" i="89"/>
  <c r="N64" i="89"/>
  <c r="L68" i="89"/>
  <c r="B48" i="94"/>
  <c r="B48" i="93"/>
  <c r="E3" i="93"/>
  <c r="H177" i="89"/>
  <c r="D194" i="89"/>
  <c r="E172" i="89"/>
  <c r="D200" i="89"/>
  <c r="H180" i="89"/>
  <c r="D198" i="89"/>
  <c r="G173" i="89"/>
  <c r="C3" i="93"/>
  <c r="J3" i="93" s="1"/>
  <c r="G179" i="89"/>
  <c r="J2" i="93"/>
  <c r="E181" i="89"/>
  <c r="D205" i="89"/>
  <c r="D50" i="95"/>
  <c r="E50" i="94" s="1"/>
  <c r="E49" i="94"/>
  <c r="B50" i="95"/>
  <c r="D50" i="94" s="1"/>
  <c r="D49" i="94"/>
  <c r="E177" i="89"/>
  <c r="L67" i="89"/>
  <c r="N63" i="89"/>
  <c r="H192" i="89" s="1"/>
  <c r="G176" i="89"/>
  <c r="C47" i="93"/>
  <c r="J47" i="93"/>
  <c r="K47" i="93" s="1"/>
  <c r="F192" i="89"/>
  <c r="D204" i="89"/>
  <c r="G192" i="89"/>
  <c r="G174" i="89"/>
  <c r="H173" i="89"/>
  <c r="D199" i="89"/>
  <c r="H187" i="89"/>
  <c r="E180" i="89"/>
  <c r="K6" i="93"/>
  <c r="K7" i="93"/>
  <c r="E50" i="93"/>
  <c r="E179" i="89"/>
  <c r="D195" i="89"/>
  <c r="G183" i="89"/>
  <c r="F183" i="89"/>
  <c r="V16" i="92"/>
  <c r="U17" i="92"/>
  <c r="F190" i="89"/>
  <c r="D202" i="89"/>
  <c r="G190" i="89"/>
  <c r="L69" i="89"/>
  <c r="N65" i="89"/>
  <c r="G177" i="89"/>
  <c r="D201" i="89"/>
  <c r="E189" i="89"/>
  <c r="N62" i="89"/>
  <c r="H191" i="89" s="1"/>
  <c r="L66" i="89"/>
  <c r="F184" i="89"/>
  <c r="E184" i="89"/>
  <c r="D196" i="89"/>
  <c r="H184" i="89"/>
  <c r="G184" i="89"/>
  <c r="G180" i="89"/>
  <c r="F180" i="89"/>
  <c r="F174" i="89"/>
  <c r="D197" i="89"/>
  <c r="H185" i="89"/>
  <c r="E185" i="89"/>
  <c r="K3" i="93" l="1"/>
  <c r="K4" i="93"/>
  <c r="B50" i="94"/>
  <c r="B50" i="93"/>
  <c r="D209" i="89"/>
  <c r="F189" i="89"/>
  <c r="H190" i="89"/>
  <c r="U18" i="92"/>
  <c r="V17" i="92"/>
  <c r="N66" i="89"/>
  <c r="E197" i="89" s="1"/>
  <c r="L70" i="89"/>
  <c r="G189" i="89"/>
  <c r="D214" i="89"/>
  <c r="H183" i="89"/>
  <c r="F187" i="89"/>
  <c r="D216" i="89"/>
  <c r="H193" i="89"/>
  <c r="G186" i="89"/>
  <c r="F186" i="89"/>
  <c r="D212" i="89"/>
  <c r="G182" i="89"/>
  <c r="F182" i="89"/>
  <c r="E191" i="89"/>
  <c r="D215" i="89"/>
  <c r="D213" i="89"/>
  <c r="F185" i="89"/>
  <c r="G185" i="89"/>
  <c r="F196" i="89"/>
  <c r="E196" i="89"/>
  <c r="D208" i="89"/>
  <c r="H196" i="89"/>
  <c r="G196" i="89"/>
  <c r="H189" i="89"/>
  <c r="L73" i="89"/>
  <c r="N69" i="89"/>
  <c r="E190" i="89"/>
  <c r="E183" i="89"/>
  <c r="D207" i="89"/>
  <c r="H195" i="89"/>
  <c r="G195" i="89"/>
  <c r="F195" i="89"/>
  <c r="E195" i="89"/>
  <c r="G187" i="89"/>
  <c r="E192" i="89"/>
  <c r="B49" i="94"/>
  <c r="B49" i="93"/>
  <c r="E193" i="89"/>
  <c r="D217" i="89"/>
  <c r="H186" i="89"/>
  <c r="E188" i="89"/>
  <c r="H182" i="89"/>
  <c r="N68" i="89"/>
  <c r="L72" i="89"/>
  <c r="F191" i="89"/>
  <c r="F193" i="89"/>
  <c r="D210" i="89"/>
  <c r="G188" i="89"/>
  <c r="F188" i="89"/>
  <c r="F194" i="89"/>
  <c r="E194" i="89"/>
  <c r="D206" i="89"/>
  <c r="H194" i="89"/>
  <c r="G194" i="89"/>
  <c r="G191" i="89"/>
  <c r="E187" i="89"/>
  <c r="D211" i="89"/>
  <c r="H199" i="89"/>
  <c r="F199" i="89"/>
  <c r="E199" i="89"/>
  <c r="L71" i="89"/>
  <c r="N67" i="89"/>
  <c r="H203" i="89" s="1"/>
  <c r="G193" i="89"/>
  <c r="E186" i="89"/>
  <c r="H188" i="89"/>
  <c r="E182" i="89"/>
  <c r="C48" i="93"/>
  <c r="J48" i="93"/>
  <c r="K48" i="93" s="1"/>
  <c r="G199" i="89" l="1"/>
  <c r="G198" i="89"/>
  <c r="F198" i="89"/>
  <c r="E205" i="89"/>
  <c r="D229" i="89"/>
  <c r="F201" i="89"/>
  <c r="E203" i="89"/>
  <c r="D227" i="89"/>
  <c r="G200" i="89"/>
  <c r="F200" i="89"/>
  <c r="G204" i="89"/>
  <c r="F204" i="89"/>
  <c r="H202" i="89"/>
  <c r="U19" i="92"/>
  <c r="V18" i="92"/>
  <c r="F197" i="89"/>
  <c r="C50" i="93"/>
  <c r="J50" i="93"/>
  <c r="D223" i="89"/>
  <c r="E211" i="89"/>
  <c r="L75" i="89"/>
  <c r="N71" i="89"/>
  <c r="H198" i="89"/>
  <c r="F205" i="89"/>
  <c r="G201" i="89"/>
  <c r="F203" i="89"/>
  <c r="H200" i="89"/>
  <c r="H204" i="89"/>
  <c r="D226" i="89"/>
  <c r="N70" i="89"/>
  <c r="E217" i="89" s="1"/>
  <c r="L74" i="89"/>
  <c r="G197" i="89"/>
  <c r="F210" i="89"/>
  <c r="E210" i="89"/>
  <c r="D222" i="89"/>
  <c r="H210" i="89"/>
  <c r="G210" i="89"/>
  <c r="G205" i="89"/>
  <c r="C49" i="93"/>
  <c r="J49" i="93"/>
  <c r="K49" i="93" s="1"/>
  <c r="D219" i="89"/>
  <c r="H207" i="89"/>
  <c r="G207" i="89"/>
  <c r="F207" i="89"/>
  <c r="E207" i="89"/>
  <c r="L77" i="89"/>
  <c r="N73" i="89"/>
  <c r="F208" i="89"/>
  <c r="E208" i="89"/>
  <c r="D220" i="89"/>
  <c r="H208" i="89"/>
  <c r="G208" i="89"/>
  <c r="H201" i="89"/>
  <c r="G203" i="89"/>
  <c r="D224" i="89"/>
  <c r="D228" i="89"/>
  <c r="E202" i="89"/>
  <c r="H197" i="89"/>
  <c r="F206" i="89"/>
  <c r="E206" i="89"/>
  <c r="D218" i="89"/>
  <c r="H206" i="89"/>
  <c r="G206" i="89"/>
  <c r="E198" i="89"/>
  <c r="N72" i="89"/>
  <c r="H212" i="89" s="1"/>
  <c r="L76" i="89"/>
  <c r="H205" i="89"/>
  <c r="E201" i="89"/>
  <c r="D225" i="89"/>
  <c r="E213" i="89"/>
  <c r="E200" i="89"/>
  <c r="E204" i="89"/>
  <c r="G202" i="89"/>
  <c r="F202" i="89"/>
  <c r="D221" i="89"/>
  <c r="H209" i="89"/>
  <c r="G209" i="89"/>
  <c r="F209" i="89"/>
  <c r="E209" i="89"/>
  <c r="D237" i="89" l="1"/>
  <c r="F225" i="89"/>
  <c r="D230" i="89"/>
  <c r="E216" i="89"/>
  <c r="F224" i="89"/>
  <c r="D236" i="89"/>
  <c r="G224" i="89"/>
  <c r="D231" i="89"/>
  <c r="F219" i="89"/>
  <c r="G214" i="89"/>
  <c r="F214" i="89"/>
  <c r="L79" i="89"/>
  <c r="N75" i="89"/>
  <c r="H211" i="89"/>
  <c r="E215" i="89"/>
  <c r="D239" i="89"/>
  <c r="E227" i="89"/>
  <c r="F217" i="89"/>
  <c r="H214" i="89"/>
  <c r="D235" i="89"/>
  <c r="H223" i="89"/>
  <c r="F215" i="89"/>
  <c r="G217" i="89"/>
  <c r="F213" i="89"/>
  <c r="G216" i="89"/>
  <c r="F216" i="89"/>
  <c r="E212" i="89"/>
  <c r="G213" i="89"/>
  <c r="H216" i="89"/>
  <c r="G212" i="89"/>
  <c r="F212" i="89"/>
  <c r="D234" i="89"/>
  <c r="G222" i="89"/>
  <c r="N74" i="89"/>
  <c r="E225" i="89" s="1"/>
  <c r="L78" i="89"/>
  <c r="D238" i="89"/>
  <c r="H226" i="89"/>
  <c r="F211" i="89"/>
  <c r="K50" i="93"/>
  <c r="V19" i="92"/>
  <c r="U20" i="92"/>
  <c r="G215" i="89"/>
  <c r="H217" i="89"/>
  <c r="D233" i="89"/>
  <c r="H221" i="89"/>
  <c r="G221" i="89"/>
  <c r="F221" i="89"/>
  <c r="E221" i="89"/>
  <c r="H213" i="89"/>
  <c r="N76" i="89"/>
  <c r="F226" i="89" s="1"/>
  <c r="L80" i="89"/>
  <c r="F228" i="89"/>
  <c r="D240" i="89"/>
  <c r="G228" i="89"/>
  <c r="F220" i="89"/>
  <c r="E220" i="89"/>
  <c r="D232" i="89"/>
  <c r="H220" i="89"/>
  <c r="G220" i="89"/>
  <c r="L81" i="89"/>
  <c r="N77" i="89"/>
  <c r="E214" i="89"/>
  <c r="G211" i="89"/>
  <c r="H215" i="89"/>
  <c r="D241" i="89"/>
  <c r="H229" i="89"/>
  <c r="G229" i="89"/>
  <c r="F229" i="89"/>
  <c r="D251" i="89" l="1"/>
  <c r="L83" i="89"/>
  <c r="N79" i="89"/>
  <c r="D242" i="89"/>
  <c r="E229" i="89"/>
  <c r="D253" i="89"/>
  <c r="D244" i="89"/>
  <c r="H228" i="89"/>
  <c r="N80" i="89"/>
  <c r="L84" i="89"/>
  <c r="D250" i="89"/>
  <c r="E222" i="89"/>
  <c r="E223" i="89"/>
  <c r="D247" i="89"/>
  <c r="G235" i="89"/>
  <c r="F227" i="89"/>
  <c r="G219" i="89"/>
  <c r="H224" i="89"/>
  <c r="E218" i="89"/>
  <c r="G225" i="89"/>
  <c r="N78" i="89"/>
  <c r="E239" i="89" s="1"/>
  <c r="L82" i="89"/>
  <c r="D246" i="89"/>
  <c r="L85" i="89"/>
  <c r="N81" i="89"/>
  <c r="D252" i="89"/>
  <c r="H240" i="89"/>
  <c r="E226" i="89"/>
  <c r="F222" i="89"/>
  <c r="F223" i="89"/>
  <c r="G227" i="89"/>
  <c r="H219" i="89"/>
  <c r="E236" i="89"/>
  <c r="D248" i="89"/>
  <c r="G218" i="89"/>
  <c r="F218" i="89"/>
  <c r="H225" i="89"/>
  <c r="D245" i="89"/>
  <c r="H233" i="89"/>
  <c r="E228" i="89"/>
  <c r="V20" i="92"/>
  <c r="U21" i="92"/>
  <c r="G226" i="89"/>
  <c r="H222" i="89"/>
  <c r="G223" i="89"/>
  <c r="H227" i="89"/>
  <c r="E219" i="89"/>
  <c r="D243" i="89"/>
  <c r="E231" i="89"/>
  <c r="E224" i="89"/>
  <c r="H218" i="89"/>
  <c r="D249" i="89"/>
  <c r="H237" i="89"/>
  <c r="D255" i="89" l="1"/>
  <c r="D258" i="89"/>
  <c r="E232" i="89"/>
  <c r="F230" i="89"/>
  <c r="E237" i="89"/>
  <c r="D261" i="89"/>
  <c r="F231" i="89"/>
  <c r="E233" i="89"/>
  <c r="D257" i="89"/>
  <c r="G236" i="89"/>
  <c r="F236" i="89"/>
  <c r="D264" i="89"/>
  <c r="L89" i="89"/>
  <c r="N85" i="89"/>
  <c r="E234" i="89"/>
  <c r="H235" i="89"/>
  <c r="G238" i="89"/>
  <c r="F238" i="89"/>
  <c r="G232" i="89"/>
  <c r="F232" i="89"/>
  <c r="H241" i="89"/>
  <c r="H230" i="89"/>
  <c r="G239" i="89"/>
  <c r="E238" i="89"/>
  <c r="G241" i="89"/>
  <c r="F239" i="89"/>
  <c r="F237" i="89"/>
  <c r="G231" i="89"/>
  <c r="U22" i="92"/>
  <c r="V21" i="92"/>
  <c r="F233" i="89"/>
  <c r="H236" i="89"/>
  <c r="E240" i="89"/>
  <c r="G234" i="89"/>
  <c r="F234" i="89"/>
  <c r="E235" i="89"/>
  <c r="D259" i="89"/>
  <c r="H238" i="89"/>
  <c r="L88" i="89"/>
  <c r="N84" i="89"/>
  <c r="H232" i="89"/>
  <c r="E241" i="89"/>
  <c r="D265" i="89"/>
  <c r="D254" i="89"/>
  <c r="G242" i="89"/>
  <c r="L87" i="89"/>
  <c r="N83" i="89"/>
  <c r="H239" i="89"/>
  <c r="G230" i="89"/>
  <c r="G237" i="89"/>
  <c r="H231" i="89"/>
  <c r="G233" i="89"/>
  <c r="F248" i="89"/>
  <c r="D260" i="89"/>
  <c r="H248" i="89"/>
  <c r="G248" i="89"/>
  <c r="G240" i="89"/>
  <c r="F240" i="89"/>
  <c r="H234" i="89"/>
  <c r="L86" i="89"/>
  <c r="N82" i="89"/>
  <c r="E243" i="89" s="1"/>
  <c r="F235" i="89"/>
  <c r="F250" i="89"/>
  <c r="E250" i="89"/>
  <c r="D262" i="89"/>
  <c r="H250" i="89"/>
  <c r="G250" i="89"/>
  <c r="F244" i="89"/>
  <c r="E244" i="89"/>
  <c r="D256" i="89"/>
  <c r="H244" i="89"/>
  <c r="G244" i="89"/>
  <c r="F241" i="89"/>
  <c r="E230" i="89"/>
  <c r="D263" i="89"/>
  <c r="H251" i="89"/>
  <c r="G251" i="89"/>
  <c r="F251" i="89"/>
  <c r="E251" i="89"/>
  <c r="L90" i="89" l="1"/>
  <c r="N86" i="89"/>
  <c r="F242" i="89"/>
  <c r="H253" i="89"/>
  <c r="F247" i="89"/>
  <c r="G252" i="89"/>
  <c r="F252" i="89"/>
  <c r="F245" i="89"/>
  <c r="G249" i="89"/>
  <c r="D270" i="89"/>
  <c r="F243" i="89"/>
  <c r="H242" i="89"/>
  <c r="E253" i="89"/>
  <c r="D277" i="89"/>
  <c r="G265" i="89"/>
  <c r="L92" i="89"/>
  <c r="N88" i="89"/>
  <c r="G263" i="89" s="1"/>
  <c r="G247" i="89"/>
  <c r="H252" i="89"/>
  <c r="G245" i="89"/>
  <c r="H249" i="89"/>
  <c r="E246" i="89"/>
  <c r="G243" i="89"/>
  <c r="F256" i="89"/>
  <c r="E256" i="89"/>
  <c r="D268" i="89"/>
  <c r="H256" i="89"/>
  <c r="G256" i="89"/>
  <c r="F260" i="89"/>
  <c r="D272" i="89"/>
  <c r="G260" i="89"/>
  <c r="F254" i="89"/>
  <c r="E254" i="89"/>
  <c r="D266" i="89"/>
  <c r="H254" i="89"/>
  <c r="G254" i="89"/>
  <c r="F253" i="89"/>
  <c r="H247" i="89"/>
  <c r="F264" i="89"/>
  <c r="D276" i="89"/>
  <c r="G264" i="89"/>
  <c r="H245" i="89"/>
  <c r="E249" i="89"/>
  <c r="D273" i="89"/>
  <c r="H261" i="89"/>
  <c r="G246" i="89"/>
  <c r="F246" i="89"/>
  <c r="H243" i="89"/>
  <c r="D275" i="89"/>
  <c r="H263" i="89"/>
  <c r="F262" i="89"/>
  <c r="D274" i="89"/>
  <c r="G262" i="89"/>
  <c r="E248" i="89"/>
  <c r="L91" i="89"/>
  <c r="N87" i="89"/>
  <c r="H258" i="89" s="1"/>
  <c r="E242" i="89"/>
  <c r="G253" i="89"/>
  <c r="E247" i="89"/>
  <c r="D271" i="89"/>
  <c r="H259" i="89"/>
  <c r="G259" i="89"/>
  <c r="F259" i="89"/>
  <c r="E259" i="89"/>
  <c r="U23" i="92"/>
  <c r="V22" i="92"/>
  <c r="L93" i="89"/>
  <c r="N89" i="89"/>
  <c r="E252" i="89"/>
  <c r="E245" i="89"/>
  <c r="D269" i="89"/>
  <c r="H257" i="89"/>
  <c r="G257" i="89"/>
  <c r="F257" i="89"/>
  <c r="E257" i="89"/>
  <c r="F249" i="89"/>
  <c r="H246" i="89"/>
  <c r="D267" i="89"/>
  <c r="H255" i="89"/>
  <c r="G255" i="89"/>
  <c r="F255" i="89"/>
  <c r="E255" i="89"/>
  <c r="D283" i="89" l="1"/>
  <c r="H262" i="89"/>
  <c r="E263" i="89"/>
  <c r="D287" i="89"/>
  <c r="E261" i="89"/>
  <c r="D285" i="89"/>
  <c r="H264" i="89"/>
  <c r="D278" i="89"/>
  <c r="H260" i="89"/>
  <c r="L96" i="89"/>
  <c r="N92" i="89"/>
  <c r="H265" i="89"/>
  <c r="E258" i="89"/>
  <c r="D282" i="89"/>
  <c r="D281" i="89"/>
  <c r="L97" i="89"/>
  <c r="N93" i="89"/>
  <c r="L95" i="89"/>
  <c r="N91" i="89"/>
  <c r="D286" i="89"/>
  <c r="F263" i="89"/>
  <c r="F261" i="89"/>
  <c r="D288" i="89"/>
  <c r="D284" i="89"/>
  <c r="E265" i="89"/>
  <c r="D289" i="89"/>
  <c r="G258" i="89"/>
  <c r="F258" i="89"/>
  <c r="V23" i="92"/>
  <c r="U24" i="92"/>
  <c r="D279" i="89"/>
  <c r="E262" i="89"/>
  <c r="G261" i="89"/>
  <c r="E264" i="89"/>
  <c r="E260" i="89"/>
  <c r="D280" i="89"/>
  <c r="F265" i="89"/>
  <c r="L94" i="89"/>
  <c r="N90" i="89"/>
  <c r="E271" i="89" s="1"/>
  <c r="E267" i="89" l="1"/>
  <c r="D291" i="89"/>
  <c r="H272" i="89"/>
  <c r="H274" i="89"/>
  <c r="E268" i="89"/>
  <c r="G268" i="89"/>
  <c r="F268" i="89"/>
  <c r="H267" i="89"/>
  <c r="G277" i="89"/>
  <c r="G272" i="89"/>
  <c r="F272" i="89"/>
  <c r="E276" i="89"/>
  <c r="G274" i="89"/>
  <c r="F274" i="89"/>
  <c r="L101" i="89"/>
  <c r="N97" i="89"/>
  <c r="H269" i="89"/>
  <c r="D294" i="89"/>
  <c r="G266" i="89"/>
  <c r="F266" i="89"/>
  <c r="G273" i="89"/>
  <c r="E275" i="89"/>
  <c r="D299" i="89"/>
  <c r="F271" i="89"/>
  <c r="H277" i="89"/>
  <c r="F276" i="89"/>
  <c r="E269" i="89"/>
  <c r="D293" i="89"/>
  <c r="E270" i="89"/>
  <c r="H266" i="89"/>
  <c r="H273" i="89"/>
  <c r="F275" i="89"/>
  <c r="G271" i="89"/>
  <c r="L98" i="89"/>
  <c r="N94" i="89"/>
  <c r="F279" i="89" s="1"/>
  <c r="F280" i="89"/>
  <c r="E280" i="89"/>
  <c r="D292" i="89"/>
  <c r="H280" i="89"/>
  <c r="G280" i="89"/>
  <c r="F267" i="89"/>
  <c r="V24" i="92"/>
  <c r="U25" i="92"/>
  <c r="E277" i="89"/>
  <c r="D301" i="89"/>
  <c r="D296" i="89"/>
  <c r="H276" i="89"/>
  <c r="D298" i="89"/>
  <c r="L99" i="89"/>
  <c r="N95" i="89"/>
  <c r="E289" i="89" s="1"/>
  <c r="F269" i="89"/>
  <c r="G270" i="89"/>
  <c r="F270" i="89"/>
  <c r="L100" i="89"/>
  <c r="N96" i="89"/>
  <c r="E286" i="89" s="1"/>
  <c r="F278" i="89"/>
  <c r="E278" i="89"/>
  <c r="D290" i="89"/>
  <c r="H278" i="89"/>
  <c r="G278" i="89"/>
  <c r="E273" i="89"/>
  <c r="D297" i="89"/>
  <c r="H285" i="89"/>
  <c r="G285" i="89"/>
  <c r="F285" i="89"/>
  <c r="E285" i="89"/>
  <c r="G275" i="89"/>
  <c r="H271" i="89"/>
  <c r="H268" i="89"/>
  <c r="G276" i="89"/>
  <c r="G267" i="89"/>
  <c r="F277" i="89"/>
  <c r="E272" i="89"/>
  <c r="F288" i="89"/>
  <c r="E288" i="89"/>
  <c r="D300" i="89"/>
  <c r="H288" i="89"/>
  <c r="G288" i="89"/>
  <c r="E274" i="89"/>
  <c r="G269" i="89"/>
  <c r="H270" i="89"/>
  <c r="E266" i="89"/>
  <c r="F273" i="89"/>
  <c r="H275" i="89"/>
  <c r="D295" i="89"/>
  <c r="H283" i="89"/>
  <c r="G283" i="89"/>
  <c r="F283" i="89"/>
  <c r="E283" i="89"/>
  <c r="D312" i="89" l="1"/>
  <c r="G286" i="89"/>
  <c r="F286" i="89"/>
  <c r="D308" i="89"/>
  <c r="F289" i="89"/>
  <c r="E281" i="89"/>
  <c r="D305" i="89"/>
  <c r="H287" i="89"/>
  <c r="D306" i="89"/>
  <c r="G279" i="89"/>
  <c r="D307" i="89"/>
  <c r="H286" i="89"/>
  <c r="E284" i="89"/>
  <c r="G289" i="89"/>
  <c r="U26" i="92"/>
  <c r="V25" i="92"/>
  <c r="F281" i="89"/>
  <c r="E287" i="89"/>
  <c r="D311" i="89"/>
  <c r="E282" i="89"/>
  <c r="L105" i="89"/>
  <c r="N101" i="89"/>
  <c r="H279" i="89"/>
  <c r="D309" i="89"/>
  <c r="D302" i="89"/>
  <c r="H290" i="89"/>
  <c r="G290" i="89"/>
  <c r="L104" i="89"/>
  <c r="N100" i="89"/>
  <c r="F298" i="89"/>
  <c r="D310" i="89"/>
  <c r="G298" i="89"/>
  <c r="G284" i="89"/>
  <c r="F284" i="89"/>
  <c r="H289" i="89"/>
  <c r="F292" i="89"/>
  <c r="E292" i="89"/>
  <c r="D304" i="89"/>
  <c r="G292" i="89"/>
  <c r="L102" i="89"/>
  <c r="N98" i="89"/>
  <c r="F300" i="89" s="1"/>
  <c r="G281" i="89"/>
  <c r="F287" i="89"/>
  <c r="G282" i="89"/>
  <c r="F282" i="89"/>
  <c r="E279" i="89"/>
  <c r="D303" i="89"/>
  <c r="H291" i="89"/>
  <c r="G291" i="89"/>
  <c r="F291" i="89"/>
  <c r="E291" i="89"/>
  <c r="L103" i="89"/>
  <c r="N99" i="89"/>
  <c r="E298" i="89" s="1"/>
  <c r="H284" i="89"/>
  <c r="D313" i="89"/>
  <c r="H301" i="89"/>
  <c r="G301" i="89"/>
  <c r="F301" i="89"/>
  <c r="E301" i="89"/>
  <c r="H281" i="89"/>
  <c r="G287" i="89"/>
  <c r="H282" i="89"/>
  <c r="D325" i="89" l="1"/>
  <c r="D315" i="89"/>
  <c r="E297" i="89"/>
  <c r="D321" i="89"/>
  <c r="H299" i="89"/>
  <c r="H295" i="89"/>
  <c r="H294" i="89"/>
  <c r="H293" i="89"/>
  <c r="G296" i="89"/>
  <c r="F296" i="89"/>
  <c r="H300" i="89"/>
  <c r="H292" i="89"/>
  <c r="H298" i="89"/>
  <c r="D314" i="89"/>
  <c r="F297" i="89"/>
  <c r="E299" i="89"/>
  <c r="D323" i="89"/>
  <c r="U27" i="92"/>
  <c r="V26" i="92"/>
  <c r="E295" i="89"/>
  <c r="D319" i="89"/>
  <c r="D318" i="89"/>
  <c r="E293" i="89"/>
  <c r="D317" i="89"/>
  <c r="H296" i="89"/>
  <c r="D324" i="89"/>
  <c r="D316" i="89"/>
  <c r="D322" i="89"/>
  <c r="L108" i="89"/>
  <c r="N104" i="89"/>
  <c r="E290" i="89"/>
  <c r="G297" i="89"/>
  <c r="F299" i="89"/>
  <c r="F295" i="89"/>
  <c r="E294" i="89"/>
  <c r="F293" i="89"/>
  <c r="D320" i="89"/>
  <c r="E300" i="89"/>
  <c r="L107" i="89"/>
  <c r="N103" i="89"/>
  <c r="L106" i="89"/>
  <c r="N102" i="89"/>
  <c r="E313" i="89" s="1"/>
  <c r="F290" i="89"/>
  <c r="H297" i="89"/>
  <c r="L109" i="89"/>
  <c r="N105" i="89"/>
  <c r="G299" i="89"/>
  <c r="G295" i="89"/>
  <c r="G294" i="89"/>
  <c r="F294" i="89"/>
  <c r="G293" i="89"/>
  <c r="E296" i="89"/>
  <c r="G300" i="89"/>
  <c r="H308" i="89" l="1"/>
  <c r="G310" i="89"/>
  <c r="D334" i="89"/>
  <c r="E304" i="89"/>
  <c r="E312" i="89"/>
  <c r="E305" i="89"/>
  <c r="D329" i="89"/>
  <c r="D330" i="89"/>
  <c r="F307" i="89"/>
  <c r="F311" i="89"/>
  <c r="D326" i="89"/>
  <c r="E309" i="89"/>
  <c r="H309" i="89"/>
  <c r="G303" i="89"/>
  <c r="F313" i="89"/>
  <c r="L111" i="89"/>
  <c r="N107" i="89"/>
  <c r="D332" i="89"/>
  <c r="H310" i="89"/>
  <c r="G304" i="89"/>
  <c r="F304" i="89"/>
  <c r="F312" i="89"/>
  <c r="F305" i="89"/>
  <c r="E306" i="89"/>
  <c r="G307" i="89"/>
  <c r="G311" i="89"/>
  <c r="E302" i="89"/>
  <c r="F309" i="89"/>
  <c r="H303" i="89"/>
  <c r="G313" i="89"/>
  <c r="E308" i="89"/>
  <c r="H304" i="89"/>
  <c r="G305" i="89"/>
  <c r="G306" i="89"/>
  <c r="F306" i="89"/>
  <c r="H307" i="89"/>
  <c r="V27" i="92"/>
  <c r="U28" i="92"/>
  <c r="H311" i="89"/>
  <c r="G302" i="89"/>
  <c r="F302" i="89"/>
  <c r="G309" i="89"/>
  <c r="E303" i="89"/>
  <c r="D327" i="89"/>
  <c r="H315" i="89"/>
  <c r="F315" i="89"/>
  <c r="H313" i="89"/>
  <c r="E310" i="89"/>
  <c r="G312" i="89"/>
  <c r="D336" i="89"/>
  <c r="H324" i="89"/>
  <c r="G324" i="89"/>
  <c r="L113" i="89"/>
  <c r="N109" i="89"/>
  <c r="F324" i="89" s="1"/>
  <c r="L110" i="89"/>
  <c r="N106" i="89"/>
  <c r="F322" i="89" s="1"/>
  <c r="G308" i="89"/>
  <c r="F308" i="89"/>
  <c r="L112" i="89"/>
  <c r="N108" i="89"/>
  <c r="F310" i="89"/>
  <c r="D328" i="89"/>
  <c r="F316" i="89"/>
  <c r="E316" i="89"/>
  <c r="H316" i="89"/>
  <c r="G316" i="89"/>
  <c r="H312" i="89"/>
  <c r="H305" i="89"/>
  <c r="H306" i="89"/>
  <c r="E307" i="89"/>
  <c r="D331" i="89"/>
  <c r="H319" i="89"/>
  <c r="G319" i="89"/>
  <c r="F319" i="89"/>
  <c r="E319" i="89"/>
  <c r="E311" i="89"/>
  <c r="F323" i="89"/>
  <c r="D335" i="89"/>
  <c r="H323" i="89"/>
  <c r="G323" i="89"/>
  <c r="E323" i="89"/>
  <c r="H302" i="89"/>
  <c r="F321" i="89"/>
  <c r="D333" i="89"/>
  <c r="H321" i="89"/>
  <c r="E321" i="89"/>
  <c r="G321" i="89"/>
  <c r="F303" i="89"/>
  <c r="F325" i="89"/>
  <c r="D337" i="89"/>
  <c r="H325" i="89"/>
  <c r="E325" i="89"/>
  <c r="G325" i="89"/>
  <c r="D345" i="89" l="1"/>
  <c r="E324" i="89"/>
  <c r="D348" i="89"/>
  <c r="E315" i="89"/>
  <c r="D339" i="89"/>
  <c r="F320" i="89"/>
  <c r="L115" i="89"/>
  <c r="N111" i="89"/>
  <c r="F314" i="89"/>
  <c r="G318" i="89"/>
  <c r="D342" i="89"/>
  <c r="H317" i="89"/>
  <c r="H322" i="89"/>
  <c r="D343" i="89"/>
  <c r="G331" i="89"/>
  <c r="L116" i="89"/>
  <c r="N112" i="89"/>
  <c r="L114" i="89"/>
  <c r="N110" i="89"/>
  <c r="F333" i="89" s="1"/>
  <c r="H320" i="89"/>
  <c r="G314" i="89"/>
  <c r="D338" i="89"/>
  <c r="H326" i="89"/>
  <c r="G326" i="89"/>
  <c r="E326" i="89"/>
  <c r="H318" i="89"/>
  <c r="E317" i="89"/>
  <c r="F329" i="89"/>
  <c r="D341" i="89"/>
  <c r="H329" i="89"/>
  <c r="E329" i="89"/>
  <c r="G329" i="89"/>
  <c r="E322" i="89"/>
  <c r="D346" i="89"/>
  <c r="H334" i="89"/>
  <c r="F334" i="89"/>
  <c r="G334" i="89"/>
  <c r="E334" i="89"/>
  <c r="D349" i="89"/>
  <c r="D347" i="89"/>
  <c r="D340" i="89"/>
  <c r="H328" i="89"/>
  <c r="F328" i="89"/>
  <c r="G328" i="89"/>
  <c r="E328" i="89"/>
  <c r="G315" i="89"/>
  <c r="V28" i="92"/>
  <c r="U29" i="92"/>
  <c r="G320" i="89"/>
  <c r="D344" i="89"/>
  <c r="H332" i="89"/>
  <c r="F332" i="89"/>
  <c r="G332" i="89"/>
  <c r="E332" i="89"/>
  <c r="H314" i="89"/>
  <c r="E318" i="89"/>
  <c r="F317" i="89"/>
  <c r="G322" i="89"/>
  <c r="L117" i="89"/>
  <c r="N113" i="89"/>
  <c r="H337" i="89" s="1"/>
  <c r="E320" i="89"/>
  <c r="E314" i="89"/>
  <c r="F318" i="89"/>
  <c r="G317" i="89"/>
  <c r="U30" i="92" l="1"/>
  <c r="V29" i="92"/>
  <c r="E335" i="89"/>
  <c r="F335" i="89"/>
  <c r="D361" i="89"/>
  <c r="H331" i="89"/>
  <c r="H330" i="89"/>
  <c r="G327" i="89"/>
  <c r="H336" i="89"/>
  <c r="E333" i="89"/>
  <c r="N117" i="89"/>
  <c r="L121" i="89"/>
  <c r="G335" i="89"/>
  <c r="G337" i="89"/>
  <c r="F337" i="89"/>
  <c r="F326" i="89"/>
  <c r="L120" i="89"/>
  <c r="N116" i="89"/>
  <c r="D355" i="89"/>
  <c r="E330" i="89"/>
  <c r="D354" i="89"/>
  <c r="L119" i="89"/>
  <c r="N115" i="89"/>
  <c r="H327" i="89"/>
  <c r="E336" i="89"/>
  <c r="D360" i="89"/>
  <c r="H333" i="89"/>
  <c r="D356" i="89"/>
  <c r="H335" i="89"/>
  <c r="E337" i="89"/>
  <c r="D358" i="89"/>
  <c r="E331" i="89"/>
  <c r="F331" i="89"/>
  <c r="G330" i="89"/>
  <c r="D351" i="89"/>
  <c r="G336" i="89"/>
  <c r="D357" i="89"/>
  <c r="D352" i="89"/>
  <c r="D359" i="89"/>
  <c r="D353" i="89"/>
  <c r="D350" i="89"/>
  <c r="F338" i="89"/>
  <c r="L118" i="89"/>
  <c r="N114" i="89"/>
  <c r="F349" i="89" s="1"/>
  <c r="F330" i="89"/>
  <c r="E327" i="89"/>
  <c r="F327" i="89"/>
  <c r="F336" i="89"/>
  <c r="G333" i="89"/>
  <c r="G338" i="89" l="1"/>
  <c r="G341" i="89"/>
  <c r="F341" i="89"/>
  <c r="D371" i="89"/>
  <c r="F340" i="89"/>
  <c r="E345" i="89"/>
  <c r="D363" i="89"/>
  <c r="H346" i="89"/>
  <c r="E344" i="89"/>
  <c r="D368" i="89"/>
  <c r="F348" i="89"/>
  <c r="G342" i="89"/>
  <c r="D367" i="89"/>
  <c r="N121" i="89"/>
  <c r="L125" i="89"/>
  <c r="E349" i="89"/>
  <c r="E341" i="89"/>
  <c r="E347" i="89"/>
  <c r="F347" i="89"/>
  <c r="H340" i="89"/>
  <c r="H345" i="89"/>
  <c r="E339" i="89"/>
  <c r="F339" i="89"/>
  <c r="E346" i="89"/>
  <c r="D370" i="89"/>
  <c r="G344" i="89"/>
  <c r="H348" i="89"/>
  <c r="F342" i="89"/>
  <c r="E343" i="89"/>
  <c r="F343" i="89"/>
  <c r="H349" i="89"/>
  <c r="N118" i="89"/>
  <c r="H351" i="89" s="1"/>
  <c r="L122" i="89"/>
  <c r="H338" i="89"/>
  <c r="H341" i="89"/>
  <c r="G347" i="89"/>
  <c r="E340" i="89"/>
  <c r="D364" i="89"/>
  <c r="H352" i="89"/>
  <c r="F352" i="89"/>
  <c r="G352" i="89"/>
  <c r="E352" i="89"/>
  <c r="D369" i="89"/>
  <c r="G339" i="89"/>
  <c r="G346" i="89"/>
  <c r="F344" i="89"/>
  <c r="E348" i="89"/>
  <c r="D372" i="89"/>
  <c r="N119" i="89"/>
  <c r="H357" i="89" s="1"/>
  <c r="L123" i="89"/>
  <c r="H342" i="89"/>
  <c r="G343" i="89"/>
  <c r="D373" i="89"/>
  <c r="E338" i="89"/>
  <c r="D362" i="89"/>
  <c r="H350" i="89"/>
  <c r="F350" i="89"/>
  <c r="G350" i="89"/>
  <c r="E350" i="89"/>
  <c r="F353" i="89"/>
  <c r="D365" i="89"/>
  <c r="H353" i="89"/>
  <c r="E353" i="89"/>
  <c r="G353" i="89"/>
  <c r="H347" i="89"/>
  <c r="G340" i="89"/>
  <c r="G345" i="89"/>
  <c r="F345" i="89"/>
  <c r="H339" i="89"/>
  <c r="F346" i="89"/>
  <c r="H344" i="89"/>
  <c r="G348" i="89"/>
  <c r="E342" i="89"/>
  <c r="D366" i="89"/>
  <c r="H354" i="89"/>
  <c r="F354" i="89"/>
  <c r="G354" i="89"/>
  <c r="E354" i="89"/>
  <c r="H343" i="89"/>
  <c r="N120" i="89"/>
  <c r="F361" i="89" s="1"/>
  <c r="L124" i="89"/>
  <c r="G349" i="89"/>
  <c r="U31" i="92"/>
  <c r="V30" i="92"/>
  <c r="E361" i="89" l="1"/>
  <c r="E360" i="89"/>
  <c r="D384" i="89"/>
  <c r="D381" i="89"/>
  <c r="G358" i="89"/>
  <c r="G355" i="89"/>
  <c r="F356" i="89"/>
  <c r="D375" i="89"/>
  <c r="E359" i="89"/>
  <c r="F359" i="89"/>
  <c r="D374" i="89"/>
  <c r="H361" i="89"/>
  <c r="G360" i="89"/>
  <c r="G357" i="89"/>
  <c r="F357" i="89"/>
  <c r="F358" i="89"/>
  <c r="N125" i="89"/>
  <c r="L129" i="89"/>
  <c r="H355" i="89"/>
  <c r="H356" i="89"/>
  <c r="E351" i="89"/>
  <c r="F351" i="89"/>
  <c r="G359" i="89"/>
  <c r="V31" i="92"/>
  <c r="U32" i="92"/>
  <c r="D378" i="89"/>
  <c r="D385" i="89"/>
  <c r="N123" i="89"/>
  <c r="L127" i="89"/>
  <c r="F360" i="89"/>
  <c r="E357" i="89"/>
  <c r="D376" i="89"/>
  <c r="H358" i="89"/>
  <c r="D379" i="89"/>
  <c r="E356" i="89"/>
  <c r="D380" i="89"/>
  <c r="F368" i="89"/>
  <c r="G351" i="89"/>
  <c r="H359" i="89"/>
  <c r="N124" i="89"/>
  <c r="L128" i="89"/>
  <c r="D377" i="89"/>
  <c r="H365" i="89"/>
  <c r="G365" i="89"/>
  <c r="G361" i="89"/>
  <c r="H360" i="89"/>
  <c r="N122" i="89"/>
  <c r="F372" i="89" s="1"/>
  <c r="L126" i="89"/>
  <c r="E358" i="89"/>
  <c r="D382" i="89"/>
  <c r="H370" i="89"/>
  <c r="F370" i="89"/>
  <c r="G370" i="89"/>
  <c r="E370" i="89"/>
  <c r="E355" i="89"/>
  <c r="F355" i="89"/>
  <c r="G356" i="89"/>
  <c r="F371" i="89"/>
  <c r="D383" i="89"/>
  <c r="H371" i="89"/>
  <c r="G371" i="89"/>
  <c r="E371" i="89"/>
  <c r="D395" i="89" l="1"/>
  <c r="E365" i="89"/>
  <c r="N128" i="89"/>
  <c r="L132" i="89"/>
  <c r="E368" i="89"/>
  <c r="D392" i="89"/>
  <c r="H367" i="89"/>
  <c r="E364" i="89"/>
  <c r="D388" i="89"/>
  <c r="D397" i="89"/>
  <c r="F366" i="89"/>
  <c r="H362" i="89"/>
  <c r="E363" i="89"/>
  <c r="F363" i="89"/>
  <c r="G369" i="89"/>
  <c r="F369" i="89"/>
  <c r="H372" i="89"/>
  <c r="D394" i="89"/>
  <c r="G368" i="89"/>
  <c r="D391" i="89"/>
  <c r="G364" i="89"/>
  <c r="G373" i="89"/>
  <c r="F373" i="89"/>
  <c r="H366" i="89"/>
  <c r="E362" i="89"/>
  <c r="D386" i="89"/>
  <c r="G363" i="89"/>
  <c r="E369" i="89"/>
  <c r="E372" i="89"/>
  <c r="D396" i="89"/>
  <c r="D389" i="89"/>
  <c r="E367" i="89"/>
  <c r="F367" i="89"/>
  <c r="F364" i="89"/>
  <c r="E373" i="89"/>
  <c r="E366" i="89"/>
  <c r="D390" i="89"/>
  <c r="N129" i="89"/>
  <c r="L133" i="89"/>
  <c r="G362" i="89"/>
  <c r="H363" i="89"/>
  <c r="H369" i="89"/>
  <c r="G372" i="89"/>
  <c r="N126" i="89"/>
  <c r="F383" i="89" s="1"/>
  <c r="L130" i="89"/>
  <c r="F365" i="89"/>
  <c r="H368" i="89"/>
  <c r="G367" i="89"/>
  <c r="H364" i="89"/>
  <c r="N127" i="89"/>
  <c r="L131" i="89"/>
  <c r="H373" i="89"/>
  <c r="G366" i="89"/>
  <c r="F362" i="89"/>
  <c r="F375" i="89"/>
  <c r="D387" i="89"/>
  <c r="H375" i="89"/>
  <c r="G375" i="89"/>
  <c r="E375" i="89"/>
  <c r="F381" i="89"/>
  <c r="D393" i="89"/>
  <c r="H381" i="89"/>
  <c r="E381" i="89"/>
  <c r="G381" i="89"/>
  <c r="D399" i="89" l="1"/>
  <c r="G378" i="89"/>
  <c r="D401" i="89"/>
  <c r="F384" i="89"/>
  <c r="F374" i="89"/>
  <c r="E379" i="89"/>
  <c r="F379" i="89"/>
  <c r="F382" i="89"/>
  <c r="H385" i="89"/>
  <c r="G376" i="89"/>
  <c r="F380" i="89"/>
  <c r="N132" i="89"/>
  <c r="L136" i="89"/>
  <c r="G383" i="89"/>
  <c r="N131" i="89"/>
  <c r="L135" i="89"/>
  <c r="N133" i="89"/>
  <c r="L137" i="89"/>
  <c r="F378" i="89"/>
  <c r="G377" i="89"/>
  <c r="F377" i="89"/>
  <c r="H384" i="89"/>
  <c r="H374" i="89"/>
  <c r="G379" i="89"/>
  <c r="H382" i="89"/>
  <c r="D409" i="89"/>
  <c r="F376" i="89"/>
  <c r="H380" i="89"/>
  <c r="H383" i="89"/>
  <c r="H378" i="89"/>
  <c r="E377" i="89"/>
  <c r="E384" i="89"/>
  <c r="D408" i="89"/>
  <c r="E374" i="89"/>
  <c r="D398" i="89"/>
  <c r="H379" i="89"/>
  <c r="E382" i="89"/>
  <c r="D406" i="89"/>
  <c r="G385" i="89"/>
  <c r="F385" i="89"/>
  <c r="H376" i="89"/>
  <c r="E380" i="89"/>
  <c r="D404" i="89"/>
  <c r="D407" i="89"/>
  <c r="D405" i="89"/>
  <c r="H393" i="89"/>
  <c r="E393" i="89"/>
  <c r="G393" i="89"/>
  <c r="N130" i="89"/>
  <c r="F387" i="89" s="1"/>
  <c r="L134" i="89"/>
  <c r="E378" i="89"/>
  <c r="D402" i="89"/>
  <c r="H390" i="89"/>
  <c r="F390" i="89"/>
  <c r="G390" i="89"/>
  <c r="E390" i="89"/>
  <c r="H377" i="89"/>
  <c r="G384" i="89"/>
  <c r="G374" i="89"/>
  <c r="F391" i="89"/>
  <c r="D403" i="89"/>
  <c r="H391" i="89"/>
  <c r="G391" i="89"/>
  <c r="E391" i="89"/>
  <c r="G382" i="89"/>
  <c r="E385" i="89"/>
  <c r="E376" i="89"/>
  <c r="D400" i="89"/>
  <c r="H388" i="89"/>
  <c r="F388" i="89"/>
  <c r="G388" i="89"/>
  <c r="E388" i="89"/>
  <c r="G380" i="89"/>
  <c r="E383" i="89"/>
  <c r="E395" i="89" l="1"/>
  <c r="F395" i="89"/>
  <c r="H392" i="89"/>
  <c r="F394" i="89"/>
  <c r="H386" i="89"/>
  <c r="G396" i="89"/>
  <c r="D421" i="89"/>
  <c r="N135" i="89"/>
  <c r="L139" i="89"/>
  <c r="G401" i="89"/>
  <c r="F401" i="89"/>
  <c r="D413" i="89"/>
  <c r="H401" i="89"/>
  <c r="E401" i="89"/>
  <c r="G387" i="89"/>
  <c r="N134" i="89"/>
  <c r="G409" i="89" s="1"/>
  <c r="L138" i="89"/>
  <c r="G395" i="89"/>
  <c r="E392" i="89"/>
  <c r="D416" i="89"/>
  <c r="H394" i="89"/>
  <c r="E386" i="89"/>
  <c r="E398" i="89"/>
  <c r="D410" i="89"/>
  <c r="H398" i="89"/>
  <c r="F398" i="89"/>
  <c r="G398" i="89"/>
  <c r="F396" i="89"/>
  <c r="F397" i="89"/>
  <c r="G389" i="89"/>
  <c r="F389" i="89"/>
  <c r="H387" i="89"/>
  <c r="G403" i="89"/>
  <c r="F403" i="89"/>
  <c r="D415" i="89"/>
  <c r="H403" i="89"/>
  <c r="E403" i="89"/>
  <c r="D417" i="89"/>
  <c r="H395" i="89"/>
  <c r="G392" i="89"/>
  <c r="E394" i="89"/>
  <c r="D418" i="89"/>
  <c r="G386" i="89"/>
  <c r="H396" i="89"/>
  <c r="E397" i="89"/>
  <c r="G397" i="89"/>
  <c r="N137" i="89"/>
  <c r="L141" i="89"/>
  <c r="E389" i="89"/>
  <c r="G399" i="89"/>
  <c r="F399" i="89"/>
  <c r="D411" i="89"/>
  <c r="H399" i="89"/>
  <c r="E399" i="89"/>
  <c r="E400" i="89"/>
  <c r="D412" i="89"/>
  <c r="H400" i="89"/>
  <c r="F400" i="89"/>
  <c r="G400" i="89"/>
  <c r="E402" i="89"/>
  <c r="D414" i="89"/>
  <c r="H402" i="89"/>
  <c r="F402" i="89"/>
  <c r="G402" i="89"/>
  <c r="F393" i="89"/>
  <c r="G407" i="89"/>
  <c r="F407" i="89"/>
  <c r="D419" i="89"/>
  <c r="E407" i="89"/>
  <c r="F392" i="89"/>
  <c r="G394" i="89"/>
  <c r="F386" i="89"/>
  <c r="E396" i="89"/>
  <c r="E408" i="89"/>
  <c r="D420" i="89"/>
  <c r="H408" i="89"/>
  <c r="F408" i="89"/>
  <c r="G408" i="89"/>
  <c r="H397" i="89"/>
  <c r="N136" i="89"/>
  <c r="H405" i="89" s="1"/>
  <c r="L140" i="89"/>
  <c r="H389" i="89"/>
  <c r="E387" i="89"/>
  <c r="N140" i="89" l="1"/>
  <c r="L144" i="89"/>
  <c r="H407" i="89"/>
  <c r="D432" i="89"/>
  <c r="D431" i="89"/>
  <c r="D424" i="89"/>
  <c r="D423" i="89"/>
  <c r="N141" i="89"/>
  <c r="L145" i="89"/>
  <c r="H406" i="89"/>
  <c r="D429" i="89"/>
  <c r="D422" i="89"/>
  <c r="G404" i="89"/>
  <c r="E404" i="89"/>
  <c r="D425" i="89"/>
  <c r="F409" i="89"/>
  <c r="D430" i="89"/>
  <c r="F405" i="89"/>
  <c r="D427" i="89"/>
  <c r="F404" i="89"/>
  <c r="E409" i="89"/>
  <c r="G406" i="89"/>
  <c r="E406" i="89"/>
  <c r="E405" i="89"/>
  <c r="G405" i="89"/>
  <c r="H404" i="89"/>
  <c r="H409" i="89"/>
  <c r="D426" i="89"/>
  <c r="F406" i="89"/>
  <c r="D428" i="89"/>
  <c r="N138" i="89"/>
  <c r="G419" i="89" s="1"/>
  <c r="L142" i="89"/>
  <c r="N139" i="89"/>
  <c r="L143" i="89"/>
  <c r="G421" i="89"/>
  <c r="F421" i="89"/>
  <c r="D433" i="89"/>
  <c r="H421" i="89"/>
  <c r="N142" i="89" l="1"/>
  <c r="L146" i="89"/>
  <c r="H416" i="89"/>
  <c r="F414" i="89"/>
  <c r="E414" i="89"/>
  <c r="F415" i="89"/>
  <c r="G418" i="89"/>
  <c r="F413" i="89"/>
  <c r="G410" i="89"/>
  <c r="E410" i="89"/>
  <c r="F417" i="89"/>
  <c r="F411" i="89"/>
  <c r="H412" i="89"/>
  <c r="D443" i="89"/>
  <c r="F420" i="89"/>
  <c r="E420" i="89"/>
  <c r="D440" i="89"/>
  <c r="G414" i="89"/>
  <c r="H415" i="89"/>
  <c r="G415" i="89"/>
  <c r="H418" i="89"/>
  <c r="H413" i="89"/>
  <c r="G413" i="89"/>
  <c r="F410" i="89"/>
  <c r="H417" i="89"/>
  <c r="G417" i="89"/>
  <c r="E411" i="89"/>
  <c r="G411" i="89"/>
  <c r="E424" i="89"/>
  <c r="D436" i="89"/>
  <c r="H424" i="89"/>
  <c r="G424" i="89"/>
  <c r="F424" i="89"/>
  <c r="E419" i="89"/>
  <c r="G420" i="89"/>
  <c r="D445" i="89"/>
  <c r="N143" i="89"/>
  <c r="E428" i="89" s="1"/>
  <c r="L147" i="89"/>
  <c r="F416" i="89"/>
  <c r="E416" i="89"/>
  <c r="H414" i="89"/>
  <c r="G427" i="89"/>
  <c r="F427" i="89"/>
  <c r="E427" i="89"/>
  <c r="D439" i="89"/>
  <c r="H427" i="89"/>
  <c r="D442" i="89"/>
  <c r="G425" i="89"/>
  <c r="F425" i="89"/>
  <c r="E425" i="89"/>
  <c r="D437" i="89"/>
  <c r="H425" i="89"/>
  <c r="H410" i="89"/>
  <c r="D441" i="89"/>
  <c r="H411" i="89"/>
  <c r="F412" i="89"/>
  <c r="E412" i="89"/>
  <c r="F419" i="89"/>
  <c r="H420" i="89"/>
  <c r="N144" i="89"/>
  <c r="H430" i="89" s="1"/>
  <c r="L148" i="89"/>
  <c r="E421" i="89"/>
  <c r="G416" i="89"/>
  <c r="E426" i="89"/>
  <c r="D438" i="89"/>
  <c r="H426" i="89"/>
  <c r="G426" i="89"/>
  <c r="F426" i="89"/>
  <c r="E415" i="89"/>
  <c r="F418" i="89"/>
  <c r="E418" i="89"/>
  <c r="E413" i="89"/>
  <c r="E422" i="89"/>
  <c r="D434" i="89"/>
  <c r="H422" i="89"/>
  <c r="G422" i="89"/>
  <c r="F422" i="89"/>
  <c r="E417" i="89"/>
  <c r="N145" i="89"/>
  <c r="L149" i="89"/>
  <c r="G423" i="89"/>
  <c r="F423" i="89"/>
  <c r="E423" i="89"/>
  <c r="D435" i="89"/>
  <c r="H423" i="89"/>
  <c r="G412" i="89"/>
  <c r="H419" i="89"/>
  <c r="E432" i="89"/>
  <c r="D444" i="89"/>
  <c r="H432" i="89"/>
  <c r="G432" i="89"/>
  <c r="F432" i="89"/>
  <c r="D447" i="89" l="1"/>
  <c r="N149" i="89"/>
  <c r="L153" i="89"/>
  <c r="E429" i="89"/>
  <c r="D454" i="89"/>
  <c r="H433" i="89"/>
  <c r="G433" i="89"/>
  <c r="G428" i="89"/>
  <c r="E431" i="89"/>
  <c r="F429" i="89"/>
  <c r="D449" i="89"/>
  <c r="F430" i="89"/>
  <c r="E430" i="89"/>
  <c r="D457" i="89"/>
  <c r="H428" i="89"/>
  <c r="F431" i="89"/>
  <c r="D446" i="89"/>
  <c r="H429" i="89"/>
  <c r="G429" i="89"/>
  <c r="G430" i="89"/>
  <c r="N147" i="89"/>
  <c r="L151" i="89"/>
  <c r="E433" i="89"/>
  <c r="D448" i="89"/>
  <c r="D452" i="89"/>
  <c r="H431" i="89"/>
  <c r="G431" i="89"/>
  <c r="N146" i="89"/>
  <c r="G435" i="89" s="1"/>
  <c r="L150" i="89"/>
  <c r="D456" i="89"/>
  <c r="E438" i="89"/>
  <c r="D450" i="89"/>
  <c r="H438" i="89"/>
  <c r="F438" i="89"/>
  <c r="N148" i="89"/>
  <c r="G444" i="89" s="1"/>
  <c r="L152" i="89"/>
  <c r="F441" i="89"/>
  <c r="E441" i="89"/>
  <c r="D453" i="89"/>
  <c r="H441" i="89"/>
  <c r="G439" i="89"/>
  <c r="F439" i="89"/>
  <c r="E439" i="89"/>
  <c r="D451" i="89"/>
  <c r="H439" i="89"/>
  <c r="F433" i="89"/>
  <c r="F428" i="89"/>
  <c r="G443" i="89"/>
  <c r="F443" i="89"/>
  <c r="E443" i="89"/>
  <c r="D455" i="89"/>
  <c r="H443" i="89"/>
  <c r="D462" i="89" l="1"/>
  <c r="H444" i="89"/>
  <c r="G440" i="89"/>
  <c r="F436" i="89"/>
  <c r="E436" i="89"/>
  <c r="G434" i="89"/>
  <c r="E445" i="89"/>
  <c r="F437" i="89"/>
  <c r="G442" i="89"/>
  <c r="D459" i="89"/>
  <c r="D468" i="89"/>
  <c r="H440" i="89"/>
  <c r="G436" i="89"/>
  <c r="H434" i="89"/>
  <c r="F445" i="89"/>
  <c r="H437" i="89"/>
  <c r="G437" i="89"/>
  <c r="H442" i="89"/>
  <c r="N153" i="89"/>
  <c r="L157" i="89"/>
  <c r="E435" i="89"/>
  <c r="D463" i="89"/>
  <c r="G441" i="89"/>
  <c r="G438" i="89"/>
  <c r="F444" i="89"/>
  <c r="E444" i="89"/>
  <c r="D464" i="89"/>
  <c r="H436" i="89"/>
  <c r="N151" i="89"/>
  <c r="L155" i="89"/>
  <c r="D458" i="89"/>
  <c r="H445" i="89"/>
  <c r="G445" i="89"/>
  <c r="D461" i="89"/>
  <c r="D466" i="89"/>
  <c r="F435" i="89"/>
  <c r="D467" i="89"/>
  <c r="D465" i="89"/>
  <c r="N152" i="89"/>
  <c r="F455" i="89" s="1"/>
  <c r="L156" i="89"/>
  <c r="N150" i="89"/>
  <c r="E450" i="89" s="1"/>
  <c r="L154" i="89"/>
  <c r="F440" i="89"/>
  <c r="E440" i="89"/>
  <c r="E448" i="89"/>
  <c r="D460" i="89"/>
  <c r="H448" i="89"/>
  <c r="G448" i="89"/>
  <c r="F448" i="89"/>
  <c r="F434" i="89"/>
  <c r="E434" i="89"/>
  <c r="F457" i="89"/>
  <c r="E457" i="89"/>
  <c r="D469" i="89"/>
  <c r="E437" i="89"/>
  <c r="F442" i="89"/>
  <c r="E442" i="89"/>
  <c r="H435" i="89"/>
  <c r="D481" i="89" l="1"/>
  <c r="H457" i="89"/>
  <c r="G457" i="89"/>
  <c r="N156" i="89"/>
  <c r="L160" i="89"/>
  <c r="E453" i="89"/>
  <c r="D479" i="89"/>
  <c r="D478" i="89"/>
  <c r="E449" i="89"/>
  <c r="D470" i="89"/>
  <c r="D476" i="89"/>
  <c r="E451" i="89"/>
  <c r="N157" i="89"/>
  <c r="L161" i="89"/>
  <c r="D480" i="89"/>
  <c r="E447" i="89"/>
  <c r="G450" i="89"/>
  <c r="F453" i="89"/>
  <c r="E455" i="89"/>
  <c r="F454" i="89"/>
  <c r="E454" i="89"/>
  <c r="F449" i="89"/>
  <c r="F446" i="89"/>
  <c r="E446" i="89"/>
  <c r="F452" i="89"/>
  <c r="E452" i="89"/>
  <c r="F451" i="89"/>
  <c r="F456" i="89"/>
  <c r="E456" i="89"/>
  <c r="F447" i="89"/>
  <c r="H450" i="89"/>
  <c r="D472" i="89"/>
  <c r="H460" i="89"/>
  <c r="G460" i="89"/>
  <c r="F460" i="89"/>
  <c r="N154" i="89"/>
  <c r="G469" i="89" s="1"/>
  <c r="L158" i="89"/>
  <c r="H453" i="89"/>
  <c r="G453" i="89"/>
  <c r="G454" i="89"/>
  <c r="H449" i="89"/>
  <c r="G449" i="89"/>
  <c r="G446" i="89"/>
  <c r="N155" i="89"/>
  <c r="L159" i="89"/>
  <c r="G452" i="89"/>
  <c r="H451" i="89"/>
  <c r="G451" i="89"/>
  <c r="G456" i="89"/>
  <c r="H447" i="89"/>
  <c r="G447" i="89"/>
  <c r="E462" i="89"/>
  <c r="D474" i="89"/>
  <c r="H462" i="89"/>
  <c r="G462" i="89"/>
  <c r="F462" i="89"/>
  <c r="G465" i="89"/>
  <c r="F465" i="89"/>
  <c r="E465" i="89"/>
  <c r="D477" i="89"/>
  <c r="H465" i="89"/>
  <c r="H455" i="89"/>
  <c r="G455" i="89"/>
  <c r="H454" i="89"/>
  <c r="G461" i="89"/>
  <c r="F461" i="89"/>
  <c r="E461" i="89"/>
  <c r="D473" i="89"/>
  <c r="H461" i="89"/>
  <c r="H446" i="89"/>
  <c r="H452" i="89"/>
  <c r="G463" i="89"/>
  <c r="F463" i="89"/>
  <c r="E463" i="89"/>
  <c r="D475" i="89"/>
  <c r="H463" i="89"/>
  <c r="H456" i="89"/>
  <c r="G459" i="89"/>
  <c r="F459" i="89"/>
  <c r="E459" i="89"/>
  <c r="D471" i="89"/>
  <c r="H459" i="89"/>
  <c r="F450" i="89"/>
  <c r="D487" i="89" l="1"/>
  <c r="E460" i="89"/>
  <c r="D492" i="89"/>
  <c r="D488" i="89"/>
  <c r="H458" i="89"/>
  <c r="F466" i="89"/>
  <c r="E466" i="89"/>
  <c r="F467" i="89"/>
  <c r="D493" i="89"/>
  <c r="F468" i="89"/>
  <c r="E468" i="89"/>
  <c r="F464" i="89"/>
  <c r="E464" i="89"/>
  <c r="D482" i="89"/>
  <c r="G466" i="89"/>
  <c r="H467" i="89"/>
  <c r="G467" i="89"/>
  <c r="E469" i="89"/>
  <c r="D483" i="89"/>
  <c r="D486" i="89"/>
  <c r="N159" i="89"/>
  <c r="L163" i="89"/>
  <c r="N158" i="89"/>
  <c r="G475" i="89" s="1"/>
  <c r="L162" i="89"/>
  <c r="G468" i="89"/>
  <c r="N161" i="89"/>
  <c r="L165" i="89"/>
  <c r="G464" i="89"/>
  <c r="F458" i="89"/>
  <c r="E458" i="89"/>
  <c r="H466" i="89"/>
  <c r="D491" i="89"/>
  <c r="F469" i="89"/>
  <c r="G473" i="89"/>
  <c r="F473" i="89"/>
  <c r="E473" i="89"/>
  <c r="D485" i="89"/>
  <c r="H473" i="89"/>
  <c r="D489" i="89"/>
  <c r="E472" i="89"/>
  <c r="D484" i="89"/>
  <c r="H472" i="89"/>
  <c r="G472" i="89"/>
  <c r="F472" i="89"/>
  <c r="H468" i="89"/>
  <c r="H464" i="89"/>
  <c r="G458" i="89"/>
  <c r="E478" i="89"/>
  <c r="D490" i="89"/>
  <c r="H478" i="89"/>
  <c r="G478" i="89"/>
  <c r="F478" i="89"/>
  <c r="E467" i="89"/>
  <c r="N160" i="89"/>
  <c r="F479" i="89" s="1"/>
  <c r="L164" i="89"/>
  <c r="H469" i="89"/>
  <c r="F477" i="89" l="1"/>
  <c r="H479" i="89"/>
  <c r="G479" i="89"/>
  <c r="N162" i="89"/>
  <c r="L166" i="89"/>
  <c r="F474" i="89"/>
  <c r="E474" i="89"/>
  <c r="F471" i="89"/>
  <c r="H470" i="89"/>
  <c r="D505" i="89"/>
  <c r="F476" i="89"/>
  <c r="E476" i="89"/>
  <c r="D504" i="89"/>
  <c r="D499" i="89"/>
  <c r="H477" i="89"/>
  <c r="G477" i="89"/>
  <c r="D503" i="89"/>
  <c r="L169" i="89"/>
  <c r="N165" i="89"/>
  <c r="G474" i="89"/>
  <c r="H471" i="89"/>
  <c r="G471" i="89"/>
  <c r="D494" i="89"/>
  <c r="E482" i="89"/>
  <c r="H482" i="89"/>
  <c r="G482" i="89"/>
  <c r="F482" i="89"/>
  <c r="E481" i="89"/>
  <c r="G476" i="89"/>
  <c r="F480" i="89"/>
  <c r="E480" i="89"/>
  <c r="E475" i="89"/>
  <c r="D501" i="89"/>
  <c r="E479" i="89"/>
  <c r="N163" i="89"/>
  <c r="E492" i="89" s="1"/>
  <c r="L167" i="89"/>
  <c r="H474" i="89"/>
  <c r="G483" i="89"/>
  <c r="D495" i="89"/>
  <c r="F483" i="89"/>
  <c r="E483" i="89"/>
  <c r="H483" i="89"/>
  <c r="F470" i="89"/>
  <c r="E470" i="89"/>
  <c r="F481" i="89"/>
  <c r="H476" i="89"/>
  <c r="G480" i="89"/>
  <c r="F475" i="89"/>
  <c r="L168" i="89"/>
  <c r="N164" i="89"/>
  <c r="G489" i="89" s="1"/>
  <c r="D502" i="89"/>
  <c r="E490" i="89"/>
  <c r="H490" i="89"/>
  <c r="G490" i="89"/>
  <c r="E484" i="89"/>
  <c r="H484" i="89"/>
  <c r="D496" i="89"/>
  <c r="G484" i="89"/>
  <c r="F484" i="89"/>
  <c r="E477" i="89"/>
  <c r="G485" i="89"/>
  <c r="F485" i="89"/>
  <c r="E485" i="89"/>
  <c r="D497" i="89"/>
  <c r="H485" i="89"/>
  <c r="D498" i="89"/>
  <c r="E486" i="89"/>
  <c r="H486" i="89"/>
  <c r="G486" i="89"/>
  <c r="F486" i="89"/>
  <c r="E471" i="89"/>
  <c r="G470" i="89"/>
  <c r="H481" i="89"/>
  <c r="G481" i="89"/>
  <c r="E488" i="89"/>
  <c r="H488" i="89"/>
  <c r="D500" i="89"/>
  <c r="G488" i="89"/>
  <c r="F488" i="89"/>
  <c r="H480" i="89"/>
  <c r="H475" i="89"/>
  <c r="N167" i="89" l="1"/>
  <c r="L171" i="89"/>
  <c r="N171" i="89" s="1"/>
  <c r="D513" i="89"/>
  <c r="E491" i="89"/>
  <c r="F487" i="89"/>
  <c r="G492" i="89"/>
  <c r="E493" i="89"/>
  <c r="D510" i="89"/>
  <c r="F490" i="89"/>
  <c r="D514" i="89"/>
  <c r="D507" i="89"/>
  <c r="E489" i="89"/>
  <c r="D506" i="89"/>
  <c r="F491" i="89"/>
  <c r="D511" i="89"/>
  <c r="D516" i="89"/>
  <c r="F493" i="89"/>
  <c r="D512" i="89"/>
  <c r="E496" i="89"/>
  <c r="D508" i="89"/>
  <c r="G496" i="89"/>
  <c r="F489" i="89"/>
  <c r="L173" i="89"/>
  <c r="N173" i="89" s="1"/>
  <c r="N169" i="89"/>
  <c r="D515" i="89"/>
  <c r="H487" i="89"/>
  <c r="G487" i="89"/>
  <c r="H492" i="89"/>
  <c r="H493" i="89"/>
  <c r="G493" i="89"/>
  <c r="E497" i="89"/>
  <c r="D509" i="89"/>
  <c r="F497" i="89"/>
  <c r="G497" i="89"/>
  <c r="H497" i="89"/>
  <c r="L172" i="89"/>
  <c r="N172" i="89" s="1"/>
  <c r="N168" i="89"/>
  <c r="G503" i="89" s="1"/>
  <c r="H489" i="89"/>
  <c r="H491" i="89"/>
  <c r="G491" i="89"/>
  <c r="E487" i="89"/>
  <c r="F492" i="89"/>
  <c r="E505" i="89"/>
  <c r="D517" i="89"/>
  <c r="G505" i="89"/>
  <c r="F505" i="89"/>
  <c r="H505" i="89"/>
  <c r="N166" i="89"/>
  <c r="G501" i="89" s="1"/>
  <c r="L170" i="89"/>
  <c r="N170" i="89" s="1"/>
  <c r="H503" i="89" l="1"/>
  <c r="H496" i="89"/>
  <c r="G512" i="89"/>
  <c r="F512" i="89"/>
  <c r="H512" i="89"/>
  <c r="E512" i="89"/>
  <c r="F504" i="89"/>
  <c r="E504" i="89"/>
  <c r="H499" i="89"/>
  <c r="F494" i="89"/>
  <c r="H495" i="89"/>
  <c r="F502" i="89"/>
  <c r="F498" i="89"/>
  <c r="F510" i="89"/>
  <c r="E510" i="89"/>
  <c r="G510" i="89"/>
  <c r="H510" i="89"/>
  <c r="F513" i="89"/>
  <c r="E513" i="89"/>
  <c r="G513" i="89"/>
  <c r="H513" i="89"/>
  <c r="E503" i="89"/>
  <c r="H500" i="89"/>
  <c r="G504" i="89"/>
  <c r="F499" i="89"/>
  <c r="E499" i="89"/>
  <c r="H494" i="89"/>
  <c r="F495" i="89"/>
  <c r="E495" i="89"/>
  <c r="E502" i="89"/>
  <c r="G498" i="89"/>
  <c r="F501" i="89"/>
  <c r="E501" i="89"/>
  <c r="F503" i="89"/>
  <c r="E517" i="89"/>
  <c r="G517" i="89"/>
  <c r="H517" i="89"/>
  <c r="F517" i="89"/>
  <c r="F509" i="89"/>
  <c r="E509" i="89"/>
  <c r="G509" i="89"/>
  <c r="H509" i="89"/>
  <c r="H515" i="89"/>
  <c r="E515" i="89"/>
  <c r="G515" i="89"/>
  <c r="F515" i="89"/>
  <c r="F496" i="89"/>
  <c r="G500" i="89"/>
  <c r="E500" i="89"/>
  <c r="F516" i="89"/>
  <c r="H516" i="89"/>
  <c r="G516" i="89"/>
  <c r="E516" i="89"/>
  <c r="F511" i="89"/>
  <c r="G511" i="89"/>
  <c r="H511" i="89"/>
  <c r="E511" i="89"/>
  <c r="E494" i="89"/>
  <c r="H507" i="89"/>
  <c r="G507" i="89"/>
  <c r="E507" i="89"/>
  <c r="F507" i="89"/>
  <c r="H502" i="89"/>
  <c r="F514" i="89"/>
  <c r="E514" i="89"/>
  <c r="G514" i="89"/>
  <c r="H514" i="89"/>
  <c r="H498" i="89"/>
  <c r="H501" i="89"/>
  <c r="F508" i="89"/>
  <c r="G508" i="89"/>
  <c r="H508" i="89"/>
  <c r="E508" i="89"/>
  <c r="F500" i="89"/>
  <c r="H504" i="89"/>
  <c r="G499" i="89"/>
  <c r="G494" i="89"/>
  <c r="G506" i="89"/>
  <c r="H506" i="89"/>
  <c r="F506" i="89"/>
  <c r="E506" i="89"/>
  <c r="G495" i="89"/>
  <c r="G502" i="89"/>
  <c r="E498" i="89"/>
  <c r="P13" i="88" l="1"/>
  <c r="Q13" i="88" s="1"/>
  <c r="N13" i="88"/>
  <c r="K13" i="88"/>
  <c r="J13" i="88"/>
  <c r="I13" i="88"/>
  <c r="H13" i="88"/>
  <c r="D13" i="88"/>
  <c r="P12" i="88"/>
  <c r="Q12" i="88" s="1"/>
  <c r="N12" i="88"/>
  <c r="K12" i="88"/>
  <c r="J12" i="88"/>
  <c r="I12" i="88"/>
  <c r="H12" i="88"/>
  <c r="D12" i="88"/>
  <c r="P11" i="88"/>
  <c r="Q11" i="88" s="1"/>
  <c r="N11" i="88"/>
  <c r="K11" i="88"/>
  <c r="J11" i="88"/>
  <c r="I11" i="88"/>
  <c r="H11" i="88"/>
  <c r="D11" i="88"/>
  <c r="P10" i="88"/>
  <c r="Q10" i="88" s="1"/>
  <c r="N10" i="88"/>
  <c r="K10" i="88"/>
  <c r="J10" i="88"/>
  <c r="I10" i="88"/>
  <c r="H10" i="88"/>
  <c r="D10" i="88"/>
  <c r="P9" i="88"/>
  <c r="Q9" i="88" s="1"/>
  <c r="N9" i="88"/>
  <c r="K9" i="88"/>
  <c r="J9" i="88"/>
  <c r="I9" i="88"/>
  <c r="H9" i="88"/>
  <c r="D9" i="88"/>
  <c r="P8" i="88"/>
  <c r="Q8" i="88" s="1"/>
  <c r="N8" i="88"/>
  <c r="K8" i="88"/>
  <c r="J8" i="88"/>
  <c r="I8" i="88"/>
  <c r="H8" i="88"/>
  <c r="D8" i="88"/>
  <c r="P7" i="88"/>
  <c r="Q7" i="88" s="1"/>
  <c r="N7" i="88"/>
  <c r="K7" i="88"/>
  <c r="J7" i="88"/>
  <c r="I7" i="88"/>
  <c r="H7" i="88"/>
  <c r="D7" i="88"/>
  <c r="P6" i="88"/>
  <c r="Q6" i="88" s="1"/>
  <c r="N6" i="88"/>
  <c r="K6" i="88"/>
  <c r="J6" i="88"/>
  <c r="I6" i="88"/>
  <c r="H6" i="88"/>
  <c r="D6" i="88"/>
  <c r="P5" i="88"/>
  <c r="Q5" i="88" s="1"/>
  <c r="N5" i="88"/>
  <c r="K5" i="88"/>
  <c r="J5" i="88"/>
  <c r="I5" i="88"/>
  <c r="H5" i="88"/>
  <c r="D5" i="88"/>
  <c r="P4" i="88"/>
  <c r="Q4" i="88" s="1"/>
  <c r="N4" i="88"/>
  <c r="K4" i="88"/>
  <c r="J4" i="88"/>
  <c r="I4" i="88"/>
  <c r="H4" i="88"/>
  <c r="D4" i="88"/>
  <c r="P3" i="88"/>
  <c r="Q3" i="88" s="1"/>
  <c r="N3" i="88"/>
  <c r="K3" i="88"/>
  <c r="J3" i="88"/>
  <c r="I3" i="88"/>
  <c r="H3" i="88"/>
  <c r="D3" i="88"/>
  <c r="P2" i="88"/>
  <c r="Q2" i="88" s="1"/>
  <c r="N2" i="88"/>
  <c r="K2" i="88"/>
  <c r="J2" i="88"/>
  <c r="I2" i="88"/>
  <c r="H2" i="88"/>
  <c r="D2" i="88"/>
  <c r="M44" i="87"/>
  <c r="M45" i="87" s="1"/>
  <c r="M46" i="87" s="1"/>
  <c r="M47" i="87" s="1"/>
  <c r="M48" i="87" s="1"/>
  <c r="M49" i="87" s="1"/>
  <c r="M50" i="87" s="1"/>
  <c r="D44" i="87"/>
  <c r="D45" i="87" s="1"/>
  <c r="D46" i="87" s="1"/>
  <c r="D47" i="87" s="1"/>
  <c r="D48" i="87" s="1"/>
  <c r="D49" i="87" s="1"/>
  <c r="D50" i="87" s="1"/>
  <c r="N43" i="87"/>
  <c r="N44" i="87" s="1"/>
  <c r="N45" i="87" s="1"/>
  <c r="N46" i="87" s="1"/>
  <c r="N47" i="87" s="1"/>
  <c r="N48" i="87" s="1"/>
  <c r="N49" i="87" s="1"/>
  <c r="N50" i="87" s="1"/>
  <c r="M43" i="87"/>
  <c r="H43" i="87"/>
  <c r="H44" i="87" s="1"/>
  <c r="H45" i="87" s="1"/>
  <c r="H46" i="87" s="1"/>
  <c r="H47" i="87" s="1"/>
  <c r="H48" i="87" s="1"/>
  <c r="H49" i="87" s="1"/>
  <c r="H50" i="87" s="1"/>
  <c r="G43" i="87"/>
  <c r="G44" i="87" s="1"/>
  <c r="G45" i="87" s="1"/>
  <c r="G46" i="87" s="1"/>
  <c r="G47" i="87" s="1"/>
  <c r="G48" i="87" s="1"/>
  <c r="G49" i="87" s="1"/>
  <c r="G50" i="87" s="1"/>
  <c r="F43" i="87"/>
  <c r="I43" i="87" s="1"/>
  <c r="D43" i="87"/>
  <c r="C43" i="87"/>
  <c r="C44" i="87" s="1"/>
  <c r="C45" i="87" s="1"/>
  <c r="C46" i="87" s="1"/>
  <c r="C47" i="87" s="1"/>
  <c r="C48" i="87" s="1"/>
  <c r="C49" i="87" s="1"/>
  <c r="C50" i="87" s="1"/>
  <c r="B43" i="87"/>
  <c r="B44" i="87" s="1"/>
  <c r="B45" i="87" s="1"/>
  <c r="B46" i="87" s="1"/>
  <c r="B47" i="87" s="1"/>
  <c r="B48" i="87" s="1"/>
  <c r="B49" i="87" s="1"/>
  <c r="B50" i="87" s="1"/>
  <c r="I42" i="87"/>
  <c r="K42" i="87" s="1"/>
  <c r="L42" i="87" s="1"/>
  <c r="K41" i="87"/>
  <c r="L41" i="87" s="1"/>
  <c r="J41" i="87"/>
  <c r="I41" i="87"/>
  <c r="L40" i="87"/>
  <c r="P40" i="87" s="1"/>
  <c r="K40" i="87"/>
  <c r="I40" i="87"/>
  <c r="J40" i="87" s="1"/>
  <c r="I39" i="87"/>
  <c r="K39" i="87" s="1"/>
  <c r="L39" i="87" s="1"/>
  <c r="J38" i="87"/>
  <c r="I38" i="87"/>
  <c r="K38" i="87" s="1"/>
  <c r="L38" i="87" s="1"/>
  <c r="K37" i="87"/>
  <c r="L37" i="87" s="1"/>
  <c r="J37" i="87"/>
  <c r="I37" i="87"/>
  <c r="L36" i="87"/>
  <c r="P36" i="87" s="1"/>
  <c r="K36" i="87"/>
  <c r="I36" i="87"/>
  <c r="J36" i="87" s="1"/>
  <c r="I35" i="87"/>
  <c r="P34" i="87"/>
  <c r="J34" i="87"/>
  <c r="I34" i="87"/>
  <c r="K34" i="87" s="1"/>
  <c r="L34" i="87" s="1"/>
  <c r="O34" i="87" s="1"/>
  <c r="K33" i="87"/>
  <c r="L33" i="87" s="1"/>
  <c r="J33" i="87"/>
  <c r="I33" i="87"/>
  <c r="A33" i="87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L32" i="87"/>
  <c r="K32" i="87"/>
  <c r="I32" i="87"/>
  <c r="J32" i="87" s="1"/>
  <c r="L31" i="87"/>
  <c r="K31" i="87"/>
  <c r="I31" i="87"/>
  <c r="J31" i="87" s="1"/>
  <c r="L30" i="87"/>
  <c r="K30" i="87"/>
  <c r="I30" i="87"/>
  <c r="J30" i="87" s="1"/>
  <c r="K29" i="87"/>
  <c r="L29" i="87" s="1"/>
  <c r="I29" i="87"/>
  <c r="I28" i="87"/>
  <c r="I27" i="87"/>
  <c r="K26" i="87"/>
  <c r="L26" i="87" s="1"/>
  <c r="I26" i="87"/>
  <c r="I25" i="87"/>
  <c r="L24" i="87"/>
  <c r="K24" i="87"/>
  <c r="I24" i="87"/>
  <c r="I23" i="87"/>
  <c r="L22" i="87"/>
  <c r="K22" i="87"/>
  <c r="J22" i="87"/>
  <c r="I22" i="87"/>
  <c r="L21" i="87"/>
  <c r="O21" i="87" s="1"/>
  <c r="K21" i="87"/>
  <c r="J21" i="87"/>
  <c r="I21" i="87"/>
  <c r="L20" i="87"/>
  <c r="K20" i="87"/>
  <c r="J20" i="87"/>
  <c r="I20" i="87"/>
  <c r="K19" i="87"/>
  <c r="L19" i="87" s="1"/>
  <c r="O19" i="87" s="1"/>
  <c r="J19" i="87"/>
  <c r="I19" i="87"/>
  <c r="P18" i="87"/>
  <c r="L18" i="87"/>
  <c r="O18" i="87" s="1"/>
  <c r="K18" i="87"/>
  <c r="J18" i="87"/>
  <c r="I18" i="87"/>
  <c r="K17" i="87"/>
  <c r="L17" i="87" s="1"/>
  <c r="J17" i="87"/>
  <c r="I17" i="87"/>
  <c r="L16" i="87"/>
  <c r="K16" i="87"/>
  <c r="J16" i="87"/>
  <c r="I16" i="87"/>
  <c r="K15" i="87"/>
  <c r="L15" i="87" s="1"/>
  <c r="O15" i="87" s="1"/>
  <c r="J15" i="87"/>
  <c r="I15" i="87"/>
  <c r="P14" i="87"/>
  <c r="L14" i="87"/>
  <c r="O14" i="87" s="1"/>
  <c r="K14" i="87"/>
  <c r="J14" i="87"/>
  <c r="I14" i="87"/>
  <c r="K13" i="87"/>
  <c r="L13" i="87" s="1"/>
  <c r="I13" i="87"/>
  <c r="L12" i="87"/>
  <c r="K12" i="87"/>
  <c r="I12" i="87"/>
  <c r="J13" i="87" s="1"/>
  <c r="BE123" i="84"/>
  <c r="BC124" i="84"/>
  <c r="BC125" i="84" s="1"/>
  <c r="BC126" i="84" s="1"/>
  <c r="BC127" i="84" s="1"/>
  <c r="BC128" i="84" s="1"/>
  <c r="BC129" i="84" s="1"/>
  <c r="BC130" i="84" s="1"/>
  <c r="BC131" i="84" s="1"/>
  <c r="AY124" i="84"/>
  <c r="AY125" i="84" s="1"/>
  <c r="AY126" i="84" s="1"/>
  <c r="AY127" i="84" s="1"/>
  <c r="AY128" i="84" s="1"/>
  <c r="AY129" i="84" s="1"/>
  <c r="AY130" i="84" s="1"/>
  <c r="AW124" i="84"/>
  <c r="AW125" i="84" s="1"/>
  <c r="AW126" i="84" s="1"/>
  <c r="AW127" i="84" s="1"/>
  <c r="AW128" i="84" s="1"/>
  <c r="AW129" i="84" s="1"/>
  <c r="AW130" i="84" s="1"/>
  <c r="AW131" i="84" s="1"/>
  <c r="AU124" i="84"/>
  <c r="AU125" i="84" s="1"/>
  <c r="AU126" i="84" s="1"/>
  <c r="AU127" i="84" s="1"/>
  <c r="AU128" i="84" s="1"/>
  <c r="AU129" i="84" s="1"/>
  <c r="AU130" i="84" s="1"/>
  <c r="AU131" i="84" s="1"/>
  <c r="AQ124" i="84"/>
  <c r="AQ125" i="84" s="1"/>
  <c r="AQ126" i="84" s="1"/>
  <c r="AQ127" i="84" s="1"/>
  <c r="AQ128" i="84" s="1"/>
  <c r="AQ129" i="84" s="1"/>
  <c r="AQ130" i="84" s="1"/>
  <c r="AO124" i="84"/>
  <c r="AO125" i="84" s="1"/>
  <c r="AO126" i="84" s="1"/>
  <c r="AO127" i="84" s="1"/>
  <c r="AO128" i="84" s="1"/>
  <c r="AO129" i="84" s="1"/>
  <c r="AO130" i="84" s="1"/>
  <c r="AO131" i="84" s="1"/>
  <c r="AM124" i="84"/>
  <c r="AM125" i="84" s="1"/>
  <c r="AM126" i="84" s="1"/>
  <c r="AM127" i="84" s="1"/>
  <c r="AM128" i="84" s="1"/>
  <c r="AM129" i="84" s="1"/>
  <c r="AM130" i="84" s="1"/>
  <c r="AM131" i="84" s="1"/>
  <c r="AJ124" i="84"/>
  <c r="AJ125" i="84" s="1"/>
  <c r="AJ126" i="84" s="1"/>
  <c r="AJ127" i="84" s="1"/>
  <c r="AJ128" i="84" s="1"/>
  <c r="AJ129" i="84" s="1"/>
  <c r="AJ130" i="84" s="1"/>
  <c r="AJ131" i="84" s="1"/>
  <c r="AH124" i="84"/>
  <c r="AH125" i="84" s="1"/>
  <c r="AH126" i="84" s="1"/>
  <c r="AH127" i="84" s="1"/>
  <c r="AH128" i="84" s="1"/>
  <c r="AH129" i="84" s="1"/>
  <c r="AH130" i="84" s="1"/>
  <c r="AH131" i="84" s="1"/>
  <c r="AF124" i="84"/>
  <c r="AF125" i="84" s="1"/>
  <c r="AF126" i="84" s="1"/>
  <c r="AF127" i="84" s="1"/>
  <c r="AF128" i="84" s="1"/>
  <c r="AF129" i="84" s="1"/>
  <c r="AF130" i="84" s="1"/>
  <c r="AF131" i="84" s="1"/>
  <c r="AB124" i="84"/>
  <c r="AB125" i="84" s="1"/>
  <c r="AB126" i="84" s="1"/>
  <c r="AB127" i="84" s="1"/>
  <c r="AB128" i="84" s="1"/>
  <c r="AB129" i="84" s="1"/>
  <c r="AB130" i="84" s="1"/>
  <c r="Z124" i="84"/>
  <c r="Z125" i="84" s="1"/>
  <c r="Z126" i="84" s="1"/>
  <c r="Z127" i="84" s="1"/>
  <c r="Z128" i="84" s="1"/>
  <c r="Z129" i="84" s="1"/>
  <c r="Z130" i="84" s="1"/>
  <c r="Z131" i="84" s="1"/>
  <c r="X124" i="84"/>
  <c r="X125" i="84" s="1"/>
  <c r="X126" i="84" s="1"/>
  <c r="X127" i="84" s="1"/>
  <c r="X128" i="84" s="1"/>
  <c r="X129" i="84" s="1"/>
  <c r="X130" i="84" s="1"/>
  <c r="X131" i="84" s="1"/>
  <c r="BE122" i="84"/>
  <c r="BE121" i="84"/>
  <c r="BE120" i="84"/>
  <c r="BE119" i="84"/>
  <c r="BE118" i="84"/>
  <c r="BE117" i="84"/>
  <c r="BE116" i="84"/>
  <c r="BE115" i="84"/>
  <c r="BE114" i="84"/>
  <c r="BE113" i="84"/>
  <c r="BE112" i="84"/>
  <c r="BE111" i="84"/>
  <c r="BE110" i="84"/>
  <c r="BE109" i="84"/>
  <c r="BE108" i="84"/>
  <c r="BE107" i="84"/>
  <c r="BE106" i="84"/>
  <c r="BE105" i="84"/>
  <c r="BE103" i="84"/>
  <c r="BF104" i="84"/>
  <c r="BE101" i="84"/>
  <c r="BF102" i="84"/>
  <c r="BE99" i="84"/>
  <c r="BF100" i="84"/>
  <c r="BE98" i="84"/>
  <c r="BE97" i="84"/>
  <c r="BE95" i="84"/>
  <c r="BE94" i="84"/>
  <c r="BC80" i="84"/>
  <c r="BC81" i="84" s="1"/>
  <c r="BC82" i="84" s="1"/>
  <c r="BC83" i="84" s="1"/>
  <c r="BC84" i="84" s="1"/>
  <c r="BC85" i="84" s="1"/>
  <c r="BC86" i="84" s="1"/>
  <c r="BC87" i="84" s="1"/>
  <c r="AU80" i="84"/>
  <c r="AU81" i="84" s="1"/>
  <c r="AU82" i="84" s="1"/>
  <c r="AU83" i="84" s="1"/>
  <c r="AU84" i="84" s="1"/>
  <c r="AU85" i="84" s="1"/>
  <c r="AU86" i="84" s="1"/>
  <c r="AU87" i="84" s="1"/>
  <c r="AM80" i="84"/>
  <c r="AM81" i="84" s="1"/>
  <c r="AM82" i="84" s="1"/>
  <c r="AM83" i="84" s="1"/>
  <c r="AM84" i="84" s="1"/>
  <c r="AM85" i="84" s="1"/>
  <c r="AM86" i="84" s="1"/>
  <c r="AM87" i="84" s="1"/>
  <c r="AF80" i="84"/>
  <c r="AF81" i="84" s="1"/>
  <c r="AF82" i="84" s="1"/>
  <c r="AF83" i="84" s="1"/>
  <c r="AF84" i="84" s="1"/>
  <c r="AF85" i="84" s="1"/>
  <c r="AF86" i="84" s="1"/>
  <c r="AF87" i="84" s="1"/>
  <c r="X80" i="84"/>
  <c r="X81" i="84" s="1"/>
  <c r="X82" i="84" s="1"/>
  <c r="X83" i="84" s="1"/>
  <c r="X84" i="84" s="1"/>
  <c r="X85" i="84" s="1"/>
  <c r="X86" i="84" s="1"/>
  <c r="X87" i="84" s="1"/>
  <c r="BD80" i="84"/>
  <c r="BA80" i="84"/>
  <c r="BA81" i="84" s="1"/>
  <c r="BA82" i="84" s="1"/>
  <c r="BA83" i="84" s="1"/>
  <c r="BA84" i="84" s="1"/>
  <c r="BA85" i="84" s="1"/>
  <c r="BA86" i="84" s="1"/>
  <c r="BA87" i="84" s="1"/>
  <c r="AY80" i="84"/>
  <c r="AY81" i="84" s="1"/>
  <c r="AY82" i="84" s="1"/>
  <c r="AY83" i="84" s="1"/>
  <c r="AY84" i="84" s="1"/>
  <c r="AY85" i="84" s="1"/>
  <c r="AY86" i="84" s="1"/>
  <c r="AY87" i="84" s="1"/>
  <c r="AW80" i="84"/>
  <c r="AW81" i="84" s="1"/>
  <c r="AW82" i="84" s="1"/>
  <c r="AW83" i="84" s="1"/>
  <c r="AW84" i="84" s="1"/>
  <c r="AW85" i="84" s="1"/>
  <c r="AW86" i="84" s="1"/>
  <c r="AW87" i="84" s="1"/>
  <c r="AS80" i="84"/>
  <c r="AS81" i="84" s="1"/>
  <c r="AS82" i="84" s="1"/>
  <c r="AS83" i="84" s="1"/>
  <c r="AS84" i="84" s="1"/>
  <c r="AS85" i="84" s="1"/>
  <c r="AS86" i="84" s="1"/>
  <c r="AS87" i="84" s="1"/>
  <c r="AQ80" i="84"/>
  <c r="AQ81" i="84" s="1"/>
  <c r="AQ82" i="84" s="1"/>
  <c r="AQ83" i="84" s="1"/>
  <c r="AQ84" i="84" s="1"/>
  <c r="AQ85" i="84" s="1"/>
  <c r="AQ86" i="84" s="1"/>
  <c r="AQ87" i="84" s="1"/>
  <c r="AO80" i="84"/>
  <c r="AO81" i="84" s="1"/>
  <c r="AO82" i="84" s="1"/>
  <c r="AO83" i="84" s="1"/>
  <c r="AO84" i="84" s="1"/>
  <c r="AO85" i="84" s="1"/>
  <c r="AO86" i="84" s="1"/>
  <c r="AO87" i="84" s="1"/>
  <c r="AK80" i="84"/>
  <c r="AK81" i="84" s="1"/>
  <c r="AK82" i="84" s="1"/>
  <c r="AK83" i="84" s="1"/>
  <c r="AK84" i="84" s="1"/>
  <c r="AK85" i="84" s="1"/>
  <c r="AK86" i="84" s="1"/>
  <c r="AK87" i="84" s="1"/>
  <c r="AJ80" i="84"/>
  <c r="AJ81" i="84" s="1"/>
  <c r="AJ82" i="84" s="1"/>
  <c r="AJ83" i="84" s="1"/>
  <c r="AJ84" i="84" s="1"/>
  <c r="AJ85" i="84" s="1"/>
  <c r="AJ86" i="84" s="1"/>
  <c r="AJ87" i="84" s="1"/>
  <c r="AH80" i="84"/>
  <c r="AH81" i="84" s="1"/>
  <c r="AH82" i="84" s="1"/>
  <c r="AH83" i="84" s="1"/>
  <c r="AH84" i="84" s="1"/>
  <c r="AH85" i="84" s="1"/>
  <c r="AH86" i="84" s="1"/>
  <c r="AH87" i="84" s="1"/>
  <c r="AD80" i="84"/>
  <c r="AD81" i="84" s="1"/>
  <c r="AD82" i="84" s="1"/>
  <c r="AD83" i="84" s="1"/>
  <c r="AD84" i="84" s="1"/>
  <c r="AD85" i="84" s="1"/>
  <c r="AD86" i="84" s="1"/>
  <c r="AD87" i="84" s="1"/>
  <c r="AB80" i="84"/>
  <c r="AB81" i="84" s="1"/>
  <c r="AB82" i="84" s="1"/>
  <c r="AB83" i="84" s="1"/>
  <c r="AB84" i="84" s="1"/>
  <c r="AB85" i="84" s="1"/>
  <c r="AB86" i="84" s="1"/>
  <c r="AB87" i="84" s="1"/>
  <c r="Z80" i="84"/>
  <c r="Z81" i="84" s="1"/>
  <c r="Z82" i="84" s="1"/>
  <c r="Z83" i="84" s="1"/>
  <c r="Z84" i="84" s="1"/>
  <c r="Z85" i="84" s="1"/>
  <c r="Z86" i="84" s="1"/>
  <c r="Z87" i="84" s="1"/>
  <c r="V80" i="84"/>
  <c r="V81" i="84" s="1"/>
  <c r="V82" i="84" s="1"/>
  <c r="V83" i="84" s="1"/>
  <c r="V84" i="84" s="1"/>
  <c r="V85" i="84" s="1"/>
  <c r="V86" i="84" s="1"/>
  <c r="V87" i="84" s="1"/>
  <c r="BE78" i="84"/>
  <c r="BE76" i="84"/>
  <c r="BO75" i="84"/>
  <c r="BO74" i="84" s="1"/>
  <c r="BO73" i="84" s="1"/>
  <c r="BO72" i="84" s="1"/>
  <c r="BO71" i="84" s="1"/>
  <c r="BO70" i="84" s="1"/>
  <c r="BO69" i="84" s="1"/>
  <c r="BO68" i="84" s="1"/>
  <c r="BO67" i="84" s="1"/>
  <c r="BO66" i="84" s="1"/>
  <c r="BE75" i="84"/>
  <c r="BE74" i="84"/>
  <c r="BE73" i="84"/>
  <c r="BE72" i="84"/>
  <c r="BE71" i="84"/>
  <c r="BE70" i="84"/>
  <c r="BE69" i="84"/>
  <c r="BE68" i="84"/>
  <c r="BE67" i="84"/>
  <c r="BZ66" i="84"/>
  <c r="BZ67" i="84" s="1"/>
  <c r="BZ68" i="84" s="1"/>
  <c r="BZ69" i="84" s="1"/>
  <c r="BZ70" i="84" s="1"/>
  <c r="BZ71" i="84" s="1"/>
  <c r="BZ72" i="84" s="1"/>
  <c r="BZ73" i="84" s="1"/>
  <c r="BZ74" i="84" s="1"/>
  <c r="BZ75" i="84" s="1"/>
  <c r="BZ76" i="84" s="1"/>
  <c r="BZ77" i="84" s="1"/>
  <c r="BZ78" i="84" s="1"/>
  <c r="BZ79" i="84" s="1"/>
  <c r="BZ80" i="84" s="1"/>
  <c r="BZ87" i="84" s="1"/>
  <c r="BZ88" i="84" s="1"/>
  <c r="BZ89" i="84" s="1"/>
  <c r="BZ90" i="84" s="1"/>
  <c r="BZ91" i="84" s="1"/>
  <c r="BZ92" i="84" s="1"/>
  <c r="BZ93" i="84" s="1"/>
  <c r="BZ94" i="84" s="1"/>
  <c r="BZ95" i="84" s="1"/>
  <c r="BZ96" i="84" s="1"/>
  <c r="BZ97" i="84" s="1"/>
  <c r="BZ98" i="84" s="1"/>
  <c r="BZ99" i="84" s="1"/>
  <c r="BZ100" i="84" s="1"/>
  <c r="BZ101" i="84" s="1"/>
  <c r="BZ102" i="84" s="1"/>
  <c r="BZ103" i="84" s="1"/>
  <c r="BZ104" i="84" s="1"/>
  <c r="BZ105" i="84" s="1"/>
  <c r="BZ106" i="84" s="1"/>
  <c r="BZ107" i="84" s="1"/>
  <c r="BZ108" i="84" s="1"/>
  <c r="BZ109" i="84" s="1"/>
  <c r="BZ110" i="84" s="1"/>
  <c r="BZ111" i="84" s="1"/>
  <c r="BZ112" i="84" s="1"/>
  <c r="BZ113" i="84" s="1"/>
  <c r="BZ114" i="84" s="1"/>
  <c r="BZ115" i="84" s="1"/>
  <c r="BZ116" i="84" s="1"/>
  <c r="BE66" i="84"/>
  <c r="BE65" i="84"/>
  <c r="BE64" i="84"/>
  <c r="BE63" i="84"/>
  <c r="BE62" i="84"/>
  <c r="BE61" i="84"/>
  <c r="BE60" i="84"/>
  <c r="BE59" i="84"/>
  <c r="BE58" i="84"/>
  <c r="BE57" i="84"/>
  <c r="BE56" i="84"/>
  <c r="CI55" i="84"/>
  <c r="CH55" i="84"/>
  <c r="CG55" i="84"/>
  <c r="CF55" i="84"/>
  <c r="CE55" i="84"/>
  <c r="CD55" i="84"/>
  <c r="CC55" i="84"/>
  <c r="CB55" i="84"/>
  <c r="CA55" i="84"/>
  <c r="BX55" i="84"/>
  <c r="BW55" i="84"/>
  <c r="BV55" i="84"/>
  <c r="BU55" i="84"/>
  <c r="BT55" i="84"/>
  <c r="BS55" i="84"/>
  <c r="BR55" i="84"/>
  <c r="BQ55" i="84"/>
  <c r="BP55" i="84"/>
  <c r="BE55" i="84"/>
  <c r="CI54" i="84"/>
  <c r="CH54" i="84"/>
  <c r="CG54" i="84"/>
  <c r="CF54" i="84"/>
  <c r="CE54" i="84"/>
  <c r="CD54" i="84"/>
  <c r="CC54" i="84"/>
  <c r="CB54" i="84"/>
  <c r="CA54" i="84"/>
  <c r="BX54" i="84"/>
  <c r="BW54" i="84"/>
  <c r="BV54" i="84"/>
  <c r="BU54" i="84"/>
  <c r="BT54" i="84"/>
  <c r="BS54" i="84"/>
  <c r="BR54" i="84"/>
  <c r="BQ54" i="84"/>
  <c r="BP54" i="84"/>
  <c r="BE54" i="84"/>
  <c r="CI53" i="84"/>
  <c r="CH53" i="84"/>
  <c r="CG53" i="84"/>
  <c r="CF53" i="84"/>
  <c r="CE53" i="84"/>
  <c r="CD53" i="84"/>
  <c r="CC53" i="84"/>
  <c r="CB53" i="84"/>
  <c r="CA53" i="84"/>
  <c r="BX53" i="84"/>
  <c r="BW53" i="84"/>
  <c r="BV53" i="84"/>
  <c r="BU53" i="84"/>
  <c r="BT53" i="84"/>
  <c r="BS53" i="84"/>
  <c r="BR53" i="84"/>
  <c r="BQ53" i="84"/>
  <c r="BP53" i="84"/>
  <c r="BE53" i="84"/>
  <c r="CI52" i="84"/>
  <c r="CH52" i="84"/>
  <c r="CG52" i="84"/>
  <c r="CF52" i="84"/>
  <c r="CE52" i="84"/>
  <c r="CD52" i="84"/>
  <c r="CC52" i="84"/>
  <c r="CB52" i="84"/>
  <c r="CA52" i="84"/>
  <c r="BX52" i="84"/>
  <c r="BW52" i="84"/>
  <c r="BV52" i="84"/>
  <c r="BU52" i="84"/>
  <c r="BT52" i="84"/>
  <c r="BS52" i="84"/>
  <c r="BR52" i="84"/>
  <c r="BQ52" i="84"/>
  <c r="BP52" i="84"/>
  <c r="CI51" i="84"/>
  <c r="CH51" i="84"/>
  <c r="CG51" i="84"/>
  <c r="CF51" i="84"/>
  <c r="CE51" i="84"/>
  <c r="CD51" i="84"/>
  <c r="CC51" i="84"/>
  <c r="CB51" i="84"/>
  <c r="CA51" i="84"/>
  <c r="BX51" i="84"/>
  <c r="BW51" i="84"/>
  <c r="BV51" i="84"/>
  <c r="BU51" i="84"/>
  <c r="BT51" i="84"/>
  <c r="BS51" i="84"/>
  <c r="BR51" i="84"/>
  <c r="BQ51" i="84"/>
  <c r="BP51" i="84"/>
  <c r="CI50" i="84"/>
  <c r="CH50" i="84"/>
  <c r="CG50" i="84"/>
  <c r="CF50" i="84"/>
  <c r="CE50" i="84"/>
  <c r="CD50" i="84"/>
  <c r="CC50" i="84"/>
  <c r="CB50" i="84"/>
  <c r="CA50" i="84"/>
  <c r="BX50" i="84"/>
  <c r="BW50" i="84"/>
  <c r="BV50" i="84"/>
  <c r="BU50" i="84"/>
  <c r="BT50" i="84"/>
  <c r="BS50" i="84"/>
  <c r="BR50" i="84"/>
  <c r="BQ50" i="84"/>
  <c r="BP50" i="84"/>
  <c r="CI49" i="84"/>
  <c r="CH49" i="84"/>
  <c r="CG49" i="84"/>
  <c r="CF49" i="84"/>
  <c r="CE49" i="84"/>
  <c r="CD49" i="84"/>
  <c r="CC49" i="84"/>
  <c r="CB49" i="84"/>
  <c r="CA49" i="84"/>
  <c r="BX49" i="84"/>
  <c r="BW49" i="84"/>
  <c r="BV49" i="84"/>
  <c r="BU49" i="84"/>
  <c r="BT49" i="84"/>
  <c r="BS49" i="84"/>
  <c r="BR49" i="84"/>
  <c r="BQ49" i="84"/>
  <c r="BP49" i="84"/>
  <c r="CI48" i="84"/>
  <c r="CH48" i="84"/>
  <c r="CG48" i="84"/>
  <c r="CF48" i="84"/>
  <c r="CE48" i="84"/>
  <c r="CD48" i="84"/>
  <c r="CC48" i="84"/>
  <c r="CB48" i="84"/>
  <c r="CA48" i="84"/>
  <c r="BX48" i="84"/>
  <c r="BW48" i="84"/>
  <c r="BV48" i="84"/>
  <c r="BU48" i="84"/>
  <c r="BT48" i="84"/>
  <c r="BS48" i="84"/>
  <c r="BR48" i="84"/>
  <c r="BQ48" i="84"/>
  <c r="BP48" i="84"/>
  <c r="CI47" i="84"/>
  <c r="CH47" i="84"/>
  <c r="CG47" i="84"/>
  <c r="CF47" i="84"/>
  <c r="CE47" i="84"/>
  <c r="CD47" i="84"/>
  <c r="CC47" i="84"/>
  <c r="CB47" i="84"/>
  <c r="CA47" i="84"/>
  <c r="BX47" i="84"/>
  <c r="BW47" i="84"/>
  <c r="BV47" i="84"/>
  <c r="BU47" i="84"/>
  <c r="BT47" i="84"/>
  <c r="BS47" i="84"/>
  <c r="BR47" i="84"/>
  <c r="BQ47" i="84"/>
  <c r="BP47" i="84"/>
  <c r="CI46" i="84"/>
  <c r="CH46" i="84"/>
  <c r="CG46" i="84"/>
  <c r="CF46" i="84"/>
  <c r="CE46" i="84"/>
  <c r="CD46" i="84"/>
  <c r="CC46" i="84"/>
  <c r="CB46" i="84"/>
  <c r="CA46" i="84"/>
  <c r="BX46" i="84"/>
  <c r="BW46" i="84"/>
  <c r="BV46" i="84"/>
  <c r="BU46" i="84"/>
  <c r="BT46" i="84"/>
  <c r="BS46" i="84"/>
  <c r="BR46" i="84"/>
  <c r="BQ46" i="84"/>
  <c r="BP46" i="84"/>
  <c r="CI45" i="84"/>
  <c r="CH45" i="84"/>
  <c r="CG45" i="84"/>
  <c r="CF45" i="84"/>
  <c r="CE45" i="84"/>
  <c r="CD45" i="84"/>
  <c r="CC45" i="84"/>
  <c r="CB45" i="84"/>
  <c r="CA45" i="84"/>
  <c r="BX45" i="84"/>
  <c r="BW45" i="84"/>
  <c r="BV45" i="84"/>
  <c r="BU45" i="84"/>
  <c r="BT45" i="84"/>
  <c r="BS45" i="84"/>
  <c r="BR45" i="84"/>
  <c r="BQ45" i="84"/>
  <c r="BP45" i="84"/>
  <c r="CI44" i="84"/>
  <c r="CH44" i="84"/>
  <c r="CG44" i="84"/>
  <c r="CF44" i="84"/>
  <c r="CE44" i="84"/>
  <c r="CD44" i="84"/>
  <c r="CC44" i="84"/>
  <c r="CB44" i="84"/>
  <c r="CA44" i="84"/>
  <c r="BX44" i="84"/>
  <c r="BW44" i="84"/>
  <c r="BV44" i="84"/>
  <c r="BU44" i="84"/>
  <c r="BT44" i="84"/>
  <c r="BS44" i="84"/>
  <c r="BR44" i="84"/>
  <c r="BQ44" i="84"/>
  <c r="BP44" i="84"/>
  <c r="CI43" i="84"/>
  <c r="CH43" i="84"/>
  <c r="CG43" i="84"/>
  <c r="CF43" i="84"/>
  <c r="CE43" i="84"/>
  <c r="CD43" i="84"/>
  <c r="CC43" i="84"/>
  <c r="CB43" i="84"/>
  <c r="CA43" i="84"/>
  <c r="BX43" i="84"/>
  <c r="BW43" i="84"/>
  <c r="BV43" i="84"/>
  <c r="BU43" i="84"/>
  <c r="BT43" i="84"/>
  <c r="BS43" i="84"/>
  <c r="BR43" i="84"/>
  <c r="BQ43" i="84"/>
  <c r="BP43" i="84"/>
  <c r="R42" i="84"/>
  <c r="R41" i="84"/>
  <c r="M41" i="84"/>
  <c r="R40" i="84"/>
  <c r="P40" i="84"/>
  <c r="M40" i="84"/>
  <c r="L40" i="84"/>
  <c r="D40" i="84"/>
  <c r="R39" i="84"/>
  <c r="P39" i="84"/>
  <c r="M39" i="84"/>
  <c r="L39" i="84"/>
  <c r="D39" i="84"/>
  <c r="R38" i="84"/>
  <c r="P38" i="84"/>
  <c r="M38" i="84"/>
  <c r="L38" i="84"/>
  <c r="D38" i="84"/>
  <c r="BD37" i="84"/>
  <c r="BD38" i="84" s="1"/>
  <c r="BD39" i="84" s="1"/>
  <c r="BD40" i="84" s="1"/>
  <c r="BD41" i="84" s="1"/>
  <c r="BD42" i="84" s="1"/>
  <c r="BD43" i="84" s="1"/>
  <c r="BD44" i="84" s="1"/>
  <c r="BC37" i="84"/>
  <c r="BC38" i="84" s="1"/>
  <c r="BC39" i="84" s="1"/>
  <c r="BC40" i="84" s="1"/>
  <c r="BC41" i="84" s="1"/>
  <c r="BC42" i="84" s="1"/>
  <c r="BC43" i="84" s="1"/>
  <c r="BC44" i="84" s="1"/>
  <c r="R37" i="84"/>
  <c r="P37" i="84"/>
  <c r="M37" i="84"/>
  <c r="L37" i="84"/>
  <c r="D37" i="84"/>
  <c r="CI36" i="84"/>
  <c r="CH36" i="84"/>
  <c r="CG36" i="84"/>
  <c r="CF36" i="84"/>
  <c r="CE36" i="84"/>
  <c r="CD36" i="84"/>
  <c r="CC36" i="84"/>
  <c r="CB36" i="84"/>
  <c r="CA36" i="84"/>
  <c r="BX36" i="84"/>
  <c r="BW36" i="84"/>
  <c r="BV36" i="84"/>
  <c r="BU36" i="84"/>
  <c r="BT36" i="84"/>
  <c r="BS36" i="84"/>
  <c r="BR36" i="84"/>
  <c r="BQ36" i="84"/>
  <c r="BP36" i="84"/>
  <c r="BE36" i="84"/>
  <c r="BD36" i="84"/>
  <c r="BC36" i="84"/>
  <c r="BB36" i="84"/>
  <c r="BA37" i="84" s="1"/>
  <c r="BA36" i="84"/>
  <c r="AY36" i="84"/>
  <c r="AX36" i="84"/>
  <c r="AW37" i="84" s="1"/>
  <c r="AW36" i="84"/>
  <c r="AU36" i="84"/>
  <c r="AT36" i="84"/>
  <c r="AS37" i="84" s="1"/>
  <c r="AS36" i="84"/>
  <c r="AQ36" i="84"/>
  <c r="AP36" i="84"/>
  <c r="AO37" i="84" s="1"/>
  <c r="AO36" i="84"/>
  <c r="AM36" i="84"/>
  <c r="AL36" i="84"/>
  <c r="AK37" i="84" s="1"/>
  <c r="AK36" i="84"/>
  <c r="AJ37" i="84" s="1"/>
  <c r="AJ36" i="84"/>
  <c r="AH36" i="84"/>
  <c r="AG36" i="84"/>
  <c r="AF37" i="84" s="1"/>
  <c r="AF36" i="84"/>
  <c r="AD36" i="84"/>
  <c r="AC36" i="84"/>
  <c r="AB37" i="84" s="1"/>
  <c r="AB36" i="84"/>
  <c r="Z36" i="84"/>
  <c r="Y36" i="84"/>
  <c r="X37" i="84" s="1"/>
  <c r="X36" i="84"/>
  <c r="V36" i="84"/>
  <c r="R36" i="84"/>
  <c r="P36" i="84"/>
  <c r="M36" i="84"/>
  <c r="L36" i="84"/>
  <c r="D36" i="84"/>
  <c r="CI35" i="84"/>
  <c r="CH35" i="84"/>
  <c r="CG35" i="84"/>
  <c r="CF35" i="84"/>
  <c r="CE35" i="84"/>
  <c r="CD35" i="84"/>
  <c r="CC35" i="84"/>
  <c r="CB35" i="84"/>
  <c r="CA35" i="84"/>
  <c r="BX35" i="84"/>
  <c r="BW35" i="84"/>
  <c r="BV35" i="84"/>
  <c r="BU35" i="84"/>
  <c r="BT35" i="84"/>
  <c r="BS35" i="84"/>
  <c r="BR35" i="84"/>
  <c r="BQ35" i="84"/>
  <c r="BP35" i="84"/>
  <c r="BD35" i="84"/>
  <c r="BC35" i="84"/>
  <c r="BB35" i="84"/>
  <c r="BA35" i="84"/>
  <c r="AY35" i="84"/>
  <c r="AZ36" i="84" s="1"/>
  <c r="AY37" i="84" s="1"/>
  <c r="AW35" i="84"/>
  <c r="AU35" i="84"/>
  <c r="AV36" i="84" s="1"/>
  <c r="AU37" i="84" s="1"/>
  <c r="AS35" i="84"/>
  <c r="AQ35" i="84"/>
  <c r="AR36" i="84" s="1"/>
  <c r="AQ37" i="84" s="1"/>
  <c r="AO35" i="84"/>
  <c r="AM35" i="84"/>
  <c r="AN36" i="84" s="1"/>
  <c r="AM37" i="84" s="1"/>
  <c r="AK35" i="84"/>
  <c r="AJ35" i="84"/>
  <c r="AI35" i="84"/>
  <c r="AH35" i="84"/>
  <c r="AF35" i="84"/>
  <c r="AE35" i="84"/>
  <c r="AD35" i="84"/>
  <c r="AB35" i="84"/>
  <c r="Z35" i="84"/>
  <c r="X35" i="84"/>
  <c r="V35" i="84"/>
  <c r="W35" i="84" s="1"/>
  <c r="R35" i="84"/>
  <c r="P35" i="84"/>
  <c r="M35" i="84"/>
  <c r="L35" i="84"/>
  <c r="D35" i="84"/>
  <c r="CI34" i="84"/>
  <c r="CH34" i="84"/>
  <c r="CG34" i="84"/>
  <c r="CF34" i="84"/>
  <c r="CE34" i="84"/>
  <c r="CD34" i="84"/>
  <c r="CC34" i="84"/>
  <c r="CB34" i="84"/>
  <c r="CA34" i="84"/>
  <c r="BX34" i="84"/>
  <c r="BW34" i="84"/>
  <c r="BV34" i="84"/>
  <c r="BU34" i="84"/>
  <c r="BT34" i="84"/>
  <c r="BS34" i="84"/>
  <c r="BR34" i="84"/>
  <c r="BQ34" i="84"/>
  <c r="BP34" i="84"/>
  <c r="BD34" i="84"/>
  <c r="BC34" i="84"/>
  <c r="BA34" i="84"/>
  <c r="AY34" i="84"/>
  <c r="AX34" i="84"/>
  <c r="AW34" i="84"/>
  <c r="AX35" i="84" s="1"/>
  <c r="AU34" i="84"/>
  <c r="BE34" i="84" s="1"/>
  <c r="AS34" i="84"/>
  <c r="AT35" i="84" s="1"/>
  <c r="AQ34" i="84"/>
  <c r="AO34" i="84"/>
  <c r="AP35" i="84" s="1"/>
  <c r="AM34" i="84"/>
  <c r="AK34" i="84"/>
  <c r="AL35" i="84" s="1"/>
  <c r="AJ34" i="84"/>
  <c r="AH34" i="84"/>
  <c r="AG34" i="84"/>
  <c r="AF34" i="84"/>
  <c r="AG35" i="84" s="1"/>
  <c r="AD34" i="84"/>
  <c r="AC34" i="84"/>
  <c r="AB34" i="84"/>
  <c r="AC35" i="84" s="1"/>
  <c r="Z34" i="84"/>
  <c r="X34" i="84"/>
  <c r="Y35" i="84" s="1"/>
  <c r="V34" i="84"/>
  <c r="S34" i="84"/>
  <c r="R34" i="84"/>
  <c r="Q34" i="84"/>
  <c r="P34" i="84"/>
  <c r="O34" i="84"/>
  <c r="N34" i="84"/>
  <c r="M34" i="84"/>
  <c r="L34" i="84"/>
  <c r="D34" i="84"/>
  <c r="CI33" i="84"/>
  <c r="CH33" i="84"/>
  <c r="CG33" i="84"/>
  <c r="CF33" i="84"/>
  <c r="CE33" i="84"/>
  <c r="CD33" i="84"/>
  <c r="CC33" i="84"/>
  <c r="CB33" i="84"/>
  <c r="CA33" i="84"/>
  <c r="BX33" i="84"/>
  <c r="BW33" i="84"/>
  <c r="BV33" i="84"/>
  <c r="BU33" i="84"/>
  <c r="BT33" i="84"/>
  <c r="BS33" i="84"/>
  <c r="BR33" i="84"/>
  <c r="BQ33" i="84"/>
  <c r="BP33" i="84"/>
  <c r="BD33" i="84"/>
  <c r="BC33" i="84"/>
  <c r="BA33" i="84"/>
  <c r="BB34" i="84" s="1"/>
  <c r="AY33" i="84"/>
  <c r="AW33" i="84"/>
  <c r="AU33" i="84"/>
  <c r="BE33" i="84" s="1"/>
  <c r="AS33" i="84"/>
  <c r="AQ33" i="84"/>
  <c r="AR34" i="84" s="1"/>
  <c r="AO33" i="84"/>
  <c r="AM33" i="84"/>
  <c r="AN34" i="84" s="1"/>
  <c r="AK33" i="84"/>
  <c r="AJ33" i="84"/>
  <c r="AI33" i="84"/>
  <c r="AH33" i="84"/>
  <c r="AI34" i="84" s="1"/>
  <c r="AF33" i="84"/>
  <c r="AE33" i="84"/>
  <c r="AD33" i="84"/>
  <c r="AE34" i="84" s="1"/>
  <c r="AB33" i="84"/>
  <c r="Z33" i="84"/>
  <c r="X33" i="84"/>
  <c r="V33" i="84"/>
  <c r="W34" i="84" s="1"/>
  <c r="S33" i="84"/>
  <c r="R33" i="84"/>
  <c r="Q33" i="84"/>
  <c r="P33" i="84"/>
  <c r="O33" i="84"/>
  <c r="N33" i="84"/>
  <c r="M33" i="84"/>
  <c r="L33" i="84"/>
  <c r="D33" i="84"/>
  <c r="CI32" i="84"/>
  <c r="CH32" i="84"/>
  <c r="CG32" i="84"/>
  <c r="CF32" i="84"/>
  <c r="CE32" i="84"/>
  <c r="CD32" i="84"/>
  <c r="CC32" i="84"/>
  <c r="CB32" i="84"/>
  <c r="CA32" i="84"/>
  <c r="BX32" i="84"/>
  <c r="BW32" i="84"/>
  <c r="BV32" i="84"/>
  <c r="BU32" i="84"/>
  <c r="BT32" i="84"/>
  <c r="BS32" i="84"/>
  <c r="BR32" i="84"/>
  <c r="BQ32" i="84"/>
  <c r="BP32" i="84"/>
  <c r="BD32" i="84"/>
  <c r="BC32" i="84"/>
  <c r="BA32" i="84"/>
  <c r="AY32" i="84"/>
  <c r="AX32" i="84"/>
  <c r="AW32" i="84"/>
  <c r="AX33" i="84" s="1"/>
  <c r="AU32" i="84"/>
  <c r="BE32" i="84" s="1"/>
  <c r="AS32" i="84"/>
  <c r="AT33" i="84" s="1"/>
  <c r="AQ32" i="84"/>
  <c r="AO32" i="84"/>
  <c r="AP33" i="84" s="1"/>
  <c r="AM32" i="84"/>
  <c r="AK32" i="84"/>
  <c r="AL33" i="84" s="1"/>
  <c r="AJ32" i="84"/>
  <c r="AH32" i="84"/>
  <c r="AG32" i="84"/>
  <c r="AF32" i="84"/>
  <c r="AG33" i="84" s="1"/>
  <c r="AD32" i="84"/>
  <c r="AC32" i="84"/>
  <c r="AB32" i="84"/>
  <c r="AC33" i="84" s="1"/>
  <c r="Z32" i="84"/>
  <c r="X32" i="84"/>
  <c r="Y33" i="84" s="1"/>
  <c r="V32" i="84"/>
  <c r="S32" i="84"/>
  <c r="R32" i="84"/>
  <c r="Q32" i="84"/>
  <c r="P32" i="84"/>
  <c r="O32" i="84"/>
  <c r="N32" i="84"/>
  <c r="M32" i="84"/>
  <c r="L32" i="84"/>
  <c r="D32" i="84"/>
  <c r="CI31" i="84"/>
  <c r="CH31" i="84"/>
  <c r="CG31" i="84"/>
  <c r="CF31" i="84"/>
  <c r="CE31" i="84"/>
  <c r="CD31" i="84"/>
  <c r="CC31" i="84"/>
  <c r="CB31" i="84"/>
  <c r="CA31" i="84"/>
  <c r="BX31" i="84"/>
  <c r="BW31" i="84"/>
  <c r="BV31" i="84"/>
  <c r="BU31" i="84"/>
  <c r="BT31" i="84"/>
  <c r="BS31" i="84"/>
  <c r="BR31" i="84"/>
  <c r="BQ31" i="84"/>
  <c r="BP31" i="84"/>
  <c r="BD31" i="84"/>
  <c r="BC31" i="84"/>
  <c r="BA31" i="84"/>
  <c r="BB32" i="84" s="1"/>
  <c r="AY31" i="84"/>
  <c r="AW31" i="84"/>
  <c r="AU31" i="84"/>
  <c r="BE31" i="84" s="1"/>
  <c r="AS31" i="84"/>
  <c r="AQ31" i="84"/>
  <c r="AR32" i="84" s="1"/>
  <c r="AO31" i="84"/>
  <c r="AM31" i="84"/>
  <c r="AN32" i="84" s="1"/>
  <c r="AK31" i="84"/>
  <c r="AJ31" i="84"/>
  <c r="AI31" i="84"/>
  <c r="AH31" i="84"/>
  <c r="AI32" i="84" s="1"/>
  <c r="AF31" i="84"/>
  <c r="AE31" i="84"/>
  <c r="AD31" i="84"/>
  <c r="AE32" i="84" s="1"/>
  <c r="AB31" i="84"/>
  <c r="Z31" i="84"/>
  <c r="X31" i="84"/>
  <c r="V31" i="84"/>
  <c r="W32" i="84" s="1"/>
  <c r="S31" i="84"/>
  <c r="R31" i="84"/>
  <c r="Q31" i="84"/>
  <c r="P31" i="84"/>
  <c r="O31" i="84"/>
  <c r="N31" i="84"/>
  <c r="M31" i="84"/>
  <c r="L31" i="84"/>
  <c r="D31" i="84"/>
  <c r="CI30" i="84"/>
  <c r="CH30" i="84"/>
  <c r="CG30" i="84"/>
  <c r="CF30" i="84"/>
  <c r="CE30" i="84"/>
  <c r="CD30" i="84"/>
  <c r="CC30" i="84"/>
  <c r="CB30" i="84"/>
  <c r="CA30" i="84"/>
  <c r="BX30" i="84"/>
  <c r="BW30" i="84"/>
  <c r="BV30" i="84"/>
  <c r="BU30" i="84"/>
  <c r="BT30" i="84"/>
  <c r="BS30" i="84"/>
  <c r="BR30" i="84"/>
  <c r="BQ30" i="84"/>
  <c r="BP30" i="84"/>
  <c r="BD30" i="84"/>
  <c r="BC30" i="84"/>
  <c r="BA30" i="84"/>
  <c r="AY30" i="84"/>
  <c r="AX30" i="84"/>
  <c r="AW30" i="84"/>
  <c r="AX31" i="84" s="1"/>
  <c r="AU30" i="84"/>
  <c r="BE30" i="84" s="1"/>
  <c r="AS30" i="84"/>
  <c r="AT31" i="84" s="1"/>
  <c r="AQ30" i="84"/>
  <c r="AO30" i="84"/>
  <c r="AP31" i="84" s="1"/>
  <c r="AM30" i="84"/>
  <c r="AK30" i="84"/>
  <c r="AL31" i="84" s="1"/>
  <c r="AJ30" i="84"/>
  <c r="AH30" i="84"/>
  <c r="AG30" i="84"/>
  <c r="AF30" i="84"/>
  <c r="AG31" i="84" s="1"/>
  <c r="AD30" i="84"/>
  <c r="AC30" i="84"/>
  <c r="AB30" i="84"/>
  <c r="AC31" i="84" s="1"/>
  <c r="Z30" i="84"/>
  <c r="X30" i="84"/>
  <c r="Y31" i="84" s="1"/>
  <c r="V30" i="84"/>
  <c r="S30" i="84"/>
  <c r="R30" i="84"/>
  <c r="Q30" i="84"/>
  <c r="P30" i="84"/>
  <c r="O30" i="84"/>
  <c r="N30" i="84"/>
  <c r="M30" i="84"/>
  <c r="L30" i="84"/>
  <c r="D30" i="84"/>
  <c r="CI29" i="84"/>
  <c r="CH29" i="84"/>
  <c r="CG29" i="84"/>
  <c r="CF29" i="84"/>
  <c r="CE29" i="84"/>
  <c r="CD29" i="84"/>
  <c r="CC29" i="84"/>
  <c r="CB29" i="84"/>
  <c r="CA29" i="84"/>
  <c r="BX29" i="84"/>
  <c r="BW29" i="84"/>
  <c r="BV29" i="84"/>
  <c r="BU29" i="84"/>
  <c r="BT29" i="84"/>
  <c r="BS29" i="84"/>
  <c r="BR29" i="84"/>
  <c r="BQ29" i="84"/>
  <c r="BP29" i="84"/>
  <c r="BD29" i="84"/>
  <c r="BC29" i="84"/>
  <c r="BA29" i="84"/>
  <c r="BB30" i="84" s="1"/>
  <c r="AY29" i="84"/>
  <c r="AX29" i="84"/>
  <c r="AW29" i="84"/>
  <c r="AU29" i="84"/>
  <c r="BE29" i="84" s="1"/>
  <c r="AT29" i="84"/>
  <c r="AS29" i="84"/>
  <c r="AQ29" i="84"/>
  <c r="AR30" i="84" s="1"/>
  <c r="AP29" i="84"/>
  <c r="AO29" i="84"/>
  <c r="AM29" i="84"/>
  <c r="AN30" i="84" s="1"/>
  <c r="AL29" i="84"/>
  <c r="AK29" i="84"/>
  <c r="AJ29" i="84"/>
  <c r="AI29" i="84"/>
  <c r="AH29" i="84"/>
  <c r="AI30" i="84" s="1"/>
  <c r="AG29" i="84"/>
  <c r="AF29" i="84"/>
  <c r="AE29" i="84"/>
  <c r="AD29" i="84"/>
  <c r="AE30" i="84" s="1"/>
  <c r="AC29" i="84"/>
  <c r="AB29" i="84"/>
  <c r="Z29" i="84"/>
  <c r="Y29" i="84"/>
  <c r="X29" i="84"/>
  <c r="V29" i="84"/>
  <c r="W30" i="84" s="1"/>
  <c r="T29" i="84"/>
  <c r="S29" i="84"/>
  <c r="R29" i="84"/>
  <c r="Q29" i="84"/>
  <c r="P29" i="84"/>
  <c r="O29" i="84"/>
  <c r="N29" i="84"/>
  <c r="M29" i="84"/>
  <c r="L29" i="84"/>
  <c r="D29" i="84"/>
  <c r="CI28" i="84"/>
  <c r="CH28" i="84"/>
  <c r="CG28" i="84"/>
  <c r="CF28" i="84"/>
  <c r="CE28" i="84"/>
  <c r="CD28" i="84"/>
  <c r="CC28" i="84"/>
  <c r="CB28" i="84"/>
  <c r="CA28" i="84"/>
  <c r="BX28" i="84"/>
  <c r="BW28" i="84"/>
  <c r="BV28" i="84"/>
  <c r="BU28" i="84"/>
  <c r="BT28" i="84"/>
  <c r="BS28" i="84"/>
  <c r="BR28" i="84"/>
  <c r="BQ28" i="84"/>
  <c r="BP28" i="84"/>
  <c r="BD28" i="84"/>
  <c r="BC28" i="84"/>
  <c r="BA28" i="84"/>
  <c r="BB28" i="84" s="1"/>
  <c r="AY28" i="84"/>
  <c r="AW28" i="84"/>
  <c r="AU28" i="84"/>
  <c r="BE28" i="84" s="1"/>
  <c r="AS28" i="84"/>
  <c r="AQ28" i="84"/>
  <c r="AR28" i="84" s="1"/>
  <c r="AO28" i="84"/>
  <c r="AM28" i="84"/>
  <c r="AN28" i="84" s="1"/>
  <c r="AK28" i="84"/>
  <c r="AJ28" i="84"/>
  <c r="AI28" i="84"/>
  <c r="AH28" i="84"/>
  <c r="AF28" i="84"/>
  <c r="AE28" i="84"/>
  <c r="AD28" i="84"/>
  <c r="AB28" i="84"/>
  <c r="Z28" i="84"/>
  <c r="X28" i="84"/>
  <c r="V28" i="84"/>
  <c r="W28" i="84" s="1"/>
  <c r="S28" i="84"/>
  <c r="R28" i="84"/>
  <c r="Q28" i="84"/>
  <c r="P28" i="84"/>
  <c r="O28" i="84"/>
  <c r="N28" i="84"/>
  <c r="M28" i="84"/>
  <c r="L28" i="84"/>
  <c r="D28" i="84"/>
  <c r="CI27" i="84"/>
  <c r="CH27" i="84"/>
  <c r="CG27" i="84"/>
  <c r="CF27" i="84"/>
  <c r="CE27" i="84"/>
  <c r="CD27" i="84"/>
  <c r="CC27" i="84"/>
  <c r="CB27" i="84"/>
  <c r="CA27" i="84"/>
  <c r="BX27" i="84"/>
  <c r="BW27" i="84"/>
  <c r="BV27" i="84"/>
  <c r="BU27" i="84"/>
  <c r="BT27" i="84"/>
  <c r="BS27" i="84"/>
  <c r="BR27" i="84"/>
  <c r="BQ27" i="84"/>
  <c r="BP27" i="84"/>
  <c r="BD27" i="84"/>
  <c r="BC27" i="84"/>
  <c r="BB27" i="84"/>
  <c r="BA27" i="84"/>
  <c r="AY27" i="84"/>
  <c r="AX27" i="84"/>
  <c r="AW27" i="84"/>
  <c r="AX28" i="84" s="1"/>
  <c r="AU27" i="84"/>
  <c r="BE27" i="84" s="1"/>
  <c r="AS27" i="84"/>
  <c r="AT28" i="84" s="1"/>
  <c r="AR27" i="84"/>
  <c r="AQ27" i="84"/>
  <c r="AO27" i="84"/>
  <c r="AP28" i="84" s="1"/>
  <c r="AN27" i="84"/>
  <c r="AM27" i="84"/>
  <c r="AK27" i="84"/>
  <c r="AL28" i="84" s="1"/>
  <c r="AJ27" i="84"/>
  <c r="AI27" i="84"/>
  <c r="AH27" i="84"/>
  <c r="AG27" i="84"/>
  <c r="AF27" i="84"/>
  <c r="AG28" i="84" s="1"/>
  <c r="AE27" i="84"/>
  <c r="AD27" i="84"/>
  <c r="AC27" i="84"/>
  <c r="AB27" i="84"/>
  <c r="AC28" i="84" s="1"/>
  <c r="Z27" i="84"/>
  <c r="X27" i="84"/>
  <c r="Y28" i="84" s="1"/>
  <c r="W27" i="84"/>
  <c r="V27" i="84"/>
  <c r="S27" i="84"/>
  <c r="R27" i="84"/>
  <c r="Q27" i="84"/>
  <c r="P27" i="84"/>
  <c r="O27" i="84"/>
  <c r="N27" i="84"/>
  <c r="M27" i="84"/>
  <c r="L27" i="84"/>
  <c r="D27" i="84"/>
  <c r="CI26" i="84"/>
  <c r="CH26" i="84"/>
  <c r="CG26" i="84"/>
  <c r="CF26" i="84"/>
  <c r="CE26" i="84"/>
  <c r="CD26" i="84"/>
  <c r="CC26" i="84"/>
  <c r="CB26" i="84"/>
  <c r="CA26" i="84"/>
  <c r="BX26" i="84"/>
  <c r="BW26" i="84"/>
  <c r="BV26" i="84"/>
  <c r="BU26" i="84"/>
  <c r="BT26" i="84"/>
  <c r="BS26" i="84"/>
  <c r="BR26" i="84"/>
  <c r="BQ26" i="84"/>
  <c r="BP26" i="84"/>
  <c r="BD26" i="84"/>
  <c r="BC26" i="84"/>
  <c r="BA26" i="84"/>
  <c r="AY26" i="84"/>
  <c r="AX26" i="84"/>
  <c r="AW26" i="84"/>
  <c r="AU26" i="84"/>
  <c r="BE26" i="84" s="1"/>
  <c r="AS26" i="84"/>
  <c r="AT26" i="84" s="1"/>
  <c r="AQ26" i="84"/>
  <c r="AO26" i="84"/>
  <c r="AP26" i="84" s="1"/>
  <c r="AM26" i="84"/>
  <c r="AK26" i="84"/>
  <c r="AL26" i="84" s="1"/>
  <c r="AJ26" i="84"/>
  <c r="AH26" i="84"/>
  <c r="AG26" i="84"/>
  <c r="AF26" i="84"/>
  <c r="AD26" i="84"/>
  <c r="AC26" i="84"/>
  <c r="AB26" i="84"/>
  <c r="Z26" i="84"/>
  <c r="X26" i="84"/>
  <c r="Y26" i="84" s="1"/>
  <c r="V26" i="84"/>
  <c r="S26" i="84"/>
  <c r="R26" i="84"/>
  <c r="Q26" i="84"/>
  <c r="P26" i="84"/>
  <c r="O26" i="84"/>
  <c r="N26" i="84"/>
  <c r="M26" i="84"/>
  <c r="L26" i="84"/>
  <c r="D26" i="84"/>
  <c r="A26" i="84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CI25" i="84"/>
  <c r="CH25" i="84"/>
  <c r="CG25" i="84"/>
  <c r="CF25" i="84"/>
  <c r="CE25" i="84"/>
  <c r="CD25" i="84"/>
  <c r="CC25" i="84"/>
  <c r="CB25" i="84"/>
  <c r="CA25" i="84"/>
  <c r="BX25" i="84"/>
  <c r="BW25" i="84"/>
  <c r="BV25" i="84"/>
  <c r="BU25" i="84"/>
  <c r="BT25" i="84"/>
  <c r="BS25" i="84"/>
  <c r="BR25" i="84"/>
  <c r="BQ25" i="84"/>
  <c r="BP25" i="84"/>
  <c r="BD25" i="84"/>
  <c r="BC25" i="84"/>
  <c r="BA25" i="84"/>
  <c r="BB26" i="84" s="1"/>
  <c r="AY25" i="84"/>
  <c r="AW25" i="84"/>
  <c r="AU25" i="84"/>
  <c r="BE25" i="84" s="1"/>
  <c r="AT25" i="84"/>
  <c r="AS25" i="84"/>
  <c r="AQ25" i="84"/>
  <c r="AR26" i="84" s="1"/>
  <c r="AP25" i="84"/>
  <c r="AO25" i="84"/>
  <c r="AM25" i="84"/>
  <c r="AN26" i="84" s="1"/>
  <c r="AL25" i="84"/>
  <c r="AK25" i="84"/>
  <c r="AJ25" i="84"/>
  <c r="AI25" i="84"/>
  <c r="AH25" i="84"/>
  <c r="AI26" i="84" s="1"/>
  <c r="AF25" i="84"/>
  <c r="AE25" i="84"/>
  <c r="AD25" i="84"/>
  <c r="AE26" i="84" s="1"/>
  <c r="AB25" i="84"/>
  <c r="Z25" i="84"/>
  <c r="Y25" i="84"/>
  <c r="X25" i="84"/>
  <c r="V25" i="84"/>
  <c r="W26" i="84" s="1"/>
  <c r="S25" i="84"/>
  <c r="R25" i="84"/>
  <c r="Q25" i="84"/>
  <c r="P25" i="84"/>
  <c r="O25" i="84"/>
  <c r="N25" i="84"/>
  <c r="M25" i="84"/>
  <c r="L25" i="84"/>
  <c r="D25" i="84"/>
  <c r="A25" i="84"/>
  <c r="CI24" i="84"/>
  <c r="CH24" i="84"/>
  <c r="CG24" i="84"/>
  <c r="CF24" i="84"/>
  <c r="CE24" i="84"/>
  <c r="CD24" i="84"/>
  <c r="CC24" i="84"/>
  <c r="CB24" i="84"/>
  <c r="CA24" i="84"/>
  <c r="BX24" i="84"/>
  <c r="BW24" i="84"/>
  <c r="BV24" i="84"/>
  <c r="BU24" i="84"/>
  <c r="BT24" i="84"/>
  <c r="BS24" i="84"/>
  <c r="BR24" i="84"/>
  <c r="BQ24" i="84"/>
  <c r="BP24" i="84"/>
  <c r="BD24" i="84"/>
  <c r="BC24" i="84"/>
  <c r="BB24" i="84"/>
  <c r="BA24" i="84"/>
  <c r="AY24" i="84"/>
  <c r="AW24" i="84"/>
  <c r="AX25" i="84" s="1"/>
  <c r="AU24" i="84"/>
  <c r="BE24" i="84" s="1"/>
  <c r="AT24" i="84"/>
  <c r="AS24" i="84"/>
  <c r="AR24" i="84"/>
  <c r="AQ24" i="84"/>
  <c r="AP24" i="84"/>
  <c r="AO24" i="84"/>
  <c r="AN24" i="84"/>
  <c r="AM24" i="84"/>
  <c r="AL24" i="84"/>
  <c r="AK24" i="84"/>
  <c r="AJ24" i="84"/>
  <c r="AI24" i="84"/>
  <c r="AH24" i="84"/>
  <c r="AF24" i="84"/>
  <c r="AG25" i="84" s="1"/>
  <c r="AE24" i="84"/>
  <c r="AD24" i="84"/>
  <c r="AB24" i="84"/>
  <c r="AC25" i="84" s="1"/>
  <c r="Z24" i="84"/>
  <c r="Y24" i="84"/>
  <c r="X24" i="84"/>
  <c r="W24" i="84"/>
  <c r="V24" i="84"/>
  <c r="S24" i="84"/>
  <c r="R24" i="84"/>
  <c r="Q24" i="84"/>
  <c r="P24" i="84"/>
  <c r="O24" i="84"/>
  <c r="N24" i="84"/>
  <c r="M24" i="84"/>
  <c r="L24" i="84"/>
  <c r="D24" i="84"/>
  <c r="CI23" i="84"/>
  <c r="CH23" i="84"/>
  <c r="CG23" i="84"/>
  <c r="CF23" i="84"/>
  <c r="CE23" i="84"/>
  <c r="CD23" i="84"/>
  <c r="CC23" i="84"/>
  <c r="CB23" i="84"/>
  <c r="CA23" i="84"/>
  <c r="BX23" i="84"/>
  <c r="BW23" i="84"/>
  <c r="BV23" i="84"/>
  <c r="BU23" i="84"/>
  <c r="BT23" i="84"/>
  <c r="BS23" i="84"/>
  <c r="BR23" i="84"/>
  <c r="BQ23" i="84"/>
  <c r="BP23" i="84"/>
  <c r="BD23" i="84"/>
  <c r="BC23" i="84"/>
  <c r="BB23" i="84"/>
  <c r="BA23" i="84"/>
  <c r="AY23" i="84"/>
  <c r="AW23" i="84"/>
  <c r="AX23" i="84" s="1"/>
  <c r="AU23" i="84"/>
  <c r="BE23" i="84" s="1"/>
  <c r="AT23" i="84"/>
  <c r="AS23" i="84"/>
  <c r="AR23" i="84"/>
  <c r="AQ23" i="84"/>
  <c r="AP23" i="84"/>
  <c r="AO23" i="84"/>
  <c r="AN23" i="84"/>
  <c r="AM23" i="84"/>
  <c r="AL23" i="84"/>
  <c r="AK23" i="84"/>
  <c r="AJ23" i="84"/>
  <c r="AI23" i="84"/>
  <c r="AH23" i="84"/>
  <c r="AF23" i="84"/>
  <c r="AG23" i="84" s="1"/>
  <c r="AE23" i="84"/>
  <c r="AD23" i="84"/>
  <c r="AB23" i="84"/>
  <c r="AC23" i="84" s="1"/>
  <c r="Z23" i="84"/>
  <c r="Y23" i="84"/>
  <c r="X23" i="84"/>
  <c r="W23" i="84"/>
  <c r="V23" i="84"/>
  <c r="S23" i="84"/>
  <c r="R23" i="84"/>
  <c r="Q23" i="84"/>
  <c r="P23" i="84"/>
  <c r="O23" i="84"/>
  <c r="N23" i="84"/>
  <c r="M23" i="84"/>
  <c r="L23" i="84"/>
  <c r="D23" i="84"/>
  <c r="CI22" i="84"/>
  <c r="CH22" i="84"/>
  <c r="CG22" i="84"/>
  <c r="CF22" i="84"/>
  <c r="CE22" i="84"/>
  <c r="CD22" i="84"/>
  <c r="CC22" i="84"/>
  <c r="CB22" i="84"/>
  <c r="CA22" i="84"/>
  <c r="BX22" i="84"/>
  <c r="BW22" i="84"/>
  <c r="BV22" i="84"/>
  <c r="BU22" i="84"/>
  <c r="BT22" i="84"/>
  <c r="BS22" i="84"/>
  <c r="BR22" i="84"/>
  <c r="BQ22" i="84"/>
  <c r="BP22" i="84"/>
  <c r="BD22" i="84"/>
  <c r="BC22" i="84"/>
  <c r="BB22" i="84"/>
  <c r="BA22" i="84"/>
  <c r="AY22" i="84"/>
  <c r="AW22" i="84"/>
  <c r="AX22" i="84" s="1"/>
  <c r="AU22" i="84"/>
  <c r="BE22" i="84" s="1"/>
  <c r="AT22" i="84"/>
  <c r="AS22" i="84"/>
  <c r="AR22" i="84"/>
  <c r="AQ22" i="84"/>
  <c r="AP22" i="84"/>
  <c r="AO22" i="84"/>
  <c r="AN22" i="84"/>
  <c r="AM22" i="84"/>
  <c r="AL22" i="84"/>
  <c r="AK22" i="84"/>
  <c r="AJ22" i="84"/>
  <c r="AI22" i="84"/>
  <c r="AH22" i="84"/>
  <c r="AF22" i="84"/>
  <c r="AG22" i="84" s="1"/>
  <c r="AE22" i="84"/>
  <c r="AD22" i="84"/>
  <c r="AB22" i="84"/>
  <c r="AC22" i="84" s="1"/>
  <c r="Z22" i="84"/>
  <c r="Y22" i="84"/>
  <c r="X22" i="84"/>
  <c r="W22" i="84"/>
  <c r="V22" i="84"/>
  <c r="S22" i="84"/>
  <c r="R22" i="84"/>
  <c r="Q22" i="84"/>
  <c r="P22" i="84"/>
  <c r="O22" i="84"/>
  <c r="N22" i="84"/>
  <c r="M22" i="84"/>
  <c r="L22" i="84"/>
  <c r="D22" i="84"/>
  <c r="CI21" i="84"/>
  <c r="CH21" i="84"/>
  <c r="CG21" i="84"/>
  <c r="CF21" i="84"/>
  <c r="CE21" i="84"/>
  <c r="CD21" i="84"/>
  <c r="CC21" i="84"/>
  <c r="CB21" i="84"/>
  <c r="CA21" i="84"/>
  <c r="BX21" i="84"/>
  <c r="BW21" i="84"/>
  <c r="BV21" i="84"/>
  <c r="BU21" i="84"/>
  <c r="BT21" i="84"/>
  <c r="BS21" i="84"/>
  <c r="BR21" i="84"/>
  <c r="BQ21" i="84"/>
  <c r="BP21" i="84"/>
  <c r="BD21" i="84"/>
  <c r="BC21" i="84"/>
  <c r="BB21" i="84"/>
  <c r="BA21" i="84"/>
  <c r="AY21" i="84"/>
  <c r="AW21" i="84"/>
  <c r="AX21" i="84" s="1"/>
  <c r="AU21" i="84"/>
  <c r="BE21" i="84" s="1"/>
  <c r="AT21" i="84"/>
  <c r="AS21" i="84"/>
  <c r="AR21" i="84"/>
  <c r="AQ21" i="84"/>
  <c r="AP21" i="84"/>
  <c r="AO21" i="84"/>
  <c r="AN21" i="84"/>
  <c r="AM21" i="84"/>
  <c r="AL21" i="84"/>
  <c r="AK21" i="84"/>
  <c r="AJ21" i="84"/>
  <c r="AI21" i="84"/>
  <c r="AH21" i="84"/>
  <c r="AF21" i="84"/>
  <c r="AG21" i="84" s="1"/>
  <c r="AE21" i="84"/>
  <c r="AD21" i="84"/>
  <c r="AB21" i="84"/>
  <c r="AC21" i="84" s="1"/>
  <c r="Z21" i="84"/>
  <c r="Y21" i="84"/>
  <c r="X21" i="84"/>
  <c r="W21" i="84"/>
  <c r="V21" i="84"/>
  <c r="S21" i="84"/>
  <c r="R21" i="84"/>
  <c r="Q21" i="84"/>
  <c r="P21" i="84"/>
  <c r="O21" i="84"/>
  <c r="N21" i="84"/>
  <c r="M21" i="84"/>
  <c r="L21" i="84"/>
  <c r="D21" i="84"/>
  <c r="CI20" i="84"/>
  <c r="CH20" i="84"/>
  <c r="CG20" i="84"/>
  <c r="CF20" i="84"/>
  <c r="CE20" i="84"/>
  <c r="CD20" i="84"/>
  <c r="CC20" i="84"/>
  <c r="CB20" i="84"/>
  <c r="CA20" i="84"/>
  <c r="BX20" i="84"/>
  <c r="BW20" i="84"/>
  <c r="BV20" i="84"/>
  <c r="BU20" i="84"/>
  <c r="BT20" i="84"/>
  <c r="BS20" i="84"/>
  <c r="BR20" i="84"/>
  <c r="BQ20" i="84"/>
  <c r="BP20" i="84"/>
  <c r="BD20" i="84"/>
  <c r="BC20" i="84"/>
  <c r="BB20" i="84"/>
  <c r="BA20" i="84"/>
  <c r="AY20" i="84"/>
  <c r="AW20" i="84"/>
  <c r="AX20" i="84" s="1"/>
  <c r="AU20" i="84"/>
  <c r="BE20" i="84" s="1"/>
  <c r="AT20" i="84"/>
  <c r="AS20" i="84"/>
  <c r="AR20" i="84"/>
  <c r="AQ20" i="84"/>
  <c r="AP20" i="84"/>
  <c r="AO20" i="84"/>
  <c r="AN20" i="84"/>
  <c r="AM20" i="84"/>
  <c r="AL20" i="84"/>
  <c r="AK20" i="84"/>
  <c r="AJ20" i="84"/>
  <c r="AI20" i="84"/>
  <c r="AH20" i="84"/>
  <c r="AF20" i="84"/>
  <c r="AG20" i="84" s="1"/>
  <c r="AE20" i="84"/>
  <c r="AD20" i="84"/>
  <c r="AB20" i="84"/>
  <c r="AC20" i="84" s="1"/>
  <c r="Z20" i="84"/>
  <c r="Y20" i="84"/>
  <c r="X20" i="84"/>
  <c r="W20" i="84"/>
  <c r="V20" i="84"/>
  <c r="S20" i="84"/>
  <c r="R20" i="84"/>
  <c r="Q20" i="84"/>
  <c r="P20" i="84"/>
  <c r="O20" i="84"/>
  <c r="N20" i="84"/>
  <c r="M20" i="84"/>
  <c r="L20" i="84"/>
  <c r="D20" i="84"/>
  <c r="CI19" i="84"/>
  <c r="CH19" i="84"/>
  <c r="CG19" i="84"/>
  <c r="CF19" i="84"/>
  <c r="CE19" i="84"/>
  <c r="CD19" i="84"/>
  <c r="CC19" i="84"/>
  <c r="CB19" i="84"/>
  <c r="CA19" i="84"/>
  <c r="BX19" i="84"/>
  <c r="BW19" i="84"/>
  <c r="BV19" i="84"/>
  <c r="BU19" i="84"/>
  <c r="BT19" i="84"/>
  <c r="BS19" i="84"/>
  <c r="BR19" i="84"/>
  <c r="BQ19" i="84"/>
  <c r="BP19" i="84"/>
  <c r="BD19" i="84"/>
  <c r="BC19" i="84"/>
  <c r="BB19" i="84"/>
  <c r="BA19" i="84"/>
  <c r="AY19" i="84"/>
  <c r="AW19" i="84"/>
  <c r="AX19" i="84" s="1"/>
  <c r="AU19" i="84"/>
  <c r="BE19" i="84" s="1"/>
  <c r="AT19" i="84"/>
  <c r="AS19" i="84"/>
  <c r="AR19" i="84"/>
  <c r="AQ19" i="84"/>
  <c r="AP19" i="84"/>
  <c r="AO19" i="84"/>
  <c r="AN19" i="84"/>
  <c r="AM19" i="84"/>
  <c r="AL19" i="84"/>
  <c r="AK19" i="84"/>
  <c r="AJ19" i="84"/>
  <c r="AI19" i="84"/>
  <c r="AH19" i="84"/>
  <c r="AF19" i="84"/>
  <c r="AG19" i="84" s="1"/>
  <c r="AE19" i="84"/>
  <c r="AD19" i="84"/>
  <c r="AB19" i="84"/>
  <c r="AC19" i="84" s="1"/>
  <c r="Z19" i="84"/>
  <c r="Y19" i="84"/>
  <c r="X19" i="84"/>
  <c r="W19" i="84"/>
  <c r="V19" i="84"/>
  <c r="S19" i="84"/>
  <c r="R19" i="84"/>
  <c r="Q19" i="84"/>
  <c r="P19" i="84"/>
  <c r="O19" i="84"/>
  <c r="N19" i="84"/>
  <c r="M19" i="84"/>
  <c r="L19" i="84"/>
  <c r="D19" i="84"/>
  <c r="CI18" i="84"/>
  <c r="CH18" i="84"/>
  <c r="CG18" i="84"/>
  <c r="CF18" i="84"/>
  <c r="CE18" i="84"/>
  <c r="CD18" i="84"/>
  <c r="CC18" i="84"/>
  <c r="CB18" i="84"/>
  <c r="CA18" i="84"/>
  <c r="BX18" i="84"/>
  <c r="BW18" i="84"/>
  <c r="BV18" i="84"/>
  <c r="BU18" i="84"/>
  <c r="BT18" i="84"/>
  <c r="BS18" i="84"/>
  <c r="BR18" i="84"/>
  <c r="BQ18" i="84"/>
  <c r="BP18" i="84"/>
  <c r="BD18" i="84"/>
  <c r="BC18" i="84"/>
  <c r="BB18" i="84"/>
  <c r="BA18" i="84"/>
  <c r="AY18" i="84"/>
  <c r="AW18" i="84"/>
  <c r="AX18" i="84" s="1"/>
  <c r="AU18" i="84"/>
  <c r="BE18" i="84" s="1"/>
  <c r="AT18" i="84"/>
  <c r="AS18" i="84"/>
  <c r="AR18" i="84"/>
  <c r="AQ18" i="84"/>
  <c r="AP18" i="84"/>
  <c r="AO18" i="84"/>
  <c r="AN18" i="84"/>
  <c r="AM18" i="84"/>
  <c r="AL18" i="84"/>
  <c r="AK18" i="84"/>
  <c r="AJ18" i="84"/>
  <c r="AI18" i="84"/>
  <c r="AH18" i="84"/>
  <c r="AF18" i="84"/>
  <c r="AE18" i="84"/>
  <c r="AD18" i="84"/>
  <c r="AB18" i="84"/>
  <c r="Z18" i="84"/>
  <c r="Y18" i="84"/>
  <c r="X18" i="84"/>
  <c r="W18" i="84"/>
  <c r="V18" i="84"/>
  <c r="S18" i="84"/>
  <c r="R18" i="84"/>
  <c r="Q18" i="84"/>
  <c r="P18" i="84"/>
  <c r="O18" i="84"/>
  <c r="N18" i="84"/>
  <c r="M18" i="84"/>
  <c r="L18" i="84"/>
  <c r="D18" i="84"/>
  <c r="CI17" i="84"/>
  <c r="CH17" i="84"/>
  <c r="CG17" i="84"/>
  <c r="CF17" i="84"/>
  <c r="CE17" i="84"/>
  <c r="CD17" i="84"/>
  <c r="CC17" i="84"/>
  <c r="CB17" i="84"/>
  <c r="CA17" i="84"/>
  <c r="BX17" i="84"/>
  <c r="BW17" i="84"/>
  <c r="BV17" i="84"/>
  <c r="BU17" i="84"/>
  <c r="BT17" i="84"/>
  <c r="BS17" i="84"/>
  <c r="BR17" i="84"/>
  <c r="BQ17" i="84"/>
  <c r="BP17" i="84"/>
  <c r="BD17" i="84"/>
  <c r="BC17" i="84"/>
  <c r="BB17" i="84"/>
  <c r="BA17" i="84"/>
  <c r="AY17" i="84"/>
  <c r="AW17" i="84"/>
  <c r="AU17" i="84"/>
  <c r="BE17" i="84" s="1"/>
  <c r="AS17" i="84"/>
  <c r="AR17" i="84"/>
  <c r="AQ17" i="84"/>
  <c r="AO17" i="84"/>
  <c r="AN17" i="84"/>
  <c r="AM17" i="84"/>
  <c r="AK17" i="84"/>
  <c r="AJ17" i="84"/>
  <c r="AI17" i="84"/>
  <c r="AH17" i="84"/>
  <c r="AF17" i="84"/>
  <c r="AE17" i="84"/>
  <c r="AD17" i="84"/>
  <c r="AB17" i="84"/>
  <c r="AC17" i="84" s="1"/>
  <c r="Z17" i="84"/>
  <c r="X17" i="84"/>
  <c r="W17" i="84"/>
  <c r="V17" i="84"/>
  <c r="S17" i="84"/>
  <c r="R17" i="84"/>
  <c r="Q17" i="84"/>
  <c r="P17" i="84"/>
  <c r="O17" i="84"/>
  <c r="N17" i="84"/>
  <c r="M17" i="84"/>
  <c r="L17" i="84"/>
  <c r="D17" i="84"/>
  <c r="CI16" i="84"/>
  <c r="CH16" i="84"/>
  <c r="CG16" i="84"/>
  <c r="CF16" i="84"/>
  <c r="CE16" i="84"/>
  <c r="CD16" i="84"/>
  <c r="CC16" i="84"/>
  <c r="CB16" i="84"/>
  <c r="CA16" i="84"/>
  <c r="BX16" i="84"/>
  <c r="BW16" i="84"/>
  <c r="BV16" i="84"/>
  <c r="BU16" i="84"/>
  <c r="BT16" i="84"/>
  <c r="BS16" i="84"/>
  <c r="BR16" i="84"/>
  <c r="BQ16" i="84"/>
  <c r="BP16" i="84"/>
  <c r="BD16" i="84"/>
  <c r="BC16" i="84"/>
  <c r="BB16" i="84"/>
  <c r="BA16" i="84"/>
  <c r="AY16" i="84"/>
  <c r="AW16" i="84"/>
  <c r="AU16" i="84"/>
  <c r="BE16" i="84" s="1"/>
  <c r="AS16" i="84"/>
  <c r="AT17" i="84" s="1"/>
  <c r="AR16" i="84"/>
  <c r="AQ16" i="84"/>
  <c r="AO16" i="84"/>
  <c r="AP17" i="84" s="1"/>
  <c r="AN16" i="84"/>
  <c r="AM16" i="84"/>
  <c r="AK16" i="84"/>
  <c r="AL17" i="84" s="1"/>
  <c r="AJ16" i="84"/>
  <c r="AI16" i="84"/>
  <c r="AH16" i="84"/>
  <c r="AF16" i="84"/>
  <c r="AG16" i="84" s="1"/>
  <c r="AE16" i="84"/>
  <c r="AD16" i="84"/>
  <c r="AB16" i="84"/>
  <c r="Z16" i="84"/>
  <c r="X16" i="84"/>
  <c r="Y17" i="84" s="1"/>
  <c r="W16" i="84"/>
  <c r="V16" i="84"/>
  <c r="S16" i="84"/>
  <c r="R16" i="84"/>
  <c r="Q16" i="84"/>
  <c r="P16" i="84"/>
  <c r="O16" i="84"/>
  <c r="N16" i="84"/>
  <c r="M16" i="84"/>
  <c r="L16" i="84"/>
  <c r="D16" i="84"/>
  <c r="CI15" i="84"/>
  <c r="CH15" i="84"/>
  <c r="CG15" i="84"/>
  <c r="CF15" i="84"/>
  <c r="CE15" i="84"/>
  <c r="CD15" i="84"/>
  <c r="CC15" i="84"/>
  <c r="CB15" i="84"/>
  <c r="CA15" i="84"/>
  <c r="BX15" i="84"/>
  <c r="BW15" i="84"/>
  <c r="BV15" i="84"/>
  <c r="BU15" i="84"/>
  <c r="BT15" i="84"/>
  <c r="BS15" i="84"/>
  <c r="BR15" i="84"/>
  <c r="BQ15" i="84"/>
  <c r="BP15" i="84"/>
  <c r="BD15" i="84"/>
  <c r="BC15" i="84"/>
  <c r="BB15" i="84"/>
  <c r="BA15" i="84"/>
  <c r="AY15" i="84"/>
  <c r="AW15" i="84"/>
  <c r="AX15" i="84" s="1"/>
  <c r="AU15" i="84"/>
  <c r="BE15" i="84" s="1"/>
  <c r="AS15" i="84"/>
  <c r="AT16" i="84" s="1"/>
  <c r="AR15" i="84"/>
  <c r="AQ15" i="84"/>
  <c r="AO15" i="84"/>
  <c r="AP16" i="84" s="1"/>
  <c r="AN15" i="84"/>
  <c r="AM15" i="84"/>
  <c r="AK15" i="84"/>
  <c r="AL16" i="84" s="1"/>
  <c r="AJ15" i="84"/>
  <c r="AH15" i="84"/>
  <c r="AF15" i="84"/>
  <c r="AG15" i="84" s="1"/>
  <c r="AD15" i="84"/>
  <c r="AB15" i="84"/>
  <c r="AC15" i="84" s="1"/>
  <c r="Z15" i="84"/>
  <c r="X15" i="84"/>
  <c r="Y16" i="84" s="1"/>
  <c r="W15" i="84"/>
  <c r="V15" i="84"/>
  <c r="S15" i="84"/>
  <c r="R15" i="84"/>
  <c r="Q15" i="84"/>
  <c r="P15" i="84"/>
  <c r="O15" i="84"/>
  <c r="N15" i="84"/>
  <c r="M15" i="84"/>
  <c r="L15" i="84"/>
  <c r="D15" i="84"/>
  <c r="CI14" i="84"/>
  <c r="CH14" i="84"/>
  <c r="CG14" i="84"/>
  <c r="CF14" i="84"/>
  <c r="CE14" i="84"/>
  <c r="CD14" i="84"/>
  <c r="CC14" i="84"/>
  <c r="CB14" i="84"/>
  <c r="CA14" i="84"/>
  <c r="BZ14" i="84"/>
  <c r="BZ13" i="84" s="1"/>
  <c r="BZ12" i="84" s="1"/>
  <c r="BZ11" i="84" s="1"/>
  <c r="BX14" i="84"/>
  <c r="BW14" i="84"/>
  <c r="BV14" i="84"/>
  <c r="BU14" i="84"/>
  <c r="BT14" i="84"/>
  <c r="BS14" i="84"/>
  <c r="BR14" i="84"/>
  <c r="BQ14" i="84"/>
  <c r="BP14" i="84"/>
  <c r="BO14" i="84"/>
  <c r="BD14" i="84"/>
  <c r="BC14" i="84"/>
  <c r="BA14" i="84"/>
  <c r="AY14" i="84"/>
  <c r="AW14" i="84"/>
  <c r="AU14" i="84"/>
  <c r="BE14" i="84" s="1"/>
  <c r="AT14" i="84"/>
  <c r="AS14" i="84"/>
  <c r="AT15" i="84" s="1"/>
  <c r="AQ14" i="84"/>
  <c r="AP14" i="84"/>
  <c r="AO14" i="84"/>
  <c r="AP15" i="84" s="1"/>
  <c r="AM14" i="84"/>
  <c r="AL14" i="84"/>
  <c r="AK14" i="84"/>
  <c r="AL15" i="84" s="1"/>
  <c r="AJ14" i="84"/>
  <c r="AH14" i="84"/>
  <c r="AF14" i="84"/>
  <c r="AD14" i="84"/>
  <c r="AB14" i="84"/>
  <c r="Z14" i="84"/>
  <c r="Y14" i="84"/>
  <c r="X14" i="84"/>
  <c r="Y15" i="84" s="1"/>
  <c r="V14" i="84"/>
  <c r="S14" i="84"/>
  <c r="R14" i="84"/>
  <c r="Q14" i="84"/>
  <c r="P14" i="84"/>
  <c r="O14" i="84"/>
  <c r="N14" i="84"/>
  <c r="M14" i="84"/>
  <c r="L14" i="84"/>
  <c r="D14" i="84"/>
  <c r="CI13" i="84"/>
  <c r="CH13" i="84"/>
  <c r="CG13" i="84"/>
  <c r="CF13" i="84"/>
  <c r="CE13" i="84"/>
  <c r="CD13" i="84"/>
  <c r="CC13" i="84"/>
  <c r="CB13" i="84"/>
  <c r="CA13" i="84"/>
  <c r="BX13" i="84"/>
  <c r="BW13" i="84"/>
  <c r="BV13" i="84"/>
  <c r="BU13" i="84"/>
  <c r="BT13" i="84"/>
  <c r="BS13" i="84"/>
  <c r="BR13" i="84"/>
  <c r="BQ13" i="84"/>
  <c r="BP13" i="84"/>
  <c r="BO13" i="84"/>
  <c r="BK13" i="84"/>
  <c r="BJ13" i="84"/>
  <c r="BI13" i="84"/>
  <c r="BD13" i="84"/>
  <c r="BC13" i="84"/>
  <c r="BA13" i="84"/>
  <c r="BB14" i="84" s="1"/>
  <c r="AY13" i="84"/>
  <c r="AW13" i="84"/>
  <c r="AX14" i="84" s="1"/>
  <c r="AU13" i="84"/>
  <c r="BE13" i="84" s="1"/>
  <c r="AS13" i="84"/>
  <c r="AQ13" i="84"/>
  <c r="AR14" i="84" s="1"/>
  <c r="AO13" i="84"/>
  <c r="AM13" i="84"/>
  <c r="AN14" i="84" s="1"/>
  <c r="AL13" i="84"/>
  <c r="AK13" i="84"/>
  <c r="AJ13" i="84"/>
  <c r="AH13" i="84"/>
  <c r="AF13" i="84"/>
  <c r="AG14" i="84" s="1"/>
  <c r="AD13" i="84"/>
  <c r="AB13" i="84"/>
  <c r="AC14" i="84" s="1"/>
  <c r="Z13" i="84"/>
  <c r="X13" i="84"/>
  <c r="V13" i="84"/>
  <c r="W14" i="84" s="1"/>
  <c r="S13" i="84"/>
  <c r="R13" i="84"/>
  <c r="Q13" i="84"/>
  <c r="P13" i="84"/>
  <c r="O13" i="84"/>
  <c r="N13" i="84"/>
  <c r="M13" i="84"/>
  <c r="L13" i="84"/>
  <c r="D13" i="84"/>
  <c r="CI12" i="84"/>
  <c r="CH12" i="84"/>
  <c r="CG12" i="84"/>
  <c r="CF12" i="84"/>
  <c r="CE12" i="84"/>
  <c r="CD12" i="84"/>
  <c r="CC12" i="84"/>
  <c r="CB12" i="84"/>
  <c r="CA12" i="84"/>
  <c r="BX12" i="84"/>
  <c r="BW12" i="84"/>
  <c r="BV12" i="84"/>
  <c r="BU12" i="84"/>
  <c r="BT12" i="84"/>
  <c r="BS12" i="84"/>
  <c r="BR12" i="84"/>
  <c r="BQ12" i="84"/>
  <c r="BP12" i="84"/>
  <c r="BO12" i="84"/>
  <c r="BK12" i="84"/>
  <c r="BL12" i="84" s="1"/>
  <c r="BJ12" i="84"/>
  <c r="BI12" i="84"/>
  <c r="BD12" i="84"/>
  <c r="BC12" i="84"/>
  <c r="BA12" i="84"/>
  <c r="BB13" i="84" s="1"/>
  <c r="AY12" i="84"/>
  <c r="AW12" i="84"/>
  <c r="AX13" i="84" s="1"/>
  <c r="AU12" i="84"/>
  <c r="BE12" i="84" s="1"/>
  <c r="AS12" i="84"/>
  <c r="AT13" i="84" s="1"/>
  <c r="AQ12" i="84"/>
  <c r="AR13" i="84" s="1"/>
  <c r="AO12" i="84"/>
  <c r="AP13" i="84" s="1"/>
  <c r="AN12" i="84"/>
  <c r="AM12" i="84"/>
  <c r="AN13" i="84" s="1"/>
  <c r="AK12" i="84"/>
  <c r="AL12" i="84" s="1"/>
  <c r="AJ12" i="84"/>
  <c r="AH12" i="84"/>
  <c r="AF12" i="84"/>
  <c r="AG13" i="84" s="1"/>
  <c r="AD12" i="84"/>
  <c r="AC12" i="84"/>
  <c r="AB12" i="84"/>
  <c r="AC13" i="84" s="1"/>
  <c r="Z12" i="84"/>
  <c r="X12" i="84"/>
  <c r="Y12" i="84" s="1"/>
  <c r="V12" i="84"/>
  <c r="W13" i="84" s="1"/>
  <c r="S12" i="84"/>
  <c r="R12" i="84"/>
  <c r="Q12" i="84"/>
  <c r="P12" i="84"/>
  <c r="O12" i="84"/>
  <c r="N12" i="84"/>
  <c r="M12" i="84"/>
  <c r="L12" i="84"/>
  <c r="D12" i="84"/>
  <c r="CI11" i="84"/>
  <c r="CH11" i="84"/>
  <c r="CG11" i="84"/>
  <c r="CF11" i="84"/>
  <c r="CE11" i="84"/>
  <c r="CD11" i="84"/>
  <c r="CC11" i="84"/>
  <c r="CB11" i="84"/>
  <c r="CA11" i="84"/>
  <c r="BX11" i="84"/>
  <c r="BW11" i="84"/>
  <c r="BV11" i="84"/>
  <c r="BU11" i="84"/>
  <c r="BT11" i="84"/>
  <c r="BS11" i="84"/>
  <c r="BR11" i="84"/>
  <c r="BQ11" i="84"/>
  <c r="BP11" i="84"/>
  <c r="BO11" i="84"/>
  <c r="BJ11" i="84"/>
  <c r="BK11" i="84" s="1"/>
  <c r="BL11" i="84" s="1"/>
  <c r="BI11" i="84"/>
  <c r="BD11" i="84"/>
  <c r="BC11" i="84"/>
  <c r="BA11" i="84"/>
  <c r="BB12" i="84" s="1"/>
  <c r="AY11" i="84"/>
  <c r="AW11" i="84"/>
  <c r="AX12" i="84" s="1"/>
  <c r="AU11" i="84"/>
  <c r="BE11" i="84" s="1"/>
  <c r="AS11" i="84"/>
  <c r="AQ11" i="84"/>
  <c r="AR12" i="84" s="1"/>
  <c r="AO11" i="84"/>
  <c r="AM11" i="84"/>
  <c r="AK11" i="84"/>
  <c r="AJ11" i="84"/>
  <c r="AH11" i="84"/>
  <c r="AF11" i="84"/>
  <c r="AD11" i="84"/>
  <c r="AB11" i="84"/>
  <c r="Z11" i="84"/>
  <c r="X11" i="84"/>
  <c r="V11" i="84"/>
  <c r="W12" i="84" s="1"/>
  <c r="S11" i="84"/>
  <c r="R11" i="84"/>
  <c r="Q11" i="84"/>
  <c r="P11" i="84"/>
  <c r="O11" i="84"/>
  <c r="N11" i="84"/>
  <c r="M11" i="84"/>
  <c r="L11" i="84"/>
  <c r="D11" i="84"/>
  <c r="CI10" i="84"/>
  <c r="CH10" i="84"/>
  <c r="CG10" i="84"/>
  <c r="CF10" i="84"/>
  <c r="CE10" i="84"/>
  <c r="CD10" i="84"/>
  <c r="CC10" i="84"/>
  <c r="CB10" i="84"/>
  <c r="CA10" i="84"/>
  <c r="BZ10" i="84"/>
  <c r="BZ9" i="84" s="1"/>
  <c r="BZ8" i="84" s="1"/>
  <c r="BZ7" i="84" s="1"/>
  <c r="BZ6" i="84" s="1"/>
  <c r="BZ5" i="84" s="1"/>
  <c r="BX10" i="84"/>
  <c r="BW10" i="84"/>
  <c r="BV10" i="84"/>
  <c r="BU10" i="84"/>
  <c r="BT10" i="84"/>
  <c r="BS10" i="84"/>
  <c r="BR10" i="84"/>
  <c r="BQ10" i="84"/>
  <c r="BP10" i="84"/>
  <c r="BO10" i="84"/>
  <c r="BO9" i="84" s="1"/>
  <c r="BO8" i="84" s="1"/>
  <c r="BO7" i="84" s="1"/>
  <c r="BO6" i="84" s="1"/>
  <c r="BO5" i="84" s="1"/>
  <c r="BJ10" i="84"/>
  <c r="BK10" i="84" s="1"/>
  <c r="BL10" i="84" s="1"/>
  <c r="BI10" i="84"/>
  <c r="BD10" i="84"/>
  <c r="BC10" i="84"/>
  <c r="BA10" i="84"/>
  <c r="AY10" i="84"/>
  <c r="AW10" i="84"/>
  <c r="AU10" i="84"/>
  <c r="BE10" i="84" s="1"/>
  <c r="AS10" i="84"/>
  <c r="AQ10" i="84"/>
  <c r="AO10" i="84"/>
  <c r="AM10" i="84"/>
  <c r="AK10" i="84"/>
  <c r="AJ10" i="84"/>
  <c r="AH10" i="84"/>
  <c r="AF10" i="84"/>
  <c r="AD10" i="84"/>
  <c r="AB10" i="84"/>
  <c r="Z10" i="84"/>
  <c r="X10" i="84"/>
  <c r="V10" i="84"/>
  <c r="S10" i="84"/>
  <c r="R10" i="84"/>
  <c r="Q10" i="84"/>
  <c r="P10" i="84"/>
  <c r="O10" i="84"/>
  <c r="N10" i="84"/>
  <c r="M10" i="84"/>
  <c r="L10" i="84"/>
  <c r="D10" i="84"/>
  <c r="CI9" i="84"/>
  <c r="CH9" i="84"/>
  <c r="CG9" i="84"/>
  <c r="CF9" i="84"/>
  <c r="CE9" i="84"/>
  <c r="CD9" i="84"/>
  <c r="CC9" i="84"/>
  <c r="CB9" i="84"/>
  <c r="CA9" i="84"/>
  <c r="BX9" i="84"/>
  <c r="BW9" i="84"/>
  <c r="BV9" i="84"/>
  <c r="BU9" i="84"/>
  <c r="BT9" i="84"/>
  <c r="BS9" i="84"/>
  <c r="BR9" i="84"/>
  <c r="BQ9" i="84"/>
  <c r="BP9" i="84"/>
  <c r="BJ9" i="84"/>
  <c r="BK9" i="84" s="1"/>
  <c r="BL9" i="84" s="1"/>
  <c r="BI9" i="84"/>
  <c r="BD9" i="84"/>
  <c r="BC9" i="84"/>
  <c r="BA9" i="84"/>
  <c r="AY9" i="84"/>
  <c r="AW9" i="84"/>
  <c r="AU9" i="84"/>
  <c r="BE9" i="84" s="1"/>
  <c r="AS9" i="84"/>
  <c r="AQ9" i="84"/>
  <c r="AO9" i="84"/>
  <c r="AM9" i="84"/>
  <c r="AK9" i="84"/>
  <c r="AJ9" i="84"/>
  <c r="AH9" i="84"/>
  <c r="AF9" i="84"/>
  <c r="AD9" i="84"/>
  <c r="AB9" i="84"/>
  <c r="Z9" i="84"/>
  <c r="X9" i="84"/>
  <c r="V9" i="84"/>
  <c r="S9" i="84"/>
  <c r="R9" i="84"/>
  <c r="Q9" i="84"/>
  <c r="P9" i="84"/>
  <c r="O9" i="84"/>
  <c r="N9" i="84"/>
  <c r="M9" i="84"/>
  <c r="L9" i="84"/>
  <c r="D9" i="84"/>
  <c r="CI8" i="84"/>
  <c r="CH8" i="84"/>
  <c r="CG8" i="84"/>
  <c r="CF8" i="84"/>
  <c r="CE8" i="84"/>
  <c r="CD8" i="84"/>
  <c r="CC8" i="84"/>
  <c r="CB8" i="84"/>
  <c r="CA8" i="84"/>
  <c r="BX8" i="84"/>
  <c r="BW8" i="84"/>
  <c r="BV8" i="84"/>
  <c r="BU8" i="84"/>
  <c r="BT8" i="84"/>
  <c r="BS8" i="84"/>
  <c r="BR8" i="84"/>
  <c r="BQ8" i="84"/>
  <c r="BP8" i="84"/>
  <c r="BJ8" i="84"/>
  <c r="BK8" i="84" s="1"/>
  <c r="BL8" i="84" s="1"/>
  <c r="BI8" i="84"/>
  <c r="BE8" i="84"/>
  <c r="BD8" i="84"/>
  <c r="BC8" i="84"/>
  <c r="BA8" i="84"/>
  <c r="AY8" i="84"/>
  <c r="AW8" i="84"/>
  <c r="AU8" i="84"/>
  <c r="AS8" i="84"/>
  <c r="AQ8" i="84"/>
  <c r="AO8" i="84"/>
  <c r="AM8" i="84"/>
  <c r="AK8" i="84"/>
  <c r="AJ8" i="84"/>
  <c r="AH8" i="84"/>
  <c r="AF8" i="84"/>
  <c r="AD8" i="84"/>
  <c r="AB8" i="84"/>
  <c r="Z8" i="84"/>
  <c r="X8" i="84"/>
  <c r="V8" i="84"/>
  <c r="S8" i="84"/>
  <c r="R8" i="84"/>
  <c r="Q8" i="84"/>
  <c r="P8" i="84"/>
  <c r="O8" i="84"/>
  <c r="N8" i="84"/>
  <c r="M8" i="84"/>
  <c r="L8" i="84"/>
  <c r="D8" i="84"/>
  <c r="CI7" i="84"/>
  <c r="CH7" i="84"/>
  <c r="CG7" i="84"/>
  <c r="CF7" i="84"/>
  <c r="CE7" i="84"/>
  <c r="CD7" i="84"/>
  <c r="CC7" i="84"/>
  <c r="CB7" i="84"/>
  <c r="CA7" i="84"/>
  <c r="BX7" i="84"/>
  <c r="BW7" i="84"/>
  <c r="BV7" i="84"/>
  <c r="BU7" i="84"/>
  <c r="BT7" i="84"/>
  <c r="BS7" i="84"/>
  <c r="BR7" i="84"/>
  <c r="BQ7" i="84"/>
  <c r="BP7" i="84"/>
  <c r="BK7" i="84"/>
  <c r="BL7" i="84" s="1"/>
  <c r="BJ7" i="84"/>
  <c r="BI7" i="84"/>
  <c r="BE7" i="84"/>
  <c r="BD7" i="84"/>
  <c r="BC7" i="84"/>
  <c r="BA7" i="84"/>
  <c r="AY7" i="84"/>
  <c r="AW7" i="84"/>
  <c r="AU7" i="84"/>
  <c r="AS7" i="84"/>
  <c r="AQ7" i="84"/>
  <c r="AO7" i="84"/>
  <c r="AM7" i="84"/>
  <c r="AK7" i="84"/>
  <c r="AJ7" i="84"/>
  <c r="AH7" i="84"/>
  <c r="AF7" i="84"/>
  <c r="AD7" i="84"/>
  <c r="AB7" i="84"/>
  <c r="Z7" i="84"/>
  <c r="X7" i="84"/>
  <c r="V7" i="84"/>
  <c r="S7" i="84"/>
  <c r="R7" i="84"/>
  <c r="Q7" i="84"/>
  <c r="P7" i="84"/>
  <c r="O7" i="84"/>
  <c r="N7" i="84"/>
  <c r="M7" i="84"/>
  <c r="L7" i="84"/>
  <c r="D7" i="84"/>
  <c r="CI6" i="84"/>
  <c r="CH6" i="84"/>
  <c r="CG6" i="84"/>
  <c r="CF6" i="84"/>
  <c r="CE6" i="84"/>
  <c r="CD6" i="84"/>
  <c r="CC6" i="84"/>
  <c r="CB6" i="84"/>
  <c r="CA6" i="84"/>
  <c r="BX6" i="84"/>
  <c r="BW6" i="84"/>
  <c r="BV6" i="84"/>
  <c r="BU6" i="84"/>
  <c r="BT6" i="84"/>
  <c r="BS6" i="84"/>
  <c r="BR6" i="84"/>
  <c r="BQ6" i="84"/>
  <c r="BP6" i="84"/>
  <c r="BJ6" i="84"/>
  <c r="BK6" i="84" s="1"/>
  <c r="BL6" i="84" s="1"/>
  <c r="BI6" i="84"/>
  <c r="BD6" i="84"/>
  <c r="BC6" i="84"/>
  <c r="BA6" i="84"/>
  <c r="AY6" i="84"/>
  <c r="AW6" i="84"/>
  <c r="AU6" i="84"/>
  <c r="BE6" i="84" s="1"/>
  <c r="AS6" i="84"/>
  <c r="AQ6" i="84"/>
  <c r="AO6" i="84"/>
  <c r="AM6" i="84"/>
  <c r="AK6" i="84"/>
  <c r="AJ6" i="84"/>
  <c r="AH6" i="84"/>
  <c r="AF6" i="84"/>
  <c r="AD6" i="84"/>
  <c r="AB6" i="84"/>
  <c r="Z6" i="84"/>
  <c r="X6" i="84"/>
  <c r="V6" i="84"/>
  <c r="S6" i="84"/>
  <c r="R6" i="84"/>
  <c r="Q6" i="84"/>
  <c r="P6" i="84"/>
  <c r="O6" i="84"/>
  <c r="N6" i="84"/>
  <c r="M6" i="84"/>
  <c r="L6" i="84"/>
  <c r="D6" i="84"/>
  <c r="CI5" i="84"/>
  <c r="CH5" i="84"/>
  <c r="CG5" i="84"/>
  <c r="CF5" i="84"/>
  <c r="CE5" i="84"/>
  <c r="CD5" i="84"/>
  <c r="CC5" i="84"/>
  <c r="CB5" i="84"/>
  <c r="CA5" i="84"/>
  <c r="BX5" i="84"/>
  <c r="BW5" i="84"/>
  <c r="BV5" i="84"/>
  <c r="BU5" i="84"/>
  <c r="BT5" i="84"/>
  <c r="BS5" i="84"/>
  <c r="BR5" i="84"/>
  <c r="BQ5" i="84"/>
  <c r="BP5" i="84"/>
  <c r="BJ5" i="84"/>
  <c r="BK5" i="84" s="1"/>
  <c r="BL5" i="84" s="1"/>
  <c r="BI5" i="84"/>
  <c r="S5" i="84"/>
  <c r="R5" i="84"/>
  <c r="Q5" i="84"/>
  <c r="P5" i="84"/>
  <c r="O5" i="84"/>
  <c r="N5" i="84"/>
  <c r="M5" i="84"/>
  <c r="L5" i="84"/>
  <c r="D5" i="84"/>
  <c r="CI4" i="84"/>
  <c r="CH4" i="84"/>
  <c r="CG4" i="84"/>
  <c r="CF4" i="84"/>
  <c r="CE4" i="84"/>
  <c r="CD4" i="84"/>
  <c r="CC4" i="84"/>
  <c r="CB4" i="84"/>
  <c r="CA4" i="84"/>
  <c r="BX4" i="84"/>
  <c r="BW4" i="84"/>
  <c r="BV4" i="84"/>
  <c r="BU4" i="84"/>
  <c r="BT4" i="84"/>
  <c r="BS4" i="84"/>
  <c r="BR4" i="84"/>
  <c r="BQ4" i="84"/>
  <c r="BP4" i="84"/>
  <c r="S4" i="84"/>
  <c r="R4" i="84"/>
  <c r="Q4" i="84"/>
  <c r="P4" i="84"/>
  <c r="O4" i="84"/>
  <c r="N4" i="84"/>
  <c r="M4" i="84"/>
  <c r="L4" i="84"/>
  <c r="D4" i="84"/>
  <c r="AI55" i="82"/>
  <c r="AH55" i="82"/>
  <c r="T55" i="82"/>
  <c r="AI54" i="82"/>
  <c r="AH54" i="82"/>
  <c r="T54" i="82"/>
  <c r="AI53" i="82"/>
  <c r="AH53" i="82"/>
  <c r="T53" i="82"/>
  <c r="AF50" i="82"/>
  <c r="AF49" i="82"/>
  <c r="AI44" i="82"/>
  <c r="AI45" i="82" s="1"/>
  <c r="AI46" i="82" s="1"/>
  <c r="AI47" i="82" s="1"/>
  <c r="AI48" i="82" s="1"/>
  <c r="AI49" i="82" s="1"/>
  <c r="AI50" i="82" s="1"/>
  <c r="AH44" i="82"/>
  <c r="AH45" i="82" s="1"/>
  <c r="AH46" i="82" s="1"/>
  <c r="AH47" i="82" s="1"/>
  <c r="AH48" i="82" s="1"/>
  <c r="AH49" i="82" s="1"/>
  <c r="AH50" i="82" s="1"/>
  <c r="M44" i="82"/>
  <c r="M45" i="82" s="1"/>
  <c r="M46" i="82" s="1"/>
  <c r="M47" i="82" s="1"/>
  <c r="M48" i="82" s="1"/>
  <c r="M49" i="82" s="1"/>
  <c r="M50" i="82" s="1"/>
  <c r="AI43" i="82"/>
  <c r="AH43" i="82"/>
  <c r="AG43" i="82"/>
  <c r="AE43" i="82"/>
  <c r="X43" i="82"/>
  <c r="X44" i="82" s="1"/>
  <c r="X45" i="82" s="1"/>
  <c r="X46" i="82" s="1"/>
  <c r="X47" i="82" s="1"/>
  <c r="X48" i="82" s="1"/>
  <c r="X49" i="82" s="1"/>
  <c r="X50" i="82" s="1"/>
  <c r="U43" i="82"/>
  <c r="AG42" i="82"/>
  <c r="AE42" i="82"/>
  <c r="AD43" i="82"/>
  <c r="AD44" i="82" s="1"/>
  <c r="AD45" i="82" s="1"/>
  <c r="AD46" i="82" s="1"/>
  <c r="AD47" i="82" s="1"/>
  <c r="AD48" i="82" s="1"/>
  <c r="AD49" i="82" s="1"/>
  <c r="AD50" i="82" s="1"/>
  <c r="AB43" i="82"/>
  <c r="AB44" i="82" s="1"/>
  <c r="AB45" i="82" s="1"/>
  <c r="AB46" i="82" s="1"/>
  <c r="AB47" i="82" s="1"/>
  <c r="AB48" i="82" s="1"/>
  <c r="AB49" i="82" s="1"/>
  <c r="AB50" i="82" s="1"/>
  <c r="Z43" i="82"/>
  <c r="Z44" i="82" s="1"/>
  <c r="Z45" i="82" s="1"/>
  <c r="Z46" i="82" s="1"/>
  <c r="Z47" i="82" s="1"/>
  <c r="Z48" i="82" s="1"/>
  <c r="Z49" i="82" s="1"/>
  <c r="Z50" i="82" s="1"/>
  <c r="U42" i="82"/>
  <c r="E42" i="82"/>
  <c r="M42" i="82" s="1"/>
  <c r="M43" i="82" s="1"/>
  <c r="AG41" i="82"/>
  <c r="AE41" i="82"/>
  <c r="U41" i="82"/>
  <c r="E41" i="82"/>
  <c r="M41" i="82" s="1"/>
  <c r="AG40" i="82"/>
  <c r="AE40" i="82"/>
  <c r="U40" i="82"/>
  <c r="E40" i="82"/>
  <c r="M40" i="82" s="1"/>
  <c r="AG39" i="82"/>
  <c r="AE39" i="82"/>
  <c r="U39" i="82"/>
  <c r="M39" i="82"/>
  <c r="E39" i="82"/>
  <c r="AG38" i="82"/>
  <c r="AE38" i="82"/>
  <c r="U38" i="82"/>
  <c r="M38" i="82"/>
  <c r="E38" i="82"/>
  <c r="AG37" i="82"/>
  <c r="AE37" i="82"/>
  <c r="U37" i="82"/>
  <c r="E37" i="82"/>
  <c r="M37" i="82" s="1"/>
  <c r="AG36" i="82"/>
  <c r="AE36" i="82"/>
  <c r="U36" i="82"/>
  <c r="E36" i="82"/>
  <c r="M36" i="82" s="1"/>
  <c r="AG35" i="82"/>
  <c r="AE35" i="82"/>
  <c r="U35" i="82"/>
  <c r="M35" i="82"/>
  <c r="E35" i="82"/>
  <c r="AG34" i="82"/>
  <c r="AE34" i="82"/>
  <c r="U34" i="82"/>
  <c r="M34" i="82"/>
  <c r="E34" i="82"/>
  <c r="AG33" i="82"/>
  <c r="AE33" i="82"/>
  <c r="U33" i="82"/>
  <c r="E33" i="82"/>
  <c r="M33" i="82" s="1"/>
  <c r="A33" i="82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G32" i="82"/>
  <c r="AE32" i="82"/>
  <c r="U32" i="82"/>
  <c r="E32" i="82"/>
  <c r="M32" i="82" s="1"/>
  <c r="AG31" i="82"/>
  <c r="AE31" i="82"/>
  <c r="U31" i="82"/>
  <c r="E31" i="82"/>
  <c r="M31" i="82" s="1"/>
  <c r="AG30" i="82"/>
  <c r="AE30" i="82"/>
  <c r="U30" i="82"/>
  <c r="E30" i="82"/>
  <c r="M30" i="82" s="1"/>
  <c r="AG29" i="82"/>
  <c r="AE29" i="82"/>
  <c r="U29" i="82"/>
  <c r="E29" i="82"/>
  <c r="M29" i="82" s="1"/>
  <c r="AG28" i="82"/>
  <c r="AE28" i="82"/>
  <c r="U28" i="82"/>
  <c r="E28" i="82"/>
  <c r="M28" i="82" s="1"/>
  <c r="AG27" i="82"/>
  <c r="AE27" i="82"/>
  <c r="U27" i="82"/>
  <c r="E27" i="82"/>
  <c r="M27" i="82" s="1"/>
  <c r="AG26" i="82"/>
  <c r="AE26" i="82"/>
  <c r="U26" i="82"/>
  <c r="E26" i="82"/>
  <c r="M26" i="82" s="1"/>
  <c r="AG25" i="82"/>
  <c r="AE25" i="82"/>
  <c r="AE55" i="82" s="1"/>
  <c r="AD55" i="82"/>
  <c r="Z55" i="82"/>
  <c r="V55" i="82"/>
  <c r="U25" i="82"/>
  <c r="Q55" i="82"/>
  <c r="K55" i="82"/>
  <c r="I55" i="82"/>
  <c r="E25" i="82"/>
  <c r="AG24" i="82"/>
  <c r="AG54" i="82" s="1"/>
  <c r="AE24" i="82"/>
  <c r="AD54" i="82"/>
  <c r="Z54" i="82"/>
  <c r="V54" i="82"/>
  <c r="U24" i="82"/>
  <c r="U54" i="82" s="1"/>
  <c r="Q54" i="82"/>
  <c r="L54" i="82"/>
  <c r="I54" i="82"/>
  <c r="E24" i="82"/>
  <c r="E54" i="82" s="1"/>
  <c r="D54" i="82"/>
  <c r="AG23" i="82"/>
  <c r="AG53" i="82" s="1"/>
  <c r="AF53" i="82"/>
  <c r="AE23" i="82"/>
  <c r="AE53" i="82" s="1"/>
  <c r="AB53" i="82"/>
  <c r="X53" i="82"/>
  <c r="U23" i="82"/>
  <c r="U53" i="82" s="1"/>
  <c r="S53" i="82"/>
  <c r="O53" i="82"/>
  <c r="L53" i="82"/>
  <c r="K53" i="82"/>
  <c r="G53" i="82"/>
  <c r="E23" i="82"/>
  <c r="D53" i="82"/>
  <c r="AG22" i="82"/>
  <c r="AE22" i="82"/>
  <c r="U22" i="82"/>
  <c r="E22" i="82"/>
  <c r="M22" i="82" s="1"/>
  <c r="AG21" i="82"/>
  <c r="AE21" i="82"/>
  <c r="U21" i="82"/>
  <c r="E21" i="82"/>
  <c r="M21" i="82" s="1"/>
  <c r="AG20" i="82"/>
  <c r="AE20" i="82"/>
  <c r="U20" i="82"/>
  <c r="E20" i="82"/>
  <c r="M20" i="82" s="1"/>
  <c r="AG19" i="82"/>
  <c r="AE19" i="82"/>
  <c r="U19" i="82"/>
  <c r="E19" i="82"/>
  <c r="M19" i="82" s="1"/>
  <c r="AG18" i="82"/>
  <c r="AE18" i="82"/>
  <c r="AA18" i="82"/>
  <c r="AA19" i="82" s="1"/>
  <c r="AA20" i="82" s="1"/>
  <c r="AA21" i="82" s="1"/>
  <c r="AA22" i="82" s="1"/>
  <c r="AA23" i="82" s="1"/>
  <c r="W18" i="82"/>
  <c r="W19" i="82" s="1"/>
  <c r="W20" i="82" s="1"/>
  <c r="W21" i="82" s="1"/>
  <c r="U18" i="82"/>
  <c r="R18" i="82"/>
  <c r="R19" i="82" s="1"/>
  <c r="R20" i="82" s="1"/>
  <c r="R21" i="82" s="1"/>
  <c r="R22" i="82" s="1"/>
  <c r="R23" i="82" s="1"/>
  <c r="N18" i="82"/>
  <c r="N19" i="82" s="1"/>
  <c r="N20" i="82" s="1"/>
  <c r="N21" i="82" s="1"/>
  <c r="N22" i="82" s="1"/>
  <c r="N23" i="82" s="1"/>
  <c r="F18" i="82"/>
  <c r="F19" i="82" s="1"/>
  <c r="F20" i="82" s="1"/>
  <c r="F21" i="82" s="1"/>
  <c r="E18" i="82"/>
  <c r="M18" i="82" s="1"/>
  <c r="B18" i="82"/>
  <c r="B19" i="82" s="1"/>
  <c r="B20" i="82" s="1"/>
  <c r="B21" i="82" s="1"/>
  <c r="B22" i="82" s="1"/>
  <c r="B23" i="82" s="1"/>
  <c r="BJ17" i="82"/>
  <c r="BI15" i="82" s="1"/>
  <c r="BH17" i="82"/>
  <c r="BF17" i="82"/>
  <c r="BD17" i="82"/>
  <c r="BC15" i="82" s="1"/>
  <c r="BB17" i="82"/>
  <c r="BA15" i="82" s="1"/>
  <c r="BA16" i="82" s="1"/>
  <c r="AZ17" i="82"/>
  <c r="AX17" i="82"/>
  <c r="AV17" i="82"/>
  <c r="AU15" i="82" s="1"/>
  <c r="AT17" i="82"/>
  <c r="AS15" i="82" s="1"/>
  <c r="AR17" i="82"/>
  <c r="AP17" i="82"/>
  <c r="AN17" i="82"/>
  <c r="AM17" i="82"/>
  <c r="AL17" i="82"/>
  <c r="AG17" i="82"/>
  <c r="AE17" i="82"/>
  <c r="AC17" i="82"/>
  <c r="AA17" i="82"/>
  <c r="Y17" i="82"/>
  <c r="Y18" i="82" s="1"/>
  <c r="Y19" i="82" s="1"/>
  <c r="Y20" i="82" s="1"/>
  <c r="Y21" i="82" s="1"/>
  <c r="Y22" i="82" s="1"/>
  <c r="Y23" i="82" s="1"/>
  <c r="W17" i="82"/>
  <c r="U17" i="82"/>
  <c r="R17" i="82"/>
  <c r="P17" i="82"/>
  <c r="N17" i="82"/>
  <c r="J17" i="82"/>
  <c r="H17" i="82"/>
  <c r="F17" i="82"/>
  <c r="E17" i="82"/>
  <c r="M17" i="82" s="1"/>
  <c r="C17" i="82"/>
  <c r="C18" i="82" s="1"/>
  <c r="B17" i="82"/>
  <c r="BE16" i="82"/>
  <c r="AW16" i="82"/>
  <c r="AO16" i="82"/>
  <c r="F16" i="82" s="1"/>
  <c r="AG16" i="82"/>
  <c r="AE16" i="82"/>
  <c r="Y16" i="82"/>
  <c r="U16" i="82"/>
  <c r="P16" i="82"/>
  <c r="E16" i="82"/>
  <c r="M16" i="82" s="1"/>
  <c r="BG15" i="82"/>
  <c r="BG16" i="82" s="1"/>
  <c r="AA16" i="82" s="1"/>
  <c r="BE15" i="82"/>
  <c r="AY15" i="82"/>
  <c r="AY16" i="82" s="1"/>
  <c r="R16" i="82" s="1"/>
  <c r="AW15" i="82"/>
  <c r="AO15" i="82"/>
  <c r="F15" i="82" s="1"/>
  <c r="AK15" i="82"/>
  <c r="AK16" i="82" s="1"/>
  <c r="AG15" i="82"/>
  <c r="AE15" i="82"/>
  <c r="Y15" i="82"/>
  <c r="U15" i="82"/>
  <c r="P15" i="82"/>
  <c r="E15" i="82"/>
  <c r="M15" i="82" s="1"/>
  <c r="AV14" i="82"/>
  <c r="AU11" i="82" s="1"/>
  <c r="AN14" i="82"/>
  <c r="AM14" i="82"/>
  <c r="AL14" i="82"/>
  <c r="AK11" i="82" s="1"/>
  <c r="AG14" i="82"/>
  <c r="AE14" i="82"/>
  <c r="AC14" i="82"/>
  <c r="AA14" i="82"/>
  <c r="Y14" i="82"/>
  <c r="W14" i="82"/>
  <c r="U14" i="82"/>
  <c r="R14" i="82"/>
  <c r="P14" i="82"/>
  <c r="N14" i="82"/>
  <c r="J14" i="82"/>
  <c r="F14" i="82"/>
  <c r="E14" i="82"/>
  <c r="M14" i="82" s="1"/>
  <c r="C14" i="82"/>
  <c r="B14" i="82"/>
  <c r="AQ13" i="82"/>
  <c r="AQ14" i="82" s="1"/>
  <c r="AO13" i="82"/>
  <c r="AG13" i="82"/>
  <c r="AE13" i="82"/>
  <c r="AC13" i="82"/>
  <c r="U13" i="82"/>
  <c r="R13" i="82"/>
  <c r="R12" i="82" s="1"/>
  <c r="R11" i="82" s="1"/>
  <c r="R10" i="82" s="1"/>
  <c r="R9" i="82" s="1"/>
  <c r="R8" i="82" s="1"/>
  <c r="R7" i="82" s="1"/>
  <c r="R6" i="82" s="1"/>
  <c r="R5" i="82" s="1"/>
  <c r="R4" i="82" s="1"/>
  <c r="R3" i="82" s="1"/>
  <c r="R2" i="82" s="1"/>
  <c r="P13" i="82"/>
  <c r="J13" i="82"/>
  <c r="J12" i="82" s="1"/>
  <c r="J11" i="82" s="1"/>
  <c r="J10" i="82" s="1"/>
  <c r="J9" i="82" s="1"/>
  <c r="J8" i="82" s="1"/>
  <c r="J7" i="82" s="1"/>
  <c r="J6" i="82" s="1"/>
  <c r="J5" i="82" s="1"/>
  <c r="J4" i="82" s="1"/>
  <c r="J3" i="82" s="1"/>
  <c r="J2" i="82" s="1"/>
  <c r="F13" i="82"/>
  <c r="E13" i="82"/>
  <c r="M13" i="82" s="1"/>
  <c r="AR12" i="82"/>
  <c r="AO12" i="82"/>
  <c r="AG12" i="82"/>
  <c r="AE12" i="82"/>
  <c r="AC12" i="82"/>
  <c r="U12" i="82"/>
  <c r="P12" i="82"/>
  <c r="H12" i="82"/>
  <c r="F12" i="82"/>
  <c r="E12" i="82"/>
  <c r="M12" i="82" s="1"/>
  <c r="AO11" i="82"/>
  <c r="AO10" i="82" s="1"/>
  <c r="AC11" i="82"/>
  <c r="P11" i="82"/>
  <c r="AV10" i="82"/>
  <c r="AN10" i="82"/>
  <c r="AM10" i="82"/>
  <c r="B10" i="82" s="1"/>
  <c r="AC10" i="82"/>
  <c r="P10" i="82"/>
  <c r="N10" i="82"/>
  <c r="C10" i="82"/>
  <c r="AN9" i="82"/>
  <c r="AM9" i="82"/>
  <c r="B9" i="82" s="1"/>
  <c r="AC9" i="82"/>
  <c r="P9" i="82"/>
  <c r="C9" i="82"/>
  <c r="AN8" i="82"/>
  <c r="AM8" i="82"/>
  <c r="B8" i="82" s="1"/>
  <c r="AC8" i="82"/>
  <c r="P8" i="82"/>
  <c r="C8" i="82"/>
  <c r="AU7" i="82"/>
  <c r="AU8" i="82" s="1"/>
  <c r="AQ7" i="82"/>
  <c r="AQ8" i="82" s="1"/>
  <c r="AN7" i="82"/>
  <c r="AM7" i="82"/>
  <c r="B7" i="82" s="1"/>
  <c r="AC7" i="82"/>
  <c r="P7" i="82"/>
  <c r="H7" i="82"/>
  <c r="C7" i="82"/>
  <c r="AV6" i="82"/>
  <c r="AU3" i="82" s="1"/>
  <c r="AR6" i="82"/>
  <c r="AQ3" i="82" s="1"/>
  <c r="AN6" i="82"/>
  <c r="AM6" i="82"/>
  <c r="AL6" i="82"/>
  <c r="AK3" i="82" s="1"/>
  <c r="AC6" i="82"/>
  <c r="P6" i="82"/>
  <c r="N6" i="82"/>
  <c r="H6" i="82"/>
  <c r="C6" i="82"/>
  <c r="B6" i="82"/>
  <c r="AC5" i="82"/>
  <c r="P5" i="82"/>
  <c r="AC4" i="82"/>
  <c r="AA4" i="82"/>
  <c r="AA5" i="82" s="1"/>
  <c r="AA6" i="82" s="1"/>
  <c r="AA7" i="82" s="1"/>
  <c r="AA8" i="82" s="1"/>
  <c r="AA9" i="82" s="1"/>
  <c r="AA10" i="82" s="1"/>
  <c r="AA11" i="82" s="1"/>
  <c r="AA12" i="82" s="1"/>
  <c r="AA13" i="82" s="1"/>
  <c r="W4" i="82"/>
  <c r="W5" i="82" s="1"/>
  <c r="W6" i="82" s="1"/>
  <c r="W7" i="82" s="1"/>
  <c r="W8" i="82" s="1"/>
  <c r="W9" i="82" s="1"/>
  <c r="W10" i="82" s="1"/>
  <c r="W11" i="82" s="1"/>
  <c r="W12" i="82" s="1"/>
  <c r="W13" i="82" s="1"/>
  <c r="P4" i="82"/>
  <c r="AG3" i="82"/>
  <c r="AG4" i="82" s="1"/>
  <c r="AG5" i="82" s="1"/>
  <c r="AG6" i="82" s="1"/>
  <c r="AG7" i="82" s="1"/>
  <c r="AG8" i="82" s="1"/>
  <c r="AG9" i="82" s="1"/>
  <c r="AG10" i="82" s="1"/>
  <c r="AG11" i="82" s="1"/>
  <c r="AC3" i="82"/>
  <c r="AA3" i="82"/>
  <c r="Y3" i="82"/>
  <c r="Y4" i="82" s="1"/>
  <c r="Y5" i="82" s="1"/>
  <c r="Y6" i="82" s="1"/>
  <c r="Y7" i="82" s="1"/>
  <c r="Y8" i="82" s="1"/>
  <c r="Y9" i="82" s="1"/>
  <c r="Y10" i="82" s="1"/>
  <c r="Y11" i="82" s="1"/>
  <c r="Y12" i="82" s="1"/>
  <c r="Y13" i="82" s="1"/>
  <c r="W3" i="82"/>
  <c r="U3" i="82"/>
  <c r="U4" i="82" s="1"/>
  <c r="U5" i="82" s="1"/>
  <c r="U6" i="82" s="1"/>
  <c r="U7" i="82" s="1"/>
  <c r="U8" i="82" s="1"/>
  <c r="U9" i="82" s="1"/>
  <c r="U10" i="82" s="1"/>
  <c r="U11" i="82" s="1"/>
  <c r="T3" i="82"/>
  <c r="T4" i="82" s="1"/>
  <c r="T5" i="82" s="1"/>
  <c r="T6" i="82" s="1"/>
  <c r="T7" i="82" s="1"/>
  <c r="T8" i="82" s="1"/>
  <c r="T9" i="82" s="1"/>
  <c r="T10" i="82" s="1"/>
  <c r="T11" i="82" s="1"/>
  <c r="P3" i="82"/>
  <c r="E3" i="82"/>
  <c r="M3" i="82" s="1"/>
  <c r="AN2" i="82"/>
  <c r="AM2" i="82"/>
  <c r="AC2" i="82"/>
  <c r="P2" i="82"/>
  <c r="N2" i="82"/>
  <c r="M2" i="82"/>
  <c r="H2" i="82"/>
  <c r="C2" i="82"/>
  <c r="B2" i="82"/>
  <c r="Y34" i="81"/>
  <c r="Y35" i="81" s="1"/>
  <c r="Y36" i="81" s="1"/>
  <c r="Y37" i="81" s="1"/>
  <c r="Y38" i="81" s="1"/>
  <c r="Y39" i="81" s="1"/>
  <c r="Y40" i="81" s="1"/>
  <c r="Y41" i="81" s="1"/>
  <c r="Y42" i="81" s="1"/>
  <c r="Y43" i="81" s="1"/>
  <c r="Y44" i="81" s="1"/>
  <c r="Y45" i="81" s="1"/>
  <c r="Y46" i="81" s="1"/>
  <c r="Y47" i="81" s="1"/>
  <c r="Y48" i="81" s="1"/>
  <c r="Y49" i="81" s="1"/>
  <c r="Y50" i="81" s="1"/>
  <c r="A34" i="8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A45" i="81" s="1"/>
  <c r="A46" i="81" s="1"/>
  <c r="A47" i="81" s="1"/>
  <c r="A48" i="81" s="1"/>
  <c r="A49" i="81" s="1"/>
  <c r="A50" i="81" s="1"/>
  <c r="Y33" i="81"/>
  <c r="A33" i="81"/>
  <c r="W7" i="81"/>
  <c r="W6" i="81"/>
  <c r="W5" i="81"/>
  <c r="W4" i="81"/>
  <c r="W3" i="81"/>
  <c r="W2" i="81"/>
  <c r="V48" i="80"/>
  <c r="R48" i="80"/>
  <c r="V47" i="80"/>
  <c r="T48" i="80"/>
  <c r="R47" i="80"/>
  <c r="P48" i="80"/>
  <c r="T46" i="80"/>
  <c r="P46" i="80"/>
  <c r="V45" i="80"/>
  <c r="T45" i="80"/>
  <c r="R45" i="80"/>
  <c r="V44" i="80"/>
  <c r="R44" i="80"/>
  <c r="V43" i="80"/>
  <c r="T43" i="80"/>
  <c r="R43" i="80"/>
  <c r="P43" i="80"/>
  <c r="T42" i="80"/>
  <c r="P42" i="80"/>
  <c r="V41" i="80"/>
  <c r="T41" i="80"/>
  <c r="R41" i="80"/>
  <c r="V40" i="80"/>
  <c r="R40" i="80"/>
  <c r="V39" i="80"/>
  <c r="T39" i="80"/>
  <c r="R39" i="80"/>
  <c r="P39" i="80"/>
  <c r="T38" i="80"/>
  <c r="P38" i="80"/>
  <c r="V37" i="80"/>
  <c r="T37" i="80"/>
  <c r="R37" i="80"/>
  <c r="N37" i="80"/>
  <c r="N38" i="80" s="1"/>
  <c r="N39" i="80" s="1"/>
  <c r="N40" i="80" s="1"/>
  <c r="N41" i="80" s="1"/>
  <c r="N42" i="80" s="1"/>
  <c r="N43" i="80" s="1"/>
  <c r="N44" i="80" s="1"/>
  <c r="N45" i="80" s="1"/>
  <c r="N46" i="80" s="1"/>
  <c r="N47" i="80" s="1"/>
  <c r="N48" i="80" s="1"/>
  <c r="V36" i="80"/>
  <c r="R36" i="80"/>
  <c r="V35" i="80"/>
  <c r="T35" i="80"/>
  <c r="R35" i="80"/>
  <c r="P35" i="80"/>
  <c r="V34" i="80"/>
  <c r="T34" i="80"/>
  <c r="R34" i="80"/>
  <c r="P34" i="80"/>
  <c r="W34" i="80"/>
  <c r="V33" i="80"/>
  <c r="T33" i="80"/>
  <c r="R33" i="80"/>
  <c r="P33" i="80"/>
  <c r="V32" i="80"/>
  <c r="T32" i="80"/>
  <c r="R32" i="80"/>
  <c r="P32" i="80"/>
  <c r="W32" i="80"/>
  <c r="V31" i="80"/>
  <c r="T31" i="80"/>
  <c r="R31" i="80"/>
  <c r="P31" i="80"/>
  <c r="V30" i="80"/>
  <c r="T30" i="80"/>
  <c r="R30" i="80"/>
  <c r="P30" i="80"/>
  <c r="W30" i="80"/>
  <c r="V29" i="80"/>
  <c r="T29" i="80"/>
  <c r="R29" i="80"/>
  <c r="P29" i="80"/>
  <c r="V28" i="80"/>
  <c r="T28" i="80"/>
  <c r="R28" i="80"/>
  <c r="P28" i="80"/>
  <c r="W28" i="80"/>
  <c r="T27" i="80"/>
  <c r="P27" i="80"/>
  <c r="V26" i="80"/>
  <c r="T26" i="80"/>
  <c r="R26" i="80"/>
  <c r="V25" i="80"/>
  <c r="R25" i="80"/>
  <c r="V24" i="80"/>
  <c r="T24" i="80"/>
  <c r="R24" i="80"/>
  <c r="P24" i="80"/>
  <c r="T23" i="80"/>
  <c r="P23" i="80"/>
  <c r="V22" i="80"/>
  <c r="T22" i="80"/>
  <c r="R22" i="80"/>
  <c r="V21" i="80"/>
  <c r="R21" i="80"/>
  <c r="V20" i="80"/>
  <c r="T20" i="80"/>
  <c r="R20" i="80"/>
  <c r="P20" i="80"/>
  <c r="T19" i="80"/>
  <c r="P19" i="80"/>
  <c r="V18" i="80"/>
  <c r="T18" i="80"/>
  <c r="R18" i="80"/>
  <c r="V17" i="80"/>
  <c r="T17" i="80"/>
  <c r="R17" i="80"/>
  <c r="P17" i="80"/>
  <c r="V16" i="80"/>
  <c r="T16" i="80"/>
  <c r="R16" i="80"/>
  <c r="V15" i="80"/>
  <c r="T15" i="80"/>
  <c r="R15" i="80"/>
  <c r="P15" i="80"/>
  <c r="V14" i="80"/>
  <c r="T14" i="80"/>
  <c r="R14" i="80"/>
  <c r="V13" i="80"/>
  <c r="T13" i="80"/>
  <c r="R13" i="80"/>
  <c r="P13" i="80"/>
  <c r="V12" i="80"/>
  <c r="T12" i="80"/>
  <c r="R12" i="80"/>
  <c r="V11" i="80"/>
  <c r="T11" i="80"/>
  <c r="R11" i="80"/>
  <c r="P11" i="80"/>
  <c r="V10" i="80"/>
  <c r="T10" i="80"/>
  <c r="R10" i="80"/>
  <c r="V9" i="80"/>
  <c r="T9" i="80"/>
  <c r="R9" i="80"/>
  <c r="P9" i="80"/>
  <c r="V8" i="80"/>
  <c r="T8" i="80"/>
  <c r="R8" i="80"/>
  <c r="V7" i="80"/>
  <c r="T7" i="80"/>
  <c r="R7" i="80"/>
  <c r="P7" i="80"/>
  <c r="V6" i="80"/>
  <c r="T6" i="80"/>
  <c r="R6" i="80"/>
  <c r="V5" i="80"/>
  <c r="T5" i="80"/>
  <c r="R5" i="80"/>
  <c r="P5" i="80"/>
  <c r="V4" i="80"/>
  <c r="T4" i="80"/>
  <c r="R4" i="80"/>
  <c r="N4" i="80"/>
  <c r="N5" i="80" s="1"/>
  <c r="N6" i="80" s="1"/>
  <c r="N7" i="80" s="1"/>
  <c r="N8" i="80" s="1"/>
  <c r="N9" i="80" s="1"/>
  <c r="N10" i="80" s="1"/>
  <c r="N11" i="80" s="1"/>
  <c r="N12" i="80" s="1"/>
  <c r="N13" i="80" s="1"/>
  <c r="N14" i="80" s="1"/>
  <c r="N15" i="80" s="1"/>
  <c r="N16" i="80" s="1"/>
  <c r="N17" i="80" s="1"/>
  <c r="N18" i="80" s="1"/>
  <c r="N19" i="80" s="1"/>
  <c r="N20" i="80" s="1"/>
  <c r="N21" i="80" s="1"/>
  <c r="N22" i="80" s="1"/>
  <c r="N23" i="80" s="1"/>
  <c r="N24" i="80" s="1"/>
  <c r="N25" i="80" s="1"/>
  <c r="N26" i="80" s="1"/>
  <c r="N27" i="80" s="1"/>
  <c r="V3" i="80"/>
  <c r="T3" i="80"/>
  <c r="R3" i="80"/>
  <c r="P3" i="80"/>
  <c r="N3" i="80"/>
  <c r="A3" i="80"/>
  <c r="A4" i="80" s="1"/>
  <c r="A5" i="80" s="1"/>
  <c r="A6" i="80" s="1"/>
  <c r="A7" i="80" s="1"/>
  <c r="A8" i="80" s="1"/>
  <c r="A9" i="80" s="1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W2" i="80"/>
  <c r="L44" i="79"/>
  <c r="K44" i="79"/>
  <c r="J44" i="79"/>
  <c r="I44" i="79"/>
  <c r="H44" i="79"/>
  <c r="G44" i="79"/>
  <c r="F44" i="79"/>
  <c r="E44" i="79"/>
  <c r="D44" i="79"/>
  <c r="I42" i="79"/>
  <c r="H42" i="79"/>
  <c r="G42" i="79"/>
  <c r="F42" i="79"/>
  <c r="E42" i="79"/>
  <c r="D42" i="79"/>
  <c r="G28" i="79"/>
  <c r="F28" i="79"/>
  <c r="E28" i="79"/>
  <c r="D28" i="79"/>
  <c r="I15" i="79"/>
  <c r="E15" i="79"/>
  <c r="L15" i="79"/>
  <c r="L16" i="79" s="1"/>
  <c r="K15" i="79"/>
  <c r="K16" i="79" s="1"/>
  <c r="J15" i="79"/>
  <c r="J16" i="79" s="1"/>
  <c r="H15" i="79"/>
  <c r="H16" i="79" s="1"/>
  <c r="G15" i="79"/>
  <c r="G16" i="79" s="1"/>
  <c r="F15" i="79"/>
  <c r="F16" i="79" s="1"/>
  <c r="D15" i="79"/>
  <c r="D16" i="79" s="1"/>
  <c r="C15" i="79"/>
  <c r="C28" i="79" s="1"/>
  <c r="B517" i="78"/>
  <c r="A517" i="78"/>
  <c r="B516" i="78"/>
  <c r="B515" i="78"/>
  <c r="A515" i="78"/>
  <c r="B514" i="78"/>
  <c r="B513" i="78"/>
  <c r="B512" i="78"/>
  <c r="B511" i="78"/>
  <c r="B510" i="78"/>
  <c r="B509" i="78"/>
  <c r="B508" i="78"/>
  <c r="B507" i="78"/>
  <c r="B506" i="78"/>
  <c r="W505" i="78"/>
  <c r="E505" i="78"/>
  <c r="A505" i="78"/>
  <c r="W504" i="78"/>
  <c r="E504" i="78"/>
  <c r="A504" i="78"/>
  <c r="A516" i="78" s="1"/>
  <c r="W503" i="78"/>
  <c r="E503" i="78"/>
  <c r="A503" i="78"/>
  <c r="W502" i="78"/>
  <c r="E502" i="78"/>
  <c r="A502" i="78"/>
  <c r="A514" i="78" s="1"/>
  <c r="W501" i="78"/>
  <c r="E501" i="78"/>
  <c r="A501" i="78"/>
  <c r="A513" i="78" s="1"/>
  <c r="W500" i="78"/>
  <c r="E500" i="78"/>
  <c r="A500" i="78"/>
  <c r="A512" i="78" s="1"/>
  <c r="W499" i="78"/>
  <c r="E499" i="78"/>
  <c r="A499" i="78"/>
  <c r="A511" i="78" s="1"/>
  <c r="W498" i="78"/>
  <c r="E498" i="78"/>
  <c r="A498" i="78"/>
  <c r="A510" i="78" s="1"/>
  <c r="W497" i="78"/>
  <c r="E497" i="78"/>
  <c r="A497" i="78"/>
  <c r="A509" i="78" s="1"/>
  <c r="W496" i="78"/>
  <c r="E496" i="78"/>
  <c r="A496" i="78"/>
  <c r="A508" i="78" s="1"/>
  <c r="W495" i="78"/>
  <c r="E495" i="78"/>
  <c r="A495" i="78"/>
  <c r="A507" i="78" s="1"/>
  <c r="W494" i="78"/>
  <c r="E494" i="78"/>
  <c r="A494" i="78"/>
  <c r="A506" i="78" s="1"/>
  <c r="X493" i="78"/>
  <c r="W493" i="78"/>
  <c r="H493" i="78"/>
  <c r="H505" i="78" s="1"/>
  <c r="H517" i="78" s="1"/>
  <c r="X492" i="78"/>
  <c r="W492" i="78"/>
  <c r="H492" i="78"/>
  <c r="H504" i="78" s="1"/>
  <c r="H516" i="78" s="1"/>
  <c r="X491" i="78"/>
  <c r="W491" i="78"/>
  <c r="H491" i="78"/>
  <c r="H503" i="78" s="1"/>
  <c r="H515" i="78" s="1"/>
  <c r="X490" i="78"/>
  <c r="W490" i="78"/>
  <c r="H490" i="78"/>
  <c r="H502" i="78" s="1"/>
  <c r="H514" i="78" s="1"/>
  <c r="X489" i="78"/>
  <c r="W489" i="78"/>
  <c r="H489" i="78"/>
  <c r="H501" i="78" s="1"/>
  <c r="H513" i="78" s="1"/>
  <c r="X488" i="78"/>
  <c r="W488" i="78"/>
  <c r="H488" i="78"/>
  <c r="H500" i="78" s="1"/>
  <c r="H512" i="78" s="1"/>
  <c r="X487" i="78"/>
  <c r="W487" i="78"/>
  <c r="H487" i="78"/>
  <c r="H499" i="78" s="1"/>
  <c r="H511" i="78" s="1"/>
  <c r="X486" i="78"/>
  <c r="W486" i="78"/>
  <c r="H486" i="78"/>
  <c r="H498" i="78" s="1"/>
  <c r="H510" i="78" s="1"/>
  <c r="X485" i="78"/>
  <c r="W485" i="78"/>
  <c r="H485" i="78"/>
  <c r="H497" i="78" s="1"/>
  <c r="H509" i="78" s="1"/>
  <c r="X484" i="78"/>
  <c r="W484" i="78"/>
  <c r="H484" i="78"/>
  <c r="H496" i="78" s="1"/>
  <c r="H508" i="78" s="1"/>
  <c r="X483" i="78"/>
  <c r="W483" i="78"/>
  <c r="H483" i="78"/>
  <c r="H495" i="78" s="1"/>
  <c r="H507" i="78" s="1"/>
  <c r="X482" i="78"/>
  <c r="W482" i="78"/>
  <c r="H482" i="78"/>
  <c r="H494" i="78" s="1"/>
  <c r="H506" i="78" s="1"/>
  <c r="X481" i="78"/>
  <c r="W481" i="78"/>
  <c r="N481" i="78"/>
  <c r="N493" i="78" s="1"/>
  <c r="N505" i="78" s="1"/>
  <c r="N517" i="78" s="1"/>
  <c r="X480" i="78"/>
  <c r="W480" i="78"/>
  <c r="N480" i="78"/>
  <c r="N492" i="78" s="1"/>
  <c r="N504" i="78" s="1"/>
  <c r="N516" i="78" s="1"/>
  <c r="X479" i="78"/>
  <c r="W479" i="78"/>
  <c r="N479" i="78"/>
  <c r="N491" i="78" s="1"/>
  <c r="N503" i="78" s="1"/>
  <c r="N515" i="78" s="1"/>
  <c r="X478" i="78"/>
  <c r="W478" i="78"/>
  <c r="N478" i="78"/>
  <c r="N490" i="78" s="1"/>
  <c r="N502" i="78" s="1"/>
  <c r="N514" i="78" s="1"/>
  <c r="X477" i="78"/>
  <c r="W477" i="78"/>
  <c r="N477" i="78"/>
  <c r="N489" i="78" s="1"/>
  <c r="N501" i="78" s="1"/>
  <c r="N513" i="78" s="1"/>
  <c r="X476" i="78"/>
  <c r="W476" i="78"/>
  <c r="N476" i="78"/>
  <c r="N488" i="78" s="1"/>
  <c r="N500" i="78" s="1"/>
  <c r="N512" i="78" s="1"/>
  <c r="X475" i="78"/>
  <c r="W475" i="78"/>
  <c r="N475" i="78"/>
  <c r="N487" i="78" s="1"/>
  <c r="N499" i="78" s="1"/>
  <c r="N511" i="78" s="1"/>
  <c r="X474" i="78"/>
  <c r="W474" i="78"/>
  <c r="N474" i="78"/>
  <c r="N486" i="78" s="1"/>
  <c r="N498" i="78" s="1"/>
  <c r="N510" i="78" s="1"/>
  <c r="X473" i="78"/>
  <c r="W473" i="78"/>
  <c r="N473" i="78"/>
  <c r="N485" i="78" s="1"/>
  <c r="N497" i="78" s="1"/>
  <c r="N509" i="78" s="1"/>
  <c r="X472" i="78"/>
  <c r="W472" i="78"/>
  <c r="N472" i="78"/>
  <c r="N484" i="78" s="1"/>
  <c r="N496" i="78" s="1"/>
  <c r="N508" i="78" s="1"/>
  <c r="X471" i="78"/>
  <c r="W471" i="78"/>
  <c r="N471" i="78"/>
  <c r="N483" i="78" s="1"/>
  <c r="N495" i="78" s="1"/>
  <c r="N507" i="78" s="1"/>
  <c r="X470" i="78"/>
  <c r="W470" i="78"/>
  <c r="N470" i="78"/>
  <c r="N482" i="78" s="1"/>
  <c r="N494" i="78" s="1"/>
  <c r="N506" i="78" s="1"/>
  <c r="X469" i="78"/>
  <c r="W469" i="78"/>
  <c r="X468" i="78"/>
  <c r="W468" i="78"/>
  <c r="X467" i="78"/>
  <c r="W467" i="78"/>
  <c r="X466" i="78"/>
  <c r="W466" i="78"/>
  <c r="X465" i="78"/>
  <c r="W465" i="78"/>
  <c r="X464" i="78"/>
  <c r="W464" i="78"/>
  <c r="X463" i="78"/>
  <c r="W463" i="78"/>
  <c r="X462" i="78"/>
  <c r="W462" i="78"/>
  <c r="X461" i="78"/>
  <c r="W461" i="78"/>
  <c r="X460" i="78"/>
  <c r="W460" i="78"/>
  <c r="X459" i="78"/>
  <c r="W459" i="78"/>
  <c r="X458" i="78"/>
  <c r="W458" i="78"/>
  <c r="X457" i="78"/>
  <c r="W457" i="78"/>
  <c r="X456" i="78"/>
  <c r="W456" i="78"/>
  <c r="X455" i="78"/>
  <c r="W455" i="78"/>
  <c r="X454" i="78"/>
  <c r="W454" i="78"/>
  <c r="X453" i="78"/>
  <c r="W453" i="78"/>
  <c r="X452" i="78"/>
  <c r="W452" i="78"/>
  <c r="X451" i="78"/>
  <c r="W451" i="78"/>
  <c r="X450" i="78"/>
  <c r="W450" i="78"/>
  <c r="X449" i="78"/>
  <c r="W449" i="78"/>
  <c r="X448" i="78"/>
  <c r="W448" i="78"/>
  <c r="X447" i="78"/>
  <c r="W447" i="78"/>
  <c r="X446" i="78"/>
  <c r="W446" i="78"/>
  <c r="X445" i="78"/>
  <c r="W445" i="78"/>
  <c r="X444" i="78"/>
  <c r="W444" i="78"/>
  <c r="X443" i="78"/>
  <c r="W443" i="78"/>
  <c r="X442" i="78"/>
  <c r="W442" i="78"/>
  <c r="X441" i="78"/>
  <c r="W441" i="78"/>
  <c r="X440" i="78"/>
  <c r="W440" i="78"/>
  <c r="X439" i="78"/>
  <c r="W439" i="78"/>
  <c r="X438" i="78"/>
  <c r="W438" i="78"/>
  <c r="X437" i="78"/>
  <c r="W437" i="78"/>
  <c r="X436" i="78"/>
  <c r="W436" i="78"/>
  <c r="X435" i="78"/>
  <c r="W435" i="78"/>
  <c r="X434" i="78"/>
  <c r="W434" i="78"/>
  <c r="X433" i="78"/>
  <c r="W433" i="78"/>
  <c r="X432" i="78"/>
  <c r="W432" i="78"/>
  <c r="X431" i="78"/>
  <c r="W431" i="78"/>
  <c r="X430" i="78"/>
  <c r="W430" i="78"/>
  <c r="X429" i="78"/>
  <c r="W429" i="78"/>
  <c r="X428" i="78"/>
  <c r="W428" i="78"/>
  <c r="X427" i="78"/>
  <c r="W427" i="78"/>
  <c r="X426" i="78"/>
  <c r="W426" i="78"/>
  <c r="X425" i="78"/>
  <c r="W425" i="78"/>
  <c r="X424" i="78"/>
  <c r="W424" i="78"/>
  <c r="X423" i="78"/>
  <c r="W423" i="78"/>
  <c r="X422" i="78"/>
  <c r="W422" i="78"/>
  <c r="X421" i="78"/>
  <c r="W421" i="78"/>
  <c r="X420" i="78"/>
  <c r="W420" i="78"/>
  <c r="X419" i="78"/>
  <c r="W419" i="78"/>
  <c r="X418" i="78"/>
  <c r="W418" i="78"/>
  <c r="X417" i="78"/>
  <c r="W417" i="78"/>
  <c r="X416" i="78"/>
  <c r="W416" i="78"/>
  <c r="X415" i="78"/>
  <c r="W415" i="78"/>
  <c r="X414" i="78"/>
  <c r="W414" i="78"/>
  <c r="X413" i="78"/>
  <c r="W413" i="78"/>
  <c r="X412" i="78"/>
  <c r="W412" i="78"/>
  <c r="X411" i="78"/>
  <c r="W411" i="78"/>
  <c r="X410" i="78"/>
  <c r="W410" i="78"/>
  <c r="X409" i="78"/>
  <c r="W409" i="78"/>
  <c r="X408" i="78"/>
  <c r="W408" i="78"/>
  <c r="X407" i="78"/>
  <c r="W407" i="78"/>
  <c r="X406" i="78"/>
  <c r="W406" i="78"/>
  <c r="X405" i="78"/>
  <c r="W405" i="78"/>
  <c r="X404" i="78"/>
  <c r="W404" i="78"/>
  <c r="X403" i="78"/>
  <c r="W403" i="78"/>
  <c r="X402" i="78"/>
  <c r="W402" i="78"/>
  <c r="X401" i="78"/>
  <c r="W401" i="78"/>
  <c r="X400" i="78"/>
  <c r="W400" i="78"/>
  <c r="X399" i="78"/>
  <c r="W399" i="78"/>
  <c r="X398" i="78"/>
  <c r="W398" i="78"/>
  <c r="X397" i="78"/>
  <c r="W397" i="78"/>
  <c r="X396" i="78"/>
  <c r="W396" i="78"/>
  <c r="X395" i="78"/>
  <c r="W395" i="78"/>
  <c r="X394" i="78"/>
  <c r="W394" i="78"/>
  <c r="X393" i="78"/>
  <c r="W393" i="78"/>
  <c r="X392" i="78"/>
  <c r="W392" i="78"/>
  <c r="X391" i="78"/>
  <c r="W391" i="78"/>
  <c r="X390" i="78"/>
  <c r="W390" i="78"/>
  <c r="X389" i="78"/>
  <c r="W389" i="78"/>
  <c r="X388" i="78"/>
  <c r="W388" i="78"/>
  <c r="X387" i="78"/>
  <c r="W387" i="78"/>
  <c r="X386" i="78"/>
  <c r="W386" i="78"/>
  <c r="X385" i="78"/>
  <c r="W385" i="78"/>
  <c r="X384" i="78"/>
  <c r="W384" i="78"/>
  <c r="X383" i="78"/>
  <c r="W383" i="78"/>
  <c r="X382" i="78"/>
  <c r="W382" i="78"/>
  <c r="X381" i="78"/>
  <c r="W381" i="78"/>
  <c r="X380" i="78"/>
  <c r="W380" i="78"/>
  <c r="X379" i="78"/>
  <c r="W379" i="78"/>
  <c r="X378" i="78"/>
  <c r="W378" i="78"/>
  <c r="X377" i="78"/>
  <c r="W377" i="78"/>
  <c r="X376" i="78"/>
  <c r="W376" i="78"/>
  <c r="X375" i="78"/>
  <c r="W375" i="78"/>
  <c r="X374" i="78"/>
  <c r="W374" i="78"/>
  <c r="X373" i="78"/>
  <c r="W373" i="78"/>
  <c r="X372" i="78"/>
  <c r="W372" i="78"/>
  <c r="X371" i="78"/>
  <c r="W371" i="78"/>
  <c r="X370" i="78"/>
  <c r="W370" i="78"/>
  <c r="X369" i="78"/>
  <c r="W369" i="78"/>
  <c r="X368" i="78"/>
  <c r="W368" i="78"/>
  <c r="X367" i="78"/>
  <c r="W367" i="78"/>
  <c r="X366" i="78"/>
  <c r="W366" i="78"/>
  <c r="X365" i="78"/>
  <c r="W365" i="78"/>
  <c r="X364" i="78"/>
  <c r="W364" i="78"/>
  <c r="X363" i="78"/>
  <c r="W363" i="78"/>
  <c r="X362" i="78"/>
  <c r="W362" i="78"/>
  <c r="X361" i="78"/>
  <c r="W361" i="78"/>
  <c r="X360" i="78"/>
  <c r="W360" i="78"/>
  <c r="X359" i="78"/>
  <c r="W359" i="78"/>
  <c r="X358" i="78"/>
  <c r="W358" i="78"/>
  <c r="X357" i="78"/>
  <c r="W357" i="78"/>
  <c r="X356" i="78"/>
  <c r="W356" i="78"/>
  <c r="X355" i="78"/>
  <c r="W355" i="78"/>
  <c r="X354" i="78"/>
  <c r="W354" i="78"/>
  <c r="X353" i="78"/>
  <c r="W353" i="78"/>
  <c r="X352" i="78"/>
  <c r="W352" i="78"/>
  <c r="X351" i="78"/>
  <c r="W351" i="78"/>
  <c r="X350" i="78"/>
  <c r="W350" i="78"/>
  <c r="X349" i="78"/>
  <c r="W349" i="78"/>
  <c r="X348" i="78"/>
  <c r="W348" i="78"/>
  <c r="X347" i="78"/>
  <c r="W347" i="78"/>
  <c r="X346" i="78"/>
  <c r="W346" i="78"/>
  <c r="X345" i="78"/>
  <c r="W345" i="78"/>
  <c r="X344" i="78"/>
  <c r="W344" i="78"/>
  <c r="X343" i="78"/>
  <c r="W343" i="78"/>
  <c r="X342" i="78"/>
  <c r="W342" i="78"/>
  <c r="X341" i="78"/>
  <c r="W341" i="78"/>
  <c r="X340" i="78"/>
  <c r="W340" i="78"/>
  <c r="X339" i="78"/>
  <c r="W339" i="78"/>
  <c r="X338" i="78"/>
  <c r="W338" i="78"/>
  <c r="X337" i="78"/>
  <c r="W337" i="78"/>
  <c r="X336" i="78"/>
  <c r="W336" i="78"/>
  <c r="X335" i="78"/>
  <c r="W335" i="78"/>
  <c r="X334" i="78"/>
  <c r="W334" i="78"/>
  <c r="X333" i="78"/>
  <c r="W333" i="78"/>
  <c r="X332" i="78"/>
  <c r="W332" i="78"/>
  <c r="X331" i="78"/>
  <c r="W331" i="78"/>
  <c r="X330" i="78"/>
  <c r="W330" i="78"/>
  <c r="X329" i="78"/>
  <c r="W329" i="78"/>
  <c r="X328" i="78"/>
  <c r="W328" i="78"/>
  <c r="X327" i="78"/>
  <c r="W327" i="78"/>
  <c r="X326" i="78"/>
  <c r="W326" i="78"/>
  <c r="X325" i="78"/>
  <c r="W325" i="78"/>
  <c r="X324" i="78"/>
  <c r="W324" i="78"/>
  <c r="X323" i="78"/>
  <c r="W323" i="78"/>
  <c r="X322" i="78"/>
  <c r="W322" i="78"/>
  <c r="X321" i="78"/>
  <c r="W321" i="78"/>
  <c r="X320" i="78"/>
  <c r="W320" i="78"/>
  <c r="X319" i="78"/>
  <c r="W319" i="78"/>
  <c r="X318" i="78"/>
  <c r="W318" i="78"/>
  <c r="X317" i="78"/>
  <c r="W317" i="78"/>
  <c r="X316" i="78"/>
  <c r="W316" i="78"/>
  <c r="X315" i="78"/>
  <c r="W315" i="78"/>
  <c r="X314" i="78"/>
  <c r="W314" i="78"/>
  <c r="X313" i="78"/>
  <c r="W313" i="78"/>
  <c r="X312" i="78"/>
  <c r="W312" i="78"/>
  <c r="X311" i="78"/>
  <c r="W311" i="78"/>
  <c r="X310" i="78"/>
  <c r="W310" i="78"/>
  <c r="X309" i="78"/>
  <c r="W309" i="78"/>
  <c r="X308" i="78"/>
  <c r="W308" i="78"/>
  <c r="X307" i="78"/>
  <c r="W307" i="78"/>
  <c r="X306" i="78"/>
  <c r="W306" i="78"/>
  <c r="X305" i="78"/>
  <c r="W305" i="78"/>
  <c r="X304" i="78"/>
  <c r="W304" i="78"/>
  <c r="X303" i="78"/>
  <c r="W303" i="78"/>
  <c r="X302" i="78"/>
  <c r="W302" i="78"/>
  <c r="X301" i="78"/>
  <c r="W301" i="78"/>
  <c r="X300" i="78"/>
  <c r="W300" i="78"/>
  <c r="X299" i="78"/>
  <c r="W299" i="78"/>
  <c r="X298" i="78"/>
  <c r="W298" i="78"/>
  <c r="X297" i="78"/>
  <c r="W297" i="78"/>
  <c r="X296" i="78"/>
  <c r="W296" i="78"/>
  <c r="X295" i="78"/>
  <c r="W295" i="78"/>
  <c r="X294" i="78"/>
  <c r="W294" i="78"/>
  <c r="X293" i="78"/>
  <c r="W293" i="78"/>
  <c r="X292" i="78"/>
  <c r="W292" i="78"/>
  <c r="X291" i="78"/>
  <c r="W291" i="78"/>
  <c r="X290" i="78"/>
  <c r="W290" i="78"/>
  <c r="X289" i="78"/>
  <c r="W289" i="78"/>
  <c r="X288" i="78"/>
  <c r="W288" i="78"/>
  <c r="X287" i="78"/>
  <c r="W287" i="78"/>
  <c r="X286" i="78"/>
  <c r="W286" i="78"/>
  <c r="X285" i="78"/>
  <c r="W285" i="78"/>
  <c r="X284" i="78"/>
  <c r="W284" i="78"/>
  <c r="X283" i="78"/>
  <c r="W283" i="78"/>
  <c r="X282" i="78"/>
  <c r="W282" i="78"/>
  <c r="X281" i="78"/>
  <c r="W281" i="78"/>
  <c r="X280" i="78"/>
  <c r="W280" i="78"/>
  <c r="X279" i="78"/>
  <c r="W279" i="78"/>
  <c r="X278" i="78"/>
  <c r="W278" i="78"/>
  <c r="X277" i="78"/>
  <c r="W277" i="78"/>
  <c r="X276" i="78"/>
  <c r="W276" i="78"/>
  <c r="X275" i="78"/>
  <c r="W275" i="78"/>
  <c r="X274" i="78"/>
  <c r="W274" i="78"/>
  <c r="X273" i="78"/>
  <c r="W273" i="78"/>
  <c r="X272" i="78"/>
  <c r="W272" i="78"/>
  <c r="X271" i="78"/>
  <c r="W271" i="78"/>
  <c r="X270" i="78"/>
  <c r="W270" i="78"/>
  <c r="X269" i="78"/>
  <c r="W269" i="78"/>
  <c r="X268" i="78"/>
  <c r="W268" i="78"/>
  <c r="X267" i="78"/>
  <c r="W267" i="78"/>
  <c r="X266" i="78"/>
  <c r="W266" i="78"/>
  <c r="X265" i="78"/>
  <c r="W265" i="78"/>
  <c r="X264" i="78"/>
  <c r="W264" i="78"/>
  <c r="X263" i="78"/>
  <c r="W263" i="78"/>
  <c r="X262" i="78"/>
  <c r="W262" i="78"/>
  <c r="X261" i="78"/>
  <c r="W261" i="78"/>
  <c r="X260" i="78"/>
  <c r="W260" i="78"/>
  <c r="X259" i="78"/>
  <c r="W259" i="78"/>
  <c r="X258" i="78"/>
  <c r="W258" i="78"/>
  <c r="X257" i="78"/>
  <c r="W257" i="78"/>
  <c r="X256" i="78"/>
  <c r="W256" i="78"/>
  <c r="X255" i="78"/>
  <c r="W255" i="78"/>
  <c r="X254" i="78"/>
  <c r="W254" i="78"/>
  <c r="X253" i="78"/>
  <c r="W253" i="78"/>
  <c r="X252" i="78"/>
  <c r="W252" i="78"/>
  <c r="X251" i="78"/>
  <c r="W251" i="78"/>
  <c r="X250" i="78"/>
  <c r="W250" i="78"/>
  <c r="X249" i="78"/>
  <c r="W249" i="78"/>
  <c r="X248" i="78"/>
  <c r="W248" i="78"/>
  <c r="X247" i="78"/>
  <c r="W247" i="78"/>
  <c r="X246" i="78"/>
  <c r="W246" i="78"/>
  <c r="X245" i="78"/>
  <c r="W245" i="78"/>
  <c r="X244" i="78"/>
  <c r="W244" i="78"/>
  <c r="X243" i="78"/>
  <c r="W243" i="78"/>
  <c r="X242" i="78"/>
  <c r="W242" i="78"/>
  <c r="X241" i="78"/>
  <c r="W241" i="78"/>
  <c r="X240" i="78"/>
  <c r="W240" i="78"/>
  <c r="X239" i="78"/>
  <c r="W239" i="78"/>
  <c r="X238" i="78"/>
  <c r="W238" i="78"/>
  <c r="X237" i="78"/>
  <c r="W237" i="78"/>
  <c r="X236" i="78"/>
  <c r="W236" i="78"/>
  <c r="X235" i="78"/>
  <c r="W235" i="78"/>
  <c r="X234" i="78"/>
  <c r="W234" i="78"/>
  <c r="X233" i="78"/>
  <c r="W233" i="78"/>
  <c r="X232" i="78"/>
  <c r="W232" i="78"/>
  <c r="X231" i="78"/>
  <c r="W231" i="78"/>
  <c r="X230" i="78"/>
  <c r="W230" i="78"/>
  <c r="X229" i="78"/>
  <c r="W229" i="78"/>
  <c r="X228" i="78"/>
  <c r="W228" i="78"/>
  <c r="X227" i="78"/>
  <c r="W227" i="78"/>
  <c r="X226" i="78"/>
  <c r="W226" i="78"/>
  <c r="X225" i="78"/>
  <c r="W225" i="78"/>
  <c r="X224" i="78"/>
  <c r="W224" i="78"/>
  <c r="X223" i="78"/>
  <c r="W223" i="78"/>
  <c r="X222" i="78"/>
  <c r="W222" i="78"/>
  <c r="X221" i="78"/>
  <c r="W221" i="78"/>
  <c r="X220" i="78"/>
  <c r="W220" i="78"/>
  <c r="X219" i="78"/>
  <c r="W219" i="78"/>
  <c r="X218" i="78"/>
  <c r="W218" i="78"/>
  <c r="X217" i="78"/>
  <c r="W217" i="78"/>
  <c r="X216" i="78"/>
  <c r="W216" i="78"/>
  <c r="X215" i="78"/>
  <c r="W215" i="78"/>
  <c r="X214" i="78"/>
  <c r="W214" i="78"/>
  <c r="X213" i="78"/>
  <c r="W213" i="78"/>
  <c r="X212" i="78"/>
  <c r="W212" i="78"/>
  <c r="X211" i="78"/>
  <c r="W211" i="78"/>
  <c r="X210" i="78"/>
  <c r="W210" i="78"/>
  <c r="X209" i="78"/>
  <c r="W209" i="78"/>
  <c r="X208" i="78"/>
  <c r="W208" i="78"/>
  <c r="X207" i="78"/>
  <c r="W207" i="78"/>
  <c r="X206" i="78"/>
  <c r="W206" i="78"/>
  <c r="X205" i="78"/>
  <c r="W205" i="78"/>
  <c r="X204" i="78"/>
  <c r="W204" i="78"/>
  <c r="X203" i="78"/>
  <c r="W203" i="78"/>
  <c r="X202" i="78"/>
  <c r="W202" i="78"/>
  <c r="X201" i="78"/>
  <c r="W201" i="78"/>
  <c r="X200" i="78"/>
  <c r="W200" i="78"/>
  <c r="X199" i="78"/>
  <c r="W199" i="78"/>
  <c r="X198" i="78"/>
  <c r="W198" i="78"/>
  <c r="X197" i="78"/>
  <c r="W197" i="78"/>
  <c r="X196" i="78"/>
  <c r="W196" i="78"/>
  <c r="X195" i="78"/>
  <c r="W195" i="78"/>
  <c r="X194" i="78"/>
  <c r="W194" i="78"/>
  <c r="X193" i="78"/>
  <c r="W193" i="78"/>
  <c r="G193" i="78"/>
  <c r="G205" i="78" s="1"/>
  <c r="G217" i="78" s="1"/>
  <c r="G229" i="78" s="1"/>
  <c r="G241" i="78" s="1"/>
  <c r="G253" i="78" s="1"/>
  <c r="G265" i="78" s="1"/>
  <c r="G277" i="78" s="1"/>
  <c r="G289" i="78" s="1"/>
  <c r="G301" i="78" s="1"/>
  <c r="G313" i="78" s="1"/>
  <c r="G325" i="78" s="1"/>
  <c r="G337" i="78" s="1"/>
  <c r="G349" i="78" s="1"/>
  <c r="G361" i="78" s="1"/>
  <c r="G373" i="78" s="1"/>
  <c r="G385" i="78" s="1"/>
  <c r="G397" i="78" s="1"/>
  <c r="G409" i="78" s="1"/>
  <c r="G421" i="78" s="1"/>
  <c r="G433" i="78" s="1"/>
  <c r="G445" i="78" s="1"/>
  <c r="G457" i="78" s="1"/>
  <c r="G469" i="78" s="1"/>
  <c r="G481" i="78" s="1"/>
  <c r="G493" i="78" s="1"/>
  <c r="G505" i="78" s="1"/>
  <c r="G517" i="78" s="1"/>
  <c r="F193" i="78"/>
  <c r="F205" i="78" s="1"/>
  <c r="F217" i="78" s="1"/>
  <c r="F229" i="78" s="1"/>
  <c r="F241" i="78" s="1"/>
  <c r="F253" i="78" s="1"/>
  <c r="F265" i="78" s="1"/>
  <c r="F277" i="78" s="1"/>
  <c r="F289" i="78" s="1"/>
  <c r="F301" i="78" s="1"/>
  <c r="F313" i="78" s="1"/>
  <c r="F325" i="78" s="1"/>
  <c r="F337" i="78" s="1"/>
  <c r="F349" i="78" s="1"/>
  <c r="F361" i="78" s="1"/>
  <c r="F373" i="78" s="1"/>
  <c r="F385" i="78" s="1"/>
  <c r="F397" i="78" s="1"/>
  <c r="F409" i="78" s="1"/>
  <c r="F421" i="78" s="1"/>
  <c r="F433" i="78" s="1"/>
  <c r="F445" i="78" s="1"/>
  <c r="F457" i="78" s="1"/>
  <c r="F469" i="78" s="1"/>
  <c r="F481" i="78" s="1"/>
  <c r="F493" i="78" s="1"/>
  <c r="F505" i="78" s="1"/>
  <c r="F517" i="78" s="1"/>
  <c r="X192" i="78"/>
  <c r="W192" i="78"/>
  <c r="G192" i="78"/>
  <c r="G204" i="78" s="1"/>
  <c r="G216" i="78" s="1"/>
  <c r="G228" i="78" s="1"/>
  <c r="G240" i="78" s="1"/>
  <c r="G252" i="78" s="1"/>
  <c r="G264" i="78" s="1"/>
  <c r="G276" i="78" s="1"/>
  <c r="G288" i="78" s="1"/>
  <c r="G300" i="78" s="1"/>
  <c r="G312" i="78" s="1"/>
  <c r="G324" i="78" s="1"/>
  <c r="G336" i="78" s="1"/>
  <c r="G348" i="78" s="1"/>
  <c r="G360" i="78" s="1"/>
  <c r="G372" i="78" s="1"/>
  <c r="G384" i="78" s="1"/>
  <c r="G396" i="78" s="1"/>
  <c r="G408" i="78" s="1"/>
  <c r="G420" i="78" s="1"/>
  <c r="G432" i="78" s="1"/>
  <c r="G444" i="78" s="1"/>
  <c r="G456" i="78" s="1"/>
  <c r="G468" i="78" s="1"/>
  <c r="G480" i="78" s="1"/>
  <c r="G492" i="78" s="1"/>
  <c r="G504" i="78" s="1"/>
  <c r="G516" i="78" s="1"/>
  <c r="F192" i="78"/>
  <c r="F204" i="78" s="1"/>
  <c r="F216" i="78" s="1"/>
  <c r="F228" i="78" s="1"/>
  <c r="F240" i="78" s="1"/>
  <c r="F252" i="78" s="1"/>
  <c r="F264" i="78" s="1"/>
  <c r="F276" i="78" s="1"/>
  <c r="F288" i="78" s="1"/>
  <c r="F300" i="78" s="1"/>
  <c r="F312" i="78" s="1"/>
  <c r="F324" i="78" s="1"/>
  <c r="F336" i="78" s="1"/>
  <c r="F348" i="78" s="1"/>
  <c r="F360" i="78" s="1"/>
  <c r="F372" i="78" s="1"/>
  <c r="F384" i="78" s="1"/>
  <c r="F396" i="78" s="1"/>
  <c r="F408" i="78" s="1"/>
  <c r="F420" i="78" s="1"/>
  <c r="F432" i="78" s="1"/>
  <c r="F444" i="78" s="1"/>
  <c r="F456" i="78" s="1"/>
  <c r="F468" i="78" s="1"/>
  <c r="F480" i="78" s="1"/>
  <c r="F492" i="78" s="1"/>
  <c r="F504" i="78" s="1"/>
  <c r="F516" i="78" s="1"/>
  <c r="X191" i="78"/>
  <c r="W191" i="78"/>
  <c r="G191" i="78"/>
  <c r="G203" i="78" s="1"/>
  <c r="G215" i="78" s="1"/>
  <c r="G227" i="78" s="1"/>
  <c r="G239" i="78" s="1"/>
  <c r="G251" i="78" s="1"/>
  <c r="G263" i="78" s="1"/>
  <c r="G275" i="78" s="1"/>
  <c r="G287" i="78" s="1"/>
  <c r="G299" i="78" s="1"/>
  <c r="G311" i="78" s="1"/>
  <c r="G323" i="78" s="1"/>
  <c r="G335" i="78" s="1"/>
  <c r="G347" i="78" s="1"/>
  <c r="G359" i="78" s="1"/>
  <c r="G371" i="78" s="1"/>
  <c r="G383" i="78" s="1"/>
  <c r="G395" i="78" s="1"/>
  <c r="G407" i="78" s="1"/>
  <c r="G419" i="78" s="1"/>
  <c r="G431" i="78" s="1"/>
  <c r="G443" i="78" s="1"/>
  <c r="G455" i="78" s="1"/>
  <c r="G467" i="78" s="1"/>
  <c r="G479" i="78" s="1"/>
  <c r="G491" i="78" s="1"/>
  <c r="G503" i="78" s="1"/>
  <c r="G515" i="78" s="1"/>
  <c r="F191" i="78"/>
  <c r="F203" i="78" s="1"/>
  <c r="F215" i="78" s="1"/>
  <c r="F227" i="78" s="1"/>
  <c r="F239" i="78" s="1"/>
  <c r="F251" i="78" s="1"/>
  <c r="F263" i="78" s="1"/>
  <c r="F275" i="78" s="1"/>
  <c r="F287" i="78" s="1"/>
  <c r="F299" i="78" s="1"/>
  <c r="F311" i="78" s="1"/>
  <c r="F323" i="78" s="1"/>
  <c r="F335" i="78" s="1"/>
  <c r="F347" i="78" s="1"/>
  <c r="F359" i="78" s="1"/>
  <c r="F371" i="78" s="1"/>
  <c r="F383" i="78" s="1"/>
  <c r="F395" i="78" s="1"/>
  <c r="F407" i="78" s="1"/>
  <c r="F419" i="78" s="1"/>
  <c r="F431" i="78" s="1"/>
  <c r="F443" i="78" s="1"/>
  <c r="F455" i="78" s="1"/>
  <c r="F467" i="78" s="1"/>
  <c r="F479" i="78" s="1"/>
  <c r="F491" i="78" s="1"/>
  <c r="F503" i="78" s="1"/>
  <c r="F515" i="78" s="1"/>
  <c r="X190" i="78"/>
  <c r="W190" i="78"/>
  <c r="G190" i="78"/>
  <c r="G202" i="78" s="1"/>
  <c r="G214" i="78" s="1"/>
  <c r="G226" i="78" s="1"/>
  <c r="G238" i="78" s="1"/>
  <c r="G250" i="78" s="1"/>
  <c r="G262" i="78" s="1"/>
  <c r="G274" i="78" s="1"/>
  <c r="G286" i="78" s="1"/>
  <c r="G298" i="78" s="1"/>
  <c r="G310" i="78" s="1"/>
  <c r="G322" i="78" s="1"/>
  <c r="G334" i="78" s="1"/>
  <c r="G346" i="78" s="1"/>
  <c r="G358" i="78" s="1"/>
  <c r="G370" i="78" s="1"/>
  <c r="G382" i="78" s="1"/>
  <c r="G394" i="78" s="1"/>
  <c r="G406" i="78" s="1"/>
  <c r="G418" i="78" s="1"/>
  <c r="G430" i="78" s="1"/>
  <c r="G442" i="78" s="1"/>
  <c r="G454" i="78" s="1"/>
  <c r="G466" i="78" s="1"/>
  <c r="G478" i="78" s="1"/>
  <c r="G490" i="78" s="1"/>
  <c r="G502" i="78" s="1"/>
  <c r="G514" i="78" s="1"/>
  <c r="F190" i="78"/>
  <c r="F202" i="78" s="1"/>
  <c r="F214" i="78" s="1"/>
  <c r="F226" i="78" s="1"/>
  <c r="F238" i="78" s="1"/>
  <c r="F250" i="78" s="1"/>
  <c r="F262" i="78" s="1"/>
  <c r="F274" i="78" s="1"/>
  <c r="F286" i="78" s="1"/>
  <c r="F298" i="78" s="1"/>
  <c r="F310" i="78" s="1"/>
  <c r="F322" i="78" s="1"/>
  <c r="F334" i="78" s="1"/>
  <c r="F346" i="78" s="1"/>
  <c r="F358" i="78" s="1"/>
  <c r="F370" i="78" s="1"/>
  <c r="F382" i="78" s="1"/>
  <c r="F394" i="78" s="1"/>
  <c r="F406" i="78" s="1"/>
  <c r="F418" i="78" s="1"/>
  <c r="F430" i="78" s="1"/>
  <c r="F442" i="78" s="1"/>
  <c r="F454" i="78" s="1"/>
  <c r="F466" i="78" s="1"/>
  <c r="F478" i="78" s="1"/>
  <c r="F490" i="78" s="1"/>
  <c r="F502" i="78" s="1"/>
  <c r="F514" i="78" s="1"/>
  <c r="X189" i="78"/>
  <c r="W189" i="78"/>
  <c r="G189" i="78"/>
  <c r="G201" i="78" s="1"/>
  <c r="G213" i="78" s="1"/>
  <c r="G225" i="78" s="1"/>
  <c r="G237" i="78" s="1"/>
  <c r="G249" i="78" s="1"/>
  <c r="G261" i="78" s="1"/>
  <c r="G273" i="78" s="1"/>
  <c r="G285" i="78" s="1"/>
  <c r="G297" i="78" s="1"/>
  <c r="G309" i="78" s="1"/>
  <c r="G321" i="78" s="1"/>
  <c r="G333" i="78" s="1"/>
  <c r="G345" i="78" s="1"/>
  <c r="G357" i="78" s="1"/>
  <c r="G369" i="78" s="1"/>
  <c r="G381" i="78" s="1"/>
  <c r="G393" i="78" s="1"/>
  <c r="G405" i="78" s="1"/>
  <c r="G417" i="78" s="1"/>
  <c r="G429" i="78" s="1"/>
  <c r="G441" i="78" s="1"/>
  <c r="G453" i="78" s="1"/>
  <c r="G465" i="78" s="1"/>
  <c r="G477" i="78" s="1"/>
  <c r="G489" i="78" s="1"/>
  <c r="G501" i="78" s="1"/>
  <c r="G513" i="78" s="1"/>
  <c r="F189" i="78"/>
  <c r="F201" i="78" s="1"/>
  <c r="F213" i="78" s="1"/>
  <c r="F225" i="78" s="1"/>
  <c r="F237" i="78" s="1"/>
  <c r="F249" i="78" s="1"/>
  <c r="F261" i="78" s="1"/>
  <c r="F273" i="78" s="1"/>
  <c r="F285" i="78" s="1"/>
  <c r="F297" i="78" s="1"/>
  <c r="F309" i="78" s="1"/>
  <c r="F321" i="78" s="1"/>
  <c r="F333" i="78" s="1"/>
  <c r="F345" i="78" s="1"/>
  <c r="F357" i="78" s="1"/>
  <c r="F369" i="78" s="1"/>
  <c r="F381" i="78" s="1"/>
  <c r="F393" i="78" s="1"/>
  <c r="F405" i="78" s="1"/>
  <c r="F417" i="78" s="1"/>
  <c r="F429" i="78" s="1"/>
  <c r="F441" i="78" s="1"/>
  <c r="F453" i="78" s="1"/>
  <c r="F465" i="78" s="1"/>
  <c r="F477" i="78" s="1"/>
  <c r="F489" i="78" s="1"/>
  <c r="F501" i="78" s="1"/>
  <c r="F513" i="78" s="1"/>
  <c r="X188" i="78"/>
  <c r="W188" i="78"/>
  <c r="G188" i="78"/>
  <c r="G200" i="78" s="1"/>
  <c r="G212" i="78" s="1"/>
  <c r="G224" i="78" s="1"/>
  <c r="G236" i="78" s="1"/>
  <c r="G248" i="78" s="1"/>
  <c r="G260" i="78" s="1"/>
  <c r="G272" i="78" s="1"/>
  <c r="G284" i="78" s="1"/>
  <c r="G296" i="78" s="1"/>
  <c r="G308" i="78" s="1"/>
  <c r="G320" i="78" s="1"/>
  <c r="G332" i="78" s="1"/>
  <c r="G344" i="78" s="1"/>
  <c r="G356" i="78" s="1"/>
  <c r="G368" i="78" s="1"/>
  <c r="G380" i="78" s="1"/>
  <c r="G392" i="78" s="1"/>
  <c r="G404" i="78" s="1"/>
  <c r="G416" i="78" s="1"/>
  <c r="G428" i="78" s="1"/>
  <c r="G440" i="78" s="1"/>
  <c r="G452" i="78" s="1"/>
  <c r="G464" i="78" s="1"/>
  <c r="G476" i="78" s="1"/>
  <c r="G488" i="78" s="1"/>
  <c r="G500" i="78" s="1"/>
  <c r="G512" i="78" s="1"/>
  <c r="F188" i="78"/>
  <c r="F200" i="78" s="1"/>
  <c r="F212" i="78" s="1"/>
  <c r="F224" i="78" s="1"/>
  <c r="F236" i="78" s="1"/>
  <c r="F248" i="78" s="1"/>
  <c r="F260" i="78" s="1"/>
  <c r="F272" i="78" s="1"/>
  <c r="F284" i="78" s="1"/>
  <c r="F296" i="78" s="1"/>
  <c r="F308" i="78" s="1"/>
  <c r="F320" i="78" s="1"/>
  <c r="F332" i="78" s="1"/>
  <c r="F344" i="78" s="1"/>
  <c r="F356" i="78" s="1"/>
  <c r="F368" i="78" s="1"/>
  <c r="F380" i="78" s="1"/>
  <c r="F392" i="78" s="1"/>
  <c r="F404" i="78" s="1"/>
  <c r="F416" i="78" s="1"/>
  <c r="F428" i="78" s="1"/>
  <c r="F440" i="78" s="1"/>
  <c r="F452" i="78" s="1"/>
  <c r="F464" i="78" s="1"/>
  <c r="F476" i="78" s="1"/>
  <c r="F488" i="78" s="1"/>
  <c r="F500" i="78" s="1"/>
  <c r="F512" i="78" s="1"/>
  <c r="X187" i="78"/>
  <c r="W187" i="78"/>
  <c r="G187" i="78"/>
  <c r="G199" i="78" s="1"/>
  <c r="G211" i="78" s="1"/>
  <c r="G223" i="78" s="1"/>
  <c r="G235" i="78" s="1"/>
  <c r="G247" i="78" s="1"/>
  <c r="G259" i="78" s="1"/>
  <c r="G271" i="78" s="1"/>
  <c r="G283" i="78" s="1"/>
  <c r="G295" i="78" s="1"/>
  <c r="G307" i="78" s="1"/>
  <c r="G319" i="78" s="1"/>
  <c r="G331" i="78" s="1"/>
  <c r="G343" i="78" s="1"/>
  <c r="G355" i="78" s="1"/>
  <c r="G367" i="78" s="1"/>
  <c r="G379" i="78" s="1"/>
  <c r="G391" i="78" s="1"/>
  <c r="G403" i="78" s="1"/>
  <c r="G415" i="78" s="1"/>
  <c r="G427" i="78" s="1"/>
  <c r="G439" i="78" s="1"/>
  <c r="G451" i="78" s="1"/>
  <c r="G463" i="78" s="1"/>
  <c r="G475" i="78" s="1"/>
  <c r="G487" i="78" s="1"/>
  <c r="G499" i="78" s="1"/>
  <c r="G511" i="78" s="1"/>
  <c r="F187" i="78"/>
  <c r="F199" i="78" s="1"/>
  <c r="F211" i="78" s="1"/>
  <c r="F223" i="78" s="1"/>
  <c r="F235" i="78" s="1"/>
  <c r="F247" i="78" s="1"/>
  <c r="F259" i="78" s="1"/>
  <c r="F271" i="78" s="1"/>
  <c r="F283" i="78" s="1"/>
  <c r="F295" i="78" s="1"/>
  <c r="F307" i="78" s="1"/>
  <c r="F319" i="78" s="1"/>
  <c r="F331" i="78" s="1"/>
  <c r="F343" i="78" s="1"/>
  <c r="F355" i="78" s="1"/>
  <c r="F367" i="78" s="1"/>
  <c r="F379" i="78" s="1"/>
  <c r="F391" i="78" s="1"/>
  <c r="F403" i="78" s="1"/>
  <c r="F415" i="78" s="1"/>
  <c r="F427" i="78" s="1"/>
  <c r="F439" i="78" s="1"/>
  <c r="F451" i="78" s="1"/>
  <c r="F463" i="78" s="1"/>
  <c r="F475" i="78" s="1"/>
  <c r="F487" i="78" s="1"/>
  <c r="F499" i="78" s="1"/>
  <c r="F511" i="78" s="1"/>
  <c r="X186" i="78"/>
  <c r="W186" i="78"/>
  <c r="G186" i="78"/>
  <c r="G198" i="78" s="1"/>
  <c r="G210" i="78" s="1"/>
  <c r="G222" i="78" s="1"/>
  <c r="G234" i="78" s="1"/>
  <c r="G246" i="78" s="1"/>
  <c r="G258" i="78" s="1"/>
  <c r="G270" i="78" s="1"/>
  <c r="G282" i="78" s="1"/>
  <c r="G294" i="78" s="1"/>
  <c r="G306" i="78" s="1"/>
  <c r="G318" i="78" s="1"/>
  <c r="G330" i="78" s="1"/>
  <c r="G342" i="78" s="1"/>
  <c r="G354" i="78" s="1"/>
  <c r="G366" i="78" s="1"/>
  <c r="G378" i="78" s="1"/>
  <c r="G390" i="78" s="1"/>
  <c r="G402" i="78" s="1"/>
  <c r="G414" i="78" s="1"/>
  <c r="G426" i="78" s="1"/>
  <c r="G438" i="78" s="1"/>
  <c r="G450" i="78" s="1"/>
  <c r="G462" i="78" s="1"/>
  <c r="G474" i="78" s="1"/>
  <c r="G486" i="78" s="1"/>
  <c r="G498" i="78" s="1"/>
  <c r="G510" i="78" s="1"/>
  <c r="F186" i="78"/>
  <c r="F198" i="78" s="1"/>
  <c r="F210" i="78" s="1"/>
  <c r="F222" i="78" s="1"/>
  <c r="F234" i="78" s="1"/>
  <c r="F246" i="78" s="1"/>
  <c r="F258" i="78" s="1"/>
  <c r="F270" i="78" s="1"/>
  <c r="F282" i="78" s="1"/>
  <c r="F294" i="78" s="1"/>
  <c r="F306" i="78" s="1"/>
  <c r="F318" i="78" s="1"/>
  <c r="F330" i="78" s="1"/>
  <c r="F342" i="78" s="1"/>
  <c r="F354" i="78" s="1"/>
  <c r="F366" i="78" s="1"/>
  <c r="F378" i="78" s="1"/>
  <c r="F390" i="78" s="1"/>
  <c r="F402" i="78" s="1"/>
  <c r="F414" i="78" s="1"/>
  <c r="F426" i="78" s="1"/>
  <c r="F438" i="78" s="1"/>
  <c r="F450" i="78" s="1"/>
  <c r="F462" i="78" s="1"/>
  <c r="F474" i="78" s="1"/>
  <c r="F486" i="78" s="1"/>
  <c r="F498" i="78" s="1"/>
  <c r="F510" i="78" s="1"/>
  <c r="X185" i="78"/>
  <c r="W185" i="78"/>
  <c r="G185" i="78"/>
  <c r="G197" i="78" s="1"/>
  <c r="G209" i="78" s="1"/>
  <c r="G221" i="78" s="1"/>
  <c r="G233" i="78" s="1"/>
  <c r="G245" i="78" s="1"/>
  <c r="G257" i="78" s="1"/>
  <c r="G269" i="78" s="1"/>
  <c r="G281" i="78" s="1"/>
  <c r="G293" i="78" s="1"/>
  <c r="G305" i="78" s="1"/>
  <c r="G317" i="78" s="1"/>
  <c r="G329" i="78" s="1"/>
  <c r="G341" i="78" s="1"/>
  <c r="G353" i="78" s="1"/>
  <c r="G365" i="78" s="1"/>
  <c r="G377" i="78" s="1"/>
  <c r="G389" i="78" s="1"/>
  <c r="G401" i="78" s="1"/>
  <c r="G413" i="78" s="1"/>
  <c r="G425" i="78" s="1"/>
  <c r="G437" i="78" s="1"/>
  <c r="G449" i="78" s="1"/>
  <c r="G461" i="78" s="1"/>
  <c r="G473" i="78" s="1"/>
  <c r="G485" i="78" s="1"/>
  <c r="G497" i="78" s="1"/>
  <c r="G509" i="78" s="1"/>
  <c r="F185" i="78"/>
  <c r="F197" i="78" s="1"/>
  <c r="F209" i="78" s="1"/>
  <c r="F221" i="78" s="1"/>
  <c r="F233" i="78" s="1"/>
  <c r="F245" i="78" s="1"/>
  <c r="F257" i="78" s="1"/>
  <c r="F269" i="78" s="1"/>
  <c r="F281" i="78" s="1"/>
  <c r="F293" i="78" s="1"/>
  <c r="F305" i="78" s="1"/>
  <c r="F317" i="78" s="1"/>
  <c r="F329" i="78" s="1"/>
  <c r="F341" i="78" s="1"/>
  <c r="F353" i="78" s="1"/>
  <c r="F365" i="78" s="1"/>
  <c r="F377" i="78" s="1"/>
  <c r="F389" i="78" s="1"/>
  <c r="F401" i="78" s="1"/>
  <c r="F413" i="78" s="1"/>
  <c r="F425" i="78" s="1"/>
  <c r="F437" i="78" s="1"/>
  <c r="F449" i="78" s="1"/>
  <c r="F461" i="78" s="1"/>
  <c r="F473" i="78" s="1"/>
  <c r="F485" i="78" s="1"/>
  <c r="F497" i="78" s="1"/>
  <c r="F509" i="78" s="1"/>
  <c r="X184" i="78"/>
  <c r="W184" i="78"/>
  <c r="G184" i="78"/>
  <c r="G196" i="78" s="1"/>
  <c r="G208" i="78" s="1"/>
  <c r="G220" i="78" s="1"/>
  <c r="G232" i="78" s="1"/>
  <c r="G244" i="78" s="1"/>
  <c r="G256" i="78" s="1"/>
  <c r="G268" i="78" s="1"/>
  <c r="G280" i="78" s="1"/>
  <c r="G292" i="78" s="1"/>
  <c r="G304" i="78" s="1"/>
  <c r="G316" i="78" s="1"/>
  <c r="G328" i="78" s="1"/>
  <c r="G340" i="78" s="1"/>
  <c r="G352" i="78" s="1"/>
  <c r="G364" i="78" s="1"/>
  <c r="G376" i="78" s="1"/>
  <c r="G388" i="78" s="1"/>
  <c r="G400" i="78" s="1"/>
  <c r="G412" i="78" s="1"/>
  <c r="G424" i="78" s="1"/>
  <c r="G436" i="78" s="1"/>
  <c r="G448" i="78" s="1"/>
  <c r="G460" i="78" s="1"/>
  <c r="G472" i="78" s="1"/>
  <c r="G484" i="78" s="1"/>
  <c r="G496" i="78" s="1"/>
  <c r="G508" i="78" s="1"/>
  <c r="F184" i="78"/>
  <c r="F196" i="78" s="1"/>
  <c r="F208" i="78" s="1"/>
  <c r="F220" i="78" s="1"/>
  <c r="F232" i="78" s="1"/>
  <c r="F244" i="78" s="1"/>
  <c r="F256" i="78" s="1"/>
  <c r="F268" i="78" s="1"/>
  <c r="F280" i="78" s="1"/>
  <c r="F292" i="78" s="1"/>
  <c r="F304" i="78" s="1"/>
  <c r="F316" i="78" s="1"/>
  <c r="F328" i="78" s="1"/>
  <c r="F340" i="78" s="1"/>
  <c r="F352" i="78" s="1"/>
  <c r="F364" i="78" s="1"/>
  <c r="F376" i="78" s="1"/>
  <c r="F388" i="78" s="1"/>
  <c r="F400" i="78" s="1"/>
  <c r="F412" i="78" s="1"/>
  <c r="F424" i="78" s="1"/>
  <c r="F436" i="78" s="1"/>
  <c r="F448" i="78" s="1"/>
  <c r="F460" i="78" s="1"/>
  <c r="F472" i="78" s="1"/>
  <c r="F484" i="78" s="1"/>
  <c r="F496" i="78" s="1"/>
  <c r="F508" i="78" s="1"/>
  <c r="X183" i="78"/>
  <c r="W183" i="78"/>
  <c r="G183" i="78"/>
  <c r="G195" i="78" s="1"/>
  <c r="G207" i="78" s="1"/>
  <c r="G219" i="78" s="1"/>
  <c r="G231" i="78" s="1"/>
  <c r="G243" i="78" s="1"/>
  <c r="G255" i="78" s="1"/>
  <c r="G267" i="78" s="1"/>
  <c r="G279" i="78" s="1"/>
  <c r="G291" i="78" s="1"/>
  <c r="G303" i="78" s="1"/>
  <c r="G315" i="78" s="1"/>
  <c r="G327" i="78" s="1"/>
  <c r="G339" i="78" s="1"/>
  <c r="G351" i="78" s="1"/>
  <c r="G363" i="78" s="1"/>
  <c r="G375" i="78" s="1"/>
  <c r="G387" i="78" s="1"/>
  <c r="G399" i="78" s="1"/>
  <c r="G411" i="78" s="1"/>
  <c r="G423" i="78" s="1"/>
  <c r="G435" i="78" s="1"/>
  <c r="G447" i="78" s="1"/>
  <c r="G459" i="78" s="1"/>
  <c r="G471" i="78" s="1"/>
  <c r="G483" i="78" s="1"/>
  <c r="G495" i="78" s="1"/>
  <c r="G507" i="78" s="1"/>
  <c r="F183" i="78"/>
  <c r="F195" i="78" s="1"/>
  <c r="F207" i="78" s="1"/>
  <c r="F219" i="78" s="1"/>
  <c r="F231" i="78" s="1"/>
  <c r="F243" i="78" s="1"/>
  <c r="F255" i="78" s="1"/>
  <c r="F267" i="78" s="1"/>
  <c r="F279" i="78" s="1"/>
  <c r="F291" i="78" s="1"/>
  <c r="F303" i="78" s="1"/>
  <c r="F315" i="78" s="1"/>
  <c r="F327" i="78" s="1"/>
  <c r="F339" i="78" s="1"/>
  <c r="F351" i="78" s="1"/>
  <c r="F363" i="78" s="1"/>
  <c r="F375" i="78" s="1"/>
  <c r="F387" i="78" s="1"/>
  <c r="F399" i="78" s="1"/>
  <c r="F411" i="78" s="1"/>
  <c r="F423" i="78" s="1"/>
  <c r="F435" i="78" s="1"/>
  <c r="F447" i="78" s="1"/>
  <c r="F459" i="78" s="1"/>
  <c r="F471" i="78" s="1"/>
  <c r="F483" i="78" s="1"/>
  <c r="F495" i="78" s="1"/>
  <c r="F507" i="78" s="1"/>
  <c r="X182" i="78"/>
  <c r="W182" i="78"/>
  <c r="G182" i="78"/>
  <c r="G194" i="78" s="1"/>
  <c r="G206" i="78" s="1"/>
  <c r="G218" i="78" s="1"/>
  <c r="G230" i="78" s="1"/>
  <c r="G242" i="78" s="1"/>
  <c r="G254" i="78" s="1"/>
  <c r="G266" i="78" s="1"/>
  <c r="G278" i="78" s="1"/>
  <c r="G290" i="78" s="1"/>
  <c r="G302" i="78" s="1"/>
  <c r="G314" i="78" s="1"/>
  <c r="G326" i="78" s="1"/>
  <c r="G338" i="78" s="1"/>
  <c r="G350" i="78" s="1"/>
  <c r="G362" i="78" s="1"/>
  <c r="G374" i="78" s="1"/>
  <c r="G386" i="78" s="1"/>
  <c r="G398" i="78" s="1"/>
  <c r="G410" i="78" s="1"/>
  <c r="G422" i="78" s="1"/>
  <c r="G434" i="78" s="1"/>
  <c r="G446" i="78" s="1"/>
  <c r="G458" i="78" s="1"/>
  <c r="G470" i="78" s="1"/>
  <c r="G482" i="78" s="1"/>
  <c r="G494" i="78" s="1"/>
  <c r="G506" i="78" s="1"/>
  <c r="F182" i="78"/>
  <c r="F194" i="78" s="1"/>
  <c r="F206" i="78" s="1"/>
  <c r="F218" i="78" s="1"/>
  <c r="F230" i="78" s="1"/>
  <c r="F242" i="78" s="1"/>
  <c r="F254" i="78" s="1"/>
  <c r="F266" i="78" s="1"/>
  <c r="F278" i="78" s="1"/>
  <c r="F290" i="78" s="1"/>
  <c r="F302" i="78" s="1"/>
  <c r="F314" i="78" s="1"/>
  <c r="F326" i="78" s="1"/>
  <c r="F338" i="78" s="1"/>
  <c r="F350" i="78" s="1"/>
  <c r="F362" i="78" s="1"/>
  <c r="F374" i="78" s="1"/>
  <c r="F386" i="78" s="1"/>
  <c r="F398" i="78" s="1"/>
  <c r="F410" i="78" s="1"/>
  <c r="F422" i="78" s="1"/>
  <c r="F434" i="78" s="1"/>
  <c r="F446" i="78" s="1"/>
  <c r="F458" i="78" s="1"/>
  <c r="F470" i="78" s="1"/>
  <c r="F482" i="78" s="1"/>
  <c r="F494" i="78" s="1"/>
  <c r="F506" i="78" s="1"/>
  <c r="X181" i="78"/>
  <c r="W181" i="78"/>
  <c r="G181" i="78"/>
  <c r="F181" i="78"/>
  <c r="X180" i="78"/>
  <c r="W180" i="78"/>
  <c r="G180" i="78"/>
  <c r="F180" i="78"/>
  <c r="X179" i="78"/>
  <c r="W179" i="78"/>
  <c r="G179" i="78"/>
  <c r="F179" i="78"/>
  <c r="X178" i="78"/>
  <c r="W178" i="78"/>
  <c r="G178" i="78"/>
  <c r="F178" i="78"/>
  <c r="X177" i="78"/>
  <c r="W177" i="78"/>
  <c r="G177" i="78"/>
  <c r="F177" i="78"/>
  <c r="X176" i="78"/>
  <c r="W176" i="78"/>
  <c r="G176" i="78"/>
  <c r="F176" i="78"/>
  <c r="X175" i="78"/>
  <c r="W175" i="78"/>
  <c r="G175" i="78"/>
  <c r="F175" i="78"/>
  <c r="X174" i="78"/>
  <c r="W174" i="78"/>
  <c r="G174" i="78"/>
  <c r="F174" i="78"/>
  <c r="X173" i="78"/>
  <c r="W173" i="78"/>
  <c r="R173" i="78"/>
  <c r="R185" i="78" s="1"/>
  <c r="R197" i="78" s="1"/>
  <c r="R209" i="78" s="1"/>
  <c r="R221" i="78" s="1"/>
  <c r="R233" i="78" s="1"/>
  <c r="R245" i="78" s="1"/>
  <c r="R257" i="78" s="1"/>
  <c r="R269" i="78" s="1"/>
  <c r="R281" i="78" s="1"/>
  <c r="R293" i="78" s="1"/>
  <c r="R305" i="78" s="1"/>
  <c r="R317" i="78" s="1"/>
  <c r="R329" i="78" s="1"/>
  <c r="R341" i="78" s="1"/>
  <c r="R353" i="78" s="1"/>
  <c r="R365" i="78" s="1"/>
  <c r="R377" i="78" s="1"/>
  <c r="R389" i="78" s="1"/>
  <c r="R401" i="78" s="1"/>
  <c r="R413" i="78" s="1"/>
  <c r="R425" i="78" s="1"/>
  <c r="R437" i="78" s="1"/>
  <c r="R449" i="78" s="1"/>
  <c r="R461" i="78" s="1"/>
  <c r="R473" i="78" s="1"/>
  <c r="R485" i="78" s="1"/>
  <c r="R497" i="78" s="1"/>
  <c r="R509" i="78" s="1"/>
  <c r="Q173" i="78"/>
  <c r="Q185" i="78" s="1"/>
  <c r="Q197" i="78" s="1"/>
  <c r="Q209" i="78" s="1"/>
  <c r="Q221" i="78" s="1"/>
  <c r="Q233" i="78" s="1"/>
  <c r="Q245" i="78" s="1"/>
  <c r="Q257" i="78" s="1"/>
  <c r="Q269" i="78" s="1"/>
  <c r="Q281" i="78" s="1"/>
  <c r="Q293" i="78" s="1"/>
  <c r="Q305" i="78" s="1"/>
  <c r="Q317" i="78" s="1"/>
  <c r="Q329" i="78" s="1"/>
  <c r="Q341" i="78" s="1"/>
  <c r="Q353" i="78" s="1"/>
  <c r="Q365" i="78" s="1"/>
  <c r="Q377" i="78" s="1"/>
  <c r="Q389" i="78" s="1"/>
  <c r="Q401" i="78" s="1"/>
  <c r="Q413" i="78" s="1"/>
  <c r="Q425" i="78" s="1"/>
  <c r="Q437" i="78" s="1"/>
  <c r="Q449" i="78" s="1"/>
  <c r="Q461" i="78" s="1"/>
  <c r="Q473" i="78" s="1"/>
  <c r="Q485" i="78" s="1"/>
  <c r="Q497" i="78" s="1"/>
  <c r="Q509" i="78" s="1"/>
  <c r="G173" i="78"/>
  <c r="F173" i="78"/>
  <c r="X172" i="78"/>
  <c r="W172" i="78"/>
  <c r="R172" i="78"/>
  <c r="R184" i="78" s="1"/>
  <c r="R196" i="78" s="1"/>
  <c r="R208" i="78" s="1"/>
  <c r="R220" i="78" s="1"/>
  <c r="R232" i="78" s="1"/>
  <c r="R244" i="78" s="1"/>
  <c r="R256" i="78" s="1"/>
  <c r="R268" i="78" s="1"/>
  <c r="R280" i="78" s="1"/>
  <c r="R292" i="78" s="1"/>
  <c r="R304" i="78" s="1"/>
  <c r="R316" i="78" s="1"/>
  <c r="R328" i="78" s="1"/>
  <c r="R340" i="78" s="1"/>
  <c r="R352" i="78" s="1"/>
  <c r="R364" i="78" s="1"/>
  <c r="R376" i="78" s="1"/>
  <c r="R388" i="78" s="1"/>
  <c r="R400" i="78" s="1"/>
  <c r="R412" i="78" s="1"/>
  <c r="R424" i="78" s="1"/>
  <c r="R436" i="78" s="1"/>
  <c r="R448" i="78" s="1"/>
  <c r="R460" i="78" s="1"/>
  <c r="R472" i="78" s="1"/>
  <c r="R484" i="78" s="1"/>
  <c r="R496" i="78" s="1"/>
  <c r="R508" i="78" s="1"/>
  <c r="Q172" i="78"/>
  <c r="Q184" i="78" s="1"/>
  <c r="Q196" i="78" s="1"/>
  <c r="Q208" i="78" s="1"/>
  <c r="Q220" i="78" s="1"/>
  <c r="Q232" i="78" s="1"/>
  <c r="Q244" i="78" s="1"/>
  <c r="Q256" i="78" s="1"/>
  <c r="Q268" i="78" s="1"/>
  <c r="Q280" i="78" s="1"/>
  <c r="Q292" i="78" s="1"/>
  <c r="Q304" i="78" s="1"/>
  <c r="Q316" i="78" s="1"/>
  <c r="Q328" i="78" s="1"/>
  <c r="Q340" i="78" s="1"/>
  <c r="Q352" i="78" s="1"/>
  <c r="Q364" i="78" s="1"/>
  <c r="Q376" i="78" s="1"/>
  <c r="Q388" i="78" s="1"/>
  <c r="Q400" i="78" s="1"/>
  <c r="Q412" i="78" s="1"/>
  <c r="Q424" i="78" s="1"/>
  <c r="Q436" i="78" s="1"/>
  <c r="Q448" i="78" s="1"/>
  <c r="Q460" i="78" s="1"/>
  <c r="Q472" i="78" s="1"/>
  <c r="Q484" i="78" s="1"/>
  <c r="Q496" i="78" s="1"/>
  <c r="Q508" i="78" s="1"/>
  <c r="G172" i="78"/>
  <c r="F172" i="78"/>
  <c r="X171" i="78"/>
  <c r="W171" i="78"/>
  <c r="R171" i="78"/>
  <c r="R183" i="78" s="1"/>
  <c r="R195" i="78" s="1"/>
  <c r="R207" i="78" s="1"/>
  <c r="R219" i="78" s="1"/>
  <c r="R231" i="78" s="1"/>
  <c r="R243" i="78" s="1"/>
  <c r="R255" i="78" s="1"/>
  <c r="R267" i="78" s="1"/>
  <c r="R279" i="78" s="1"/>
  <c r="R291" i="78" s="1"/>
  <c r="R303" i="78" s="1"/>
  <c r="R315" i="78" s="1"/>
  <c r="R327" i="78" s="1"/>
  <c r="R339" i="78" s="1"/>
  <c r="R351" i="78" s="1"/>
  <c r="R363" i="78" s="1"/>
  <c r="R375" i="78" s="1"/>
  <c r="R387" i="78" s="1"/>
  <c r="R399" i="78" s="1"/>
  <c r="R411" i="78" s="1"/>
  <c r="R423" i="78" s="1"/>
  <c r="R435" i="78" s="1"/>
  <c r="R447" i="78" s="1"/>
  <c r="R459" i="78" s="1"/>
  <c r="R471" i="78" s="1"/>
  <c r="R483" i="78" s="1"/>
  <c r="R495" i="78" s="1"/>
  <c r="R507" i="78" s="1"/>
  <c r="Q171" i="78"/>
  <c r="Q183" i="78" s="1"/>
  <c r="Q195" i="78" s="1"/>
  <c r="Q207" i="78" s="1"/>
  <c r="Q219" i="78" s="1"/>
  <c r="Q231" i="78" s="1"/>
  <c r="Q243" i="78" s="1"/>
  <c r="Q255" i="78" s="1"/>
  <c r="Q267" i="78" s="1"/>
  <c r="Q279" i="78" s="1"/>
  <c r="Q291" i="78" s="1"/>
  <c r="Q303" i="78" s="1"/>
  <c r="Q315" i="78" s="1"/>
  <c r="Q327" i="78" s="1"/>
  <c r="Q339" i="78" s="1"/>
  <c r="Q351" i="78" s="1"/>
  <c r="Q363" i="78" s="1"/>
  <c r="Q375" i="78" s="1"/>
  <c r="Q387" i="78" s="1"/>
  <c r="Q399" i="78" s="1"/>
  <c r="Q411" i="78" s="1"/>
  <c r="Q423" i="78" s="1"/>
  <c r="Q435" i="78" s="1"/>
  <c r="Q447" i="78" s="1"/>
  <c r="Q459" i="78" s="1"/>
  <c r="Q471" i="78" s="1"/>
  <c r="Q483" i="78" s="1"/>
  <c r="Q495" i="78" s="1"/>
  <c r="Q507" i="78" s="1"/>
  <c r="G171" i="78"/>
  <c r="F171" i="78"/>
  <c r="X170" i="78"/>
  <c r="W170" i="78"/>
  <c r="R170" i="78"/>
  <c r="R182" i="78" s="1"/>
  <c r="R194" i="78" s="1"/>
  <c r="R206" i="78" s="1"/>
  <c r="R218" i="78" s="1"/>
  <c r="R230" i="78" s="1"/>
  <c r="R242" i="78" s="1"/>
  <c r="R254" i="78" s="1"/>
  <c r="R266" i="78" s="1"/>
  <c r="R278" i="78" s="1"/>
  <c r="R290" i="78" s="1"/>
  <c r="R302" i="78" s="1"/>
  <c r="R314" i="78" s="1"/>
  <c r="R326" i="78" s="1"/>
  <c r="R338" i="78" s="1"/>
  <c r="R350" i="78" s="1"/>
  <c r="R362" i="78" s="1"/>
  <c r="R374" i="78" s="1"/>
  <c r="R386" i="78" s="1"/>
  <c r="R398" i="78" s="1"/>
  <c r="R410" i="78" s="1"/>
  <c r="R422" i="78" s="1"/>
  <c r="R434" i="78" s="1"/>
  <c r="R446" i="78" s="1"/>
  <c r="R458" i="78" s="1"/>
  <c r="R470" i="78" s="1"/>
  <c r="R482" i="78" s="1"/>
  <c r="R494" i="78" s="1"/>
  <c r="R506" i="78" s="1"/>
  <c r="Q170" i="78"/>
  <c r="Q182" i="78" s="1"/>
  <c r="Q194" i="78" s="1"/>
  <c r="Q206" i="78" s="1"/>
  <c r="Q218" i="78" s="1"/>
  <c r="Q230" i="78" s="1"/>
  <c r="Q242" i="78" s="1"/>
  <c r="Q254" i="78" s="1"/>
  <c r="Q266" i="78" s="1"/>
  <c r="Q278" i="78" s="1"/>
  <c r="Q290" i="78" s="1"/>
  <c r="Q302" i="78" s="1"/>
  <c r="Q314" i="78" s="1"/>
  <c r="Q326" i="78" s="1"/>
  <c r="Q338" i="78" s="1"/>
  <c r="Q350" i="78" s="1"/>
  <c r="Q362" i="78" s="1"/>
  <c r="Q374" i="78" s="1"/>
  <c r="Q386" i="78" s="1"/>
  <c r="Q398" i="78" s="1"/>
  <c r="Q410" i="78" s="1"/>
  <c r="Q422" i="78" s="1"/>
  <c r="Q434" i="78" s="1"/>
  <c r="Q446" i="78" s="1"/>
  <c r="Q458" i="78" s="1"/>
  <c r="Q470" i="78" s="1"/>
  <c r="Q482" i="78" s="1"/>
  <c r="Q494" i="78" s="1"/>
  <c r="Q506" i="78" s="1"/>
  <c r="G170" i="78"/>
  <c r="F170" i="78"/>
  <c r="X169" i="78"/>
  <c r="W169" i="78"/>
  <c r="T169" i="78"/>
  <c r="T181" i="78" s="1"/>
  <c r="T193" i="78" s="1"/>
  <c r="T205" i="78" s="1"/>
  <c r="T217" i="78" s="1"/>
  <c r="T229" i="78" s="1"/>
  <c r="T241" i="78" s="1"/>
  <c r="T253" i="78" s="1"/>
  <c r="T265" i="78" s="1"/>
  <c r="T277" i="78" s="1"/>
  <c r="T289" i="78" s="1"/>
  <c r="T301" i="78" s="1"/>
  <c r="T313" i="78" s="1"/>
  <c r="T325" i="78" s="1"/>
  <c r="T337" i="78" s="1"/>
  <c r="T349" i="78" s="1"/>
  <c r="T361" i="78" s="1"/>
  <c r="T373" i="78" s="1"/>
  <c r="T385" i="78" s="1"/>
  <c r="T397" i="78" s="1"/>
  <c r="T409" i="78" s="1"/>
  <c r="T421" i="78" s="1"/>
  <c r="T433" i="78" s="1"/>
  <c r="T445" i="78" s="1"/>
  <c r="T457" i="78" s="1"/>
  <c r="T469" i="78" s="1"/>
  <c r="T481" i="78" s="1"/>
  <c r="T493" i="78" s="1"/>
  <c r="T505" i="78" s="1"/>
  <c r="T517" i="78" s="1"/>
  <c r="S169" i="78"/>
  <c r="S181" i="78" s="1"/>
  <c r="S193" i="78" s="1"/>
  <c r="S205" i="78" s="1"/>
  <c r="S217" i="78" s="1"/>
  <c r="S229" i="78" s="1"/>
  <c r="S241" i="78" s="1"/>
  <c r="S253" i="78" s="1"/>
  <c r="S265" i="78" s="1"/>
  <c r="S277" i="78" s="1"/>
  <c r="S289" i="78" s="1"/>
  <c r="S301" i="78" s="1"/>
  <c r="S313" i="78" s="1"/>
  <c r="S325" i="78" s="1"/>
  <c r="S337" i="78" s="1"/>
  <c r="S349" i="78" s="1"/>
  <c r="S361" i="78" s="1"/>
  <c r="S373" i="78" s="1"/>
  <c r="S385" i="78" s="1"/>
  <c r="S397" i="78" s="1"/>
  <c r="S409" i="78" s="1"/>
  <c r="S421" i="78" s="1"/>
  <c r="S433" i="78" s="1"/>
  <c r="S445" i="78" s="1"/>
  <c r="S457" i="78" s="1"/>
  <c r="S469" i="78" s="1"/>
  <c r="S481" i="78" s="1"/>
  <c r="S493" i="78" s="1"/>
  <c r="S505" i="78" s="1"/>
  <c r="S517" i="78" s="1"/>
  <c r="R169" i="78"/>
  <c r="R181" i="78" s="1"/>
  <c r="R193" i="78" s="1"/>
  <c r="R205" i="78" s="1"/>
  <c r="R217" i="78" s="1"/>
  <c r="R229" i="78" s="1"/>
  <c r="R241" i="78" s="1"/>
  <c r="R253" i="78" s="1"/>
  <c r="R265" i="78" s="1"/>
  <c r="R277" i="78" s="1"/>
  <c r="R289" i="78" s="1"/>
  <c r="R301" i="78" s="1"/>
  <c r="R313" i="78" s="1"/>
  <c r="R325" i="78" s="1"/>
  <c r="R337" i="78" s="1"/>
  <c r="R349" i="78" s="1"/>
  <c r="R361" i="78" s="1"/>
  <c r="R373" i="78" s="1"/>
  <c r="R385" i="78" s="1"/>
  <c r="R397" i="78" s="1"/>
  <c r="R409" i="78" s="1"/>
  <c r="R421" i="78" s="1"/>
  <c r="R433" i="78" s="1"/>
  <c r="R445" i="78" s="1"/>
  <c r="R457" i="78" s="1"/>
  <c r="R469" i="78" s="1"/>
  <c r="R481" i="78" s="1"/>
  <c r="R493" i="78" s="1"/>
  <c r="R505" i="78" s="1"/>
  <c r="R517" i="78" s="1"/>
  <c r="Q169" i="78"/>
  <c r="Q181" i="78" s="1"/>
  <c r="Q193" i="78" s="1"/>
  <c r="Q205" i="78" s="1"/>
  <c r="Q217" i="78" s="1"/>
  <c r="Q229" i="78" s="1"/>
  <c r="Q241" i="78" s="1"/>
  <c r="Q253" i="78" s="1"/>
  <c r="Q265" i="78" s="1"/>
  <c r="Q277" i="78" s="1"/>
  <c r="Q289" i="78" s="1"/>
  <c r="Q301" i="78" s="1"/>
  <c r="Q313" i="78" s="1"/>
  <c r="Q325" i="78" s="1"/>
  <c r="Q337" i="78" s="1"/>
  <c r="Q349" i="78" s="1"/>
  <c r="Q361" i="78" s="1"/>
  <c r="Q373" i="78" s="1"/>
  <c r="Q385" i="78" s="1"/>
  <c r="Q397" i="78" s="1"/>
  <c r="Q409" i="78" s="1"/>
  <c r="Q421" i="78" s="1"/>
  <c r="Q433" i="78" s="1"/>
  <c r="Q445" i="78" s="1"/>
  <c r="Q457" i="78" s="1"/>
  <c r="Q469" i="78" s="1"/>
  <c r="Q481" i="78" s="1"/>
  <c r="Q493" i="78" s="1"/>
  <c r="Q505" i="78" s="1"/>
  <c r="Q517" i="78" s="1"/>
  <c r="G169" i="78"/>
  <c r="F169" i="78"/>
  <c r="X168" i="78"/>
  <c r="W168" i="78"/>
  <c r="T168" i="78"/>
  <c r="T180" i="78" s="1"/>
  <c r="T192" i="78" s="1"/>
  <c r="T204" i="78" s="1"/>
  <c r="T216" i="78" s="1"/>
  <c r="T228" i="78" s="1"/>
  <c r="T240" i="78" s="1"/>
  <c r="T252" i="78" s="1"/>
  <c r="T264" i="78" s="1"/>
  <c r="T276" i="78" s="1"/>
  <c r="T288" i="78" s="1"/>
  <c r="T300" i="78" s="1"/>
  <c r="T312" i="78" s="1"/>
  <c r="T324" i="78" s="1"/>
  <c r="T336" i="78" s="1"/>
  <c r="T348" i="78" s="1"/>
  <c r="T360" i="78" s="1"/>
  <c r="T372" i="78" s="1"/>
  <c r="T384" i="78" s="1"/>
  <c r="T396" i="78" s="1"/>
  <c r="T408" i="78" s="1"/>
  <c r="T420" i="78" s="1"/>
  <c r="T432" i="78" s="1"/>
  <c r="T444" i="78" s="1"/>
  <c r="T456" i="78" s="1"/>
  <c r="T468" i="78" s="1"/>
  <c r="T480" i="78" s="1"/>
  <c r="T492" i="78" s="1"/>
  <c r="T504" i="78" s="1"/>
  <c r="T516" i="78" s="1"/>
  <c r="S168" i="78"/>
  <c r="S180" i="78" s="1"/>
  <c r="S192" i="78" s="1"/>
  <c r="S204" i="78" s="1"/>
  <c r="S216" i="78" s="1"/>
  <c r="S228" i="78" s="1"/>
  <c r="S240" i="78" s="1"/>
  <c r="S252" i="78" s="1"/>
  <c r="S264" i="78" s="1"/>
  <c r="S276" i="78" s="1"/>
  <c r="S288" i="78" s="1"/>
  <c r="S300" i="78" s="1"/>
  <c r="S312" i="78" s="1"/>
  <c r="S324" i="78" s="1"/>
  <c r="S336" i="78" s="1"/>
  <c r="S348" i="78" s="1"/>
  <c r="S360" i="78" s="1"/>
  <c r="S372" i="78" s="1"/>
  <c r="S384" i="78" s="1"/>
  <c r="S396" i="78" s="1"/>
  <c r="S408" i="78" s="1"/>
  <c r="S420" i="78" s="1"/>
  <c r="S432" i="78" s="1"/>
  <c r="S444" i="78" s="1"/>
  <c r="S456" i="78" s="1"/>
  <c r="S468" i="78" s="1"/>
  <c r="S480" i="78" s="1"/>
  <c r="S492" i="78" s="1"/>
  <c r="S504" i="78" s="1"/>
  <c r="S516" i="78" s="1"/>
  <c r="R168" i="78"/>
  <c r="R180" i="78" s="1"/>
  <c r="R192" i="78" s="1"/>
  <c r="R204" i="78" s="1"/>
  <c r="R216" i="78" s="1"/>
  <c r="R228" i="78" s="1"/>
  <c r="R240" i="78" s="1"/>
  <c r="R252" i="78" s="1"/>
  <c r="R264" i="78" s="1"/>
  <c r="R276" i="78" s="1"/>
  <c r="R288" i="78" s="1"/>
  <c r="R300" i="78" s="1"/>
  <c r="R312" i="78" s="1"/>
  <c r="R324" i="78" s="1"/>
  <c r="R336" i="78" s="1"/>
  <c r="R348" i="78" s="1"/>
  <c r="R360" i="78" s="1"/>
  <c r="R372" i="78" s="1"/>
  <c r="R384" i="78" s="1"/>
  <c r="R396" i="78" s="1"/>
  <c r="R408" i="78" s="1"/>
  <c r="R420" i="78" s="1"/>
  <c r="R432" i="78" s="1"/>
  <c r="R444" i="78" s="1"/>
  <c r="R456" i="78" s="1"/>
  <c r="R468" i="78" s="1"/>
  <c r="R480" i="78" s="1"/>
  <c r="R492" i="78" s="1"/>
  <c r="R504" i="78" s="1"/>
  <c r="R516" i="78" s="1"/>
  <c r="Q168" i="78"/>
  <c r="Q180" i="78" s="1"/>
  <c r="Q192" i="78" s="1"/>
  <c r="Q204" i="78" s="1"/>
  <c r="Q216" i="78" s="1"/>
  <c r="Q228" i="78" s="1"/>
  <c r="Q240" i="78" s="1"/>
  <c r="Q252" i="78" s="1"/>
  <c r="Q264" i="78" s="1"/>
  <c r="Q276" i="78" s="1"/>
  <c r="Q288" i="78" s="1"/>
  <c r="Q300" i="78" s="1"/>
  <c r="Q312" i="78" s="1"/>
  <c r="Q324" i="78" s="1"/>
  <c r="Q336" i="78" s="1"/>
  <c r="Q348" i="78" s="1"/>
  <c r="Q360" i="78" s="1"/>
  <c r="Q372" i="78" s="1"/>
  <c r="Q384" i="78" s="1"/>
  <c r="Q396" i="78" s="1"/>
  <c r="Q408" i="78" s="1"/>
  <c r="Q420" i="78" s="1"/>
  <c r="Q432" i="78" s="1"/>
  <c r="Q444" i="78" s="1"/>
  <c r="Q456" i="78" s="1"/>
  <c r="Q468" i="78" s="1"/>
  <c r="Q480" i="78" s="1"/>
  <c r="Q492" i="78" s="1"/>
  <c r="Q504" i="78" s="1"/>
  <c r="Q516" i="78" s="1"/>
  <c r="G168" i="78"/>
  <c r="F168" i="78"/>
  <c r="X167" i="78"/>
  <c r="W167" i="78"/>
  <c r="T167" i="78"/>
  <c r="T179" i="78" s="1"/>
  <c r="T191" i="78" s="1"/>
  <c r="T203" i="78" s="1"/>
  <c r="T215" i="78" s="1"/>
  <c r="T227" i="78" s="1"/>
  <c r="T239" i="78" s="1"/>
  <c r="T251" i="78" s="1"/>
  <c r="T263" i="78" s="1"/>
  <c r="T275" i="78" s="1"/>
  <c r="T287" i="78" s="1"/>
  <c r="T299" i="78" s="1"/>
  <c r="T311" i="78" s="1"/>
  <c r="T323" i="78" s="1"/>
  <c r="T335" i="78" s="1"/>
  <c r="T347" i="78" s="1"/>
  <c r="T359" i="78" s="1"/>
  <c r="T371" i="78" s="1"/>
  <c r="T383" i="78" s="1"/>
  <c r="T395" i="78" s="1"/>
  <c r="T407" i="78" s="1"/>
  <c r="T419" i="78" s="1"/>
  <c r="T431" i="78" s="1"/>
  <c r="T443" i="78" s="1"/>
  <c r="T455" i="78" s="1"/>
  <c r="T467" i="78" s="1"/>
  <c r="T479" i="78" s="1"/>
  <c r="T491" i="78" s="1"/>
  <c r="T503" i="78" s="1"/>
  <c r="T515" i="78" s="1"/>
  <c r="S167" i="78"/>
  <c r="S179" i="78" s="1"/>
  <c r="S191" i="78" s="1"/>
  <c r="S203" i="78" s="1"/>
  <c r="S215" i="78" s="1"/>
  <c r="S227" i="78" s="1"/>
  <c r="S239" i="78" s="1"/>
  <c r="S251" i="78" s="1"/>
  <c r="S263" i="78" s="1"/>
  <c r="S275" i="78" s="1"/>
  <c r="S287" i="78" s="1"/>
  <c r="S299" i="78" s="1"/>
  <c r="S311" i="78" s="1"/>
  <c r="S323" i="78" s="1"/>
  <c r="S335" i="78" s="1"/>
  <c r="S347" i="78" s="1"/>
  <c r="S359" i="78" s="1"/>
  <c r="S371" i="78" s="1"/>
  <c r="S383" i="78" s="1"/>
  <c r="S395" i="78" s="1"/>
  <c r="S407" i="78" s="1"/>
  <c r="S419" i="78" s="1"/>
  <c r="S431" i="78" s="1"/>
  <c r="S443" i="78" s="1"/>
  <c r="S455" i="78" s="1"/>
  <c r="S467" i="78" s="1"/>
  <c r="S479" i="78" s="1"/>
  <c r="S491" i="78" s="1"/>
  <c r="S503" i="78" s="1"/>
  <c r="S515" i="78" s="1"/>
  <c r="R167" i="78"/>
  <c r="R179" i="78" s="1"/>
  <c r="R191" i="78" s="1"/>
  <c r="R203" i="78" s="1"/>
  <c r="R215" i="78" s="1"/>
  <c r="R227" i="78" s="1"/>
  <c r="R239" i="78" s="1"/>
  <c r="R251" i="78" s="1"/>
  <c r="R263" i="78" s="1"/>
  <c r="R275" i="78" s="1"/>
  <c r="R287" i="78" s="1"/>
  <c r="R299" i="78" s="1"/>
  <c r="R311" i="78" s="1"/>
  <c r="R323" i="78" s="1"/>
  <c r="R335" i="78" s="1"/>
  <c r="R347" i="78" s="1"/>
  <c r="R359" i="78" s="1"/>
  <c r="R371" i="78" s="1"/>
  <c r="R383" i="78" s="1"/>
  <c r="R395" i="78" s="1"/>
  <c r="R407" i="78" s="1"/>
  <c r="R419" i="78" s="1"/>
  <c r="R431" i="78" s="1"/>
  <c r="R443" i="78" s="1"/>
  <c r="R455" i="78" s="1"/>
  <c r="R467" i="78" s="1"/>
  <c r="R479" i="78" s="1"/>
  <c r="R491" i="78" s="1"/>
  <c r="R503" i="78" s="1"/>
  <c r="R515" i="78" s="1"/>
  <c r="Q167" i="78"/>
  <c r="Q179" i="78" s="1"/>
  <c r="Q191" i="78" s="1"/>
  <c r="Q203" i="78" s="1"/>
  <c r="Q215" i="78" s="1"/>
  <c r="Q227" i="78" s="1"/>
  <c r="Q239" i="78" s="1"/>
  <c r="Q251" i="78" s="1"/>
  <c r="Q263" i="78" s="1"/>
  <c r="Q275" i="78" s="1"/>
  <c r="Q287" i="78" s="1"/>
  <c r="Q299" i="78" s="1"/>
  <c r="Q311" i="78" s="1"/>
  <c r="Q323" i="78" s="1"/>
  <c r="Q335" i="78" s="1"/>
  <c r="Q347" i="78" s="1"/>
  <c r="Q359" i="78" s="1"/>
  <c r="Q371" i="78" s="1"/>
  <c r="Q383" i="78" s="1"/>
  <c r="Q395" i="78" s="1"/>
  <c r="Q407" i="78" s="1"/>
  <c r="Q419" i="78" s="1"/>
  <c r="Q431" i="78" s="1"/>
  <c r="Q443" i="78" s="1"/>
  <c r="Q455" i="78" s="1"/>
  <c r="Q467" i="78" s="1"/>
  <c r="Q479" i="78" s="1"/>
  <c r="Q491" i="78" s="1"/>
  <c r="Q503" i="78" s="1"/>
  <c r="Q515" i="78" s="1"/>
  <c r="G167" i="78"/>
  <c r="F167" i="78"/>
  <c r="X166" i="78"/>
  <c r="W166" i="78"/>
  <c r="T166" i="78"/>
  <c r="T178" i="78" s="1"/>
  <c r="T190" i="78" s="1"/>
  <c r="T202" i="78" s="1"/>
  <c r="T214" i="78" s="1"/>
  <c r="T226" i="78" s="1"/>
  <c r="T238" i="78" s="1"/>
  <c r="T250" i="78" s="1"/>
  <c r="T262" i="78" s="1"/>
  <c r="T274" i="78" s="1"/>
  <c r="T286" i="78" s="1"/>
  <c r="T298" i="78" s="1"/>
  <c r="T310" i="78" s="1"/>
  <c r="T322" i="78" s="1"/>
  <c r="T334" i="78" s="1"/>
  <c r="T346" i="78" s="1"/>
  <c r="T358" i="78" s="1"/>
  <c r="T370" i="78" s="1"/>
  <c r="T382" i="78" s="1"/>
  <c r="T394" i="78" s="1"/>
  <c r="T406" i="78" s="1"/>
  <c r="T418" i="78" s="1"/>
  <c r="T430" i="78" s="1"/>
  <c r="T442" i="78" s="1"/>
  <c r="T454" i="78" s="1"/>
  <c r="T466" i="78" s="1"/>
  <c r="T478" i="78" s="1"/>
  <c r="T490" i="78" s="1"/>
  <c r="T502" i="78" s="1"/>
  <c r="T514" i="78" s="1"/>
  <c r="S166" i="78"/>
  <c r="S178" i="78" s="1"/>
  <c r="S190" i="78" s="1"/>
  <c r="S202" i="78" s="1"/>
  <c r="S214" i="78" s="1"/>
  <c r="S226" i="78" s="1"/>
  <c r="S238" i="78" s="1"/>
  <c r="S250" i="78" s="1"/>
  <c r="S262" i="78" s="1"/>
  <c r="S274" i="78" s="1"/>
  <c r="S286" i="78" s="1"/>
  <c r="S298" i="78" s="1"/>
  <c r="S310" i="78" s="1"/>
  <c r="S322" i="78" s="1"/>
  <c r="S334" i="78" s="1"/>
  <c r="S346" i="78" s="1"/>
  <c r="S358" i="78" s="1"/>
  <c r="S370" i="78" s="1"/>
  <c r="S382" i="78" s="1"/>
  <c r="S394" i="78" s="1"/>
  <c r="S406" i="78" s="1"/>
  <c r="S418" i="78" s="1"/>
  <c r="S430" i="78" s="1"/>
  <c r="S442" i="78" s="1"/>
  <c r="S454" i="78" s="1"/>
  <c r="S466" i="78" s="1"/>
  <c r="S478" i="78" s="1"/>
  <c r="S490" i="78" s="1"/>
  <c r="S502" i="78" s="1"/>
  <c r="S514" i="78" s="1"/>
  <c r="R166" i="78"/>
  <c r="R178" i="78" s="1"/>
  <c r="R190" i="78" s="1"/>
  <c r="R202" i="78" s="1"/>
  <c r="R214" i="78" s="1"/>
  <c r="R226" i="78" s="1"/>
  <c r="R238" i="78" s="1"/>
  <c r="R250" i="78" s="1"/>
  <c r="R262" i="78" s="1"/>
  <c r="R274" i="78" s="1"/>
  <c r="R286" i="78" s="1"/>
  <c r="R298" i="78" s="1"/>
  <c r="R310" i="78" s="1"/>
  <c r="R322" i="78" s="1"/>
  <c r="R334" i="78" s="1"/>
  <c r="R346" i="78" s="1"/>
  <c r="R358" i="78" s="1"/>
  <c r="R370" i="78" s="1"/>
  <c r="R382" i="78" s="1"/>
  <c r="R394" i="78" s="1"/>
  <c r="R406" i="78" s="1"/>
  <c r="R418" i="78" s="1"/>
  <c r="R430" i="78" s="1"/>
  <c r="R442" i="78" s="1"/>
  <c r="R454" i="78" s="1"/>
  <c r="R466" i="78" s="1"/>
  <c r="R478" i="78" s="1"/>
  <c r="R490" i="78" s="1"/>
  <c r="R502" i="78" s="1"/>
  <c r="R514" i="78" s="1"/>
  <c r="Q166" i="78"/>
  <c r="Q178" i="78" s="1"/>
  <c r="Q190" i="78" s="1"/>
  <c r="Q202" i="78" s="1"/>
  <c r="Q214" i="78" s="1"/>
  <c r="Q226" i="78" s="1"/>
  <c r="Q238" i="78" s="1"/>
  <c r="Q250" i="78" s="1"/>
  <c r="Q262" i="78" s="1"/>
  <c r="Q274" i="78" s="1"/>
  <c r="Q286" i="78" s="1"/>
  <c r="Q298" i="78" s="1"/>
  <c r="Q310" i="78" s="1"/>
  <c r="Q322" i="78" s="1"/>
  <c r="Q334" i="78" s="1"/>
  <c r="Q346" i="78" s="1"/>
  <c r="Q358" i="78" s="1"/>
  <c r="Q370" i="78" s="1"/>
  <c r="Q382" i="78" s="1"/>
  <c r="Q394" i="78" s="1"/>
  <c r="Q406" i="78" s="1"/>
  <c r="Q418" i="78" s="1"/>
  <c r="Q430" i="78" s="1"/>
  <c r="Q442" i="78" s="1"/>
  <c r="Q454" i="78" s="1"/>
  <c r="Q466" i="78" s="1"/>
  <c r="Q478" i="78" s="1"/>
  <c r="Q490" i="78" s="1"/>
  <c r="Q502" i="78" s="1"/>
  <c r="Q514" i="78" s="1"/>
  <c r="G166" i="78"/>
  <c r="F166" i="78"/>
  <c r="X165" i="78"/>
  <c r="W165" i="78"/>
  <c r="T165" i="78"/>
  <c r="T177" i="78" s="1"/>
  <c r="T189" i="78" s="1"/>
  <c r="T201" i="78" s="1"/>
  <c r="T213" i="78" s="1"/>
  <c r="T225" i="78" s="1"/>
  <c r="T237" i="78" s="1"/>
  <c r="T249" i="78" s="1"/>
  <c r="T261" i="78" s="1"/>
  <c r="T273" i="78" s="1"/>
  <c r="T285" i="78" s="1"/>
  <c r="T297" i="78" s="1"/>
  <c r="T309" i="78" s="1"/>
  <c r="T321" i="78" s="1"/>
  <c r="T333" i="78" s="1"/>
  <c r="T345" i="78" s="1"/>
  <c r="T357" i="78" s="1"/>
  <c r="T369" i="78" s="1"/>
  <c r="T381" i="78" s="1"/>
  <c r="T393" i="78" s="1"/>
  <c r="T405" i="78" s="1"/>
  <c r="T417" i="78" s="1"/>
  <c r="T429" i="78" s="1"/>
  <c r="T441" i="78" s="1"/>
  <c r="T453" i="78" s="1"/>
  <c r="T465" i="78" s="1"/>
  <c r="T477" i="78" s="1"/>
  <c r="T489" i="78" s="1"/>
  <c r="T501" i="78" s="1"/>
  <c r="T513" i="78" s="1"/>
  <c r="S165" i="78"/>
  <c r="S177" i="78" s="1"/>
  <c r="S189" i="78" s="1"/>
  <c r="S201" i="78" s="1"/>
  <c r="S213" i="78" s="1"/>
  <c r="S225" i="78" s="1"/>
  <c r="S237" i="78" s="1"/>
  <c r="S249" i="78" s="1"/>
  <c r="S261" i="78" s="1"/>
  <c r="S273" i="78" s="1"/>
  <c r="S285" i="78" s="1"/>
  <c r="S297" i="78" s="1"/>
  <c r="S309" i="78" s="1"/>
  <c r="S321" i="78" s="1"/>
  <c r="S333" i="78" s="1"/>
  <c r="S345" i="78" s="1"/>
  <c r="S357" i="78" s="1"/>
  <c r="S369" i="78" s="1"/>
  <c r="S381" i="78" s="1"/>
  <c r="S393" i="78" s="1"/>
  <c r="S405" i="78" s="1"/>
  <c r="S417" i="78" s="1"/>
  <c r="S429" i="78" s="1"/>
  <c r="S441" i="78" s="1"/>
  <c r="S453" i="78" s="1"/>
  <c r="S465" i="78" s="1"/>
  <c r="S477" i="78" s="1"/>
  <c r="S489" i="78" s="1"/>
  <c r="S501" i="78" s="1"/>
  <c r="S513" i="78" s="1"/>
  <c r="R165" i="78"/>
  <c r="R177" i="78" s="1"/>
  <c r="R189" i="78" s="1"/>
  <c r="R201" i="78" s="1"/>
  <c r="R213" i="78" s="1"/>
  <c r="R225" i="78" s="1"/>
  <c r="R237" i="78" s="1"/>
  <c r="R249" i="78" s="1"/>
  <c r="R261" i="78" s="1"/>
  <c r="R273" i="78" s="1"/>
  <c r="R285" i="78" s="1"/>
  <c r="R297" i="78" s="1"/>
  <c r="R309" i="78" s="1"/>
  <c r="R321" i="78" s="1"/>
  <c r="R333" i="78" s="1"/>
  <c r="R345" i="78" s="1"/>
  <c r="R357" i="78" s="1"/>
  <c r="R369" i="78" s="1"/>
  <c r="R381" i="78" s="1"/>
  <c r="R393" i="78" s="1"/>
  <c r="R405" i="78" s="1"/>
  <c r="R417" i="78" s="1"/>
  <c r="R429" i="78" s="1"/>
  <c r="R441" i="78" s="1"/>
  <c r="R453" i="78" s="1"/>
  <c r="R465" i="78" s="1"/>
  <c r="R477" i="78" s="1"/>
  <c r="R489" i="78" s="1"/>
  <c r="R501" i="78" s="1"/>
  <c r="R513" i="78" s="1"/>
  <c r="Q165" i="78"/>
  <c r="Q177" i="78" s="1"/>
  <c r="Q189" i="78" s="1"/>
  <c r="Q201" i="78" s="1"/>
  <c r="Q213" i="78" s="1"/>
  <c r="Q225" i="78" s="1"/>
  <c r="Q237" i="78" s="1"/>
  <c r="Q249" i="78" s="1"/>
  <c r="Q261" i="78" s="1"/>
  <c r="Q273" i="78" s="1"/>
  <c r="Q285" i="78" s="1"/>
  <c r="Q297" i="78" s="1"/>
  <c r="Q309" i="78" s="1"/>
  <c r="Q321" i="78" s="1"/>
  <c r="Q333" i="78" s="1"/>
  <c r="Q345" i="78" s="1"/>
  <c r="Q357" i="78" s="1"/>
  <c r="Q369" i="78" s="1"/>
  <c r="Q381" i="78" s="1"/>
  <c r="Q393" i="78" s="1"/>
  <c r="Q405" i="78" s="1"/>
  <c r="Q417" i="78" s="1"/>
  <c r="Q429" i="78" s="1"/>
  <c r="Q441" i="78" s="1"/>
  <c r="Q453" i="78" s="1"/>
  <c r="Q465" i="78" s="1"/>
  <c r="Q477" i="78" s="1"/>
  <c r="Q489" i="78" s="1"/>
  <c r="Q501" i="78" s="1"/>
  <c r="Q513" i="78" s="1"/>
  <c r="G165" i="78"/>
  <c r="F165" i="78"/>
  <c r="X164" i="78"/>
  <c r="W164" i="78"/>
  <c r="T164" i="78"/>
  <c r="T176" i="78" s="1"/>
  <c r="T188" i="78" s="1"/>
  <c r="T200" i="78" s="1"/>
  <c r="T212" i="78" s="1"/>
  <c r="T224" i="78" s="1"/>
  <c r="T236" i="78" s="1"/>
  <c r="T248" i="78" s="1"/>
  <c r="T260" i="78" s="1"/>
  <c r="T272" i="78" s="1"/>
  <c r="T284" i="78" s="1"/>
  <c r="T296" i="78" s="1"/>
  <c r="T308" i="78" s="1"/>
  <c r="T320" i="78" s="1"/>
  <c r="T332" i="78" s="1"/>
  <c r="T344" i="78" s="1"/>
  <c r="T356" i="78" s="1"/>
  <c r="T368" i="78" s="1"/>
  <c r="T380" i="78" s="1"/>
  <c r="T392" i="78" s="1"/>
  <c r="T404" i="78" s="1"/>
  <c r="T416" i="78" s="1"/>
  <c r="T428" i="78" s="1"/>
  <c r="T440" i="78" s="1"/>
  <c r="T452" i="78" s="1"/>
  <c r="T464" i="78" s="1"/>
  <c r="T476" i="78" s="1"/>
  <c r="T488" i="78" s="1"/>
  <c r="T500" i="78" s="1"/>
  <c r="T512" i="78" s="1"/>
  <c r="S164" i="78"/>
  <c r="S176" i="78" s="1"/>
  <c r="S188" i="78" s="1"/>
  <c r="S200" i="78" s="1"/>
  <c r="S212" i="78" s="1"/>
  <c r="S224" i="78" s="1"/>
  <c r="S236" i="78" s="1"/>
  <c r="S248" i="78" s="1"/>
  <c r="S260" i="78" s="1"/>
  <c r="S272" i="78" s="1"/>
  <c r="S284" i="78" s="1"/>
  <c r="S296" i="78" s="1"/>
  <c r="S308" i="78" s="1"/>
  <c r="S320" i="78" s="1"/>
  <c r="S332" i="78" s="1"/>
  <c r="S344" i="78" s="1"/>
  <c r="S356" i="78" s="1"/>
  <c r="S368" i="78" s="1"/>
  <c r="S380" i="78" s="1"/>
  <c r="S392" i="78" s="1"/>
  <c r="S404" i="78" s="1"/>
  <c r="S416" i="78" s="1"/>
  <c r="S428" i="78" s="1"/>
  <c r="S440" i="78" s="1"/>
  <c r="S452" i="78" s="1"/>
  <c r="S464" i="78" s="1"/>
  <c r="S476" i="78" s="1"/>
  <c r="S488" i="78" s="1"/>
  <c r="S500" i="78" s="1"/>
  <c r="S512" i="78" s="1"/>
  <c r="R164" i="78"/>
  <c r="R176" i="78" s="1"/>
  <c r="R188" i="78" s="1"/>
  <c r="R200" i="78" s="1"/>
  <c r="R212" i="78" s="1"/>
  <c r="R224" i="78" s="1"/>
  <c r="R236" i="78" s="1"/>
  <c r="R248" i="78" s="1"/>
  <c r="R260" i="78" s="1"/>
  <c r="R272" i="78" s="1"/>
  <c r="R284" i="78" s="1"/>
  <c r="R296" i="78" s="1"/>
  <c r="R308" i="78" s="1"/>
  <c r="R320" i="78" s="1"/>
  <c r="R332" i="78" s="1"/>
  <c r="R344" i="78" s="1"/>
  <c r="R356" i="78" s="1"/>
  <c r="R368" i="78" s="1"/>
  <c r="R380" i="78" s="1"/>
  <c r="R392" i="78" s="1"/>
  <c r="R404" i="78" s="1"/>
  <c r="R416" i="78" s="1"/>
  <c r="R428" i="78" s="1"/>
  <c r="R440" i="78" s="1"/>
  <c r="R452" i="78" s="1"/>
  <c r="R464" i="78" s="1"/>
  <c r="R476" i="78" s="1"/>
  <c r="R488" i="78" s="1"/>
  <c r="R500" i="78" s="1"/>
  <c r="R512" i="78" s="1"/>
  <c r="Q164" i="78"/>
  <c r="Q176" i="78" s="1"/>
  <c r="Q188" i="78" s="1"/>
  <c r="Q200" i="78" s="1"/>
  <c r="Q212" i="78" s="1"/>
  <c r="Q224" i="78" s="1"/>
  <c r="Q236" i="78" s="1"/>
  <c r="Q248" i="78" s="1"/>
  <c r="Q260" i="78" s="1"/>
  <c r="Q272" i="78" s="1"/>
  <c r="Q284" i="78" s="1"/>
  <c r="Q296" i="78" s="1"/>
  <c r="Q308" i="78" s="1"/>
  <c r="Q320" i="78" s="1"/>
  <c r="Q332" i="78" s="1"/>
  <c r="Q344" i="78" s="1"/>
  <c r="Q356" i="78" s="1"/>
  <c r="Q368" i="78" s="1"/>
  <c r="Q380" i="78" s="1"/>
  <c r="Q392" i="78" s="1"/>
  <c r="Q404" i="78" s="1"/>
  <c r="Q416" i="78" s="1"/>
  <c r="Q428" i="78" s="1"/>
  <c r="Q440" i="78" s="1"/>
  <c r="Q452" i="78" s="1"/>
  <c r="Q464" i="78" s="1"/>
  <c r="Q476" i="78" s="1"/>
  <c r="Q488" i="78" s="1"/>
  <c r="Q500" i="78" s="1"/>
  <c r="Q512" i="78" s="1"/>
  <c r="G164" i="78"/>
  <c r="F164" i="78"/>
  <c r="X163" i="78"/>
  <c r="W163" i="78"/>
  <c r="T163" i="78"/>
  <c r="T175" i="78" s="1"/>
  <c r="T187" i="78" s="1"/>
  <c r="T199" i="78" s="1"/>
  <c r="T211" i="78" s="1"/>
  <c r="T223" i="78" s="1"/>
  <c r="T235" i="78" s="1"/>
  <c r="T247" i="78" s="1"/>
  <c r="T259" i="78" s="1"/>
  <c r="T271" i="78" s="1"/>
  <c r="T283" i="78" s="1"/>
  <c r="T295" i="78" s="1"/>
  <c r="T307" i="78" s="1"/>
  <c r="T319" i="78" s="1"/>
  <c r="T331" i="78" s="1"/>
  <c r="T343" i="78" s="1"/>
  <c r="T355" i="78" s="1"/>
  <c r="T367" i="78" s="1"/>
  <c r="T379" i="78" s="1"/>
  <c r="T391" i="78" s="1"/>
  <c r="T403" i="78" s="1"/>
  <c r="T415" i="78" s="1"/>
  <c r="T427" i="78" s="1"/>
  <c r="T439" i="78" s="1"/>
  <c r="T451" i="78" s="1"/>
  <c r="T463" i="78" s="1"/>
  <c r="T475" i="78" s="1"/>
  <c r="T487" i="78" s="1"/>
  <c r="T499" i="78" s="1"/>
  <c r="T511" i="78" s="1"/>
  <c r="S163" i="78"/>
  <c r="S175" i="78" s="1"/>
  <c r="S187" i="78" s="1"/>
  <c r="S199" i="78" s="1"/>
  <c r="S211" i="78" s="1"/>
  <c r="S223" i="78" s="1"/>
  <c r="S235" i="78" s="1"/>
  <c r="S247" i="78" s="1"/>
  <c r="S259" i="78" s="1"/>
  <c r="S271" i="78" s="1"/>
  <c r="S283" i="78" s="1"/>
  <c r="S295" i="78" s="1"/>
  <c r="S307" i="78" s="1"/>
  <c r="S319" i="78" s="1"/>
  <c r="S331" i="78" s="1"/>
  <c r="S343" i="78" s="1"/>
  <c r="S355" i="78" s="1"/>
  <c r="S367" i="78" s="1"/>
  <c r="S379" i="78" s="1"/>
  <c r="S391" i="78" s="1"/>
  <c r="S403" i="78" s="1"/>
  <c r="S415" i="78" s="1"/>
  <c r="S427" i="78" s="1"/>
  <c r="S439" i="78" s="1"/>
  <c r="S451" i="78" s="1"/>
  <c r="S463" i="78" s="1"/>
  <c r="S475" i="78" s="1"/>
  <c r="S487" i="78" s="1"/>
  <c r="S499" i="78" s="1"/>
  <c r="S511" i="78" s="1"/>
  <c r="R163" i="78"/>
  <c r="R175" i="78" s="1"/>
  <c r="R187" i="78" s="1"/>
  <c r="R199" i="78" s="1"/>
  <c r="R211" i="78" s="1"/>
  <c r="R223" i="78" s="1"/>
  <c r="R235" i="78" s="1"/>
  <c r="R247" i="78" s="1"/>
  <c r="R259" i="78" s="1"/>
  <c r="R271" i="78" s="1"/>
  <c r="R283" i="78" s="1"/>
  <c r="R295" i="78" s="1"/>
  <c r="R307" i="78" s="1"/>
  <c r="R319" i="78" s="1"/>
  <c r="R331" i="78" s="1"/>
  <c r="R343" i="78" s="1"/>
  <c r="R355" i="78" s="1"/>
  <c r="R367" i="78" s="1"/>
  <c r="R379" i="78" s="1"/>
  <c r="R391" i="78" s="1"/>
  <c r="R403" i="78" s="1"/>
  <c r="R415" i="78" s="1"/>
  <c r="R427" i="78" s="1"/>
  <c r="R439" i="78" s="1"/>
  <c r="R451" i="78" s="1"/>
  <c r="R463" i="78" s="1"/>
  <c r="R475" i="78" s="1"/>
  <c r="R487" i="78" s="1"/>
  <c r="R499" i="78" s="1"/>
  <c r="R511" i="78" s="1"/>
  <c r="Q163" i="78"/>
  <c r="Q175" i="78" s="1"/>
  <c r="Q187" i="78" s="1"/>
  <c r="Q199" i="78" s="1"/>
  <c r="Q211" i="78" s="1"/>
  <c r="Q223" i="78" s="1"/>
  <c r="Q235" i="78" s="1"/>
  <c r="Q247" i="78" s="1"/>
  <c r="Q259" i="78" s="1"/>
  <c r="Q271" i="78" s="1"/>
  <c r="Q283" i="78" s="1"/>
  <c r="Q295" i="78" s="1"/>
  <c r="Q307" i="78" s="1"/>
  <c r="Q319" i="78" s="1"/>
  <c r="Q331" i="78" s="1"/>
  <c r="Q343" i="78" s="1"/>
  <c r="Q355" i="78" s="1"/>
  <c r="Q367" i="78" s="1"/>
  <c r="Q379" i="78" s="1"/>
  <c r="Q391" i="78" s="1"/>
  <c r="Q403" i="78" s="1"/>
  <c r="Q415" i="78" s="1"/>
  <c r="Q427" i="78" s="1"/>
  <c r="Q439" i="78" s="1"/>
  <c r="Q451" i="78" s="1"/>
  <c r="Q463" i="78" s="1"/>
  <c r="Q475" i="78" s="1"/>
  <c r="Q487" i="78" s="1"/>
  <c r="Q499" i="78" s="1"/>
  <c r="Q511" i="78" s="1"/>
  <c r="G163" i="78"/>
  <c r="F163" i="78"/>
  <c r="X162" i="78"/>
  <c r="W162" i="78"/>
  <c r="T162" i="78"/>
  <c r="T174" i="78" s="1"/>
  <c r="T186" i="78" s="1"/>
  <c r="T198" i="78" s="1"/>
  <c r="T210" i="78" s="1"/>
  <c r="T222" i="78" s="1"/>
  <c r="T234" i="78" s="1"/>
  <c r="T246" i="78" s="1"/>
  <c r="T258" i="78" s="1"/>
  <c r="T270" i="78" s="1"/>
  <c r="T282" i="78" s="1"/>
  <c r="T294" i="78" s="1"/>
  <c r="T306" i="78" s="1"/>
  <c r="T318" i="78" s="1"/>
  <c r="T330" i="78" s="1"/>
  <c r="T342" i="78" s="1"/>
  <c r="T354" i="78" s="1"/>
  <c r="T366" i="78" s="1"/>
  <c r="T378" i="78" s="1"/>
  <c r="T390" i="78" s="1"/>
  <c r="T402" i="78" s="1"/>
  <c r="T414" i="78" s="1"/>
  <c r="T426" i="78" s="1"/>
  <c r="T438" i="78" s="1"/>
  <c r="T450" i="78" s="1"/>
  <c r="T462" i="78" s="1"/>
  <c r="T474" i="78" s="1"/>
  <c r="T486" i="78" s="1"/>
  <c r="T498" i="78" s="1"/>
  <c r="T510" i="78" s="1"/>
  <c r="S162" i="78"/>
  <c r="S174" i="78" s="1"/>
  <c r="S186" i="78" s="1"/>
  <c r="S198" i="78" s="1"/>
  <c r="S210" i="78" s="1"/>
  <c r="S222" i="78" s="1"/>
  <c r="S234" i="78" s="1"/>
  <c r="S246" i="78" s="1"/>
  <c r="S258" i="78" s="1"/>
  <c r="S270" i="78" s="1"/>
  <c r="S282" i="78" s="1"/>
  <c r="S294" i="78" s="1"/>
  <c r="S306" i="78" s="1"/>
  <c r="S318" i="78" s="1"/>
  <c r="S330" i="78" s="1"/>
  <c r="S342" i="78" s="1"/>
  <c r="S354" i="78" s="1"/>
  <c r="S366" i="78" s="1"/>
  <c r="S378" i="78" s="1"/>
  <c r="S390" i="78" s="1"/>
  <c r="S402" i="78" s="1"/>
  <c r="S414" i="78" s="1"/>
  <c r="S426" i="78" s="1"/>
  <c r="S438" i="78" s="1"/>
  <c r="S450" i="78" s="1"/>
  <c r="S462" i="78" s="1"/>
  <c r="S474" i="78" s="1"/>
  <c r="S486" i="78" s="1"/>
  <c r="S498" i="78" s="1"/>
  <c r="S510" i="78" s="1"/>
  <c r="R162" i="78"/>
  <c r="R174" i="78" s="1"/>
  <c r="R186" i="78" s="1"/>
  <c r="R198" i="78" s="1"/>
  <c r="R210" i="78" s="1"/>
  <c r="R222" i="78" s="1"/>
  <c r="R234" i="78" s="1"/>
  <c r="R246" i="78" s="1"/>
  <c r="R258" i="78" s="1"/>
  <c r="R270" i="78" s="1"/>
  <c r="R282" i="78" s="1"/>
  <c r="R294" i="78" s="1"/>
  <c r="R306" i="78" s="1"/>
  <c r="R318" i="78" s="1"/>
  <c r="R330" i="78" s="1"/>
  <c r="R342" i="78" s="1"/>
  <c r="R354" i="78" s="1"/>
  <c r="R366" i="78" s="1"/>
  <c r="R378" i="78" s="1"/>
  <c r="R390" i="78" s="1"/>
  <c r="R402" i="78" s="1"/>
  <c r="R414" i="78" s="1"/>
  <c r="R426" i="78" s="1"/>
  <c r="R438" i="78" s="1"/>
  <c r="R450" i="78" s="1"/>
  <c r="R462" i="78" s="1"/>
  <c r="R474" i="78" s="1"/>
  <c r="R486" i="78" s="1"/>
  <c r="R498" i="78" s="1"/>
  <c r="R510" i="78" s="1"/>
  <c r="Q162" i="78"/>
  <c r="Q174" i="78" s="1"/>
  <c r="Q186" i="78" s="1"/>
  <c r="Q198" i="78" s="1"/>
  <c r="Q210" i="78" s="1"/>
  <c r="Q222" i="78" s="1"/>
  <c r="Q234" i="78" s="1"/>
  <c r="Q246" i="78" s="1"/>
  <c r="Q258" i="78" s="1"/>
  <c r="Q270" i="78" s="1"/>
  <c r="Q282" i="78" s="1"/>
  <c r="Q294" i="78" s="1"/>
  <c r="Q306" i="78" s="1"/>
  <c r="Q318" i="78" s="1"/>
  <c r="Q330" i="78" s="1"/>
  <c r="Q342" i="78" s="1"/>
  <c r="Q354" i="78" s="1"/>
  <c r="Q366" i="78" s="1"/>
  <c r="Q378" i="78" s="1"/>
  <c r="Q390" i="78" s="1"/>
  <c r="Q402" i="78" s="1"/>
  <c r="Q414" i="78" s="1"/>
  <c r="Q426" i="78" s="1"/>
  <c r="Q438" i="78" s="1"/>
  <c r="Q450" i="78" s="1"/>
  <c r="Q462" i="78" s="1"/>
  <c r="Q474" i="78" s="1"/>
  <c r="Q486" i="78" s="1"/>
  <c r="Q498" i="78" s="1"/>
  <c r="Q510" i="78" s="1"/>
  <c r="G162" i="78"/>
  <c r="F162" i="78"/>
  <c r="X161" i="78"/>
  <c r="W161" i="78"/>
  <c r="T161" i="78"/>
  <c r="T173" i="78" s="1"/>
  <c r="T185" i="78" s="1"/>
  <c r="T197" i="78" s="1"/>
  <c r="T209" i="78" s="1"/>
  <c r="T221" i="78" s="1"/>
  <c r="T233" i="78" s="1"/>
  <c r="T245" i="78" s="1"/>
  <c r="T257" i="78" s="1"/>
  <c r="T269" i="78" s="1"/>
  <c r="T281" i="78" s="1"/>
  <c r="T293" i="78" s="1"/>
  <c r="T305" i="78" s="1"/>
  <c r="T317" i="78" s="1"/>
  <c r="T329" i="78" s="1"/>
  <c r="T341" i="78" s="1"/>
  <c r="T353" i="78" s="1"/>
  <c r="T365" i="78" s="1"/>
  <c r="T377" i="78" s="1"/>
  <c r="T389" i="78" s="1"/>
  <c r="T401" i="78" s="1"/>
  <c r="T413" i="78" s="1"/>
  <c r="T425" i="78" s="1"/>
  <c r="T437" i="78" s="1"/>
  <c r="T449" i="78" s="1"/>
  <c r="T461" i="78" s="1"/>
  <c r="T473" i="78" s="1"/>
  <c r="T485" i="78" s="1"/>
  <c r="T497" i="78" s="1"/>
  <c r="T509" i="78" s="1"/>
  <c r="S161" i="78"/>
  <c r="S173" i="78" s="1"/>
  <c r="S185" i="78" s="1"/>
  <c r="S197" i="78" s="1"/>
  <c r="S209" i="78" s="1"/>
  <c r="S221" i="78" s="1"/>
  <c r="S233" i="78" s="1"/>
  <c r="S245" i="78" s="1"/>
  <c r="S257" i="78" s="1"/>
  <c r="S269" i="78" s="1"/>
  <c r="S281" i="78" s="1"/>
  <c r="S293" i="78" s="1"/>
  <c r="S305" i="78" s="1"/>
  <c r="S317" i="78" s="1"/>
  <c r="S329" i="78" s="1"/>
  <c r="S341" i="78" s="1"/>
  <c r="S353" i="78" s="1"/>
  <c r="S365" i="78" s="1"/>
  <c r="S377" i="78" s="1"/>
  <c r="S389" i="78" s="1"/>
  <c r="S401" i="78" s="1"/>
  <c r="S413" i="78" s="1"/>
  <c r="S425" i="78" s="1"/>
  <c r="S437" i="78" s="1"/>
  <c r="S449" i="78" s="1"/>
  <c r="S461" i="78" s="1"/>
  <c r="S473" i="78" s="1"/>
  <c r="S485" i="78" s="1"/>
  <c r="S497" i="78" s="1"/>
  <c r="S509" i="78" s="1"/>
  <c r="G161" i="78"/>
  <c r="F161" i="78"/>
  <c r="X160" i="78"/>
  <c r="W160" i="78"/>
  <c r="T160" i="78"/>
  <c r="T172" i="78" s="1"/>
  <c r="T184" i="78" s="1"/>
  <c r="T196" i="78" s="1"/>
  <c r="T208" i="78" s="1"/>
  <c r="T220" i="78" s="1"/>
  <c r="T232" i="78" s="1"/>
  <c r="T244" i="78" s="1"/>
  <c r="T256" i="78" s="1"/>
  <c r="T268" i="78" s="1"/>
  <c r="T280" i="78" s="1"/>
  <c r="T292" i="78" s="1"/>
  <c r="T304" i="78" s="1"/>
  <c r="T316" i="78" s="1"/>
  <c r="T328" i="78" s="1"/>
  <c r="T340" i="78" s="1"/>
  <c r="T352" i="78" s="1"/>
  <c r="T364" i="78" s="1"/>
  <c r="T376" i="78" s="1"/>
  <c r="T388" i="78" s="1"/>
  <c r="T400" i="78" s="1"/>
  <c r="T412" i="78" s="1"/>
  <c r="T424" i="78" s="1"/>
  <c r="T436" i="78" s="1"/>
  <c r="T448" i="78" s="1"/>
  <c r="T460" i="78" s="1"/>
  <c r="T472" i="78" s="1"/>
  <c r="T484" i="78" s="1"/>
  <c r="T496" i="78" s="1"/>
  <c r="T508" i="78" s="1"/>
  <c r="S160" i="78"/>
  <c r="S172" i="78" s="1"/>
  <c r="S184" i="78" s="1"/>
  <c r="S196" i="78" s="1"/>
  <c r="S208" i="78" s="1"/>
  <c r="S220" i="78" s="1"/>
  <c r="S232" i="78" s="1"/>
  <c r="S244" i="78" s="1"/>
  <c r="S256" i="78" s="1"/>
  <c r="S268" i="78" s="1"/>
  <c r="S280" i="78" s="1"/>
  <c r="S292" i="78" s="1"/>
  <c r="S304" i="78" s="1"/>
  <c r="S316" i="78" s="1"/>
  <c r="S328" i="78" s="1"/>
  <c r="S340" i="78" s="1"/>
  <c r="S352" i="78" s="1"/>
  <c r="S364" i="78" s="1"/>
  <c r="S376" i="78" s="1"/>
  <c r="S388" i="78" s="1"/>
  <c r="S400" i="78" s="1"/>
  <c r="S412" i="78" s="1"/>
  <c r="S424" i="78" s="1"/>
  <c r="S436" i="78" s="1"/>
  <c r="S448" i="78" s="1"/>
  <c r="S460" i="78" s="1"/>
  <c r="S472" i="78" s="1"/>
  <c r="S484" i="78" s="1"/>
  <c r="S496" i="78" s="1"/>
  <c r="S508" i="78" s="1"/>
  <c r="G160" i="78"/>
  <c r="F160" i="78"/>
  <c r="X159" i="78"/>
  <c r="W159" i="78"/>
  <c r="T159" i="78"/>
  <c r="T171" i="78" s="1"/>
  <c r="T183" i="78" s="1"/>
  <c r="T195" i="78" s="1"/>
  <c r="T207" i="78" s="1"/>
  <c r="T219" i="78" s="1"/>
  <c r="T231" i="78" s="1"/>
  <c r="T243" i="78" s="1"/>
  <c r="T255" i="78" s="1"/>
  <c r="T267" i="78" s="1"/>
  <c r="T279" i="78" s="1"/>
  <c r="T291" i="78" s="1"/>
  <c r="T303" i="78" s="1"/>
  <c r="T315" i="78" s="1"/>
  <c r="T327" i="78" s="1"/>
  <c r="T339" i="78" s="1"/>
  <c r="T351" i="78" s="1"/>
  <c r="T363" i="78" s="1"/>
  <c r="T375" i="78" s="1"/>
  <c r="T387" i="78" s="1"/>
  <c r="T399" i="78" s="1"/>
  <c r="T411" i="78" s="1"/>
  <c r="T423" i="78" s="1"/>
  <c r="T435" i="78" s="1"/>
  <c r="T447" i="78" s="1"/>
  <c r="T459" i="78" s="1"/>
  <c r="T471" i="78" s="1"/>
  <c r="T483" i="78" s="1"/>
  <c r="T495" i="78" s="1"/>
  <c r="T507" i="78" s="1"/>
  <c r="S159" i="78"/>
  <c r="S171" i="78" s="1"/>
  <c r="S183" i="78" s="1"/>
  <c r="S195" i="78" s="1"/>
  <c r="S207" i="78" s="1"/>
  <c r="S219" i="78" s="1"/>
  <c r="S231" i="78" s="1"/>
  <c r="S243" i="78" s="1"/>
  <c r="S255" i="78" s="1"/>
  <c r="S267" i="78" s="1"/>
  <c r="S279" i="78" s="1"/>
  <c r="S291" i="78" s="1"/>
  <c r="S303" i="78" s="1"/>
  <c r="S315" i="78" s="1"/>
  <c r="S327" i="78" s="1"/>
  <c r="S339" i="78" s="1"/>
  <c r="S351" i="78" s="1"/>
  <c r="S363" i="78" s="1"/>
  <c r="S375" i="78" s="1"/>
  <c r="S387" i="78" s="1"/>
  <c r="S399" i="78" s="1"/>
  <c r="S411" i="78" s="1"/>
  <c r="S423" i="78" s="1"/>
  <c r="S435" i="78" s="1"/>
  <c r="S447" i="78" s="1"/>
  <c r="S459" i="78" s="1"/>
  <c r="S471" i="78" s="1"/>
  <c r="S483" i="78" s="1"/>
  <c r="S495" i="78" s="1"/>
  <c r="S507" i="78" s="1"/>
  <c r="G159" i="78"/>
  <c r="F159" i="78"/>
  <c r="X158" i="78"/>
  <c r="W158" i="78"/>
  <c r="T158" i="78"/>
  <c r="T170" i="78" s="1"/>
  <c r="T182" i="78" s="1"/>
  <c r="T194" i="78" s="1"/>
  <c r="T206" i="78" s="1"/>
  <c r="T218" i="78" s="1"/>
  <c r="T230" i="78" s="1"/>
  <c r="T242" i="78" s="1"/>
  <c r="T254" i="78" s="1"/>
  <c r="T266" i="78" s="1"/>
  <c r="T278" i="78" s="1"/>
  <c r="T290" i="78" s="1"/>
  <c r="T302" i="78" s="1"/>
  <c r="T314" i="78" s="1"/>
  <c r="T326" i="78" s="1"/>
  <c r="T338" i="78" s="1"/>
  <c r="T350" i="78" s="1"/>
  <c r="T362" i="78" s="1"/>
  <c r="T374" i="78" s="1"/>
  <c r="T386" i="78" s="1"/>
  <c r="T398" i="78" s="1"/>
  <c r="T410" i="78" s="1"/>
  <c r="T422" i="78" s="1"/>
  <c r="T434" i="78" s="1"/>
  <c r="T446" i="78" s="1"/>
  <c r="T458" i="78" s="1"/>
  <c r="T470" i="78" s="1"/>
  <c r="T482" i="78" s="1"/>
  <c r="T494" i="78" s="1"/>
  <c r="T506" i="78" s="1"/>
  <c r="S158" i="78"/>
  <c r="S170" i="78" s="1"/>
  <c r="S182" i="78" s="1"/>
  <c r="S194" i="78" s="1"/>
  <c r="S206" i="78" s="1"/>
  <c r="S218" i="78" s="1"/>
  <c r="S230" i="78" s="1"/>
  <c r="S242" i="78" s="1"/>
  <c r="S254" i="78" s="1"/>
  <c r="S266" i="78" s="1"/>
  <c r="S278" i="78" s="1"/>
  <c r="S290" i="78" s="1"/>
  <c r="S302" i="78" s="1"/>
  <c r="S314" i="78" s="1"/>
  <c r="S326" i="78" s="1"/>
  <c r="S338" i="78" s="1"/>
  <c r="S350" i="78" s="1"/>
  <c r="S362" i="78" s="1"/>
  <c r="S374" i="78" s="1"/>
  <c r="S386" i="78" s="1"/>
  <c r="S398" i="78" s="1"/>
  <c r="S410" i="78" s="1"/>
  <c r="S422" i="78" s="1"/>
  <c r="S434" i="78" s="1"/>
  <c r="S446" i="78" s="1"/>
  <c r="S458" i="78" s="1"/>
  <c r="S470" i="78" s="1"/>
  <c r="S482" i="78" s="1"/>
  <c r="S494" i="78" s="1"/>
  <c r="S506" i="78" s="1"/>
  <c r="G158" i="78"/>
  <c r="F158" i="78"/>
  <c r="X157" i="78"/>
  <c r="W157" i="78"/>
  <c r="G157" i="78"/>
  <c r="F157" i="78"/>
  <c r="X156" i="78"/>
  <c r="W156" i="78"/>
  <c r="G156" i="78"/>
  <c r="F156" i="78"/>
  <c r="X155" i="78"/>
  <c r="W155" i="78"/>
  <c r="G155" i="78"/>
  <c r="F155" i="78"/>
  <c r="X154" i="78"/>
  <c r="W154" i="78"/>
  <c r="G154" i="78"/>
  <c r="F154" i="78"/>
  <c r="X153" i="78"/>
  <c r="W153" i="78"/>
  <c r="G153" i="78"/>
  <c r="F153" i="78"/>
  <c r="X152" i="78"/>
  <c r="W152" i="78"/>
  <c r="G152" i="78"/>
  <c r="F152" i="78"/>
  <c r="X151" i="78"/>
  <c r="W151" i="78"/>
  <c r="G151" i="78"/>
  <c r="F151" i="78"/>
  <c r="X150" i="78"/>
  <c r="W150" i="78"/>
  <c r="G150" i="78"/>
  <c r="F150" i="78"/>
  <c r="X149" i="78"/>
  <c r="W149" i="78"/>
  <c r="G149" i="78"/>
  <c r="F149" i="78"/>
  <c r="X148" i="78"/>
  <c r="W148" i="78"/>
  <c r="G148" i="78"/>
  <c r="F148" i="78"/>
  <c r="X147" i="78"/>
  <c r="W147" i="78"/>
  <c r="G147" i="78"/>
  <c r="F147" i="78"/>
  <c r="X146" i="78"/>
  <c r="W146" i="78"/>
  <c r="G146" i="78"/>
  <c r="F146" i="78"/>
  <c r="X145" i="78"/>
  <c r="W145" i="78"/>
  <c r="T145" i="78"/>
  <c r="S145" i="78"/>
  <c r="G145" i="78"/>
  <c r="F145" i="78"/>
  <c r="X144" i="78"/>
  <c r="W144" i="78"/>
  <c r="T144" i="78"/>
  <c r="S144" i="78"/>
  <c r="G144" i="78"/>
  <c r="F144" i="78"/>
  <c r="X143" i="78"/>
  <c r="W143" i="78"/>
  <c r="T143" i="78"/>
  <c r="S143" i="78"/>
  <c r="G143" i="78"/>
  <c r="F143" i="78"/>
  <c r="X142" i="78"/>
  <c r="W142" i="78"/>
  <c r="T142" i="78"/>
  <c r="S142" i="78"/>
  <c r="G142" i="78"/>
  <c r="F142" i="78"/>
  <c r="X141" i="78"/>
  <c r="W141" i="78"/>
  <c r="T141" i="78"/>
  <c r="S141" i="78"/>
  <c r="G141" i="78"/>
  <c r="F141" i="78"/>
  <c r="X140" i="78"/>
  <c r="W140" i="78"/>
  <c r="T140" i="78"/>
  <c r="S140" i="78"/>
  <c r="G140" i="78"/>
  <c r="F140" i="78"/>
  <c r="X139" i="78"/>
  <c r="W139" i="78"/>
  <c r="T139" i="78"/>
  <c r="S139" i="78"/>
  <c r="G139" i="78"/>
  <c r="F139" i="78"/>
  <c r="X138" i="78"/>
  <c r="W138" i="78"/>
  <c r="T138" i="78"/>
  <c r="S138" i="78"/>
  <c r="G138" i="78"/>
  <c r="F138" i="78"/>
  <c r="AA137" i="78"/>
  <c r="X137" i="78"/>
  <c r="W137" i="78"/>
  <c r="T137" i="78"/>
  <c r="S137" i="78"/>
  <c r="G137" i="78"/>
  <c r="F137" i="78"/>
  <c r="AA136" i="78"/>
  <c r="X136" i="78"/>
  <c r="W136" i="78"/>
  <c r="T136" i="78"/>
  <c r="S136" i="78"/>
  <c r="G136" i="78"/>
  <c r="F136" i="78"/>
  <c r="AA135" i="78"/>
  <c r="X135" i="78"/>
  <c r="W135" i="78"/>
  <c r="T135" i="78"/>
  <c r="S135" i="78"/>
  <c r="G135" i="78"/>
  <c r="F135" i="78"/>
  <c r="AA134" i="78"/>
  <c r="X134" i="78"/>
  <c r="W134" i="78"/>
  <c r="T134" i="78"/>
  <c r="S134" i="78"/>
  <c r="G134" i="78"/>
  <c r="F134" i="78"/>
  <c r="X133" i="78"/>
  <c r="W133" i="78"/>
  <c r="T133" i="78"/>
  <c r="S133" i="78"/>
  <c r="F133" i="78"/>
  <c r="G133" i="78" s="1"/>
  <c r="X132" i="78"/>
  <c r="W132" i="78"/>
  <c r="T132" i="78"/>
  <c r="S132" i="78"/>
  <c r="F132" i="78"/>
  <c r="G132" i="78" s="1"/>
  <c r="X131" i="78"/>
  <c r="W131" i="78"/>
  <c r="T131" i="78"/>
  <c r="S131" i="78"/>
  <c r="G131" i="78"/>
  <c r="F131" i="78"/>
  <c r="X130" i="78"/>
  <c r="W130" i="78"/>
  <c r="T130" i="78"/>
  <c r="S130" i="78"/>
  <c r="F130" i="78"/>
  <c r="G130" i="78" s="1"/>
  <c r="X129" i="78"/>
  <c r="W129" i="78"/>
  <c r="T129" i="78"/>
  <c r="S129" i="78"/>
  <c r="F129" i="78"/>
  <c r="G129" i="78" s="1"/>
  <c r="X128" i="78"/>
  <c r="W128" i="78"/>
  <c r="T128" i="78"/>
  <c r="S128" i="78"/>
  <c r="F128" i="78"/>
  <c r="G128" i="78" s="1"/>
  <c r="X127" i="78"/>
  <c r="W127" i="78"/>
  <c r="T127" i="78"/>
  <c r="S127" i="78"/>
  <c r="G127" i="78"/>
  <c r="F127" i="78"/>
  <c r="X126" i="78"/>
  <c r="W126" i="78"/>
  <c r="T126" i="78"/>
  <c r="S126" i="78"/>
  <c r="F126" i="78"/>
  <c r="G126" i="78" s="1"/>
  <c r="X125" i="78"/>
  <c r="W125" i="78"/>
  <c r="T125" i="78"/>
  <c r="S125" i="78"/>
  <c r="F125" i="78"/>
  <c r="G125" i="78" s="1"/>
  <c r="X124" i="78"/>
  <c r="W124" i="78"/>
  <c r="T124" i="78"/>
  <c r="S124" i="78"/>
  <c r="F124" i="78"/>
  <c r="G124" i="78" s="1"/>
  <c r="X123" i="78"/>
  <c r="W123" i="78"/>
  <c r="T123" i="78"/>
  <c r="S123" i="78"/>
  <c r="G123" i="78"/>
  <c r="F123" i="78"/>
  <c r="X122" i="78"/>
  <c r="W122" i="78"/>
  <c r="T122" i="78"/>
  <c r="S122" i="78"/>
  <c r="F122" i="78"/>
  <c r="G122" i="78" s="1"/>
  <c r="X121" i="78"/>
  <c r="W121" i="78"/>
  <c r="T121" i="78"/>
  <c r="S121" i="78"/>
  <c r="G121" i="78"/>
  <c r="X120" i="78"/>
  <c r="W120" i="78"/>
  <c r="T120" i="78"/>
  <c r="S120" i="78"/>
  <c r="G120" i="78"/>
  <c r="X119" i="78"/>
  <c r="W119" i="78"/>
  <c r="T119" i="78"/>
  <c r="S119" i="78"/>
  <c r="G119" i="78"/>
  <c r="X118" i="78"/>
  <c r="W118" i="78"/>
  <c r="T118" i="78"/>
  <c r="S118" i="78"/>
  <c r="G118" i="78"/>
  <c r="X117" i="78"/>
  <c r="W117" i="78"/>
  <c r="T117" i="78"/>
  <c r="S117" i="78"/>
  <c r="G117" i="78"/>
  <c r="X116" i="78"/>
  <c r="W116" i="78"/>
  <c r="T116" i="78"/>
  <c r="S116" i="78"/>
  <c r="G116" i="78"/>
  <c r="X115" i="78"/>
  <c r="W115" i="78"/>
  <c r="T115" i="78"/>
  <c r="S115" i="78"/>
  <c r="G115" i="78"/>
  <c r="X114" i="78"/>
  <c r="W114" i="78"/>
  <c r="T114" i="78"/>
  <c r="S114" i="78"/>
  <c r="G114" i="78"/>
  <c r="X113" i="78"/>
  <c r="W113" i="78"/>
  <c r="T113" i="78"/>
  <c r="S113" i="78"/>
  <c r="G113" i="78"/>
  <c r="X112" i="78"/>
  <c r="W112" i="78"/>
  <c r="T112" i="78"/>
  <c r="S112" i="78"/>
  <c r="G112" i="78"/>
  <c r="X111" i="78"/>
  <c r="W111" i="78"/>
  <c r="T111" i="78"/>
  <c r="S111" i="78"/>
  <c r="G111" i="78"/>
  <c r="X110" i="78"/>
  <c r="W110" i="78"/>
  <c r="T110" i="78"/>
  <c r="S110" i="78"/>
  <c r="G110" i="78"/>
  <c r="X109" i="78"/>
  <c r="W109" i="78"/>
  <c r="T109" i="78"/>
  <c r="S109" i="78"/>
  <c r="G109" i="78"/>
  <c r="X108" i="78"/>
  <c r="W108" i="78"/>
  <c r="T108" i="78"/>
  <c r="S108" i="78"/>
  <c r="G108" i="78"/>
  <c r="X107" i="78"/>
  <c r="W107" i="78"/>
  <c r="T107" i="78"/>
  <c r="S107" i="78"/>
  <c r="G107" i="78"/>
  <c r="X106" i="78"/>
  <c r="W106" i="78"/>
  <c r="T106" i="78"/>
  <c r="S106" i="78"/>
  <c r="G106" i="78"/>
  <c r="X105" i="78"/>
  <c r="W105" i="78"/>
  <c r="T105" i="78"/>
  <c r="S105" i="78"/>
  <c r="G105" i="78"/>
  <c r="X104" i="78"/>
  <c r="W104" i="78"/>
  <c r="T104" i="78"/>
  <c r="S104" i="78"/>
  <c r="G104" i="78"/>
  <c r="X103" i="78"/>
  <c r="W103" i="78"/>
  <c r="T103" i="78"/>
  <c r="S103" i="78"/>
  <c r="G103" i="78"/>
  <c r="X102" i="78"/>
  <c r="W102" i="78"/>
  <c r="T102" i="78"/>
  <c r="S102" i="78"/>
  <c r="G102" i="78"/>
  <c r="X101" i="78"/>
  <c r="W101" i="78"/>
  <c r="T101" i="78"/>
  <c r="S101" i="78"/>
  <c r="G101" i="78"/>
  <c r="X100" i="78"/>
  <c r="W100" i="78"/>
  <c r="T100" i="78"/>
  <c r="S100" i="78"/>
  <c r="G100" i="78"/>
  <c r="X99" i="78"/>
  <c r="W99" i="78"/>
  <c r="T99" i="78"/>
  <c r="S99" i="78"/>
  <c r="G99" i="78"/>
  <c r="X98" i="78"/>
  <c r="W98" i="78"/>
  <c r="T98" i="78"/>
  <c r="S98" i="78"/>
  <c r="G98" i="78"/>
  <c r="X97" i="78"/>
  <c r="W97" i="78"/>
  <c r="T97" i="78"/>
  <c r="S97" i="78"/>
  <c r="G97" i="78"/>
  <c r="X96" i="78"/>
  <c r="W96" i="78"/>
  <c r="T96" i="78"/>
  <c r="S96" i="78"/>
  <c r="G96" i="78"/>
  <c r="X95" i="78"/>
  <c r="W95" i="78"/>
  <c r="T95" i="78"/>
  <c r="S95" i="78"/>
  <c r="G95" i="78"/>
  <c r="X94" i="78"/>
  <c r="W94" i="78"/>
  <c r="T94" i="78"/>
  <c r="S94" i="78"/>
  <c r="G94" i="78"/>
  <c r="X93" i="78"/>
  <c r="W93" i="78"/>
  <c r="T93" i="78"/>
  <c r="S93" i="78"/>
  <c r="G93" i="78"/>
  <c r="X92" i="78"/>
  <c r="W92" i="78"/>
  <c r="T92" i="78"/>
  <c r="S92" i="78"/>
  <c r="G92" i="78"/>
  <c r="X91" i="78"/>
  <c r="W91" i="78"/>
  <c r="T91" i="78"/>
  <c r="S91" i="78"/>
  <c r="G91" i="78"/>
  <c r="X90" i="78"/>
  <c r="W90" i="78"/>
  <c r="T90" i="78"/>
  <c r="S90" i="78"/>
  <c r="G90" i="78"/>
  <c r="X89" i="78"/>
  <c r="W89" i="78"/>
  <c r="T89" i="78"/>
  <c r="S89" i="78"/>
  <c r="G89" i="78"/>
  <c r="X88" i="78"/>
  <c r="W88" i="78"/>
  <c r="T88" i="78"/>
  <c r="S88" i="78"/>
  <c r="G88" i="78"/>
  <c r="X87" i="78"/>
  <c r="W87" i="78"/>
  <c r="T87" i="78"/>
  <c r="S87" i="78"/>
  <c r="G87" i="78"/>
  <c r="X86" i="78"/>
  <c r="W86" i="78"/>
  <c r="T86" i="78"/>
  <c r="S86" i="78"/>
  <c r="G86" i="78"/>
  <c r="X85" i="78"/>
  <c r="W85" i="78"/>
  <c r="T85" i="78"/>
  <c r="S85" i="78"/>
  <c r="G85" i="78"/>
  <c r="X84" i="78"/>
  <c r="W84" i="78"/>
  <c r="T84" i="78"/>
  <c r="S84" i="78"/>
  <c r="G84" i="78"/>
  <c r="X83" i="78"/>
  <c r="W83" i="78"/>
  <c r="T83" i="78"/>
  <c r="S83" i="78"/>
  <c r="G83" i="78"/>
  <c r="X82" i="78"/>
  <c r="W82" i="78"/>
  <c r="T82" i="78"/>
  <c r="S82" i="78"/>
  <c r="G82" i="78"/>
  <c r="X81" i="78"/>
  <c r="W81" i="78"/>
  <c r="T81" i="78"/>
  <c r="S81" i="78"/>
  <c r="G81" i="78"/>
  <c r="X80" i="78"/>
  <c r="W80" i="78"/>
  <c r="T80" i="78"/>
  <c r="S80" i="78"/>
  <c r="G80" i="78"/>
  <c r="X79" i="78"/>
  <c r="W79" i="78"/>
  <c r="T79" i="78"/>
  <c r="S79" i="78"/>
  <c r="G79" i="78"/>
  <c r="X78" i="78"/>
  <c r="W78" i="78"/>
  <c r="T78" i="78"/>
  <c r="S78" i="78"/>
  <c r="G78" i="78"/>
  <c r="X77" i="78"/>
  <c r="W77" i="78"/>
  <c r="T77" i="78"/>
  <c r="S77" i="78"/>
  <c r="G77" i="78"/>
  <c r="X76" i="78"/>
  <c r="W76" i="78"/>
  <c r="T76" i="78"/>
  <c r="S76" i="78"/>
  <c r="G76" i="78"/>
  <c r="X75" i="78"/>
  <c r="W75" i="78"/>
  <c r="T75" i="78"/>
  <c r="S75" i="78"/>
  <c r="G75" i="78"/>
  <c r="X74" i="78"/>
  <c r="W74" i="78"/>
  <c r="T74" i="78"/>
  <c r="S74" i="78"/>
  <c r="G74" i="78"/>
  <c r="X73" i="78"/>
  <c r="W73" i="78"/>
  <c r="T73" i="78"/>
  <c r="S73" i="78"/>
  <c r="G73" i="78"/>
  <c r="X72" i="78"/>
  <c r="W72" i="78"/>
  <c r="T72" i="78"/>
  <c r="S72" i="78"/>
  <c r="G72" i="78"/>
  <c r="X71" i="78"/>
  <c r="W71" i="78"/>
  <c r="T71" i="78"/>
  <c r="S71" i="78"/>
  <c r="G71" i="78"/>
  <c r="X70" i="78"/>
  <c r="W70" i="78"/>
  <c r="T70" i="78"/>
  <c r="S70" i="78"/>
  <c r="G70" i="78"/>
  <c r="X69" i="78"/>
  <c r="W69" i="78"/>
  <c r="T69" i="78"/>
  <c r="S69" i="78"/>
  <c r="G69" i="78"/>
  <c r="X68" i="78"/>
  <c r="W68" i="78"/>
  <c r="T68" i="78"/>
  <c r="S68" i="78"/>
  <c r="G68" i="78"/>
  <c r="X67" i="78"/>
  <c r="W67" i="78"/>
  <c r="T67" i="78"/>
  <c r="S67" i="78"/>
  <c r="G67" i="78"/>
  <c r="X66" i="78"/>
  <c r="W66" i="78"/>
  <c r="T66" i="78"/>
  <c r="S66" i="78"/>
  <c r="G66" i="78"/>
  <c r="X65" i="78"/>
  <c r="W65" i="78"/>
  <c r="T65" i="78"/>
  <c r="S65" i="78"/>
  <c r="G65" i="78"/>
  <c r="X64" i="78"/>
  <c r="W64" i="78"/>
  <c r="T64" i="78"/>
  <c r="S64" i="78"/>
  <c r="G64" i="78"/>
  <c r="X63" i="78"/>
  <c r="W63" i="78"/>
  <c r="T63" i="78"/>
  <c r="S63" i="78"/>
  <c r="G63" i="78"/>
  <c r="X62" i="78"/>
  <c r="W62" i="78"/>
  <c r="T62" i="78"/>
  <c r="S62" i="78"/>
  <c r="G62" i="78"/>
  <c r="X61" i="78"/>
  <c r="W61" i="78"/>
  <c r="T61" i="78"/>
  <c r="S61" i="78"/>
  <c r="G61" i="78"/>
  <c r="X60" i="78"/>
  <c r="W60" i="78"/>
  <c r="T60" i="78"/>
  <c r="S60" i="78"/>
  <c r="G60" i="78"/>
  <c r="X59" i="78"/>
  <c r="W59" i="78"/>
  <c r="T59" i="78"/>
  <c r="S59" i="78"/>
  <c r="G59" i="78"/>
  <c r="X58" i="78"/>
  <c r="W58" i="78"/>
  <c r="T58" i="78"/>
  <c r="S58" i="78"/>
  <c r="G58" i="78"/>
  <c r="X57" i="78"/>
  <c r="W57" i="78"/>
  <c r="T57" i="78"/>
  <c r="S57" i="78"/>
  <c r="G57" i="78"/>
  <c r="X56" i="78"/>
  <c r="W56" i="78"/>
  <c r="T56" i="78"/>
  <c r="S56" i="78"/>
  <c r="G56" i="78"/>
  <c r="X55" i="78"/>
  <c r="W55" i="78"/>
  <c r="T55" i="78"/>
  <c r="S55" i="78"/>
  <c r="G55" i="78"/>
  <c r="X54" i="78"/>
  <c r="W54" i="78"/>
  <c r="T54" i="78"/>
  <c r="S54" i="78"/>
  <c r="G54" i="78"/>
  <c r="X53" i="78"/>
  <c r="W53" i="78"/>
  <c r="T53" i="78"/>
  <c r="S53" i="78"/>
  <c r="G53" i="78"/>
  <c r="X52" i="78"/>
  <c r="W52" i="78"/>
  <c r="T52" i="78"/>
  <c r="S52" i="78"/>
  <c r="G52" i="78"/>
  <c r="X51" i="78"/>
  <c r="W51" i="78"/>
  <c r="T51" i="78"/>
  <c r="S51" i="78"/>
  <c r="G51" i="78"/>
  <c r="X50" i="78"/>
  <c r="W50" i="78"/>
  <c r="T50" i="78"/>
  <c r="S50" i="78"/>
  <c r="G50" i="78"/>
  <c r="X49" i="78"/>
  <c r="W49" i="78"/>
  <c r="T49" i="78"/>
  <c r="S49" i="78"/>
  <c r="G49" i="78"/>
  <c r="X48" i="78"/>
  <c r="W48" i="78"/>
  <c r="T48" i="78"/>
  <c r="S48" i="78"/>
  <c r="G48" i="78"/>
  <c r="X47" i="78"/>
  <c r="W47" i="78"/>
  <c r="T47" i="78"/>
  <c r="S47" i="78"/>
  <c r="G47" i="78"/>
  <c r="X46" i="78"/>
  <c r="W46" i="78"/>
  <c r="T46" i="78"/>
  <c r="S46" i="78"/>
  <c r="G46" i="78"/>
  <c r="X45" i="78"/>
  <c r="W45" i="78"/>
  <c r="T45" i="78"/>
  <c r="S45" i="78"/>
  <c r="G45" i="78"/>
  <c r="X44" i="78"/>
  <c r="W44" i="78"/>
  <c r="T44" i="78"/>
  <c r="S44" i="78"/>
  <c r="G44" i="78"/>
  <c r="X43" i="78"/>
  <c r="W43" i="78"/>
  <c r="T43" i="78"/>
  <c r="S43" i="78"/>
  <c r="G43" i="78"/>
  <c r="X42" i="78"/>
  <c r="W42" i="78"/>
  <c r="T42" i="78"/>
  <c r="S42" i="78"/>
  <c r="G42" i="78"/>
  <c r="X41" i="78"/>
  <c r="W41" i="78"/>
  <c r="T41" i="78"/>
  <c r="S41" i="78"/>
  <c r="G41" i="78"/>
  <c r="X40" i="78"/>
  <c r="W40" i="78"/>
  <c r="T40" i="78"/>
  <c r="S40" i="78"/>
  <c r="G40" i="78"/>
  <c r="X39" i="78"/>
  <c r="W39" i="78"/>
  <c r="T39" i="78"/>
  <c r="S39" i="78"/>
  <c r="G39" i="78"/>
  <c r="X38" i="78"/>
  <c r="W38" i="78"/>
  <c r="T38" i="78"/>
  <c r="S38" i="78"/>
  <c r="G38" i="78"/>
  <c r="X37" i="78"/>
  <c r="W37" i="78"/>
  <c r="T37" i="78"/>
  <c r="S37" i="78"/>
  <c r="G37" i="78"/>
  <c r="X36" i="78"/>
  <c r="W36" i="78"/>
  <c r="T36" i="78"/>
  <c r="S36" i="78"/>
  <c r="G36" i="78"/>
  <c r="X35" i="78"/>
  <c r="W35" i="78"/>
  <c r="T35" i="78"/>
  <c r="S35" i="78"/>
  <c r="G35" i="78"/>
  <c r="X34" i="78"/>
  <c r="W34" i="78"/>
  <c r="T34" i="78"/>
  <c r="S34" i="78"/>
  <c r="G34" i="78"/>
  <c r="X33" i="78"/>
  <c r="W33" i="78"/>
  <c r="T33" i="78"/>
  <c r="S33" i="78"/>
  <c r="G33" i="78"/>
  <c r="Z32" i="78"/>
  <c r="X32" i="78"/>
  <c r="W32" i="78"/>
  <c r="T32" i="78"/>
  <c r="S32" i="78"/>
  <c r="G32" i="78"/>
  <c r="X31" i="78"/>
  <c r="W31" i="78"/>
  <c r="T31" i="78"/>
  <c r="S31" i="78"/>
  <c r="G31" i="78"/>
  <c r="X30" i="78"/>
  <c r="W30" i="78"/>
  <c r="T30" i="78"/>
  <c r="S30" i="78"/>
  <c r="G30" i="78"/>
  <c r="X29" i="78"/>
  <c r="W29" i="78"/>
  <c r="T29" i="78"/>
  <c r="S29" i="78"/>
  <c r="G29" i="78"/>
  <c r="X28" i="78"/>
  <c r="W28" i="78"/>
  <c r="T28" i="78"/>
  <c r="S28" i="78"/>
  <c r="G28" i="78"/>
  <c r="X27" i="78"/>
  <c r="W27" i="78"/>
  <c r="T27" i="78"/>
  <c r="S27" i="78"/>
  <c r="G27" i="78"/>
  <c r="X26" i="78"/>
  <c r="W26" i="78"/>
  <c r="T26" i="78"/>
  <c r="S26" i="78"/>
  <c r="G26" i="78"/>
  <c r="X25" i="78"/>
  <c r="W25" i="78"/>
  <c r="T25" i="78"/>
  <c r="S25" i="78"/>
  <c r="G25" i="78"/>
  <c r="X24" i="78"/>
  <c r="W24" i="78"/>
  <c r="T24" i="78"/>
  <c r="S24" i="78"/>
  <c r="G24" i="78"/>
  <c r="X23" i="78"/>
  <c r="W23" i="78"/>
  <c r="T23" i="78"/>
  <c r="S23" i="78"/>
  <c r="G23" i="78"/>
  <c r="X22" i="78"/>
  <c r="W22" i="78"/>
  <c r="T22" i="78"/>
  <c r="S22" i="78"/>
  <c r="G22" i="78"/>
  <c r="X21" i="78"/>
  <c r="W21" i="78"/>
  <c r="T21" i="78"/>
  <c r="S21" i="78"/>
  <c r="G21" i="78"/>
  <c r="X20" i="78"/>
  <c r="W20" i="78"/>
  <c r="T20" i="78"/>
  <c r="S20" i="78"/>
  <c r="G20" i="78"/>
  <c r="X19" i="78"/>
  <c r="W19" i="78"/>
  <c r="T19" i="78"/>
  <c r="S19" i="78"/>
  <c r="G19" i="78"/>
  <c r="X18" i="78"/>
  <c r="W18" i="78"/>
  <c r="T18" i="78"/>
  <c r="S18" i="78"/>
  <c r="G18" i="78"/>
  <c r="X17" i="78"/>
  <c r="W17" i="78"/>
  <c r="T17" i="78"/>
  <c r="S17" i="78"/>
  <c r="G17" i="78"/>
  <c r="X16" i="78"/>
  <c r="W16" i="78"/>
  <c r="T16" i="78"/>
  <c r="S16" i="78"/>
  <c r="G16" i="78"/>
  <c r="X15" i="78"/>
  <c r="W15" i="78"/>
  <c r="T15" i="78"/>
  <c r="S15" i="78"/>
  <c r="G15" i="78"/>
  <c r="X14" i="78"/>
  <c r="W14" i="78"/>
  <c r="T14" i="78"/>
  <c r="S14" i="78"/>
  <c r="G14" i="78"/>
  <c r="X13" i="78"/>
  <c r="W13" i="78"/>
  <c r="T13" i="78"/>
  <c r="S13" i="78"/>
  <c r="I13" i="78"/>
  <c r="G13" i="78"/>
  <c r="X12" i="78"/>
  <c r="W12" i="78"/>
  <c r="T12" i="78"/>
  <c r="S12" i="78"/>
  <c r="I12" i="78"/>
  <c r="I11" i="78" s="1"/>
  <c r="G12" i="78"/>
  <c r="X11" i="78"/>
  <c r="W11" i="78"/>
  <c r="T11" i="78"/>
  <c r="S11" i="78"/>
  <c r="G11" i="78"/>
  <c r="X10" i="78"/>
  <c r="W10" i="78"/>
  <c r="T10" i="78"/>
  <c r="S10" i="78"/>
  <c r="I10" i="78"/>
  <c r="I9" i="78" s="1"/>
  <c r="G10" i="78"/>
  <c r="X9" i="78"/>
  <c r="W9" i="78"/>
  <c r="T9" i="78"/>
  <c r="S9" i="78"/>
  <c r="G9" i="78"/>
  <c r="X8" i="78"/>
  <c r="W8" i="78"/>
  <c r="T8" i="78"/>
  <c r="S8" i="78"/>
  <c r="I8" i="78"/>
  <c r="I7" i="78" s="1"/>
  <c r="I6" i="78" s="1"/>
  <c r="I5" i="78" s="1"/>
  <c r="I4" i="78" s="1"/>
  <c r="I3" i="78" s="1"/>
  <c r="I2" i="78" s="1"/>
  <c r="G8" i="78"/>
  <c r="X7" i="78"/>
  <c r="W7" i="78"/>
  <c r="T7" i="78"/>
  <c r="S7" i="78"/>
  <c r="G7" i="78"/>
  <c r="Y6" i="78"/>
  <c r="Z6" i="78" s="1"/>
  <c r="X6" i="78"/>
  <c r="W6" i="78"/>
  <c r="T6" i="78"/>
  <c r="S6" i="78"/>
  <c r="G6" i="78"/>
  <c r="X5" i="78"/>
  <c r="W5" i="78"/>
  <c r="T5" i="78"/>
  <c r="S5" i="78"/>
  <c r="G5" i="78"/>
  <c r="Y4" i="78"/>
  <c r="Y5" i="78" s="1"/>
  <c r="Z5" i="78" s="1"/>
  <c r="X4" i="78"/>
  <c r="W4" i="78"/>
  <c r="T4" i="78"/>
  <c r="S4" i="78"/>
  <c r="G4" i="78"/>
  <c r="Z3" i="78"/>
  <c r="Y3" i="78"/>
  <c r="X3" i="78"/>
  <c r="W3" i="78"/>
  <c r="T3" i="78"/>
  <c r="S3" i="78"/>
  <c r="G3" i="78"/>
  <c r="Y2" i="78"/>
  <c r="Z2" i="78" s="1"/>
  <c r="X2" i="78"/>
  <c r="W2" i="78"/>
  <c r="T2" i="78"/>
  <c r="S2" i="78"/>
  <c r="G2" i="78"/>
  <c r="F15" i="77"/>
  <c r="E15" i="77"/>
  <c r="F14" i="77"/>
  <c r="E14" i="77"/>
  <c r="F13" i="77"/>
  <c r="E13" i="77"/>
  <c r="F12" i="77"/>
  <c r="E12" i="77"/>
  <c r="F11" i="77"/>
  <c r="E11" i="77"/>
  <c r="F10" i="77"/>
  <c r="E10" i="77"/>
  <c r="F9" i="77"/>
  <c r="E9" i="77"/>
  <c r="F8" i="77"/>
  <c r="E8" i="77"/>
  <c r="D48" i="76"/>
  <c r="D47" i="76"/>
  <c r="D46" i="76"/>
  <c r="D45" i="76"/>
  <c r="D44" i="76"/>
  <c r="D43" i="76"/>
  <c r="D42" i="76"/>
  <c r="D41" i="76"/>
  <c r="D40" i="76"/>
  <c r="D39" i="76"/>
  <c r="D38" i="76"/>
  <c r="D37" i="76"/>
  <c r="D36" i="76"/>
  <c r="D35" i="76"/>
  <c r="D34" i="76"/>
  <c r="D33" i="76"/>
  <c r="D32" i="76"/>
  <c r="D31" i="76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H14" i="76"/>
  <c r="H13" i="76"/>
  <c r="H12" i="76"/>
  <c r="H11" i="76"/>
  <c r="H10" i="76"/>
  <c r="H9" i="76"/>
  <c r="H8" i="76"/>
  <c r="H7" i="76"/>
  <c r="B517" i="74"/>
  <c r="C517" i="74" s="1"/>
  <c r="A517" i="74"/>
  <c r="B516" i="74"/>
  <c r="A516" i="74"/>
  <c r="B515" i="74"/>
  <c r="C514" i="74"/>
  <c r="B514" i="74"/>
  <c r="B513" i="74"/>
  <c r="A513" i="74"/>
  <c r="B512" i="74"/>
  <c r="A512" i="74"/>
  <c r="B511" i="74"/>
  <c r="A511" i="74"/>
  <c r="B510" i="74"/>
  <c r="C510" i="74" s="1"/>
  <c r="B509" i="74"/>
  <c r="C509" i="74" s="1"/>
  <c r="A509" i="74"/>
  <c r="B508" i="74"/>
  <c r="A508" i="74"/>
  <c r="B507" i="74"/>
  <c r="C506" i="74"/>
  <c r="B506" i="74"/>
  <c r="C505" i="74"/>
  <c r="A505" i="74"/>
  <c r="C504" i="74"/>
  <c r="A504" i="74"/>
  <c r="C503" i="74"/>
  <c r="A503" i="74"/>
  <c r="C502" i="74"/>
  <c r="A502" i="74"/>
  <c r="A514" i="74" s="1"/>
  <c r="C501" i="74"/>
  <c r="A501" i="74"/>
  <c r="C500" i="74"/>
  <c r="A500" i="74"/>
  <c r="C499" i="74"/>
  <c r="A499" i="74"/>
  <c r="C498" i="74"/>
  <c r="A498" i="74"/>
  <c r="A510" i="74" s="1"/>
  <c r="C497" i="74"/>
  <c r="A497" i="74"/>
  <c r="C496" i="74"/>
  <c r="A496" i="74"/>
  <c r="C495" i="74"/>
  <c r="A495" i="74"/>
  <c r="C494" i="74"/>
  <c r="A494" i="74"/>
  <c r="A506" i="74" s="1"/>
  <c r="C493" i="74"/>
  <c r="C492" i="74"/>
  <c r="C491" i="74"/>
  <c r="C490" i="74"/>
  <c r="C489" i="74"/>
  <c r="C488" i="74"/>
  <c r="C487" i="74"/>
  <c r="C486" i="74"/>
  <c r="C485" i="74"/>
  <c r="C484" i="74"/>
  <c r="C483" i="74"/>
  <c r="C482" i="74"/>
  <c r="C481" i="74"/>
  <c r="C480" i="74"/>
  <c r="C479" i="74"/>
  <c r="C478" i="74"/>
  <c r="C477" i="74"/>
  <c r="C476" i="74"/>
  <c r="C475" i="74"/>
  <c r="C474" i="74"/>
  <c r="C473" i="74"/>
  <c r="C472" i="74"/>
  <c r="C471" i="74"/>
  <c r="C470" i="74"/>
  <c r="C469" i="74"/>
  <c r="C468" i="74"/>
  <c r="C467" i="74"/>
  <c r="C466" i="74"/>
  <c r="C465" i="74"/>
  <c r="C464" i="74"/>
  <c r="C463" i="74"/>
  <c r="C462" i="74"/>
  <c r="C461" i="74"/>
  <c r="C460" i="74"/>
  <c r="C459" i="74"/>
  <c r="C458" i="74"/>
  <c r="C457" i="74"/>
  <c r="C456" i="74"/>
  <c r="C455" i="74"/>
  <c r="C454" i="74"/>
  <c r="C453" i="74"/>
  <c r="C452" i="74"/>
  <c r="C451" i="74"/>
  <c r="C450" i="74"/>
  <c r="C449" i="74"/>
  <c r="C448" i="74"/>
  <c r="C447" i="74"/>
  <c r="C446" i="74"/>
  <c r="C445" i="74"/>
  <c r="C444" i="74"/>
  <c r="C443" i="74"/>
  <c r="C442" i="74"/>
  <c r="C441" i="74"/>
  <c r="C440" i="74"/>
  <c r="C439" i="74"/>
  <c r="C438" i="74"/>
  <c r="C437" i="74"/>
  <c r="C436" i="74"/>
  <c r="C435" i="74"/>
  <c r="C434" i="74"/>
  <c r="C433" i="74"/>
  <c r="C432" i="74"/>
  <c r="C431" i="74"/>
  <c r="C430" i="74"/>
  <c r="C429" i="74"/>
  <c r="C428" i="74"/>
  <c r="C427" i="74"/>
  <c r="C426" i="74"/>
  <c r="C425" i="74"/>
  <c r="C424" i="74"/>
  <c r="C423" i="74"/>
  <c r="C422" i="74"/>
  <c r="C421" i="74"/>
  <c r="C420" i="74"/>
  <c r="C419" i="74"/>
  <c r="C418" i="74"/>
  <c r="C417" i="74"/>
  <c r="C416" i="74"/>
  <c r="C415" i="74"/>
  <c r="C414" i="74"/>
  <c r="C413" i="74"/>
  <c r="C412" i="74"/>
  <c r="C411" i="74"/>
  <c r="C410" i="74"/>
  <c r="C409" i="74"/>
  <c r="C408" i="74"/>
  <c r="C407" i="74"/>
  <c r="C406" i="74"/>
  <c r="C405" i="74"/>
  <c r="C404" i="74"/>
  <c r="C403" i="74"/>
  <c r="C402" i="74"/>
  <c r="C401" i="74"/>
  <c r="C400" i="74"/>
  <c r="C399" i="74"/>
  <c r="C398" i="74"/>
  <c r="C397" i="74"/>
  <c r="C396" i="74"/>
  <c r="C395" i="74"/>
  <c r="C394" i="74"/>
  <c r="C393" i="74"/>
  <c r="C392" i="74"/>
  <c r="C391" i="74"/>
  <c r="C390" i="74"/>
  <c r="C389" i="74"/>
  <c r="C388" i="74"/>
  <c r="C387" i="74"/>
  <c r="C386" i="74"/>
  <c r="C385" i="74"/>
  <c r="C384" i="74"/>
  <c r="C383" i="74"/>
  <c r="C382" i="74"/>
  <c r="C381" i="74"/>
  <c r="C380" i="74"/>
  <c r="C379" i="74"/>
  <c r="C378" i="74"/>
  <c r="C377" i="74"/>
  <c r="C376" i="74"/>
  <c r="C375" i="74"/>
  <c r="C374" i="74"/>
  <c r="C373" i="74"/>
  <c r="C372" i="74"/>
  <c r="C371" i="74"/>
  <c r="C370" i="74"/>
  <c r="C369" i="74"/>
  <c r="C368" i="74"/>
  <c r="C367" i="74"/>
  <c r="C366" i="74"/>
  <c r="C365" i="74"/>
  <c r="C364" i="74"/>
  <c r="C363" i="74"/>
  <c r="C362" i="74"/>
  <c r="C361" i="74"/>
  <c r="C360" i="74"/>
  <c r="C359" i="74"/>
  <c r="C358" i="74"/>
  <c r="C357" i="74"/>
  <c r="C356" i="74"/>
  <c r="C355" i="74"/>
  <c r="C354" i="74"/>
  <c r="C353" i="74"/>
  <c r="C352" i="74"/>
  <c r="C351" i="74"/>
  <c r="C350" i="74"/>
  <c r="C349" i="74"/>
  <c r="C348" i="74"/>
  <c r="C347" i="74"/>
  <c r="C346" i="74"/>
  <c r="C345" i="74"/>
  <c r="C344" i="74"/>
  <c r="C343" i="74"/>
  <c r="C342" i="74"/>
  <c r="C341" i="74"/>
  <c r="C340" i="74"/>
  <c r="C339" i="74"/>
  <c r="C338" i="74"/>
  <c r="C337" i="74"/>
  <c r="C336" i="74"/>
  <c r="C335" i="74"/>
  <c r="C334" i="74"/>
  <c r="C333" i="74"/>
  <c r="C332" i="74"/>
  <c r="C331" i="74"/>
  <c r="C330" i="74"/>
  <c r="C329" i="74"/>
  <c r="C328" i="74"/>
  <c r="C327" i="74"/>
  <c r="C326" i="74"/>
  <c r="C325" i="74"/>
  <c r="C324" i="74"/>
  <c r="C323" i="74"/>
  <c r="C322" i="74"/>
  <c r="C321" i="74"/>
  <c r="C320" i="74"/>
  <c r="C319" i="74"/>
  <c r="C318" i="74"/>
  <c r="C317" i="74"/>
  <c r="C316" i="74"/>
  <c r="C315" i="74"/>
  <c r="C314" i="74"/>
  <c r="C313" i="74"/>
  <c r="C312" i="74"/>
  <c r="C311" i="74"/>
  <c r="C310" i="74"/>
  <c r="C309" i="74"/>
  <c r="C308" i="74"/>
  <c r="C307" i="74"/>
  <c r="C306" i="74"/>
  <c r="C305" i="74"/>
  <c r="C304" i="74"/>
  <c r="C303" i="74"/>
  <c r="C302" i="74"/>
  <c r="C301" i="74"/>
  <c r="C300" i="74"/>
  <c r="C299" i="74"/>
  <c r="C298" i="74"/>
  <c r="C297" i="74"/>
  <c r="C296" i="74"/>
  <c r="C295" i="74"/>
  <c r="C294" i="74"/>
  <c r="C293" i="74"/>
  <c r="C292" i="74"/>
  <c r="C291" i="74"/>
  <c r="C290" i="74"/>
  <c r="C289" i="74"/>
  <c r="C288" i="74"/>
  <c r="C287" i="74"/>
  <c r="C286" i="74"/>
  <c r="C285" i="74"/>
  <c r="C284" i="74"/>
  <c r="C283" i="74"/>
  <c r="C282" i="74"/>
  <c r="C281" i="74"/>
  <c r="C280" i="74"/>
  <c r="C279" i="74"/>
  <c r="C278" i="74"/>
  <c r="C277" i="74"/>
  <c r="C276" i="74"/>
  <c r="C275" i="74"/>
  <c r="C274" i="74"/>
  <c r="C273" i="74"/>
  <c r="C272" i="74"/>
  <c r="C271" i="74"/>
  <c r="C270" i="74"/>
  <c r="C269" i="74"/>
  <c r="C268" i="74"/>
  <c r="C267" i="74"/>
  <c r="C266" i="74"/>
  <c r="C265" i="74"/>
  <c r="C264" i="74"/>
  <c r="C263" i="74"/>
  <c r="C262" i="74"/>
  <c r="C261" i="74"/>
  <c r="C260" i="74"/>
  <c r="C259" i="74"/>
  <c r="C258" i="74"/>
  <c r="C257" i="74"/>
  <c r="C256" i="74"/>
  <c r="C255" i="74"/>
  <c r="C254" i="74"/>
  <c r="C253" i="74"/>
  <c r="C252" i="74"/>
  <c r="C251" i="74"/>
  <c r="C250" i="74"/>
  <c r="C249" i="74"/>
  <c r="C248" i="74"/>
  <c r="C247" i="74"/>
  <c r="C246" i="74"/>
  <c r="C245" i="74"/>
  <c r="C244" i="74"/>
  <c r="C243" i="74"/>
  <c r="C242" i="74"/>
  <c r="C241" i="74"/>
  <c r="C240" i="74"/>
  <c r="C239" i="74"/>
  <c r="C238" i="74"/>
  <c r="C237" i="74"/>
  <c r="C236" i="74"/>
  <c r="C235" i="74"/>
  <c r="C234" i="74"/>
  <c r="C233" i="74"/>
  <c r="C232" i="74"/>
  <c r="C231" i="74"/>
  <c r="C230" i="74"/>
  <c r="C229" i="74"/>
  <c r="C228" i="74"/>
  <c r="C227" i="74"/>
  <c r="C226" i="74"/>
  <c r="C225" i="74"/>
  <c r="C224" i="74"/>
  <c r="C223" i="74"/>
  <c r="C222" i="74"/>
  <c r="C221" i="74"/>
  <c r="C220" i="74"/>
  <c r="C219" i="74"/>
  <c r="C218" i="74"/>
  <c r="C217" i="74"/>
  <c r="C216" i="74"/>
  <c r="C215" i="74"/>
  <c r="C214" i="74"/>
  <c r="C213" i="74"/>
  <c r="C212" i="74"/>
  <c r="C211" i="74"/>
  <c r="C210" i="74"/>
  <c r="C209" i="74"/>
  <c r="C208" i="74"/>
  <c r="C207" i="74"/>
  <c r="C206" i="74"/>
  <c r="C205" i="74"/>
  <c r="C204" i="74"/>
  <c r="C203" i="74"/>
  <c r="C202" i="74"/>
  <c r="C201" i="74"/>
  <c r="C200" i="74"/>
  <c r="C199" i="74"/>
  <c r="C198" i="74"/>
  <c r="C197" i="74"/>
  <c r="C196" i="74"/>
  <c r="C195" i="74"/>
  <c r="C194" i="74"/>
  <c r="C193" i="74"/>
  <c r="C192" i="74"/>
  <c r="C191" i="74"/>
  <c r="C190" i="74"/>
  <c r="C189" i="74"/>
  <c r="C188" i="74"/>
  <c r="C187" i="74"/>
  <c r="C186" i="74"/>
  <c r="C185" i="74"/>
  <c r="C184" i="74"/>
  <c r="C183" i="74"/>
  <c r="C182" i="74"/>
  <c r="C181" i="74"/>
  <c r="C180" i="74"/>
  <c r="C179" i="74"/>
  <c r="C178" i="74"/>
  <c r="C177" i="74"/>
  <c r="C176" i="74"/>
  <c r="C175" i="74"/>
  <c r="Q174" i="74"/>
  <c r="O174" i="74"/>
  <c r="C174" i="74"/>
  <c r="Z173" i="74"/>
  <c r="Y173" i="74"/>
  <c r="C173" i="74"/>
  <c r="Z172" i="74"/>
  <c r="Y172" i="74"/>
  <c r="U172" i="74"/>
  <c r="Q172" i="74"/>
  <c r="C172" i="74"/>
  <c r="Z171" i="74"/>
  <c r="Y171" i="74"/>
  <c r="P171" i="74"/>
  <c r="Q171" i="74" s="1"/>
  <c r="C171" i="74"/>
  <c r="Z170" i="74"/>
  <c r="Y170" i="74"/>
  <c r="W170" i="74"/>
  <c r="S170" i="74"/>
  <c r="C170" i="74"/>
  <c r="X169" i="74"/>
  <c r="W169" i="74"/>
  <c r="U169" i="74"/>
  <c r="U173" i="74" s="1"/>
  <c r="S169" i="74"/>
  <c r="P169" i="74"/>
  <c r="C169" i="74"/>
  <c r="X168" i="74"/>
  <c r="W168" i="74"/>
  <c r="W173" i="74" s="1"/>
  <c r="U168" i="74"/>
  <c r="S168" i="74"/>
  <c r="S173" i="74" s="1"/>
  <c r="Q168" i="74"/>
  <c r="P168" i="74"/>
  <c r="P172" i="74" s="1"/>
  <c r="C168" i="74"/>
  <c r="W167" i="74"/>
  <c r="W172" i="74" s="1"/>
  <c r="U167" i="74"/>
  <c r="U171" i="74" s="1"/>
  <c r="S167" i="74"/>
  <c r="S172" i="74" s="1"/>
  <c r="Q167" i="74"/>
  <c r="P167" i="74"/>
  <c r="P177" i="74" s="1"/>
  <c r="P178" i="74" s="1"/>
  <c r="C167" i="74"/>
  <c r="W166" i="74"/>
  <c r="W171" i="74" s="1"/>
  <c r="U166" i="74"/>
  <c r="U170" i="74" s="1"/>
  <c r="S166" i="74"/>
  <c r="P166" i="74"/>
  <c r="C166" i="74"/>
  <c r="X165" i="74"/>
  <c r="Q165" i="74"/>
  <c r="C165" i="74"/>
  <c r="X164" i="74"/>
  <c r="Q164" i="74"/>
  <c r="C164" i="74"/>
  <c r="X163" i="74"/>
  <c r="Q163" i="74"/>
  <c r="C163" i="74"/>
  <c r="X162" i="74"/>
  <c r="Q162" i="74"/>
  <c r="C162" i="74"/>
  <c r="X161" i="74"/>
  <c r="Q161" i="74"/>
  <c r="C161" i="74"/>
  <c r="X160" i="74"/>
  <c r="Q160" i="74"/>
  <c r="C160" i="74"/>
  <c r="X159" i="74"/>
  <c r="Q159" i="74"/>
  <c r="C159" i="74"/>
  <c r="X158" i="74"/>
  <c r="Q158" i="74"/>
  <c r="C158" i="74"/>
  <c r="X157" i="74"/>
  <c r="Q157" i="74"/>
  <c r="C157" i="74"/>
  <c r="X156" i="74"/>
  <c r="Q156" i="74"/>
  <c r="C156" i="74"/>
  <c r="X155" i="74"/>
  <c r="Q155" i="74"/>
  <c r="C155" i="74"/>
  <c r="X154" i="74"/>
  <c r="Q154" i="74"/>
  <c r="C154" i="74"/>
  <c r="X153" i="74"/>
  <c r="Q153" i="74"/>
  <c r="C153" i="74"/>
  <c r="X152" i="74"/>
  <c r="Q152" i="74"/>
  <c r="C152" i="74"/>
  <c r="X151" i="74"/>
  <c r="Q151" i="74"/>
  <c r="C151" i="74"/>
  <c r="X150" i="74"/>
  <c r="Q150" i="74"/>
  <c r="C150" i="74"/>
  <c r="X149" i="74"/>
  <c r="Q149" i="74"/>
  <c r="C149" i="74"/>
  <c r="X148" i="74"/>
  <c r="Q148" i="74"/>
  <c r="C148" i="74"/>
  <c r="X147" i="74"/>
  <c r="Q147" i="74"/>
  <c r="C147" i="74"/>
  <c r="X146" i="74"/>
  <c r="Q146" i="74"/>
  <c r="C146" i="74"/>
  <c r="X145" i="74"/>
  <c r="Q145" i="74"/>
  <c r="C145" i="74"/>
  <c r="X144" i="74"/>
  <c r="Q144" i="74"/>
  <c r="C144" i="74"/>
  <c r="X143" i="74"/>
  <c r="Q143" i="74"/>
  <c r="C143" i="74"/>
  <c r="X142" i="74"/>
  <c r="Q142" i="74"/>
  <c r="C142" i="74"/>
  <c r="X141" i="74"/>
  <c r="Q141" i="74"/>
  <c r="C141" i="74"/>
  <c r="X140" i="74"/>
  <c r="Q140" i="74"/>
  <c r="C140" i="74"/>
  <c r="X139" i="74"/>
  <c r="Q139" i="74"/>
  <c r="C139" i="74"/>
  <c r="X138" i="74"/>
  <c r="Q138" i="74"/>
  <c r="C138" i="74"/>
  <c r="X137" i="74"/>
  <c r="Q137" i="74"/>
  <c r="C137" i="74"/>
  <c r="X136" i="74"/>
  <c r="Q136" i="74"/>
  <c r="C136" i="74"/>
  <c r="X135" i="74"/>
  <c r="Q135" i="74"/>
  <c r="C135" i="74"/>
  <c r="X134" i="74"/>
  <c r="Q134" i="74"/>
  <c r="C134" i="74"/>
  <c r="X133" i="74"/>
  <c r="Q133" i="74"/>
  <c r="C133" i="74"/>
  <c r="X132" i="74"/>
  <c r="Q132" i="74"/>
  <c r="C132" i="74"/>
  <c r="X131" i="74"/>
  <c r="Q131" i="74"/>
  <c r="C131" i="74"/>
  <c r="X130" i="74"/>
  <c r="Q130" i="74"/>
  <c r="C130" i="74"/>
  <c r="X129" i="74"/>
  <c r="Q129" i="74"/>
  <c r="C129" i="74"/>
  <c r="X128" i="74"/>
  <c r="Q128" i="74"/>
  <c r="C128" i="74"/>
  <c r="X127" i="74"/>
  <c r="Q127" i="74"/>
  <c r="C127" i="74"/>
  <c r="X126" i="74"/>
  <c r="Q126" i="74"/>
  <c r="C126" i="74"/>
  <c r="X125" i="74"/>
  <c r="Q125" i="74"/>
  <c r="C125" i="74"/>
  <c r="X124" i="74"/>
  <c r="Q124" i="74"/>
  <c r="C124" i="74"/>
  <c r="X123" i="74"/>
  <c r="Q123" i="74"/>
  <c r="C123" i="74"/>
  <c r="X122" i="74"/>
  <c r="Q122" i="74"/>
  <c r="C122" i="74"/>
  <c r="X121" i="74"/>
  <c r="Q121" i="74"/>
  <c r="C121" i="74"/>
  <c r="X120" i="74"/>
  <c r="Q120" i="74"/>
  <c r="C120" i="74"/>
  <c r="X119" i="74"/>
  <c r="Q119" i="74"/>
  <c r="C119" i="74"/>
  <c r="X118" i="74"/>
  <c r="Q118" i="74"/>
  <c r="C118" i="74"/>
  <c r="X117" i="74"/>
  <c r="Q117" i="74"/>
  <c r="C117" i="74"/>
  <c r="X116" i="74"/>
  <c r="Q116" i="74"/>
  <c r="C116" i="74"/>
  <c r="X115" i="74"/>
  <c r="Q115" i="74"/>
  <c r="C115" i="74"/>
  <c r="X114" i="74"/>
  <c r="Q114" i="74"/>
  <c r="C114" i="74"/>
  <c r="X113" i="74"/>
  <c r="Q113" i="74"/>
  <c r="C113" i="74"/>
  <c r="X112" i="74"/>
  <c r="Q112" i="74"/>
  <c r="C112" i="74"/>
  <c r="X111" i="74"/>
  <c r="Q111" i="74"/>
  <c r="C111" i="74"/>
  <c r="X110" i="74"/>
  <c r="Q110" i="74"/>
  <c r="C110" i="74"/>
  <c r="X109" i="74"/>
  <c r="Q109" i="74"/>
  <c r="C109" i="74"/>
  <c r="X108" i="74"/>
  <c r="Q108" i="74"/>
  <c r="C108" i="74"/>
  <c r="X107" i="74"/>
  <c r="Q107" i="74"/>
  <c r="C107" i="74"/>
  <c r="X106" i="74"/>
  <c r="Q106" i="74"/>
  <c r="C106" i="74"/>
  <c r="X105" i="74"/>
  <c r="Q105" i="74"/>
  <c r="C105" i="74"/>
  <c r="X104" i="74"/>
  <c r="Q104" i="74"/>
  <c r="C104" i="74"/>
  <c r="X103" i="74"/>
  <c r="Q103" i="74"/>
  <c r="C103" i="74"/>
  <c r="X102" i="74"/>
  <c r="Q102" i="74"/>
  <c r="C102" i="74"/>
  <c r="X101" i="74"/>
  <c r="Q101" i="74"/>
  <c r="C101" i="74"/>
  <c r="X100" i="74"/>
  <c r="Q100" i="74"/>
  <c r="C100" i="74"/>
  <c r="X99" i="74"/>
  <c r="Q99" i="74"/>
  <c r="C99" i="74"/>
  <c r="X98" i="74"/>
  <c r="Q98" i="74"/>
  <c r="C98" i="74"/>
  <c r="X97" i="74"/>
  <c r="Q97" i="74"/>
  <c r="C97" i="74"/>
  <c r="X96" i="74"/>
  <c r="Q96" i="74"/>
  <c r="C96" i="74"/>
  <c r="X95" i="74"/>
  <c r="V95" i="74"/>
  <c r="V96" i="74" s="1"/>
  <c r="Q95" i="74"/>
  <c r="C95" i="74"/>
  <c r="X94" i="74"/>
  <c r="V94" i="74"/>
  <c r="T94" i="74"/>
  <c r="Q94" i="74"/>
  <c r="C94" i="74"/>
  <c r="X93" i="74"/>
  <c r="T93" i="74"/>
  <c r="Q93" i="74"/>
  <c r="C93" i="74"/>
  <c r="X92" i="74"/>
  <c r="T92" i="74"/>
  <c r="Q92" i="74"/>
  <c r="C92" i="74"/>
  <c r="X91" i="74"/>
  <c r="T91" i="74"/>
  <c r="Q91" i="74"/>
  <c r="C91" i="74"/>
  <c r="X90" i="74"/>
  <c r="T90" i="74"/>
  <c r="Q90" i="74"/>
  <c r="C90" i="74"/>
  <c r="X89" i="74"/>
  <c r="T89" i="74"/>
  <c r="Q89" i="74"/>
  <c r="C89" i="74"/>
  <c r="X88" i="74"/>
  <c r="T88" i="74"/>
  <c r="Q88" i="74"/>
  <c r="C88" i="74"/>
  <c r="X87" i="74"/>
  <c r="T87" i="74"/>
  <c r="Q87" i="74"/>
  <c r="C87" i="74"/>
  <c r="X86" i="74"/>
  <c r="T86" i="74"/>
  <c r="Q86" i="74"/>
  <c r="C86" i="74"/>
  <c r="X85" i="74"/>
  <c r="T85" i="74"/>
  <c r="Q85" i="74"/>
  <c r="C85" i="74"/>
  <c r="X84" i="74"/>
  <c r="T84" i="74"/>
  <c r="Q84" i="74"/>
  <c r="C84" i="74"/>
  <c r="X83" i="74"/>
  <c r="T83" i="74"/>
  <c r="Q83" i="74"/>
  <c r="C83" i="74"/>
  <c r="X82" i="74"/>
  <c r="T82" i="74"/>
  <c r="Q82" i="74"/>
  <c r="C82" i="74"/>
  <c r="X81" i="74"/>
  <c r="T81" i="74"/>
  <c r="Q81" i="74"/>
  <c r="C81" i="74"/>
  <c r="X80" i="74"/>
  <c r="T80" i="74"/>
  <c r="Q80" i="74"/>
  <c r="C80" i="74"/>
  <c r="X79" i="74"/>
  <c r="T79" i="74"/>
  <c r="Q79" i="74"/>
  <c r="C79" i="74"/>
  <c r="X78" i="74"/>
  <c r="T78" i="74"/>
  <c r="Q78" i="74"/>
  <c r="C78" i="74"/>
  <c r="X77" i="74"/>
  <c r="T77" i="74"/>
  <c r="Q77" i="74"/>
  <c r="C77" i="74"/>
  <c r="X76" i="74"/>
  <c r="T76" i="74"/>
  <c r="Q76" i="74"/>
  <c r="C76" i="74"/>
  <c r="X75" i="74"/>
  <c r="T75" i="74"/>
  <c r="Q75" i="74"/>
  <c r="C75" i="74"/>
  <c r="X74" i="74"/>
  <c r="T74" i="74"/>
  <c r="Q74" i="74"/>
  <c r="C74" i="74"/>
  <c r="X73" i="74"/>
  <c r="T73" i="74"/>
  <c r="Q73" i="74"/>
  <c r="C73" i="74"/>
  <c r="X72" i="74"/>
  <c r="T72" i="74"/>
  <c r="Q72" i="74"/>
  <c r="C72" i="74"/>
  <c r="X71" i="74"/>
  <c r="T71" i="74"/>
  <c r="Q71" i="74"/>
  <c r="C71" i="74"/>
  <c r="X70" i="74"/>
  <c r="T70" i="74"/>
  <c r="Q70" i="74"/>
  <c r="C70" i="74"/>
  <c r="X69" i="74"/>
  <c r="T69" i="74"/>
  <c r="Q69" i="74"/>
  <c r="C69" i="74"/>
  <c r="X68" i="74"/>
  <c r="T68" i="74"/>
  <c r="Q68" i="74"/>
  <c r="C68" i="74"/>
  <c r="X67" i="74"/>
  <c r="T67" i="74"/>
  <c r="Q67" i="74"/>
  <c r="C67" i="74"/>
  <c r="X66" i="74"/>
  <c r="T66" i="74"/>
  <c r="Q66" i="74"/>
  <c r="C66" i="74"/>
  <c r="X65" i="74"/>
  <c r="T65" i="74"/>
  <c r="Q65" i="74"/>
  <c r="C65" i="74"/>
  <c r="X64" i="74"/>
  <c r="T64" i="74"/>
  <c r="Q64" i="74"/>
  <c r="C64" i="74"/>
  <c r="X63" i="74"/>
  <c r="T63" i="74"/>
  <c r="Q63" i="74"/>
  <c r="C63" i="74"/>
  <c r="X62" i="74"/>
  <c r="T62" i="74"/>
  <c r="Q62" i="74"/>
  <c r="C62" i="74"/>
  <c r="X61" i="74"/>
  <c r="T61" i="74"/>
  <c r="Q61" i="74"/>
  <c r="C61" i="74"/>
  <c r="X60" i="74"/>
  <c r="T60" i="74"/>
  <c r="Q60" i="74"/>
  <c r="C60" i="74"/>
  <c r="X59" i="74"/>
  <c r="T59" i="74"/>
  <c r="Q59" i="74"/>
  <c r="C59" i="74"/>
  <c r="X58" i="74"/>
  <c r="T58" i="74"/>
  <c r="Q58" i="74"/>
  <c r="C58" i="74"/>
  <c r="X57" i="74"/>
  <c r="T57" i="74"/>
  <c r="Q57" i="74"/>
  <c r="C57" i="74"/>
  <c r="X56" i="74"/>
  <c r="T56" i="74"/>
  <c r="Q56" i="74"/>
  <c r="C56" i="74"/>
  <c r="X55" i="74"/>
  <c r="T55" i="74"/>
  <c r="Q55" i="74"/>
  <c r="C55" i="74"/>
  <c r="X54" i="74"/>
  <c r="T54" i="74"/>
  <c r="Q54" i="74"/>
  <c r="C54" i="74"/>
  <c r="X53" i="74"/>
  <c r="T53" i="74"/>
  <c r="Q53" i="74"/>
  <c r="C53" i="74"/>
  <c r="X52" i="74"/>
  <c r="T52" i="74"/>
  <c r="Q52" i="74"/>
  <c r="C52" i="74"/>
  <c r="X51" i="74"/>
  <c r="T51" i="74"/>
  <c r="Q51" i="74"/>
  <c r="C51" i="74"/>
  <c r="X50" i="74"/>
  <c r="T50" i="74"/>
  <c r="Q50" i="74"/>
  <c r="C50" i="74"/>
  <c r="X49" i="74"/>
  <c r="T49" i="74"/>
  <c r="Q49" i="74"/>
  <c r="C49" i="74"/>
  <c r="X48" i="74"/>
  <c r="T48" i="74"/>
  <c r="Q48" i="74"/>
  <c r="C48" i="74"/>
  <c r="X47" i="74"/>
  <c r="T47" i="74"/>
  <c r="Q47" i="74"/>
  <c r="C47" i="74"/>
  <c r="X46" i="74"/>
  <c r="T46" i="74"/>
  <c r="Q46" i="74"/>
  <c r="C46" i="74"/>
  <c r="X45" i="74"/>
  <c r="T45" i="74"/>
  <c r="Q45" i="74"/>
  <c r="C45" i="74"/>
  <c r="X44" i="74"/>
  <c r="T44" i="74"/>
  <c r="Q44" i="74"/>
  <c r="C44" i="74"/>
  <c r="X43" i="74"/>
  <c r="T43" i="74"/>
  <c r="Q43" i="74"/>
  <c r="C43" i="74"/>
  <c r="X42" i="74"/>
  <c r="T42" i="74"/>
  <c r="Q42" i="74"/>
  <c r="C42" i="74"/>
  <c r="X41" i="74"/>
  <c r="T41" i="74"/>
  <c r="Q41" i="74"/>
  <c r="C41" i="74"/>
  <c r="X40" i="74"/>
  <c r="T40" i="74"/>
  <c r="Q40" i="74"/>
  <c r="C40" i="74"/>
  <c r="X39" i="74"/>
  <c r="T39" i="74"/>
  <c r="Q39" i="74"/>
  <c r="C39" i="74"/>
  <c r="X38" i="74"/>
  <c r="T38" i="74"/>
  <c r="Q38" i="74"/>
  <c r="C38" i="74"/>
  <c r="X37" i="74"/>
  <c r="T37" i="74"/>
  <c r="Q37" i="74"/>
  <c r="C37" i="74"/>
  <c r="X36" i="74"/>
  <c r="T36" i="74"/>
  <c r="Q36" i="74"/>
  <c r="C36" i="74"/>
  <c r="X35" i="74"/>
  <c r="T35" i="74"/>
  <c r="Q35" i="74"/>
  <c r="C35" i="74"/>
  <c r="X34" i="74"/>
  <c r="T34" i="74"/>
  <c r="Q34" i="74"/>
  <c r="C34" i="74"/>
  <c r="X33" i="74"/>
  <c r="T33" i="74"/>
  <c r="Q33" i="74"/>
  <c r="C33" i="74"/>
  <c r="X32" i="74"/>
  <c r="T32" i="74"/>
  <c r="Q32" i="74"/>
  <c r="C32" i="74"/>
  <c r="X31" i="74"/>
  <c r="T31" i="74"/>
  <c r="Q31" i="74"/>
  <c r="C31" i="74"/>
  <c r="X30" i="74"/>
  <c r="T30" i="74"/>
  <c r="Q30" i="74"/>
  <c r="C30" i="74"/>
  <c r="X29" i="74"/>
  <c r="T29" i="74"/>
  <c r="Q29" i="74"/>
  <c r="C29" i="74"/>
  <c r="X28" i="74"/>
  <c r="T28" i="74"/>
  <c r="Q28" i="74"/>
  <c r="C28" i="74"/>
  <c r="X27" i="74"/>
  <c r="T27" i="74"/>
  <c r="Q27" i="74"/>
  <c r="C27" i="74"/>
  <c r="X26" i="74"/>
  <c r="T26" i="74"/>
  <c r="Q26" i="74"/>
  <c r="C26" i="74"/>
  <c r="X25" i="74"/>
  <c r="T25" i="74"/>
  <c r="Q25" i="74"/>
  <c r="D25" i="74"/>
  <c r="C25" i="74"/>
  <c r="X24" i="74"/>
  <c r="T24" i="74"/>
  <c r="Q24" i="74"/>
  <c r="D24" i="74"/>
  <c r="C24" i="74"/>
  <c r="X23" i="74"/>
  <c r="T23" i="74"/>
  <c r="Q23" i="74"/>
  <c r="D23" i="74"/>
  <c r="C23" i="74"/>
  <c r="X22" i="74"/>
  <c r="T22" i="74"/>
  <c r="Q22" i="74"/>
  <c r="D22" i="74"/>
  <c r="C22" i="74"/>
  <c r="X21" i="74"/>
  <c r="T21" i="74"/>
  <c r="Q21" i="74"/>
  <c r="D21" i="74"/>
  <c r="C21" i="74"/>
  <c r="X20" i="74"/>
  <c r="T20" i="74"/>
  <c r="Q20" i="74"/>
  <c r="D20" i="74"/>
  <c r="C20" i="74"/>
  <c r="X19" i="74"/>
  <c r="T19" i="74"/>
  <c r="Q19" i="74"/>
  <c r="D19" i="74"/>
  <c r="C19" i="74"/>
  <c r="X18" i="74"/>
  <c r="T18" i="74"/>
  <c r="Q18" i="74"/>
  <c r="D18" i="74"/>
  <c r="C18" i="74"/>
  <c r="X17" i="74"/>
  <c r="T17" i="74"/>
  <c r="Q17" i="74"/>
  <c r="D17" i="74"/>
  <c r="C17" i="74"/>
  <c r="X16" i="74"/>
  <c r="T16" i="74"/>
  <c r="Q16" i="74"/>
  <c r="D16" i="74"/>
  <c r="C16" i="74"/>
  <c r="X15" i="74"/>
  <c r="T15" i="74"/>
  <c r="Q15" i="74"/>
  <c r="D15" i="74"/>
  <c r="C15" i="74"/>
  <c r="X14" i="74"/>
  <c r="T14" i="74"/>
  <c r="Q14" i="74"/>
  <c r="D14" i="74"/>
  <c r="C14" i="74"/>
  <c r="X13" i="74"/>
  <c r="T13" i="74"/>
  <c r="Q13" i="74"/>
  <c r="G13" i="74"/>
  <c r="F13" i="74"/>
  <c r="C13" i="74"/>
  <c r="X12" i="74"/>
  <c r="T12" i="74"/>
  <c r="Q12" i="74"/>
  <c r="I12" i="74"/>
  <c r="H12" i="74"/>
  <c r="K12" i="74" s="1"/>
  <c r="F12" i="74"/>
  <c r="C12" i="74"/>
  <c r="X11" i="74"/>
  <c r="T11" i="74"/>
  <c r="Q11" i="74"/>
  <c r="G11" i="74"/>
  <c r="F11" i="74"/>
  <c r="C11" i="74"/>
  <c r="X10" i="74"/>
  <c r="T10" i="74"/>
  <c r="Q10" i="74"/>
  <c r="I10" i="74"/>
  <c r="H10" i="74"/>
  <c r="K10" i="74" s="1"/>
  <c r="F10" i="74"/>
  <c r="C10" i="74"/>
  <c r="X9" i="74"/>
  <c r="T9" i="74"/>
  <c r="Q9" i="74"/>
  <c r="N9" i="74"/>
  <c r="N13" i="74" s="1"/>
  <c r="N17" i="74" s="1"/>
  <c r="N21" i="74" s="1"/>
  <c r="N25" i="74" s="1"/>
  <c r="N29" i="74" s="1"/>
  <c r="N33" i="74" s="1"/>
  <c r="N37" i="74" s="1"/>
  <c r="N41" i="74" s="1"/>
  <c r="N45" i="74" s="1"/>
  <c r="N49" i="74" s="1"/>
  <c r="N53" i="74" s="1"/>
  <c r="N57" i="74" s="1"/>
  <c r="N61" i="74" s="1"/>
  <c r="N65" i="74" s="1"/>
  <c r="N69" i="74" s="1"/>
  <c r="N73" i="74" s="1"/>
  <c r="N77" i="74" s="1"/>
  <c r="N81" i="74" s="1"/>
  <c r="N85" i="74" s="1"/>
  <c r="N89" i="74" s="1"/>
  <c r="N93" i="74" s="1"/>
  <c r="N97" i="74" s="1"/>
  <c r="N101" i="74" s="1"/>
  <c r="N105" i="74" s="1"/>
  <c r="N109" i="74" s="1"/>
  <c r="N113" i="74" s="1"/>
  <c r="N117" i="74" s="1"/>
  <c r="N121" i="74" s="1"/>
  <c r="N125" i="74" s="1"/>
  <c r="N129" i="74" s="1"/>
  <c r="N133" i="74" s="1"/>
  <c r="N137" i="74" s="1"/>
  <c r="N141" i="74" s="1"/>
  <c r="N145" i="74" s="1"/>
  <c r="N149" i="74" s="1"/>
  <c r="N153" i="74" s="1"/>
  <c r="N157" i="74" s="1"/>
  <c r="N161" i="74" s="1"/>
  <c r="N165" i="74" s="1"/>
  <c r="N169" i="74" s="1"/>
  <c r="N173" i="74" s="1"/>
  <c r="M9" i="74"/>
  <c r="O9" i="74" s="1"/>
  <c r="G9" i="74"/>
  <c r="F9" i="74"/>
  <c r="C9" i="74"/>
  <c r="X8" i="74"/>
  <c r="T8" i="74"/>
  <c r="Q8" i="74"/>
  <c r="N8" i="74"/>
  <c r="O8" i="74" s="1"/>
  <c r="M8" i="74"/>
  <c r="M12" i="74" s="1"/>
  <c r="I8" i="74"/>
  <c r="H8" i="74"/>
  <c r="K8" i="74" s="1"/>
  <c r="F8" i="74"/>
  <c r="C8" i="74"/>
  <c r="X7" i="74"/>
  <c r="T7" i="74"/>
  <c r="Q7" i="74"/>
  <c r="N7" i="74"/>
  <c r="N11" i="74" s="1"/>
  <c r="N15" i="74" s="1"/>
  <c r="N19" i="74" s="1"/>
  <c r="N23" i="74" s="1"/>
  <c r="N27" i="74" s="1"/>
  <c r="N31" i="74" s="1"/>
  <c r="N35" i="74" s="1"/>
  <c r="N39" i="74" s="1"/>
  <c r="N43" i="74" s="1"/>
  <c r="N47" i="74" s="1"/>
  <c r="N51" i="74" s="1"/>
  <c r="N55" i="74" s="1"/>
  <c r="N59" i="74" s="1"/>
  <c r="N63" i="74" s="1"/>
  <c r="N67" i="74" s="1"/>
  <c r="N71" i="74" s="1"/>
  <c r="N75" i="74" s="1"/>
  <c r="N79" i="74" s="1"/>
  <c r="N83" i="74" s="1"/>
  <c r="N87" i="74" s="1"/>
  <c r="N91" i="74" s="1"/>
  <c r="N95" i="74" s="1"/>
  <c r="N99" i="74" s="1"/>
  <c r="N103" i="74" s="1"/>
  <c r="N107" i="74" s="1"/>
  <c r="N111" i="74" s="1"/>
  <c r="N115" i="74" s="1"/>
  <c r="N119" i="74" s="1"/>
  <c r="N123" i="74" s="1"/>
  <c r="N127" i="74" s="1"/>
  <c r="N131" i="74" s="1"/>
  <c r="N135" i="74" s="1"/>
  <c r="N139" i="74" s="1"/>
  <c r="N143" i="74" s="1"/>
  <c r="N147" i="74" s="1"/>
  <c r="N151" i="74" s="1"/>
  <c r="N155" i="74" s="1"/>
  <c r="N159" i="74" s="1"/>
  <c r="N163" i="74" s="1"/>
  <c r="N167" i="74" s="1"/>
  <c r="N171" i="74" s="1"/>
  <c r="M7" i="74"/>
  <c r="O7" i="74" s="1"/>
  <c r="G7" i="74"/>
  <c r="F7" i="74"/>
  <c r="C7" i="74"/>
  <c r="X6" i="74"/>
  <c r="T6" i="74"/>
  <c r="Q6" i="74"/>
  <c r="N6" i="74"/>
  <c r="O6" i="74" s="1"/>
  <c r="M6" i="74"/>
  <c r="M10" i="74" s="1"/>
  <c r="I6" i="74"/>
  <c r="H6" i="74"/>
  <c r="K6" i="74" s="1"/>
  <c r="F6" i="74"/>
  <c r="C6" i="74"/>
  <c r="X5" i="74"/>
  <c r="T5" i="74"/>
  <c r="Q5" i="74"/>
  <c r="E12" i="74" s="1"/>
  <c r="O5" i="74"/>
  <c r="I5" i="74"/>
  <c r="H5" i="74"/>
  <c r="K5" i="74" s="1"/>
  <c r="F5" i="74"/>
  <c r="C5" i="74"/>
  <c r="X4" i="74"/>
  <c r="T4" i="74"/>
  <c r="Q4" i="74"/>
  <c r="E8" i="74" s="1"/>
  <c r="O4" i="74"/>
  <c r="I4" i="74"/>
  <c r="H4" i="74"/>
  <c r="K4" i="74" s="1"/>
  <c r="F4" i="74"/>
  <c r="C4" i="74"/>
  <c r="X3" i="74"/>
  <c r="T3" i="74"/>
  <c r="Q3" i="74"/>
  <c r="E6" i="74" s="1"/>
  <c r="O3" i="74"/>
  <c r="I3" i="74"/>
  <c r="H3" i="74"/>
  <c r="K3" i="74" s="1"/>
  <c r="F3" i="74"/>
  <c r="C3" i="74"/>
  <c r="X2" i="74"/>
  <c r="T2" i="74"/>
  <c r="Q2" i="74"/>
  <c r="E3" i="74" s="1"/>
  <c r="O2" i="74"/>
  <c r="H13" i="74" s="1"/>
  <c r="I2" i="74"/>
  <c r="H2" i="74"/>
  <c r="K2" i="74" s="1"/>
  <c r="G2" i="74"/>
  <c r="F2" i="74"/>
  <c r="C2" i="74"/>
  <c r="I16" i="74" l="1"/>
  <c r="M16" i="74"/>
  <c r="I15" i="74"/>
  <c r="I19" i="74"/>
  <c r="I21" i="74"/>
  <c r="I23" i="74"/>
  <c r="I25" i="74"/>
  <c r="M14" i="74"/>
  <c r="G25" i="74"/>
  <c r="G21" i="74"/>
  <c r="G20" i="74"/>
  <c r="G17" i="74"/>
  <c r="G15" i="74"/>
  <c r="G24" i="74"/>
  <c r="G18" i="74"/>
  <c r="G14" i="74"/>
  <c r="H21" i="74"/>
  <c r="G22" i="74"/>
  <c r="G19" i="74"/>
  <c r="G16" i="74"/>
  <c r="I14" i="74"/>
  <c r="I20" i="74"/>
  <c r="I22" i="74"/>
  <c r="I24" i="74"/>
  <c r="V97" i="74"/>
  <c r="T96" i="74"/>
  <c r="I18" i="74"/>
  <c r="I17" i="74"/>
  <c r="P12" i="78"/>
  <c r="J10" i="78"/>
  <c r="P8" i="78"/>
  <c r="J6" i="78"/>
  <c r="P4" i="78"/>
  <c r="O3" i="78"/>
  <c r="J2" i="78"/>
  <c r="J12" i="78"/>
  <c r="P10" i="78"/>
  <c r="J8" i="78"/>
  <c r="J21" i="78"/>
  <c r="J13" i="78"/>
  <c r="P11" i="78"/>
  <c r="O6" i="78"/>
  <c r="P5" i="78"/>
  <c r="P3" i="78"/>
  <c r="O10" i="78"/>
  <c r="P9" i="78"/>
  <c r="O8" i="78"/>
  <c r="J3" i="78"/>
  <c r="P2" i="78"/>
  <c r="O12" i="78"/>
  <c r="P7" i="78"/>
  <c r="J5" i="78"/>
  <c r="P13" i="78"/>
  <c r="P6" i="78"/>
  <c r="J4" i="78"/>
  <c r="N12" i="74"/>
  <c r="N16" i="74" s="1"/>
  <c r="N20" i="74" s="1"/>
  <c r="N24" i="74" s="1"/>
  <c r="N28" i="74" s="1"/>
  <c r="N32" i="74" s="1"/>
  <c r="N36" i="74" s="1"/>
  <c r="N40" i="74" s="1"/>
  <c r="N44" i="74" s="1"/>
  <c r="N48" i="74" s="1"/>
  <c r="N52" i="74" s="1"/>
  <c r="N56" i="74" s="1"/>
  <c r="N60" i="74" s="1"/>
  <c r="N64" i="74" s="1"/>
  <c r="N68" i="74" s="1"/>
  <c r="N72" i="74" s="1"/>
  <c r="N76" i="74" s="1"/>
  <c r="N80" i="74" s="1"/>
  <c r="N84" i="74" s="1"/>
  <c r="N88" i="74" s="1"/>
  <c r="N92" i="74" s="1"/>
  <c r="N96" i="74" s="1"/>
  <c r="N100" i="74" s="1"/>
  <c r="N104" i="74" s="1"/>
  <c r="N108" i="74" s="1"/>
  <c r="N112" i="74" s="1"/>
  <c r="N116" i="74" s="1"/>
  <c r="N120" i="74" s="1"/>
  <c r="N124" i="74" s="1"/>
  <c r="N128" i="74" s="1"/>
  <c r="N132" i="74" s="1"/>
  <c r="N136" i="74" s="1"/>
  <c r="N140" i="74" s="1"/>
  <c r="N144" i="74" s="1"/>
  <c r="N148" i="74" s="1"/>
  <c r="N152" i="74" s="1"/>
  <c r="N156" i="74" s="1"/>
  <c r="N160" i="74" s="1"/>
  <c r="N164" i="74" s="1"/>
  <c r="N168" i="74" s="1"/>
  <c r="N172" i="74" s="1"/>
  <c r="G23" i="74"/>
  <c r="E2" i="74"/>
  <c r="O2" i="78" s="1"/>
  <c r="E4" i="74"/>
  <c r="O4" i="78" s="1"/>
  <c r="E5" i="74"/>
  <c r="O5" i="78" s="1"/>
  <c r="E10" i="74"/>
  <c r="M11" i="74"/>
  <c r="M13" i="74"/>
  <c r="H16" i="74"/>
  <c r="K16" i="74" s="1"/>
  <c r="G3" i="74"/>
  <c r="G4" i="74"/>
  <c r="G5" i="74"/>
  <c r="G6" i="74"/>
  <c r="E7" i="74"/>
  <c r="O7" i="78" s="1"/>
  <c r="I7" i="74"/>
  <c r="G8" i="74"/>
  <c r="E9" i="74"/>
  <c r="O9" i="78" s="1"/>
  <c r="I9" i="74"/>
  <c r="G10" i="74"/>
  <c r="E11" i="74"/>
  <c r="O11" i="78" s="1"/>
  <c r="I11" i="74"/>
  <c r="G12" i="74"/>
  <c r="E13" i="74"/>
  <c r="O13" i="78" s="1"/>
  <c r="I13" i="74"/>
  <c r="K13" i="74" s="1"/>
  <c r="F14" i="74"/>
  <c r="P14" i="78" s="1"/>
  <c r="F15" i="74"/>
  <c r="P15" i="78" s="1"/>
  <c r="F16" i="74"/>
  <c r="P16" i="78" s="1"/>
  <c r="F17" i="74"/>
  <c r="P17" i="78" s="1"/>
  <c r="F18" i="74"/>
  <c r="P18" i="78" s="1"/>
  <c r="F19" i="74"/>
  <c r="P19" i="78" s="1"/>
  <c r="F20" i="74"/>
  <c r="P20" i="78" s="1"/>
  <c r="F21" i="74"/>
  <c r="P21" i="78" s="1"/>
  <c r="F22" i="74"/>
  <c r="P22" i="78" s="1"/>
  <c r="F23" i="74"/>
  <c r="P23" i="78" s="1"/>
  <c r="F24" i="74"/>
  <c r="P24" i="78" s="1"/>
  <c r="F25" i="74"/>
  <c r="P25" i="78" s="1"/>
  <c r="T95" i="74"/>
  <c r="X172" i="74"/>
  <c r="X166" i="74"/>
  <c r="S171" i="74"/>
  <c r="H23" i="74"/>
  <c r="K23" i="74" s="1"/>
  <c r="H24" i="74"/>
  <c r="K24" i="74" s="1"/>
  <c r="H25" i="74"/>
  <c r="K25" i="74" s="1"/>
  <c r="D26" i="74"/>
  <c r="D27" i="74"/>
  <c r="D28" i="74"/>
  <c r="D29" i="74"/>
  <c r="D30" i="74"/>
  <c r="D31" i="74"/>
  <c r="D32" i="74"/>
  <c r="D33" i="74"/>
  <c r="D34" i="74"/>
  <c r="D35" i="74"/>
  <c r="D36" i="74"/>
  <c r="D37" i="74"/>
  <c r="P173" i="74"/>
  <c r="Q173" i="74" s="1"/>
  <c r="Q169" i="74"/>
  <c r="X170" i="74"/>
  <c r="N10" i="74"/>
  <c r="N14" i="74" s="1"/>
  <c r="N18" i="74" s="1"/>
  <c r="N22" i="74" s="1"/>
  <c r="N26" i="74" s="1"/>
  <c r="N30" i="74" s="1"/>
  <c r="N34" i="74" s="1"/>
  <c r="N38" i="74" s="1"/>
  <c r="N42" i="74" s="1"/>
  <c r="N46" i="74" s="1"/>
  <c r="N50" i="74" s="1"/>
  <c r="N54" i="74" s="1"/>
  <c r="N58" i="74" s="1"/>
  <c r="N62" i="74" s="1"/>
  <c r="N66" i="74" s="1"/>
  <c r="N70" i="74" s="1"/>
  <c r="N74" i="74" s="1"/>
  <c r="N78" i="74" s="1"/>
  <c r="N82" i="74" s="1"/>
  <c r="N86" i="74" s="1"/>
  <c r="N90" i="74" s="1"/>
  <c r="N94" i="74" s="1"/>
  <c r="N98" i="74" s="1"/>
  <c r="N102" i="74" s="1"/>
  <c r="N106" i="74" s="1"/>
  <c r="N110" i="74" s="1"/>
  <c r="N114" i="74" s="1"/>
  <c r="N118" i="74" s="1"/>
  <c r="N122" i="74" s="1"/>
  <c r="N126" i="74" s="1"/>
  <c r="N130" i="74" s="1"/>
  <c r="N134" i="74" s="1"/>
  <c r="N138" i="74" s="1"/>
  <c r="N142" i="74" s="1"/>
  <c r="N146" i="74" s="1"/>
  <c r="N150" i="74" s="1"/>
  <c r="N154" i="74" s="1"/>
  <c r="N158" i="74" s="1"/>
  <c r="N162" i="74" s="1"/>
  <c r="N166" i="74" s="1"/>
  <c r="N170" i="74" s="1"/>
  <c r="H14" i="74"/>
  <c r="K14" i="74" s="1"/>
  <c r="H15" i="74"/>
  <c r="K15" i="74" s="1"/>
  <c r="H17" i="74"/>
  <c r="K17" i="74" s="1"/>
  <c r="H18" i="74"/>
  <c r="K18" i="74" s="1"/>
  <c r="H19" i="74"/>
  <c r="K19" i="74" s="1"/>
  <c r="H20" i="74"/>
  <c r="K20" i="74" s="1"/>
  <c r="H22" i="74"/>
  <c r="K22" i="74" s="1"/>
  <c r="H7" i="74"/>
  <c r="K7" i="74" s="1"/>
  <c r="H9" i="74"/>
  <c r="K9" i="74" s="1"/>
  <c r="H11" i="74"/>
  <c r="K11" i="74" s="1"/>
  <c r="E14" i="74"/>
  <c r="J14" i="74" s="1"/>
  <c r="E15" i="74"/>
  <c r="J15" i="74" s="1"/>
  <c r="E16" i="74"/>
  <c r="E17" i="74"/>
  <c r="J17" i="74" s="1"/>
  <c r="E18" i="74"/>
  <c r="J18" i="74" s="1"/>
  <c r="E19" i="74"/>
  <c r="J19" i="74" s="1"/>
  <c r="E20" i="74"/>
  <c r="J20" i="74" s="1"/>
  <c r="E21" i="74"/>
  <c r="J21" i="74" s="1"/>
  <c r="E22" i="74"/>
  <c r="J22" i="74" s="1"/>
  <c r="E23" i="74"/>
  <c r="J23" i="74" s="1"/>
  <c r="E24" i="74"/>
  <c r="J24" i="74" s="1"/>
  <c r="E25" i="74"/>
  <c r="J25" i="74" s="1"/>
  <c r="Q166" i="74"/>
  <c r="P170" i="74"/>
  <c r="Q170" i="74" s="1"/>
  <c r="X173" i="74"/>
  <c r="C508" i="74"/>
  <c r="C513" i="74"/>
  <c r="C516" i="74"/>
  <c r="C512" i="74"/>
  <c r="Y7" i="78"/>
  <c r="X167" i="74"/>
  <c r="A507" i="74"/>
  <c r="C511" i="74"/>
  <c r="A515" i="74"/>
  <c r="Z4" i="78"/>
  <c r="E16" i="79"/>
  <c r="I16" i="79"/>
  <c r="W48" i="80"/>
  <c r="P4" i="80"/>
  <c r="W4" i="80" s="1"/>
  <c r="X4" i="80" s="1"/>
  <c r="P6" i="80"/>
  <c r="W6" i="80" s="1"/>
  <c r="X6" i="80" s="1"/>
  <c r="P8" i="80"/>
  <c r="W8" i="80" s="1"/>
  <c r="X8" i="80" s="1"/>
  <c r="P10" i="80"/>
  <c r="W10" i="80" s="1"/>
  <c r="X10" i="80" s="1"/>
  <c r="P12" i="80"/>
  <c r="W12" i="80" s="1"/>
  <c r="X12" i="80" s="1"/>
  <c r="P14" i="80"/>
  <c r="W14" i="80" s="1"/>
  <c r="X14" i="80" s="1"/>
  <c r="P16" i="80"/>
  <c r="W16" i="80" s="1"/>
  <c r="X16" i="80" s="1"/>
  <c r="P18" i="80"/>
  <c r="W18" i="80" s="1"/>
  <c r="X18" i="80" s="1"/>
  <c r="P22" i="80"/>
  <c r="W22" i="80" s="1"/>
  <c r="P26" i="80"/>
  <c r="W26" i="80" s="1"/>
  <c r="P37" i="80"/>
  <c r="W37" i="80" s="1"/>
  <c r="P41" i="80"/>
  <c r="W41" i="80" s="1"/>
  <c r="P45" i="80"/>
  <c r="W45" i="80" s="1"/>
  <c r="X45" i="80" s="1"/>
  <c r="W3" i="80"/>
  <c r="X3" i="80" s="1"/>
  <c r="W5" i="80"/>
  <c r="W7" i="80"/>
  <c r="W9" i="80"/>
  <c r="W11" i="80"/>
  <c r="W13" i="80"/>
  <c r="W15" i="80"/>
  <c r="W17" i="80"/>
  <c r="R19" i="80"/>
  <c r="V19" i="80"/>
  <c r="W20" i="80"/>
  <c r="P21" i="80"/>
  <c r="W21" i="80" s="1"/>
  <c r="X21" i="80" s="1"/>
  <c r="T21" i="80"/>
  <c r="R23" i="80"/>
  <c r="V23" i="80"/>
  <c r="W24" i="80"/>
  <c r="P25" i="80"/>
  <c r="W25" i="80" s="1"/>
  <c r="X25" i="80" s="1"/>
  <c r="T25" i="80"/>
  <c r="R27" i="80"/>
  <c r="V27" i="80"/>
  <c r="P36" i="80"/>
  <c r="W36" i="80" s="1"/>
  <c r="X36" i="80" s="1"/>
  <c r="T36" i="80"/>
  <c r="R38" i="80"/>
  <c r="V38" i="80"/>
  <c r="W39" i="80"/>
  <c r="P40" i="80"/>
  <c r="W40" i="80" s="1"/>
  <c r="X40" i="80" s="1"/>
  <c r="T40" i="80"/>
  <c r="R42" i="80"/>
  <c r="V42" i="80"/>
  <c r="W43" i="80"/>
  <c r="P44" i="80"/>
  <c r="W44" i="80" s="1"/>
  <c r="X44" i="80" s="1"/>
  <c r="T44" i="80"/>
  <c r="R46" i="80"/>
  <c r="V46" i="80"/>
  <c r="W19" i="80"/>
  <c r="W23" i="80"/>
  <c r="W27" i="80"/>
  <c r="W29" i="80"/>
  <c r="X29" i="80" s="1"/>
  <c r="W31" i="80"/>
  <c r="X31" i="80" s="1"/>
  <c r="W33" i="80"/>
  <c r="X33" i="80" s="1"/>
  <c r="W35" i="80"/>
  <c r="X35" i="80" s="1"/>
  <c r="W38" i="80"/>
  <c r="W42" i="80"/>
  <c r="W46" i="80"/>
  <c r="P47" i="80"/>
  <c r="W47" i="80" s="1"/>
  <c r="X47" i="80" s="1"/>
  <c r="T47" i="80"/>
  <c r="H3" i="82"/>
  <c r="AQ4" i="82"/>
  <c r="AN11" i="82"/>
  <c r="C11" i="82" s="1"/>
  <c r="AK12" i="82"/>
  <c r="AM11" i="82"/>
  <c r="B11" i="82" s="1"/>
  <c r="AN16" i="82"/>
  <c r="C16" i="82" s="1"/>
  <c r="AM16" i="82"/>
  <c r="B16" i="82" s="1"/>
  <c r="J15" i="82"/>
  <c r="AS16" i="82"/>
  <c r="J16" i="82" s="1"/>
  <c r="AC15" i="82"/>
  <c r="BI16" i="82"/>
  <c r="AC16" i="82" s="1"/>
  <c r="F22" i="82"/>
  <c r="F23" i="82" s="1"/>
  <c r="R53" i="82"/>
  <c r="R24" i="82"/>
  <c r="AN3" i="82"/>
  <c r="C3" i="82" s="1"/>
  <c r="AK4" i="82"/>
  <c r="AM3" i="82"/>
  <c r="B3" i="82" s="1"/>
  <c r="AU4" i="82"/>
  <c r="N3" i="82"/>
  <c r="N15" i="82"/>
  <c r="AU16" i="82"/>
  <c r="N16" i="82" s="1"/>
  <c r="W15" i="82"/>
  <c r="BC16" i="82"/>
  <c r="W16" i="82" s="1"/>
  <c r="B53" i="82"/>
  <c r="B24" i="82"/>
  <c r="N53" i="82"/>
  <c r="N24" i="82"/>
  <c r="AQ9" i="82"/>
  <c r="H8" i="82"/>
  <c r="AQ15" i="82"/>
  <c r="H14" i="82"/>
  <c r="Y53" i="82"/>
  <c r="Y24" i="82"/>
  <c r="AU9" i="82"/>
  <c r="N9" i="82" s="1"/>
  <c r="N8" i="82"/>
  <c r="AO9" i="82"/>
  <c r="F10" i="82"/>
  <c r="AU12" i="82"/>
  <c r="N11" i="82"/>
  <c r="H18" i="82"/>
  <c r="H19" i="82" s="1"/>
  <c r="H20" i="82" s="1"/>
  <c r="H21" i="82" s="1"/>
  <c r="H22" i="82" s="1"/>
  <c r="H23" i="82" s="1"/>
  <c r="AA53" i="82"/>
  <c r="AA24" i="82"/>
  <c r="E4" i="82"/>
  <c r="N7" i="82"/>
  <c r="F11" i="82"/>
  <c r="H13" i="82"/>
  <c r="AN15" i="82"/>
  <c r="C15" i="82" s="1"/>
  <c r="E53" i="82"/>
  <c r="I53" i="82"/>
  <c r="M23" i="82"/>
  <c r="M53" i="82" s="1"/>
  <c r="Q53" i="82"/>
  <c r="V53" i="82"/>
  <c r="Z53" i="82"/>
  <c r="AD53" i="82"/>
  <c r="AE54" i="82"/>
  <c r="X55" i="82"/>
  <c r="AB55" i="82"/>
  <c r="AF55" i="82"/>
  <c r="G54" i="82"/>
  <c r="K54" i="82"/>
  <c r="O54" i="82"/>
  <c r="S54" i="82"/>
  <c r="X54" i="82"/>
  <c r="AB54" i="82"/>
  <c r="AF54" i="82"/>
  <c r="D55" i="82"/>
  <c r="D52" i="82"/>
  <c r="L55" i="82"/>
  <c r="U55" i="82"/>
  <c r="AG55" i="82"/>
  <c r="O55" i="82"/>
  <c r="E55" i="82"/>
  <c r="E52" i="82"/>
  <c r="M25" i="82"/>
  <c r="S55" i="82"/>
  <c r="R15" i="82"/>
  <c r="AA15" i="82"/>
  <c r="AM15" i="82"/>
  <c r="B15" i="82" s="1"/>
  <c r="M24" i="82"/>
  <c r="M54" i="82" s="1"/>
  <c r="G55" i="82"/>
  <c r="BK17" i="84"/>
  <c r="BL17" i="84" s="1"/>
  <c r="BK20" i="84"/>
  <c r="BL20" i="84" s="1"/>
  <c r="BK24" i="84"/>
  <c r="BL24" i="84" s="1"/>
  <c r="AG12" i="84"/>
  <c r="AP12" i="84"/>
  <c r="P18" i="82" s="1"/>
  <c r="P19" i="82" s="1"/>
  <c r="P20" i="82" s="1"/>
  <c r="P21" i="82" s="1"/>
  <c r="P22" i="82" s="1"/>
  <c r="P23" i="82" s="1"/>
  <c r="AE13" i="84"/>
  <c r="BL13" i="84"/>
  <c r="AC16" i="84"/>
  <c r="AC18" i="84"/>
  <c r="Z37" i="84"/>
  <c r="AJ38" i="84"/>
  <c r="AP37" i="84"/>
  <c r="AO38" i="84" s="1"/>
  <c r="BK14" i="84"/>
  <c r="BL14" i="84" s="1"/>
  <c r="BK21" i="84"/>
  <c r="BL21" i="84" s="1"/>
  <c r="AI12" i="84"/>
  <c r="J18" i="82" s="1"/>
  <c r="Y13" i="84"/>
  <c r="C19" i="82" s="1"/>
  <c r="C20" i="82" s="1"/>
  <c r="C21" i="82" s="1"/>
  <c r="C22" i="82" s="1"/>
  <c r="C23" i="82" s="1"/>
  <c r="AI15" i="84"/>
  <c r="AI14" i="84"/>
  <c r="AG17" i="84"/>
  <c r="AX17" i="84"/>
  <c r="AR37" i="84"/>
  <c r="AQ38" i="84" s="1"/>
  <c r="AZ37" i="84"/>
  <c r="AY38" i="84"/>
  <c r="V37" i="84"/>
  <c r="AG37" i="84"/>
  <c r="AF38" i="84" s="1"/>
  <c r="AL37" i="84"/>
  <c r="AK38" i="84" s="1"/>
  <c r="BA38" i="84"/>
  <c r="BB37" i="84"/>
  <c r="BK18" i="84"/>
  <c r="BL18" i="84" s="1"/>
  <c r="BK22" i="84"/>
  <c r="BL22" i="84" s="1"/>
  <c r="AE12" i="84"/>
  <c r="AI13" i="84"/>
  <c r="AC37" i="84"/>
  <c r="AB38" i="84" s="1"/>
  <c r="AW38" i="84"/>
  <c r="AX37" i="84"/>
  <c r="BK19" i="84"/>
  <c r="BL19" i="84" s="1"/>
  <c r="BK23" i="84"/>
  <c r="BL23" i="84" s="1"/>
  <c r="AT12" i="84"/>
  <c r="AC18" i="82" s="1"/>
  <c r="AC19" i="82" s="1"/>
  <c r="AC20" i="82" s="1"/>
  <c r="AC21" i="82" s="1"/>
  <c r="AC22" i="82" s="1"/>
  <c r="AC23" i="82" s="1"/>
  <c r="AE15" i="84"/>
  <c r="AE14" i="84"/>
  <c r="BK15" i="84"/>
  <c r="AX16" i="84"/>
  <c r="W22" i="82" s="1"/>
  <c r="W23" i="82" s="1"/>
  <c r="AG18" i="84"/>
  <c r="AN37" i="84"/>
  <c r="AM38" i="84"/>
  <c r="BE37" i="84"/>
  <c r="AV37" i="84"/>
  <c r="AU38" i="84" s="1"/>
  <c r="Y37" i="84"/>
  <c r="X38" i="84"/>
  <c r="AT37" i="84"/>
  <c r="AS38" i="84" s="1"/>
  <c r="AC24" i="84"/>
  <c r="AG24" i="84"/>
  <c r="AX24" i="84"/>
  <c r="W25" i="84"/>
  <c r="AN25" i="84"/>
  <c r="AR25" i="84"/>
  <c r="BB25" i="84"/>
  <c r="Y27" i="84"/>
  <c r="AL27" i="84"/>
  <c r="AP27" i="84"/>
  <c r="AT27" i="84"/>
  <c r="W29" i="84"/>
  <c r="AN29" i="84"/>
  <c r="AR29" i="84"/>
  <c r="BB29" i="84"/>
  <c r="Y30" i="84"/>
  <c r="AL30" i="84"/>
  <c r="AP30" i="84"/>
  <c r="AT30" i="84"/>
  <c r="W31" i="84"/>
  <c r="AN31" i="84"/>
  <c r="AR31" i="84"/>
  <c r="BB31" i="84"/>
  <c r="Y32" i="84"/>
  <c r="AL32" i="84"/>
  <c r="AP32" i="84"/>
  <c r="AT32" i="84"/>
  <c r="W33" i="84"/>
  <c r="AN33" i="84"/>
  <c r="AR33" i="84"/>
  <c r="BB33" i="84"/>
  <c r="Y34" i="84"/>
  <c r="AL34" i="84"/>
  <c r="AP34" i="84"/>
  <c r="AT34" i="84"/>
  <c r="E35" i="84"/>
  <c r="I35" i="84"/>
  <c r="AN35" i="84"/>
  <c r="AR35" i="84"/>
  <c r="AV35" i="84"/>
  <c r="AZ35" i="84"/>
  <c r="W36" i="84"/>
  <c r="AA36" i="84"/>
  <c r="AE36" i="84"/>
  <c r="AD37" i="84" s="1"/>
  <c r="AI36" i="84"/>
  <c r="AH37" i="84" s="1"/>
  <c r="BD81" i="84"/>
  <c r="BE80" i="84"/>
  <c r="B35" i="84"/>
  <c r="F35" i="84"/>
  <c r="J35" i="84"/>
  <c r="BE35" i="84"/>
  <c r="M42" i="84"/>
  <c r="C35" i="84"/>
  <c r="G35" i="84"/>
  <c r="K35" i="84"/>
  <c r="H35" i="84"/>
  <c r="AB131" i="84"/>
  <c r="D42" i="84" s="1"/>
  <c r="D41" i="84"/>
  <c r="L41" i="84"/>
  <c r="AQ131" i="84"/>
  <c r="L42" i="84" s="1"/>
  <c r="AY131" i="84"/>
  <c r="P42" i="84" s="1"/>
  <c r="P41" i="84"/>
  <c r="BE77" i="84"/>
  <c r="BE96" i="84"/>
  <c r="BF99" i="84"/>
  <c r="BF101" i="84"/>
  <c r="BF103" i="84"/>
  <c r="V124" i="84"/>
  <c r="V125" i="84" s="1"/>
  <c r="V126" i="84" s="1"/>
  <c r="V127" i="84" s="1"/>
  <c r="V128" i="84" s="1"/>
  <c r="V129" i="84" s="1"/>
  <c r="V130" i="84" s="1"/>
  <c r="V131" i="84" s="1"/>
  <c r="AD124" i="84"/>
  <c r="AD125" i="84" s="1"/>
  <c r="AD126" i="84" s="1"/>
  <c r="AD127" i="84" s="1"/>
  <c r="AD128" i="84" s="1"/>
  <c r="AD129" i="84" s="1"/>
  <c r="AD130" i="84" s="1"/>
  <c r="AD131" i="84" s="1"/>
  <c r="AK124" i="84"/>
  <c r="AS124" i="84"/>
  <c r="BA124" i="84"/>
  <c r="BE100" i="84"/>
  <c r="BE102" i="84"/>
  <c r="BE104" i="84"/>
  <c r="BD124" i="84"/>
  <c r="BE79" i="84"/>
  <c r="O17" i="87"/>
  <c r="P17" i="87"/>
  <c r="R17" i="87" s="1"/>
  <c r="O13" i="87"/>
  <c r="P13" i="87"/>
  <c r="R13" i="87" s="1"/>
  <c r="J29" i="87"/>
  <c r="K11" i="87"/>
  <c r="O16" i="87"/>
  <c r="P16" i="87"/>
  <c r="O20" i="87"/>
  <c r="P20" i="87"/>
  <c r="R20" i="87" s="1"/>
  <c r="P26" i="87"/>
  <c r="R26" i="87" s="1"/>
  <c r="O26" i="87"/>
  <c r="O33" i="87"/>
  <c r="P33" i="87"/>
  <c r="R33" i="87" s="1"/>
  <c r="O12" i="87"/>
  <c r="Q12" i="87" s="1"/>
  <c r="P12" i="87"/>
  <c r="R12" i="87" s="1"/>
  <c r="R18" i="87"/>
  <c r="Q21" i="87"/>
  <c r="J27" i="87"/>
  <c r="K27" i="87"/>
  <c r="L27" i="87" s="1"/>
  <c r="P15" i="87"/>
  <c r="R15" i="87" s="1"/>
  <c r="P19" i="87"/>
  <c r="R19" i="87" s="1"/>
  <c r="P21" i="87"/>
  <c r="R21" i="87" s="1"/>
  <c r="P24" i="87"/>
  <c r="O24" i="87"/>
  <c r="J28" i="87"/>
  <c r="K28" i="87"/>
  <c r="L28" i="87" s="1"/>
  <c r="J23" i="87"/>
  <c r="K23" i="87"/>
  <c r="L23" i="87" s="1"/>
  <c r="J24" i="87"/>
  <c r="P30" i="87"/>
  <c r="R30" i="87" s="1"/>
  <c r="O30" i="87"/>
  <c r="K35" i="87"/>
  <c r="L35" i="87" s="1"/>
  <c r="J35" i="87"/>
  <c r="P22" i="87"/>
  <c r="R22" i="87" s="1"/>
  <c r="O22" i="87"/>
  <c r="J25" i="87"/>
  <c r="K25" i="87"/>
  <c r="L25" i="87" s="1"/>
  <c r="J26" i="87"/>
  <c r="P31" i="87"/>
  <c r="O31" i="87"/>
  <c r="P32" i="87"/>
  <c r="R32" i="87" s="1"/>
  <c r="O32" i="87"/>
  <c r="P42" i="87"/>
  <c r="R42" i="87" s="1"/>
  <c r="O42" i="87"/>
  <c r="Q42" i="87" s="1"/>
  <c r="K43" i="87"/>
  <c r="L43" i="87" s="1"/>
  <c r="J43" i="87"/>
  <c r="P39" i="87"/>
  <c r="R39" i="87" s="1"/>
  <c r="O39" i="87"/>
  <c r="Q39" i="87" s="1"/>
  <c r="P29" i="87"/>
  <c r="R29" i="87" s="1"/>
  <c r="O29" i="87"/>
  <c r="R34" i="87"/>
  <c r="O37" i="87"/>
  <c r="Q37" i="87" s="1"/>
  <c r="P37" i="87"/>
  <c r="R37" i="87" s="1"/>
  <c r="R36" i="87"/>
  <c r="P38" i="87"/>
  <c r="R38" i="87" s="1"/>
  <c r="O38" i="87"/>
  <c r="O41" i="87"/>
  <c r="P41" i="87"/>
  <c r="R41" i="87" s="1"/>
  <c r="J42" i="87"/>
  <c r="F44" i="87"/>
  <c r="O36" i="87"/>
  <c r="J39" i="87"/>
  <c r="O40" i="87"/>
  <c r="Q40" i="87" s="1"/>
  <c r="AE37" i="84" l="1"/>
  <c r="AD38" i="84" s="1"/>
  <c r="W53" i="82"/>
  <c r="W24" i="82"/>
  <c r="AC38" i="84"/>
  <c r="AB39" i="84" s="1"/>
  <c r="AL38" i="84"/>
  <c r="AK39" i="84" s="1"/>
  <c r="P53" i="82"/>
  <c r="P24" i="82"/>
  <c r="X22" i="80"/>
  <c r="AI37" i="84"/>
  <c r="AH38" i="84" s="1"/>
  <c r="AU39" i="84"/>
  <c r="BE38" i="84"/>
  <c r="AV38" i="84"/>
  <c r="U44" i="82"/>
  <c r="AG38" i="84"/>
  <c r="AF39" i="84" s="1"/>
  <c r="AR38" i="84"/>
  <c r="AQ39" i="84" s="1"/>
  <c r="AP38" i="84"/>
  <c r="AO39" i="84" s="1"/>
  <c r="X41" i="80"/>
  <c r="AC53" i="82"/>
  <c r="AC24" i="82"/>
  <c r="C24" i="82"/>
  <c r="C53" i="82"/>
  <c r="X37" i="80"/>
  <c r="X26" i="80"/>
  <c r="AT38" i="84"/>
  <c r="AS39" i="84"/>
  <c r="P25" i="87"/>
  <c r="R25" i="87" s="1"/>
  <c r="O25" i="87"/>
  <c r="Q25" i="87" s="1"/>
  <c r="Q16" i="87"/>
  <c r="Q14" i="87"/>
  <c r="BE124" i="84"/>
  <c r="BD125" i="84"/>
  <c r="S35" i="84"/>
  <c r="Q31" i="87"/>
  <c r="P35" i="87"/>
  <c r="R35" i="87" s="1"/>
  <c r="O35" i="87"/>
  <c r="Q35" i="87" s="1"/>
  <c r="Q24" i="87"/>
  <c r="J36" i="84"/>
  <c r="E36" i="84"/>
  <c r="AN38" i="84"/>
  <c r="AM39" i="84" s="1"/>
  <c r="BL15" i="84"/>
  <c r="BK16" i="84"/>
  <c r="BL16" i="84" s="1"/>
  <c r="AY39" i="84"/>
  <c r="AZ38" i="84"/>
  <c r="AE44" i="82"/>
  <c r="AA54" i="82"/>
  <c r="AA25" i="82"/>
  <c r="AU13" i="82"/>
  <c r="N13" i="82" s="1"/>
  <c r="N12" i="82"/>
  <c r="B54" i="82"/>
  <c r="B25" i="82"/>
  <c r="R54" i="82"/>
  <c r="R25" i="82"/>
  <c r="H4" i="82"/>
  <c r="AQ5" i="82"/>
  <c r="H5" i="82" s="1"/>
  <c r="X27" i="80"/>
  <c r="X39" i="80"/>
  <c r="X11" i="80"/>
  <c r="X32" i="80"/>
  <c r="Y8" i="78"/>
  <c r="Z7" i="78"/>
  <c r="D49" i="74"/>
  <c r="F37" i="74"/>
  <c r="P37" i="78" s="1"/>
  <c r="D45" i="74"/>
  <c r="F33" i="74"/>
  <c r="P33" i="78" s="1"/>
  <c r="D41" i="74"/>
  <c r="F29" i="74"/>
  <c r="P29" i="78" s="1"/>
  <c r="M15" i="74"/>
  <c r="O11" i="74"/>
  <c r="J15" i="78"/>
  <c r="J19" i="78"/>
  <c r="J23" i="78"/>
  <c r="O19" i="78"/>
  <c r="O18" i="78"/>
  <c r="T97" i="74"/>
  <c r="V98" i="74"/>
  <c r="K21" i="74"/>
  <c r="H36" i="84"/>
  <c r="P23" i="87"/>
  <c r="R23" i="87" s="1"/>
  <c r="O23" i="87"/>
  <c r="Q23" i="87" s="1"/>
  <c r="L11" i="87"/>
  <c r="K10" i="87"/>
  <c r="AS125" i="84"/>
  <c r="O35" i="84"/>
  <c r="Q36" i="87"/>
  <c r="Q41" i="87"/>
  <c r="Q34" i="87"/>
  <c r="Q29" i="87"/>
  <c r="R40" i="87"/>
  <c r="R31" i="87"/>
  <c r="Q22" i="87"/>
  <c r="Q30" i="87"/>
  <c r="R24" i="87"/>
  <c r="P27" i="87"/>
  <c r="R27" i="87" s="1"/>
  <c r="O27" i="87"/>
  <c r="Q27" i="87" s="1"/>
  <c r="R14" i="87"/>
  <c r="Q33" i="87"/>
  <c r="Q20" i="87"/>
  <c r="Q13" i="87"/>
  <c r="Q17" i="87"/>
  <c r="AK125" i="84"/>
  <c r="N35" i="84"/>
  <c r="K36" i="84"/>
  <c r="F36" i="84"/>
  <c r="M55" i="82"/>
  <c r="AQ10" i="82"/>
  <c r="H9" i="82"/>
  <c r="AN4" i="82"/>
  <c r="C4" i="82" s="1"/>
  <c r="AK5" i="82"/>
  <c r="AM4" i="82"/>
  <c r="B4" i="82" s="1"/>
  <c r="X46" i="80"/>
  <c r="X23" i="80"/>
  <c r="X24" i="80"/>
  <c r="X17" i="80"/>
  <c r="X9" i="80"/>
  <c r="X30" i="80"/>
  <c r="J16" i="74"/>
  <c r="D48" i="74"/>
  <c r="F36" i="74"/>
  <c r="P36" i="78" s="1"/>
  <c r="D44" i="74"/>
  <c r="F32" i="74"/>
  <c r="P32" i="78" s="1"/>
  <c r="D40" i="74"/>
  <c r="F28" i="74"/>
  <c r="P28" i="78" s="1"/>
  <c r="J7" i="78"/>
  <c r="J9" i="78"/>
  <c r="J20" i="78"/>
  <c r="J14" i="78"/>
  <c r="O21" i="78"/>
  <c r="J24" i="78"/>
  <c r="O20" i="78"/>
  <c r="O10" i="74"/>
  <c r="I37" i="74" s="1"/>
  <c r="O12" i="74"/>
  <c r="F45" i="87"/>
  <c r="I44" i="87"/>
  <c r="Q38" i="87"/>
  <c r="P43" i="87"/>
  <c r="R43" i="87" s="1"/>
  <c r="O43" i="87"/>
  <c r="Q43" i="87" s="1"/>
  <c r="Q32" i="87"/>
  <c r="P28" i="87"/>
  <c r="R28" i="87" s="1"/>
  <c r="O28" i="87"/>
  <c r="Q28" i="87" s="1"/>
  <c r="Q26" i="87"/>
  <c r="R16" i="87"/>
  <c r="Q15" i="87"/>
  <c r="Q19" i="87"/>
  <c r="G36" i="84"/>
  <c r="B36" i="84"/>
  <c r="BD82" i="84"/>
  <c r="BE81" i="84"/>
  <c r="BB38" i="84"/>
  <c r="BA39" i="84" s="1"/>
  <c r="AG44" i="82"/>
  <c r="J19" i="82"/>
  <c r="J20" i="82" s="1"/>
  <c r="J21" i="82" s="1"/>
  <c r="J22" i="82" s="1"/>
  <c r="J23" i="82" s="1"/>
  <c r="AJ39" i="84"/>
  <c r="H53" i="82"/>
  <c r="H24" i="82"/>
  <c r="AO8" i="82"/>
  <c r="F9" i="82"/>
  <c r="Y54" i="82"/>
  <c r="Y25" i="82"/>
  <c r="N54" i="82"/>
  <c r="N25" i="82"/>
  <c r="F53" i="82"/>
  <c r="F24" i="82"/>
  <c r="AN12" i="82"/>
  <c r="C12" i="82" s="1"/>
  <c r="AK13" i="82"/>
  <c r="AM12" i="82"/>
  <c r="B12" i="82" s="1"/>
  <c r="X42" i="80"/>
  <c r="X19" i="80"/>
  <c r="X20" i="80"/>
  <c r="X15" i="80"/>
  <c r="X7" i="80"/>
  <c r="X28" i="80"/>
  <c r="D47" i="74"/>
  <c r="F35" i="74"/>
  <c r="P35" i="78" s="1"/>
  <c r="E31" i="74"/>
  <c r="D43" i="74"/>
  <c r="H31" i="74"/>
  <c r="F31" i="74"/>
  <c r="P31" i="78" s="1"/>
  <c r="I27" i="74"/>
  <c r="E27" i="74"/>
  <c r="D39" i="74"/>
  <c r="H27" i="74"/>
  <c r="G27" i="74"/>
  <c r="F27" i="74"/>
  <c r="P27" i="78" s="1"/>
  <c r="J11" i="78"/>
  <c r="J17" i="78"/>
  <c r="J25" i="78"/>
  <c r="O15" i="78"/>
  <c r="O23" i="78"/>
  <c r="O14" i="78"/>
  <c r="O22" i="78"/>
  <c r="M18" i="74"/>
  <c r="O14" i="74"/>
  <c r="M20" i="74"/>
  <c r="O16" i="74"/>
  <c r="Q18" i="87"/>
  <c r="BA125" i="84"/>
  <c r="Q35" i="84"/>
  <c r="C36" i="84"/>
  <c r="I36" i="84"/>
  <c r="Y38" i="84"/>
  <c r="X39" i="84"/>
  <c r="AX38" i="84"/>
  <c r="AW39" i="84" s="1"/>
  <c r="W37" i="84"/>
  <c r="V38" i="84" s="1"/>
  <c r="AA37" i="84"/>
  <c r="Z38" i="84" s="1"/>
  <c r="E43" i="82"/>
  <c r="E5" i="82"/>
  <c r="M4" i="82"/>
  <c r="AQ16" i="82"/>
  <c r="H16" i="82" s="1"/>
  <c r="H15" i="82"/>
  <c r="AU5" i="82"/>
  <c r="N5" i="82" s="1"/>
  <c r="N4" i="82"/>
  <c r="X38" i="80"/>
  <c r="X43" i="80"/>
  <c r="X13" i="80"/>
  <c r="X5" i="80"/>
  <c r="X48" i="80"/>
  <c r="X34" i="80"/>
  <c r="C515" i="74"/>
  <c r="C507" i="74"/>
  <c r="I34" i="74"/>
  <c r="E34" i="74"/>
  <c r="D46" i="74"/>
  <c r="G34" i="74"/>
  <c r="F34" i="74"/>
  <c r="P34" i="78" s="1"/>
  <c r="I30" i="74"/>
  <c r="D42" i="74"/>
  <c r="H30" i="74"/>
  <c r="G30" i="74"/>
  <c r="F30" i="74"/>
  <c r="P30" i="78" s="1"/>
  <c r="I26" i="74"/>
  <c r="E26" i="74"/>
  <c r="D38" i="74"/>
  <c r="H26" i="74"/>
  <c r="F26" i="74"/>
  <c r="P26" i="78" s="1"/>
  <c r="G26" i="74"/>
  <c r="X171" i="74"/>
  <c r="O13" i="74"/>
  <c r="H35" i="74" s="1"/>
  <c r="M17" i="74"/>
  <c r="J18" i="78"/>
  <c r="J22" i="78"/>
  <c r="J16" i="78"/>
  <c r="O17" i="78"/>
  <c r="O25" i="78"/>
  <c r="O16" i="78"/>
  <c r="O24" i="78"/>
  <c r="J35" i="78" l="1"/>
  <c r="AQ40" i="84"/>
  <c r="AR39" i="84"/>
  <c r="AA38" i="84"/>
  <c r="Z39" i="84" s="1"/>
  <c r="E44" i="82"/>
  <c r="BB39" i="84"/>
  <c r="BA40" i="84" s="1"/>
  <c r="AG45" i="82"/>
  <c r="AG39" i="84"/>
  <c r="AF40" i="84" s="1"/>
  <c r="W38" i="84"/>
  <c r="V39" i="84" s="1"/>
  <c r="AM40" i="84"/>
  <c r="AN39" i="84"/>
  <c r="AI38" i="84"/>
  <c r="AH39" i="84" s="1"/>
  <c r="AK40" i="84"/>
  <c r="AL39" i="84"/>
  <c r="AE38" i="84"/>
  <c r="AD39" i="84" s="1"/>
  <c r="AW40" i="84"/>
  <c r="AX39" i="84"/>
  <c r="AP39" i="84"/>
  <c r="AO40" i="84" s="1"/>
  <c r="AB40" i="84"/>
  <c r="AC39" i="84"/>
  <c r="M21" i="74"/>
  <c r="O17" i="74"/>
  <c r="J26" i="74"/>
  <c r="O26" i="78"/>
  <c r="E6" i="82"/>
  <c r="M5" i="82"/>
  <c r="X40" i="84"/>
  <c r="Y39" i="84"/>
  <c r="K26" i="74"/>
  <c r="J26" i="78"/>
  <c r="E30" i="74"/>
  <c r="H34" i="74"/>
  <c r="BA126" i="84"/>
  <c r="Q36" i="84"/>
  <c r="I39" i="74"/>
  <c r="E39" i="74"/>
  <c r="D51" i="74"/>
  <c r="H39" i="74"/>
  <c r="G39" i="74"/>
  <c r="F39" i="74"/>
  <c r="P39" i="78" s="1"/>
  <c r="G31" i="74"/>
  <c r="I31" i="74"/>
  <c r="D59" i="74"/>
  <c r="F47" i="74"/>
  <c r="P47" i="78" s="1"/>
  <c r="F54" i="82"/>
  <c r="F25" i="82"/>
  <c r="Y55" i="82"/>
  <c r="Y26" i="82"/>
  <c r="Y27" i="82" s="1"/>
  <c r="Y28" i="82" s="1"/>
  <c r="Y29" i="82" s="1"/>
  <c r="Y30" i="82" s="1"/>
  <c r="Y31" i="82" s="1"/>
  <c r="Y32" i="82" s="1"/>
  <c r="Y33" i="82" s="1"/>
  <c r="Y34" i="82" s="1"/>
  <c r="Y35" i="82" s="1"/>
  <c r="Y36" i="82" s="1"/>
  <c r="Y37" i="82" s="1"/>
  <c r="Y38" i="82" s="1"/>
  <c r="Y39" i="82" s="1"/>
  <c r="Y40" i="82" s="1"/>
  <c r="Y41" i="82" s="1"/>
  <c r="Y42" i="82" s="1"/>
  <c r="Y43" i="82" s="1"/>
  <c r="Y44" i="82" s="1"/>
  <c r="Y45" i="82" s="1"/>
  <c r="H54" i="82"/>
  <c r="H25" i="82"/>
  <c r="J53" i="82"/>
  <c r="J24" i="82"/>
  <c r="G37" i="84"/>
  <c r="K44" i="87"/>
  <c r="L44" i="87" s="1"/>
  <c r="J44" i="87"/>
  <c r="G28" i="74"/>
  <c r="I28" i="74"/>
  <c r="D56" i="74"/>
  <c r="F44" i="74"/>
  <c r="P44" i="78" s="1"/>
  <c r="G36" i="74"/>
  <c r="I36" i="74"/>
  <c r="AQ11" i="82"/>
  <c r="H11" i="82" s="1"/>
  <c r="H10" i="82"/>
  <c r="F37" i="84"/>
  <c r="AS126" i="84"/>
  <c r="O36" i="84"/>
  <c r="H29" i="74"/>
  <c r="E33" i="74"/>
  <c r="H37" i="74"/>
  <c r="R55" i="82"/>
  <c r="R26" i="82"/>
  <c r="R27" i="82" s="1"/>
  <c r="R28" i="82" s="1"/>
  <c r="R29" i="82" s="1"/>
  <c r="R30" i="82" s="1"/>
  <c r="R31" i="82" s="1"/>
  <c r="R32" i="82" s="1"/>
  <c r="R33" i="82" s="1"/>
  <c r="R34" i="82" s="1"/>
  <c r="R35" i="82" s="1"/>
  <c r="R36" i="82" s="1"/>
  <c r="R37" i="82" s="1"/>
  <c r="R38" i="82" s="1"/>
  <c r="R39" i="82" s="1"/>
  <c r="R40" i="82" s="1"/>
  <c r="R41" i="82" s="1"/>
  <c r="R42" i="82" s="1"/>
  <c r="R43" i="82" s="1"/>
  <c r="R44" i="82" s="1"/>
  <c r="R45" i="82" s="1"/>
  <c r="J37" i="84"/>
  <c r="W54" i="82"/>
  <c r="W25" i="82"/>
  <c r="I38" i="74"/>
  <c r="E38" i="74"/>
  <c r="D50" i="74"/>
  <c r="H38" i="74"/>
  <c r="G38" i="74"/>
  <c r="F38" i="74"/>
  <c r="P38" i="78" s="1"/>
  <c r="D58" i="74"/>
  <c r="F46" i="74"/>
  <c r="P46" i="78" s="1"/>
  <c r="C37" i="84"/>
  <c r="M22" i="74"/>
  <c r="O18" i="74"/>
  <c r="J27" i="74"/>
  <c r="O27" i="78"/>
  <c r="K31" i="74"/>
  <c r="J31" i="78"/>
  <c r="E35" i="74"/>
  <c r="B37" i="84"/>
  <c r="F46" i="87"/>
  <c r="I45" i="87"/>
  <c r="H28" i="74"/>
  <c r="E32" i="74"/>
  <c r="H36" i="74"/>
  <c r="AN5" i="82"/>
  <c r="C5" i="82" s="1"/>
  <c r="AM5" i="82"/>
  <c r="B5" i="82" s="1"/>
  <c r="K9" i="87"/>
  <c r="L10" i="87"/>
  <c r="T98" i="74"/>
  <c r="V99" i="74"/>
  <c r="M19" i="74"/>
  <c r="O15" i="74"/>
  <c r="E44" i="74" s="1"/>
  <c r="D53" i="74"/>
  <c r="H41" i="74"/>
  <c r="F41" i="74"/>
  <c r="P41" i="78" s="1"/>
  <c r="G33" i="74"/>
  <c r="I33" i="74"/>
  <c r="D61" i="74"/>
  <c r="H49" i="74"/>
  <c r="F49" i="74"/>
  <c r="P49" i="78" s="1"/>
  <c r="Y9" i="78"/>
  <c r="Z8" i="78"/>
  <c r="AZ39" i="84"/>
  <c r="AY40" i="84" s="1"/>
  <c r="AE45" i="82"/>
  <c r="E37" i="84"/>
  <c r="BD126" i="84"/>
  <c r="BE125" i="84"/>
  <c r="S36" i="84"/>
  <c r="C54" i="82"/>
  <c r="C25" i="82"/>
  <c r="J34" i="74"/>
  <c r="O34" i="78"/>
  <c r="I37" i="84"/>
  <c r="D55" i="74"/>
  <c r="G43" i="74"/>
  <c r="F43" i="74"/>
  <c r="P43" i="78" s="1"/>
  <c r="G35" i="74"/>
  <c r="I35" i="74"/>
  <c r="K35" i="74" s="1"/>
  <c r="AN13" i="82"/>
  <c r="C13" i="82" s="1"/>
  <c r="AM13" i="82"/>
  <c r="B13" i="82" s="1"/>
  <c r="N55" i="82"/>
  <c r="N26" i="82"/>
  <c r="N27" i="82" s="1"/>
  <c r="N28" i="82" s="1"/>
  <c r="N29" i="82" s="1"/>
  <c r="N30" i="82" s="1"/>
  <c r="N31" i="82" s="1"/>
  <c r="N32" i="82" s="1"/>
  <c r="N33" i="82" s="1"/>
  <c r="N34" i="82" s="1"/>
  <c r="N35" i="82" s="1"/>
  <c r="N36" i="82" s="1"/>
  <c r="N37" i="82" s="1"/>
  <c r="N38" i="82" s="1"/>
  <c r="N39" i="82" s="1"/>
  <c r="N40" i="82" s="1"/>
  <c r="N41" i="82" s="1"/>
  <c r="N42" i="82" s="1"/>
  <c r="N43" i="82" s="1"/>
  <c r="N44" i="82" s="1"/>
  <c r="N45" i="82" s="1"/>
  <c r="N46" i="82" s="1"/>
  <c r="N47" i="82" s="1"/>
  <c r="N48" i="82" s="1"/>
  <c r="N49" i="82" s="1"/>
  <c r="N50" i="82" s="1"/>
  <c r="AJ40" i="84"/>
  <c r="AJ41" i="84" s="1"/>
  <c r="I40" i="74"/>
  <c r="E40" i="74"/>
  <c r="D52" i="74"/>
  <c r="H40" i="74"/>
  <c r="G40" i="74"/>
  <c r="F40" i="74"/>
  <c r="P40" i="78" s="1"/>
  <c r="G32" i="74"/>
  <c r="I32" i="74"/>
  <c r="I48" i="74"/>
  <c r="E48" i="74"/>
  <c r="D60" i="74"/>
  <c r="H48" i="74"/>
  <c r="G48" i="74"/>
  <c r="F48" i="74"/>
  <c r="P48" i="78" s="1"/>
  <c r="AK126" i="84"/>
  <c r="N36" i="84"/>
  <c r="P11" i="87"/>
  <c r="R11" i="87" s="1"/>
  <c r="O11" i="87"/>
  <c r="Q11" i="87" s="1"/>
  <c r="H37" i="84"/>
  <c r="E29" i="74"/>
  <c r="H33" i="74"/>
  <c r="E37" i="74"/>
  <c r="B55" i="82"/>
  <c r="B26" i="82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AA26" i="82"/>
  <c r="AA27" i="82" s="1"/>
  <c r="AA28" i="82" s="1"/>
  <c r="AA29" i="82" s="1"/>
  <c r="AA30" i="82" s="1"/>
  <c r="AA31" i="82" s="1"/>
  <c r="AA32" i="82" s="1"/>
  <c r="AA33" i="82" s="1"/>
  <c r="AA34" i="82" s="1"/>
  <c r="AA35" i="82" s="1"/>
  <c r="AA36" i="82" s="1"/>
  <c r="AA37" i="82" s="1"/>
  <c r="AA38" i="82" s="1"/>
  <c r="AA39" i="82" s="1"/>
  <c r="AA40" i="82" s="1"/>
  <c r="AA41" i="82" s="1"/>
  <c r="AA42" i="82" s="1"/>
  <c r="AA43" i="82" s="1"/>
  <c r="AA44" i="82" s="1"/>
  <c r="AA45" i="82" s="1"/>
  <c r="AA55" i="82"/>
  <c r="AC54" i="82"/>
  <c r="AC25" i="82"/>
  <c r="BE39" i="84"/>
  <c r="AV39" i="84"/>
  <c r="AU40" i="84" s="1"/>
  <c r="U45" i="82"/>
  <c r="P54" i="82"/>
  <c r="P25" i="82"/>
  <c r="K30" i="74"/>
  <c r="J30" i="78"/>
  <c r="I42" i="74"/>
  <c r="E42" i="74"/>
  <c r="D54" i="74"/>
  <c r="H42" i="74"/>
  <c r="G42" i="74"/>
  <c r="F42" i="74"/>
  <c r="P42" i="78" s="1"/>
  <c r="M24" i="74"/>
  <c r="O20" i="74"/>
  <c r="K27" i="74"/>
  <c r="J27" i="78"/>
  <c r="J31" i="74"/>
  <c r="O31" i="78"/>
  <c r="AO7" i="82"/>
  <c r="F8" i="82"/>
  <c r="BD83" i="84"/>
  <c r="BE82" i="84"/>
  <c r="E28" i="74"/>
  <c r="H32" i="74"/>
  <c r="E36" i="74"/>
  <c r="K37" i="84"/>
  <c r="G29" i="74"/>
  <c r="I29" i="74"/>
  <c r="I45" i="74"/>
  <c r="E45" i="74"/>
  <c r="D57" i="74"/>
  <c r="H45" i="74"/>
  <c r="G45" i="74"/>
  <c r="F45" i="74"/>
  <c r="P45" i="78" s="1"/>
  <c r="G37" i="74"/>
  <c r="AS40" i="84"/>
  <c r="AT39" i="84"/>
  <c r="BL26" i="84"/>
  <c r="BL28" i="84" s="1"/>
  <c r="BM16" i="84" s="1"/>
  <c r="J44" i="74" l="1"/>
  <c r="O44" i="78"/>
  <c r="AP40" i="84"/>
  <c r="AO41" i="84" s="1"/>
  <c r="BB40" i="84"/>
  <c r="BA41" i="84" s="1"/>
  <c r="AG46" i="82"/>
  <c r="BE40" i="84"/>
  <c r="AV40" i="84"/>
  <c r="AU41" i="84" s="1"/>
  <c r="U46" i="82"/>
  <c r="AZ40" i="84"/>
  <c r="AY41" i="84" s="1"/>
  <c r="AE46" i="82"/>
  <c r="W39" i="84"/>
  <c r="V40" i="84" s="1"/>
  <c r="AI39" i="84"/>
  <c r="AH40" i="84" s="1"/>
  <c r="AG40" i="84"/>
  <c r="AF41" i="84"/>
  <c r="Z40" i="84"/>
  <c r="AA39" i="84"/>
  <c r="E45" i="82"/>
  <c r="AE39" i="84"/>
  <c r="AD40" i="84" s="1"/>
  <c r="K42" i="74"/>
  <c r="J42" i="78"/>
  <c r="AC55" i="82"/>
  <c r="AC26" i="82"/>
  <c r="AC27" i="82" s="1"/>
  <c r="AC28" i="82" s="1"/>
  <c r="AC29" i="82" s="1"/>
  <c r="AC30" i="82" s="1"/>
  <c r="AC31" i="82" s="1"/>
  <c r="AC32" i="82" s="1"/>
  <c r="AC33" i="82" s="1"/>
  <c r="AC34" i="82" s="1"/>
  <c r="AC35" i="82" s="1"/>
  <c r="AC36" i="82" s="1"/>
  <c r="AC37" i="82" s="1"/>
  <c r="AC38" i="82" s="1"/>
  <c r="AC39" i="82" s="1"/>
  <c r="AC40" i="82" s="1"/>
  <c r="AC41" i="82" s="1"/>
  <c r="AC42" i="82" s="1"/>
  <c r="AC43" i="82" s="1"/>
  <c r="AC44" i="82" s="1"/>
  <c r="AC45" i="82" s="1"/>
  <c r="J48" i="74"/>
  <c r="O48" i="78"/>
  <c r="J40" i="74"/>
  <c r="O40" i="78"/>
  <c r="D67" i="74"/>
  <c r="F55" i="74"/>
  <c r="P55" i="78" s="1"/>
  <c r="BM15" i="84"/>
  <c r="D69" i="74"/>
  <c r="F57" i="74"/>
  <c r="P57" i="78" s="1"/>
  <c r="K38" i="84"/>
  <c r="J28" i="74"/>
  <c r="O28" i="78"/>
  <c r="AO6" i="82"/>
  <c r="F7" i="82"/>
  <c r="D66" i="74"/>
  <c r="F54" i="74"/>
  <c r="P54" i="78" s="1"/>
  <c r="E43" i="74"/>
  <c r="Y10" i="78"/>
  <c r="Z9" i="78"/>
  <c r="D73" i="74"/>
  <c r="F61" i="74"/>
  <c r="P61" i="78" s="1"/>
  <c r="D65" i="74"/>
  <c r="G53" i="74"/>
  <c r="F53" i="74"/>
  <c r="P53" i="78" s="1"/>
  <c r="M23" i="74"/>
  <c r="O19" i="74"/>
  <c r="E55" i="74" s="1"/>
  <c r="L9" i="87"/>
  <c r="K8" i="87"/>
  <c r="K45" i="87"/>
  <c r="L45" i="87" s="1"/>
  <c r="J45" i="87"/>
  <c r="I58" i="74"/>
  <c r="D70" i="74"/>
  <c r="H58" i="74"/>
  <c r="G58" i="74"/>
  <c r="F58" i="74"/>
  <c r="P58" i="78" s="1"/>
  <c r="J33" i="74"/>
  <c r="O33" i="78"/>
  <c r="G44" i="74"/>
  <c r="I44" i="74"/>
  <c r="P44" i="87"/>
  <c r="R44" i="87" s="1"/>
  <c r="O44" i="87"/>
  <c r="Q44" i="87" s="1"/>
  <c r="J54" i="82"/>
  <c r="J25" i="82"/>
  <c r="E47" i="74"/>
  <c r="J39" i="74"/>
  <c r="O39" i="78"/>
  <c r="K34" i="74"/>
  <c r="J34" i="78"/>
  <c r="K32" i="74"/>
  <c r="J32" i="78"/>
  <c r="J29" i="74"/>
  <c r="O29" i="78"/>
  <c r="BM9" i="84"/>
  <c r="BM5" i="84"/>
  <c r="BM6" i="84"/>
  <c r="BM11" i="84"/>
  <c r="BM7" i="84"/>
  <c r="BM10" i="84"/>
  <c r="BM12" i="84"/>
  <c r="BM8" i="84"/>
  <c r="BM23" i="84"/>
  <c r="BM14" i="84"/>
  <c r="BM17" i="84"/>
  <c r="BM22" i="84"/>
  <c r="BM21" i="84"/>
  <c r="BM20" i="84"/>
  <c r="BM19" i="84"/>
  <c r="BM13" i="84"/>
  <c r="BM18" i="84"/>
  <c r="BM24" i="84"/>
  <c r="J45" i="74"/>
  <c r="O45" i="78"/>
  <c r="J42" i="74"/>
  <c r="O42" i="78"/>
  <c r="P55" i="82"/>
  <c r="P26" i="82"/>
  <c r="P27" i="82" s="1"/>
  <c r="P28" i="82" s="1"/>
  <c r="P29" i="82" s="1"/>
  <c r="P30" i="82" s="1"/>
  <c r="P31" i="82" s="1"/>
  <c r="P32" i="82" s="1"/>
  <c r="P33" i="82" s="1"/>
  <c r="P34" i="82" s="1"/>
  <c r="P35" i="82" s="1"/>
  <c r="P36" i="82" s="1"/>
  <c r="P37" i="82" s="1"/>
  <c r="P38" i="82" s="1"/>
  <c r="P39" i="82" s="1"/>
  <c r="P40" i="82" s="1"/>
  <c r="P41" i="82" s="1"/>
  <c r="P42" i="82" s="1"/>
  <c r="P43" i="82" s="1"/>
  <c r="P44" i="82" s="1"/>
  <c r="P45" i="82" s="1"/>
  <c r="P46" i="82" s="1"/>
  <c r="J37" i="74"/>
  <c r="O37" i="78"/>
  <c r="H38" i="84"/>
  <c r="K48" i="74"/>
  <c r="J48" i="78"/>
  <c r="K40" i="74"/>
  <c r="J40" i="78"/>
  <c r="I43" i="74"/>
  <c r="E38" i="84"/>
  <c r="E49" i="74"/>
  <c r="E41" i="74"/>
  <c r="V100" i="74"/>
  <c r="T99" i="74"/>
  <c r="K36" i="74"/>
  <c r="J36" i="78"/>
  <c r="I46" i="87"/>
  <c r="F47" i="87"/>
  <c r="J35" i="74"/>
  <c r="O35" i="78"/>
  <c r="C38" i="84"/>
  <c r="E46" i="74"/>
  <c r="K38" i="74"/>
  <c r="J38" i="78"/>
  <c r="W26" i="82"/>
  <c r="W27" i="82" s="1"/>
  <c r="W28" i="82" s="1"/>
  <c r="W29" i="82" s="1"/>
  <c r="W30" i="82" s="1"/>
  <c r="W31" i="82" s="1"/>
  <c r="W32" i="82" s="1"/>
  <c r="W33" i="82" s="1"/>
  <c r="W34" i="82" s="1"/>
  <c r="W35" i="82" s="1"/>
  <c r="W36" i="82" s="1"/>
  <c r="W37" i="82" s="1"/>
  <c r="W38" i="82" s="1"/>
  <c r="W39" i="82" s="1"/>
  <c r="W40" i="82" s="1"/>
  <c r="W41" i="82" s="1"/>
  <c r="W42" i="82" s="1"/>
  <c r="W43" i="82" s="1"/>
  <c r="W44" i="82" s="1"/>
  <c r="W45" i="82" s="1"/>
  <c r="W46" i="82" s="1"/>
  <c r="W55" i="82"/>
  <c r="K29" i="74"/>
  <c r="J29" i="78"/>
  <c r="F38" i="84"/>
  <c r="H44" i="74"/>
  <c r="G47" i="74"/>
  <c r="I47" i="74"/>
  <c r="J30" i="74"/>
  <c r="O30" i="78"/>
  <c r="Y40" i="84"/>
  <c r="X41" i="84" s="1"/>
  <c r="AC40" i="84"/>
  <c r="AB41" i="84"/>
  <c r="AW41" i="84"/>
  <c r="AX40" i="84"/>
  <c r="AL40" i="84"/>
  <c r="AK41" i="84" s="1"/>
  <c r="AM41" i="84"/>
  <c r="AN40" i="84"/>
  <c r="Y46" i="82" s="1"/>
  <c r="AR40" i="84"/>
  <c r="R46" i="82" s="1"/>
  <c r="K45" i="74"/>
  <c r="J45" i="78"/>
  <c r="J36" i="74"/>
  <c r="O36" i="78"/>
  <c r="BD84" i="84"/>
  <c r="BE83" i="84"/>
  <c r="M28" i="74"/>
  <c r="O24" i="74"/>
  <c r="AA46" i="82"/>
  <c r="K33" i="74"/>
  <c r="J33" i="78"/>
  <c r="AK127" i="84"/>
  <c r="N37" i="84"/>
  <c r="D72" i="74"/>
  <c r="F60" i="74"/>
  <c r="P60" i="78" s="1"/>
  <c r="I52" i="74"/>
  <c r="E52" i="74"/>
  <c r="D64" i="74"/>
  <c r="H52" i="74"/>
  <c r="G52" i="74"/>
  <c r="F52" i="74"/>
  <c r="P52" i="78" s="1"/>
  <c r="H43" i="74"/>
  <c r="G49" i="74"/>
  <c r="I49" i="74"/>
  <c r="G41" i="74"/>
  <c r="I41" i="74"/>
  <c r="J32" i="74"/>
  <c r="O32" i="78"/>
  <c r="G46" i="74"/>
  <c r="I46" i="74"/>
  <c r="I50" i="74"/>
  <c r="E50" i="74"/>
  <c r="D62" i="74"/>
  <c r="H50" i="74"/>
  <c r="G50" i="74"/>
  <c r="F50" i="74"/>
  <c r="P50" i="78" s="1"/>
  <c r="J38" i="84"/>
  <c r="I56" i="74"/>
  <c r="E56" i="74"/>
  <c r="D68" i="74"/>
  <c r="H56" i="74"/>
  <c r="G56" i="74"/>
  <c r="F56" i="74"/>
  <c r="P56" i="78" s="1"/>
  <c r="G38" i="84"/>
  <c r="H55" i="82"/>
  <c r="H26" i="82"/>
  <c r="H27" i="82" s="1"/>
  <c r="H28" i="82" s="1"/>
  <c r="H29" i="82" s="1"/>
  <c r="H30" i="82" s="1"/>
  <c r="H31" i="82" s="1"/>
  <c r="H32" i="82" s="1"/>
  <c r="H33" i="82" s="1"/>
  <c r="H34" i="82" s="1"/>
  <c r="H35" i="82" s="1"/>
  <c r="H36" i="82" s="1"/>
  <c r="H37" i="82" s="1"/>
  <c r="H38" i="82" s="1"/>
  <c r="H39" i="82" s="1"/>
  <c r="H40" i="82" s="1"/>
  <c r="H41" i="82" s="1"/>
  <c r="H42" i="82" s="1"/>
  <c r="H43" i="82" s="1"/>
  <c r="H44" i="82" s="1"/>
  <c r="H45" i="82" s="1"/>
  <c r="H46" i="82" s="1"/>
  <c r="F55" i="82"/>
  <c r="F26" i="82"/>
  <c r="F27" i="82" s="1"/>
  <c r="F28" i="82" s="1"/>
  <c r="F29" i="82" s="1"/>
  <c r="F30" i="82" s="1"/>
  <c r="F31" i="82" s="1"/>
  <c r="F32" i="82" s="1"/>
  <c r="F33" i="82" s="1"/>
  <c r="F34" i="82" s="1"/>
  <c r="F35" i="82" s="1"/>
  <c r="F36" i="82" s="1"/>
  <c r="F37" i="82" s="1"/>
  <c r="F38" i="82" s="1"/>
  <c r="F39" i="82" s="1"/>
  <c r="F40" i="82" s="1"/>
  <c r="F41" i="82" s="1"/>
  <c r="F42" i="82" s="1"/>
  <c r="F43" i="82" s="1"/>
  <c r="F44" i="82" s="1"/>
  <c r="F45" i="82" s="1"/>
  <c r="F46" i="82" s="1"/>
  <c r="H47" i="74"/>
  <c r="K39" i="74"/>
  <c r="J39" i="78"/>
  <c r="AS41" i="84"/>
  <c r="AT40" i="84"/>
  <c r="I38" i="84"/>
  <c r="C52" i="82"/>
  <c r="C26" i="82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55" i="82"/>
  <c r="BD127" i="84"/>
  <c r="BE126" i="84"/>
  <c r="S37" i="84"/>
  <c r="K49" i="74"/>
  <c r="J49" i="78"/>
  <c r="K41" i="74"/>
  <c r="J41" i="78"/>
  <c r="P10" i="87"/>
  <c r="R10" i="87" s="1"/>
  <c r="O10" i="87"/>
  <c r="Q10" i="87" s="1"/>
  <c r="K28" i="74"/>
  <c r="J28" i="78"/>
  <c r="B38" i="84"/>
  <c r="M26" i="74"/>
  <c r="O22" i="74"/>
  <c r="H46" i="74"/>
  <c r="J38" i="74"/>
  <c r="O38" i="78"/>
  <c r="K37" i="74"/>
  <c r="J37" i="78"/>
  <c r="AS127" i="84"/>
  <c r="O37" i="84"/>
  <c r="D71" i="74"/>
  <c r="F59" i="74"/>
  <c r="P59" i="78" s="1"/>
  <c r="I51" i="74"/>
  <c r="E51" i="74"/>
  <c r="D63" i="74"/>
  <c r="H51" i="74"/>
  <c r="G51" i="74"/>
  <c r="F51" i="74"/>
  <c r="P51" i="78" s="1"/>
  <c r="BA127" i="84"/>
  <c r="Q37" i="84"/>
  <c r="E7" i="82"/>
  <c r="M6" i="82"/>
  <c r="M25" i="74"/>
  <c r="O21" i="74"/>
  <c r="I61" i="74" s="1"/>
  <c r="AL41" i="84" l="1"/>
  <c r="AK42" i="84" s="1"/>
  <c r="AJ42" i="84"/>
  <c r="AZ41" i="84"/>
  <c r="AY42" i="84" s="1"/>
  <c r="AE47" i="82"/>
  <c r="Y41" i="84"/>
  <c r="X42" i="84" s="1"/>
  <c r="J55" i="74"/>
  <c r="O55" i="78"/>
  <c r="AE40" i="84"/>
  <c r="AD41" i="84" s="1"/>
  <c r="BB41" i="84"/>
  <c r="BA42" i="84"/>
  <c r="AG47" i="82"/>
  <c r="W40" i="84"/>
  <c r="V41" i="84" s="1"/>
  <c r="AV41" i="84"/>
  <c r="AU42" i="84" s="1"/>
  <c r="BE41" i="84"/>
  <c r="U47" i="82"/>
  <c r="AP41" i="84"/>
  <c r="AO42" i="84"/>
  <c r="AI40" i="84"/>
  <c r="AH41" i="84" s="1"/>
  <c r="H59" i="74"/>
  <c r="M30" i="74"/>
  <c r="O26" i="74"/>
  <c r="C47" i="82"/>
  <c r="K47" i="74"/>
  <c r="J47" i="78"/>
  <c r="J56" i="74"/>
  <c r="O56" i="78"/>
  <c r="K52" i="74"/>
  <c r="J52" i="78"/>
  <c r="E60" i="74"/>
  <c r="M32" i="74"/>
  <c r="O28" i="74"/>
  <c r="AQ41" i="84"/>
  <c r="C39" i="84"/>
  <c r="I47" i="87"/>
  <c r="F48" i="87"/>
  <c r="W42" i="81"/>
  <c r="W45" i="81"/>
  <c r="W41" i="81"/>
  <c r="W43" i="81"/>
  <c r="W44" i="81"/>
  <c r="W38" i="81"/>
  <c r="W34" i="81"/>
  <c r="W31" i="81"/>
  <c r="W27" i="81"/>
  <c r="W23" i="81"/>
  <c r="W19" i="81"/>
  <c r="W15" i="81"/>
  <c r="W11" i="81"/>
  <c r="W37" i="81"/>
  <c r="W33" i="81"/>
  <c r="W32" i="81"/>
  <c r="W28" i="81"/>
  <c r="W24" i="81"/>
  <c r="W20" i="81"/>
  <c r="W16" i="81"/>
  <c r="W12" i="81"/>
  <c r="W8" i="81"/>
  <c r="W40" i="81"/>
  <c r="W36" i="81"/>
  <c r="W29" i="81"/>
  <c r="W25" i="81"/>
  <c r="W21" i="81"/>
  <c r="W39" i="81"/>
  <c r="W35" i="81"/>
  <c r="W30" i="81"/>
  <c r="W26" i="81"/>
  <c r="W22" i="81"/>
  <c r="W18" i="81"/>
  <c r="W14" i="81"/>
  <c r="W10" i="81"/>
  <c r="W9" i="81"/>
  <c r="W13" i="81"/>
  <c r="W17" i="81"/>
  <c r="BM26" i="84"/>
  <c r="J55" i="82"/>
  <c r="J26" i="82"/>
  <c r="J27" i="82" s="1"/>
  <c r="J28" i="82" s="1"/>
  <c r="J29" i="82" s="1"/>
  <c r="J30" i="82" s="1"/>
  <c r="J31" i="82" s="1"/>
  <c r="J32" i="82" s="1"/>
  <c r="J33" i="82" s="1"/>
  <c r="J34" i="82" s="1"/>
  <c r="J35" i="82" s="1"/>
  <c r="J36" i="82" s="1"/>
  <c r="J37" i="82" s="1"/>
  <c r="J38" i="82" s="1"/>
  <c r="J39" i="82" s="1"/>
  <c r="J40" i="82" s="1"/>
  <c r="J41" i="82" s="1"/>
  <c r="J42" i="82" s="1"/>
  <c r="J43" i="82" s="1"/>
  <c r="J44" i="82" s="1"/>
  <c r="J45" i="82" s="1"/>
  <c r="J46" i="82" s="1"/>
  <c r="E58" i="74"/>
  <c r="L8" i="87"/>
  <c r="K7" i="87"/>
  <c r="E53" i="74"/>
  <c r="H61" i="74"/>
  <c r="G54" i="74"/>
  <c r="I54" i="74"/>
  <c r="E57" i="74"/>
  <c r="G55" i="74"/>
  <c r="I55" i="74"/>
  <c r="J51" i="74"/>
  <c r="O51" i="78"/>
  <c r="E8" i="82"/>
  <c r="M7" i="82"/>
  <c r="D83" i="74"/>
  <c r="F71" i="74"/>
  <c r="P71" i="78" s="1"/>
  <c r="AS128" i="84"/>
  <c r="O38" i="84"/>
  <c r="J39" i="84"/>
  <c r="K50" i="74"/>
  <c r="J50" i="78"/>
  <c r="K43" i="74"/>
  <c r="J43" i="78"/>
  <c r="I64" i="74"/>
  <c r="E64" i="74"/>
  <c r="D76" i="74"/>
  <c r="H64" i="74"/>
  <c r="G64" i="74"/>
  <c r="F64" i="74"/>
  <c r="P64" i="78" s="1"/>
  <c r="G60" i="74"/>
  <c r="I60" i="74"/>
  <c r="F39" i="84"/>
  <c r="J46" i="87"/>
  <c r="K46" i="87"/>
  <c r="L46" i="87" s="1"/>
  <c r="V101" i="74"/>
  <c r="T100" i="74"/>
  <c r="E39" i="84"/>
  <c r="O9" i="87"/>
  <c r="Q9" i="87" s="1"/>
  <c r="P9" i="87"/>
  <c r="R9" i="87" s="1"/>
  <c r="I53" i="74"/>
  <c r="D85" i="74"/>
  <c r="F73" i="74"/>
  <c r="P73" i="78" s="1"/>
  <c r="Z10" i="78"/>
  <c r="Y11" i="78"/>
  <c r="H54" i="74"/>
  <c r="G57" i="74"/>
  <c r="I57" i="74"/>
  <c r="H55" i="74"/>
  <c r="AC46" i="82"/>
  <c r="AA40" i="84"/>
  <c r="Z41" i="84" s="1"/>
  <c r="E46" i="82"/>
  <c r="E59" i="74"/>
  <c r="K46" i="74"/>
  <c r="J46" i="78"/>
  <c r="B39" i="84"/>
  <c r="BE127" i="84"/>
  <c r="BD128" i="84"/>
  <c r="S38" i="84"/>
  <c r="G39" i="84"/>
  <c r="K56" i="74"/>
  <c r="J56" i="78"/>
  <c r="I62" i="74"/>
  <c r="E62" i="74"/>
  <c r="D74" i="74"/>
  <c r="H62" i="74"/>
  <c r="G62" i="74"/>
  <c r="F62" i="74"/>
  <c r="P62" i="78" s="1"/>
  <c r="J52" i="74"/>
  <c r="O52" i="78"/>
  <c r="H60" i="74"/>
  <c r="AA47" i="82"/>
  <c r="BD85" i="84"/>
  <c r="BE84" i="84"/>
  <c r="AN41" i="84"/>
  <c r="Y47" i="82" s="1"/>
  <c r="AX41" i="84"/>
  <c r="AW42" i="84" s="1"/>
  <c r="J46" i="74"/>
  <c r="O46" i="78"/>
  <c r="J41" i="74"/>
  <c r="O41" i="78"/>
  <c r="H39" i="84"/>
  <c r="P47" i="82"/>
  <c r="J47" i="74"/>
  <c r="O47" i="78"/>
  <c r="K58" i="74"/>
  <c r="J58" i="78"/>
  <c r="H53" i="74"/>
  <c r="E61" i="74"/>
  <c r="J43" i="74"/>
  <c r="O43" i="78"/>
  <c r="D78" i="74"/>
  <c r="F66" i="74"/>
  <c r="P66" i="78" s="1"/>
  <c r="F6" i="82"/>
  <c r="AO5" i="82"/>
  <c r="K39" i="84"/>
  <c r="H57" i="74"/>
  <c r="D79" i="74"/>
  <c r="F67" i="74"/>
  <c r="P67" i="78" s="1"/>
  <c r="AG41" i="84"/>
  <c r="AF42" i="84" s="1"/>
  <c r="O46" i="81"/>
  <c r="O42" i="81"/>
  <c r="O45" i="81"/>
  <c r="O41" i="81"/>
  <c r="O43" i="81"/>
  <c r="O38" i="81"/>
  <c r="O34" i="81"/>
  <c r="O31" i="81"/>
  <c r="O27" i="81"/>
  <c r="O23" i="81"/>
  <c r="O19" i="81"/>
  <c r="O15" i="81"/>
  <c r="O11" i="81"/>
  <c r="O7" i="81"/>
  <c r="O37" i="81"/>
  <c r="O33" i="81"/>
  <c r="O32" i="81"/>
  <c r="O28" i="81"/>
  <c r="O24" i="81"/>
  <c r="O20" i="81"/>
  <c r="O16" i="81"/>
  <c r="O12" i="81"/>
  <c r="O8" i="81"/>
  <c r="O44" i="81"/>
  <c r="O40" i="81"/>
  <c r="O36" i="81"/>
  <c r="O29" i="81"/>
  <c r="O25" i="81"/>
  <c r="O21" i="81"/>
  <c r="O39" i="81"/>
  <c r="O35" i="81"/>
  <c r="O30" i="81"/>
  <c r="O26" i="81"/>
  <c r="O22" i="81"/>
  <c r="O18" i="81"/>
  <c r="O14" i="81"/>
  <c r="O10" i="81"/>
  <c r="O6" i="81"/>
  <c r="O17" i="81"/>
  <c r="O4" i="81"/>
  <c r="O9" i="81"/>
  <c r="O5" i="81"/>
  <c r="O2" i="81"/>
  <c r="O13" i="81"/>
  <c r="O3" i="81"/>
  <c r="K51" i="74"/>
  <c r="J51" i="78"/>
  <c r="M29" i="74"/>
  <c r="O25" i="74"/>
  <c r="BA128" i="84"/>
  <c r="Q38" i="84"/>
  <c r="I63" i="74"/>
  <c r="E63" i="74"/>
  <c r="D75" i="74"/>
  <c r="H63" i="74"/>
  <c r="G63" i="74"/>
  <c r="F63" i="74"/>
  <c r="P63" i="78" s="1"/>
  <c r="G59" i="74"/>
  <c r="I59" i="74"/>
  <c r="I39" i="84"/>
  <c r="AT41" i="84"/>
  <c r="AS42" i="84"/>
  <c r="H47" i="82"/>
  <c r="D80" i="74"/>
  <c r="F68" i="74"/>
  <c r="P68" i="78" s="1"/>
  <c r="J50" i="74"/>
  <c r="O50" i="78"/>
  <c r="D84" i="74"/>
  <c r="F72" i="74"/>
  <c r="P72" i="78" s="1"/>
  <c r="AK128" i="84"/>
  <c r="N38" i="84"/>
  <c r="AB42" i="84"/>
  <c r="AC41" i="84"/>
  <c r="F47" i="82" s="1"/>
  <c r="K44" i="74"/>
  <c r="J44" i="78"/>
  <c r="W47" i="82"/>
  <c r="J49" i="74"/>
  <c r="O49" i="78"/>
  <c r="I70" i="74"/>
  <c r="D82" i="74"/>
  <c r="G70" i="74"/>
  <c r="F70" i="74"/>
  <c r="P70" i="78" s="1"/>
  <c r="O45" i="87"/>
  <c r="Q45" i="87" s="1"/>
  <c r="P45" i="87"/>
  <c r="R45" i="87" s="1"/>
  <c r="M27" i="74"/>
  <c r="O23" i="74"/>
  <c r="I71" i="74" s="1"/>
  <c r="D77" i="74"/>
  <c r="H65" i="74"/>
  <c r="F65" i="74"/>
  <c r="P65" i="78" s="1"/>
  <c r="G61" i="74"/>
  <c r="E54" i="74"/>
  <c r="D81" i="74"/>
  <c r="H69" i="74"/>
  <c r="F69" i="74"/>
  <c r="P69" i="78" s="1"/>
  <c r="AX42" i="84" l="1"/>
  <c r="AW43" i="84" s="1"/>
  <c r="AV42" i="84"/>
  <c r="AU43" i="84" s="1"/>
  <c r="BE42" i="84"/>
  <c r="U48" i="82"/>
  <c r="Y42" i="84"/>
  <c r="X43" i="84" s="1"/>
  <c r="AL42" i="84"/>
  <c r="AK43" i="84"/>
  <c r="V42" i="84"/>
  <c r="W41" i="84"/>
  <c r="AD42" i="84"/>
  <c r="AE41" i="84"/>
  <c r="AY43" i="84"/>
  <c r="AZ42" i="84"/>
  <c r="AE48" i="82"/>
  <c r="AG42" i="84"/>
  <c r="AF43" i="84"/>
  <c r="AA41" i="84"/>
  <c r="Z42" i="84" s="1"/>
  <c r="E47" i="82"/>
  <c r="AI41" i="84"/>
  <c r="AH42" i="84" s="1"/>
  <c r="D93" i="74"/>
  <c r="F81" i="74"/>
  <c r="P81" i="78" s="1"/>
  <c r="G69" i="74"/>
  <c r="I69" i="74"/>
  <c r="G65" i="74"/>
  <c r="I65" i="74"/>
  <c r="D94" i="74"/>
  <c r="F82" i="74"/>
  <c r="P82" i="78" s="1"/>
  <c r="E72" i="74"/>
  <c r="E68" i="74"/>
  <c r="K63" i="74"/>
  <c r="J63" i="78"/>
  <c r="O57" i="81"/>
  <c r="D91" i="74"/>
  <c r="F79" i="74"/>
  <c r="P79" i="78" s="1"/>
  <c r="G66" i="74"/>
  <c r="I66" i="74"/>
  <c r="K53" i="74"/>
  <c r="J53" i="78"/>
  <c r="AM42" i="84"/>
  <c r="I74" i="74"/>
  <c r="E74" i="74"/>
  <c r="D86" i="74"/>
  <c r="H74" i="74"/>
  <c r="G74" i="74"/>
  <c r="F74" i="74"/>
  <c r="P74" i="78" s="1"/>
  <c r="B40" i="84"/>
  <c r="J59" i="74"/>
  <c r="O59" i="78"/>
  <c r="AC47" i="82"/>
  <c r="K54" i="74"/>
  <c r="J54" i="78"/>
  <c r="G73" i="74"/>
  <c r="I73" i="74"/>
  <c r="H45" i="81"/>
  <c r="H41" i="81"/>
  <c r="H44" i="81"/>
  <c r="H42" i="81"/>
  <c r="H37" i="81"/>
  <c r="H33" i="81"/>
  <c r="H32" i="81"/>
  <c r="H28" i="81"/>
  <c r="H24" i="81"/>
  <c r="H20" i="81"/>
  <c r="H16" i="81"/>
  <c r="H12" i="81"/>
  <c r="H40" i="81"/>
  <c r="H36" i="81"/>
  <c r="H29" i="81"/>
  <c r="H25" i="81"/>
  <c r="H21" i="81"/>
  <c r="H17" i="81"/>
  <c r="H13" i="81"/>
  <c r="H9" i="81"/>
  <c r="H39" i="81"/>
  <c r="H35" i="81"/>
  <c r="H30" i="81"/>
  <c r="H26" i="81"/>
  <c r="H22" i="81"/>
  <c r="H43" i="81"/>
  <c r="H38" i="81"/>
  <c r="H34" i="81"/>
  <c r="H31" i="81"/>
  <c r="H27" i="81"/>
  <c r="H23" i="81"/>
  <c r="H19" i="81"/>
  <c r="H15" i="81"/>
  <c r="H11" i="81"/>
  <c r="H18" i="81"/>
  <c r="H10" i="81"/>
  <c r="H14" i="81"/>
  <c r="V47" i="81"/>
  <c r="V43" i="81"/>
  <c r="V50" i="81"/>
  <c r="V46" i="81"/>
  <c r="V42" i="81"/>
  <c r="V49" i="81"/>
  <c r="V48" i="81"/>
  <c r="V44" i="81"/>
  <c r="V39" i="81"/>
  <c r="V35" i="81"/>
  <c r="V30" i="81"/>
  <c r="V26" i="81"/>
  <c r="V22" i="81"/>
  <c r="V18" i="81"/>
  <c r="V14" i="81"/>
  <c r="V10" i="81"/>
  <c r="V6" i="81"/>
  <c r="V45" i="81"/>
  <c r="V38" i="81"/>
  <c r="V34" i="81"/>
  <c r="V31" i="81"/>
  <c r="V27" i="81"/>
  <c r="V23" i="81"/>
  <c r="V19" i="81"/>
  <c r="V15" i="81"/>
  <c r="V11" i="81"/>
  <c r="V7" i="81"/>
  <c r="V41" i="81"/>
  <c r="V37" i="81"/>
  <c r="V33" i="81"/>
  <c r="V32" i="81"/>
  <c r="V28" i="81"/>
  <c r="V24" i="81"/>
  <c r="V20" i="81"/>
  <c r="V40" i="81"/>
  <c r="V36" i="81"/>
  <c r="V29" i="81"/>
  <c r="V25" i="81"/>
  <c r="V21" i="81"/>
  <c r="V17" i="81"/>
  <c r="V13" i="81"/>
  <c r="V9" i="81"/>
  <c r="V16" i="81"/>
  <c r="V3" i="81"/>
  <c r="V4" i="81"/>
  <c r="V8" i="81"/>
  <c r="V12" i="81"/>
  <c r="V5" i="81"/>
  <c r="V2" i="81"/>
  <c r="Q44" i="81"/>
  <c r="Q47" i="81"/>
  <c r="Q43" i="81"/>
  <c r="Q45" i="81"/>
  <c r="Q41" i="81"/>
  <c r="Q42" i="81"/>
  <c r="Q40" i="81"/>
  <c r="Q36" i="81"/>
  <c r="Q29" i="81"/>
  <c r="Q25" i="81"/>
  <c r="Q21" i="81"/>
  <c r="Q17" i="81"/>
  <c r="Q13" i="81"/>
  <c r="Q9" i="81"/>
  <c r="Q5" i="81"/>
  <c r="Q39" i="81"/>
  <c r="Q35" i="81"/>
  <c r="Q30" i="81"/>
  <c r="Q26" i="81"/>
  <c r="Q22" i="81"/>
  <c r="Q18" i="81"/>
  <c r="Q14" i="81"/>
  <c r="Q10" i="81"/>
  <c r="Q6" i="81"/>
  <c r="Q38" i="81"/>
  <c r="Q34" i="81"/>
  <c r="Q31" i="81"/>
  <c r="Q27" i="81"/>
  <c r="Q23" i="81"/>
  <c r="Q19" i="81"/>
  <c r="Q46" i="81"/>
  <c r="Q37" i="81"/>
  <c r="Q33" i="81"/>
  <c r="Q32" i="81"/>
  <c r="Q28" i="81"/>
  <c r="Q24" i="81"/>
  <c r="Q20" i="81"/>
  <c r="Q16" i="81"/>
  <c r="Q12" i="81"/>
  <c r="Q8" i="81"/>
  <c r="Q2" i="81"/>
  <c r="Q3" i="81"/>
  <c r="Q11" i="81"/>
  <c r="Q7" i="81"/>
  <c r="Q4" i="81"/>
  <c r="Q15" i="81"/>
  <c r="K64" i="74"/>
  <c r="J64" i="78"/>
  <c r="H71" i="74"/>
  <c r="P8" i="87"/>
  <c r="R8" i="87" s="1"/>
  <c r="H8" i="81" s="1"/>
  <c r="O8" i="87"/>
  <c r="Q8" i="87" s="1"/>
  <c r="D41" i="81"/>
  <c r="D42" i="81"/>
  <c r="D37" i="81"/>
  <c r="D33" i="81"/>
  <c r="D32" i="81"/>
  <c r="D28" i="81"/>
  <c r="D24" i="81"/>
  <c r="D20" i="81"/>
  <c r="D16" i="81"/>
  <c r="D12" i="81"/>
  <c r="D8" i="81"/>
  <c r="D40" i="81"/>
  <c r="D36" i="81"/>
  <c r="D29" i="81"/>
  <c r="D25" i="81"/>
  <c r="D21" i="81"/>
  <c r="D17" i="81"/>
  <c r="D13" i="81"/>
  <c r="D9" i="81"/>
  <c r="D39" i="81"/>
  <c r="D35" i="81"/>
  <c r="D30" i="81"/>
  <c r="D26" i="81"/>
  <c r="D22" i="81"/>
  <c r="D38" i="81"/>
  <c r="D34" i="81"/>
  <c r="D31" i="81"/>
  <c r="D27" i="81"/>
  <c r="D23" i="81"/>
  <c r="D19" i="81"/>
  <c r="D15" i="81"/>
  <c r="D11" i="81"/>
  <c r="D14" i="81"/>
  <c r="D18" i="81"/>
  <c r="D10" i="81"/>
  <c r="W54" i="81"/>
  <c r="F49" i="87"/>
  <c r="I48" i="87"/>
  <c r="J60" i="74"/>
  <c r="O60" i="78"/>
  <c r="K59" i="74"/>
  <c r="J59" i="78"/>
  <c r="K69" i="74"/>
  <c r="J69" i="78"/>
  <c r="J54" i="74"/>
  <c r="O54" i="78"/>
  <c r="K65" i="74"/>
  <c r="J65" i="78"/>
  <c r="E70" i="74"/>
  <c r="K42" i="81"/>
  <c r="K45" i="81"/>
  <c r="K41" i="81"/>
  <c r="K43" i="81"/>
  <c r="K38" i="81"/>
  <c r="K34" i="81"/>
  <c r="K31" i="81"/>
  <c r="K27" i="81"/>
  <c r="K23" i="81"/>
  <c r="K19" i="81"/>
  <c r="K15" i="81"/>
  <c r="K11" i="81"/>
  <c r="K37" i="81"/>
  <c r="K33" i="81"/>
  <c r="K32" i="81"/>
  <c r="K28" i="81"/>
  <c r="K24" i="81"/>
  <c r="K20" i="81"/>
  <c r="K16" i="81"/>
  <c r="K12" i="81"/>
  <c r="K40" i="81"/>
  <c r="K36" i="81"/>
  <c r="K29" i="81"/>
  <c r="K25" i="81"/>
  <c r="K21" i="81"/>
  <c r="K44" i="81"/>
  <c r="K39" i="81"/>
  <c r="K35" i="81"/>
  <c r="K30" i="81"/>
  <c r="K26" i="81"/>
  <c r="K22" i="81"/>
  <c r="K18" i="81"/>
  <c r="K14" i="81"/>
  <c r="K10" i="81"/>
  <c r="K13" i="81"/>
  <c r="K17" i="81"/>
  <c r="K9" i="81"/>
  <c r="R43" i="81"/>
  <c r="R42" i="81"/>
  <c r="R44" i="81"/>
  <c r="R39" i="81"/>
  <c r="R35" i="81"/>
  <c r="R30" i="81"/>
  <c r="R26" i="81"/>
  <c r="R22" i="81"/>
  <c r="R18" i="81"/>
  <c r="R14" i="81"/>
  <c r="R10" i="81"/>
  <c r="R6" i="81"/>
  <c r="R38" i="81"/>
  <c r="R34" i="81"/>
  <c r="R31" i="81"/>
  <c r="R27" i="81"/>
  <c r="R23" i="81"/>
  <c r="R19" i="81"/>
  <c r="R15" i="81"/>
  <c r="R11" i="81"/>
  <c r="R7" i="81"/>
  <c r="R45" i="81"/>
  <c r="R37" i="81"/>
  <c r="R33" i="81"/>
  <c r="R32" i="81"/>
  <c r="R28" i="81"/>
  <c r="R24" i="81"/>
  <c r="R20" i="81"/>
  <c r="R41" i="81"/>
  <c r="R40" i="81"/>
  <c r="R36" i="81"/>
  <c r="R29" i="81"/>
  <c r="R25" i="81"/>
  <c r="R21" i="81"/>
  <c r="R17" i="81"/>
  <c r="R13" i="81"/>
  <c r="R9" i="81"/>
  <c r="R12" i="81"/>
  <c r="R3" i="81"/>
  <c r="R16" i="81"/>
  <c r="R5" i="81"/>
  <c r="R4" i="81"/>
  <c r="R8" i="81"/>
  <c r="R2" i="81"/>
  <c r="W48" i="82"/>
  <c r="AC42" i="84"/>
  <c r="F48" i="82" s="1"/>
  <c r="G72" i="74"/>
  <c r="I72" i="74"/>
  <c r="G68" i="74"/>
  <c r="I68" i="74"/>
  <c r="I75" i="74"/>
  <c r="E75" i="74"/>
  <c r="D87" i="74"/>
  <c r="H75" i="74"/>
  <c r="G75" i="74"/>
  <c r="F75" i="74"/>
  <c r="P75" i="78" s="1"/>
  <c r="BA129" i="84"/>
  <c r="Q39" i="84"/>
  <c r="O55" i="81"/>
  <c r="O56" i="81"/>
  <c r="E67" i="74"/>
  <c r="K57" i="74"/>
  <c r="J57" i="78"/>
  <c r="AO4" i="82"/>
  <c r="F5" i="82"/>
  <c r="H66" i="74"/>
  <c r="J43" i="81"/>
  <c r="J42" i="81"/>
  <c r="J44" i="81"/>
  <c r="J45" i="81"/>
  <c r="J39" i="81"/>
  <c r="J35" i="81"/>
  <c r="J30" i="81"/>
  <c r="J26" i="81"/>
  <c r="J22" i="81"/>
  <c r="J18" i="81"/>
  <c r="J14" i="81"/>
  <c r="J41" i="81"/>
  <c r="J38" i="81"/>
  <c r="J34" i="81"/>
  <c r="J31" i="81"/>
  <c r="J27" i="81"/>
  <c r="J23" i="81"/>
  <c r="J19" i="81"/>
  <c r="J15" i="81"/>
  <c r="J37" i="81"/>
  <c r="J33" i="81"/>
  <c r="J32" i="81"/>
  <c r="J28" i="81"/>
  <c r="J24" i="81"/>
  <c r="J20" i="81"/>
  <c r="J40" i="81"/>
  <c r="J36" i="81"/>
  <c r="J29" i="81"/>
  <c r="J25" i="81"/>
  <c r="J21" i="81"/>
  <c r="J17" i="81"/>
  <c r="J13" i="81"/>
  <c r="J12" i="81"/>
  <c r="J16" i="81"/>
  <c r="U44" i="81"/>
  <c r="U43" i="81"/>
  <c r="U45" i="81"/>
  <c r="U41" i="81"/>
  <c r="U40" i="81"/>
  <c r="U36" i="81"/>
  <c r="U29" i="81"/>
  <c r="U25" i="81"/>
  <c r="U21" i="81"/>
  <c r="U17" i="81"/>
  <c r="U13" i="81"/>
  <c r="U9" i="81"/>
  <c r="U5" i="81"/>
  <c r="U39" i="81"/>
  <c r="U35" i="81"/>
  <c r="U30" i="81"/>
  <c r="U26" i="81"/>
  <c r="U22" i="81"/>
  <c r="U18" i="81"/>
  <c r="U14" i="81"/>
  <c r="U10" i="81"/>
  <c r="U6" i="81"/>
  <c r="U46" i="81"/>
  <c r="U38" i="81"/>
  <c r="U34" i="81"/>
  <c r="U31" i="81"/>
  <c r="U27" i="81"/>
  <c r="U23" i="81"/>
  <c r="U19" i="81"/>
  <c r="U42" i="81"/>
  <c r="U37" i="81"/>
  <c r="U33" i="81"/>
  <c r="U32" i="81"/>
  <c r="U28" i="81"/>
  <c r="U24" i="81"/>
  <c r="U20" i="81"/>
  <c r="U16" i="81"/>
  <c r="U12" i="81"/>
  <c r="U8" i="81"/>
  <c r="U2" i="81"/>
  <c r="U11" i="81"/>
  <c r="U7" i="81"/>
  <c r="U3" i="81"/>
  <c r="U15" i="81"/>
  <c r="U4" i="81"/>
  <c r="J62" i="74"/>
  <c r="O62" i="78"/>
  <c r="BD129" i="84"/>
  <c r="BE128" i="84"/>
  <c r="S39" i="84"/>
  <c r="K55" i="74"/>
  <c r="J55" i="78"/>
  <c r="Y12" i="78"/>
  <c r="Z11" i="78"/>
  <c r="H73" i="74"/>
  <c r="I76" i="74"/>
  <c r="E76" i="74"/>
  <c r="D88" i="74"/>
  <c r="H76" i="74"/>
  <c r="G76" i="74"/>
  <c r="F76" i="74"/>
  <c r="P76" i="78" s="1"/>
  <c r="J40" i="84"/>
  <c r="O47" i="81"/>
  <c r="AS129" i="84"/>
  <c r="O39" i="84"/>
  <c r="D95" i="74"/>
  <c r="F83" i="74"/>
  <c r="P83" i="78" s="1"/>
  <c r="E9" i="82"/>
  <c r="M8" i="82"/>
  <c r="J8" i="81" s="1"/>
  <c r="K61" i="74"/>
  <c r="J61" i="78"/>
  <c r="J58" i="74"/>
  <c r="O58" i="78"/>
  <c r="M44" i="81"/>
  <c r="M43" i="81"/>
  <c r="M45" i="81"/>
  <c r="M41" i="81"/>
  <c r="M46" i="81"/>
  <c r="M40" i="81"/>
  <c r="M36" i="81"/>
  <c r="M29" i="81"/>
  <c r="M25" i="81"/>
  <c r="M21" i="81"/>
  <c r="M17" i="81"/>
  <c r="M13" i="81"/>
  <c r="M9" i="81"/>
  <c r="M42" i="81"/>
  <c r="M39" i="81"/>
  <c r="M35" i="81"/>
  <c r="M30" i="81"/>
  <c r="M26" i="81"/>
  <c r="M22" i="81"/>
  <c r="M18" i="81"/>
  <c r="M14" i="81"/>
  <c r="M10" i="81"/>
  <c r="M6" i="81"/>
  <c r="M38" i="81"/>
  <c r="M34" i="81"/>
  <c r="M31" i="81"/>
  <c r="M27" i="81"/>
  <c r="M23" i="81"/>
  <c r="M19" i="81"/>
  <c r="M37" i="81"/>
  <c r="M33" i="81"/>
  <c r="M32" i="81"/>
  <c r="M28" i="81"/>
  <c r="M24" i="81"/>
  <c r="M20" i="81"/>
  <c r="M16" i="81"/>
  <c r="M12" i="81"/>
  <c r="M8" i="81"/>
  <c r="M15" i="81"/>
  <c r="M5" i="81"/>
  <c r="M2" i="81"/>
  <c r="M3" i="81"/>
  <c r="M4" i="81"/>
  <c r="M11" i="81"/>
  <c r="M7" i="81"/>
  <c r="W58" i="81"/>
  <c r="W57" i="81"/>
  <c r="W56" i="81"/>
  <c r="K47" i="87"/>
  <c r="L47" i="87" s="1"/>
  <c r="J47" i="87"/>
  <c r="AQ42" i="84"/>
  <c r="AR41" i="84"/>
  <c r="R47" i="82" s="1"/>
  <c r="BB42" i="84"/>
  <c r="BA43" i="84" s="1"/>
  <c r="AG48" i="82"/>
  <c r="AJ43" i="84"/>
  <c r="AJ44" i="84" s="1"/>
  <c r="I77" i="74"/>
  <c r="E77" i="74"/>
  <c r="D89" i="74"/>
  <c r="G77" i="74"/>
  <c r="F77" i="74"/>
  <c r="P77" i="78" s="1"/>
  <c r="M31" i="74"/>
  <c r="O27" i="74"/>
  <c r="I82" i="74" s="1"/>
  <c r="R46" i="81"/>
  <c r="H72" i="74"/>
  <c r="H68" i="74"/>
  <c r="H48" i="82"/>
  <c r="I40" i="84"/>
  <c r="J63" i="74"/>
  <c r="O63" i="78"/>
  <c r="O54" i="81"/>
  <c r="G67" i="74"/>
  <c r="I67" i="74"/>
  <c r="I78" i="74"/>
  <c r="E78" i="74"/>
  <c r="D90" i="74"/>
  <c r="H78" i="74"/>
  <c r="G78" i="74"/>
  <c r="F78" i="74"/>
  <c r="P78" i="78" s="1"/>
  <c r="BD86" i="84"/>
  <c r="BE85" i="84"/>
  <c r="K60" i="74"/>
  <c r="J60" i="78"/>
  <c r="G40" i="84"/>
  <c r="D97" i="74"/>
  <c r="F85" i="74"/>
  <c r="P85" i="78" s="1"/>
  <c r="F42" i="81"/>
  <c r="F39" i="81"/>
  <c r="F35" i="81"/>
  <c r="F30" i="81"/>
  <c r="F26" i="81"/>
  <c r="F22" i="81"/>
  <c r="F18" i="81"/>
  <c r="F14" i="81"/>
  <c r="F38" i="81"/>
  <c r="F34" i="81"/>
  <c r="F31" i="81"/>
  <c r="F27" i="81"/>
  <c r="F23" i="81"/>
  <c r="F19" i="81"/>
  <c r="F15" i="81"/>
  <c r="F41" i="81"/>
  <c r="F37" i="81"/>
  <c r="F33" i="81"/>
  <c r="F32" i="81"/>
  <c r="F28" i="81"/>
  <c r="F24" i="81"/>
  <c r="F20" i="81"/>
  <c r="F40" i="81"/>
  <c r="F36" i="81"/>
  <c r="F29" i="81"/>
  <c r="F25" i="81"/>
  <c r="F21" i="81"/>
  <c r="F17" i="81"/>
  <c r="F13" i="81"/>
  <c r="F9" i="81"/>
  <c r="F16" i="81"/>
  <c r="F8" i="81"/>
  <c r="F12" i="81"/>
  <c r="T45" i="81"/>
  <c r="T41" i="81"/>
  <c r="T48" i="81"/>
  <c r="T44" i="81"/>
  <c r="T46" i="81"/>
  <c r="T42" i="81"/>
  <c r="T43" i="81"/>
  <c r="T37" i="81"/>
  <c r="T33" i="81"/>
  <c r="T32" i="81"/>
  <c r="T28" i="81"/>
  <c r="T24" i="81"/>
  <c r="T20" i="81"/>
  <c r="T16" i="81"/>
  <c r="T12" i="81"/>
  <c r="T8" i="81"/>
  <c r="T40" i="81"/>
  <c r="T36" i="81"/>
  <c r="T29" i="81"/>
  <c r="T25" i="81"/>
  <c r="T21" i="81"/>
  <c r="T17" i="81"/>
  <c r="T13" i="81"/>
  <c r="T9" i="81"/>
  <c r="T5" i="81"/>
  <c r="T39" i="81"/>
  <c r="T35" i="81"/>
  <c r="T30" i="81"/>
  <c r="T26" i="81"/>
  <c r="T22" i="81"/>
  <c r="T47" i="81"/>
  <c r="T38" i="81"/>
  <c r="T34" i="81"/>
  <c r="T31" i="81"/>
  <c r="T27" i="81"/>
  <c r="T23" i="81"/>
  <c r="T19" i="81"/>
  <c r="T15" i="81"/>
  <c r="T11" i="81"/>
  <c r="T7" i="81"/>
  <c r="T14" i="81"/>
  <c r="T6" i="81"/>
  <c r="T18" i="81"/>
  <c r="T2" i="81"/>
  <c r="T3" i="81"/>
  <c r="T10" i="81"/>
  <c r="T4" i="81"/>
  <c r="T101" i="74"/>
  <c r="V102" i="74"/>
  <c r="F40" i="84"/>
  <c r="J64" i="74"/>
  <c r="O64" i="78"/>
  <c r="E71" i="74"/>
  <c r="J57" i="74"/>
  <c r="O57" i="78"/>
  <c r="J53" i="74"/>
  <c r="O53" i="78"/>
  <c r="J47" i="82"/>
  <c r="E69" i="74"/>
  <c r="E65" i="74"/>
  <c r="H70" i="74"/>
  <c r="E44" i="81"/>
  <c r="E43" i="81"/>
  <c r="E45" i="81"/>
  <c r="E41" i="81"/>
  <c r="E40" i="81"/>
  <c r="E36" i="81"/>
  <c r="E29" i="81"/>
  <c r="E25" i="81"/>
  <c r="E21" i="81"/>
  <c r="E17" i="81"/>
  <c r="E13" i="81"/>
  <c r="E9" i="81"/>
  <c r="E39" i="81"/>
  <c r="E35" i="81"/>
  <c r="E30" i="81"/>
  <c r="E26" i="81"/>
  <c r="E22" i="81"/>
  <c r="E18" i="81"/>
  <c r="E14" i="81"/>
  <c r="E10" i="81"/>
  <c r="E38" i="81"/>
  <c r="E34" i="81"/>
  <c r="E31" i="81"/>
  <c r="E27" i="81"/>
  <c r="E23" i="81"/>
  <c r="E42" i="81"/>
  <c r="E37" i="81"/>
  <c r="E33" i="81"/>
  <c r="E32" i="81"/>
  <c r="E28" i="81"/>
  <c r="E24" i="81"/>
  <c r="E20" i="81"/>
  <c r="E16" i="81"/>
  <c r="E12" i="81"/>
  <c r="E8" i="81"/>
  <c r="E11" i="81"/>
  <c r="E15" i="81"/>
  <c r="E19" i="81"/>
  <c r="P45" i="81"/>
  <c r="P41" i="81"/>
  <c r="P44" i="81"/>
  <c r="P46" i="81"/>
  <c r="P42" i="81"/>
  <c r="P37" i="81"/>
  <c r="P33" i="81"/>
  <c r="P32" i="81"/>
  <c r="P28" i="81"/>
  <c r="P24" i="81"/>
  <c r="P20" i="81"/>
  <c r="P16" i="81"/>
  <c r="P12" i="81"/>
  <c r="P8" i="81"/>
  <c r="P43" i="81"/>
  <c r="P40" i="81"/>
  <c r="P36" i="81"/>
  <c r="P29" i="81"/>
  <c r="P25" i="81"/>
  <c r="P21" i="81"/>
  <c r="P17" i="81"/>
  <c r="P13" i="81"/>
  <c r="P9" i="81"/>
  <c r="P5" i="81"/>
  <c r="P39" i="81"/>
  <c r="P35" i="81"/>
  <c r="P30" i="81"/>
  <c r="P26" i="81"/>
  <c r="P22" i="81"/>
  <c r="P38" i="81"/>
  <c r="P34" i="81"/>
  <c r="P31" i="81"/>
  <c r="P27" i="81"/>
  <c r="P23" i="81"/>
  <c r="P19" i="81"/>
  <c r="P15" i="81"/>
  <c r="P11" i="81"/>
  <c r="P7" i="81"/>
  <c r="P10" i="81"/>
  <c r="P14" i="81"/>
  <c r="P6" i="81"/>
  <c r="P2" i="81"/>
  <c r="P18" i="81"/>
  <c r="P3" i="81"/>
  <c r="P4" i="81"/>
  <c r="AK129" i="84"/>
  <c r="N39" i="84"/>
  <c r="D96" i="74"/>
  <c r="F84" i="74"/>
  <c r="P84" i="78" s="1"/>
  <c r="I80" i="74"/>
  <c r="E80" i="74"/>
  <c r="D92" i="74"/>
  <c r="H80" i="74"/>
  <c r="G80" i="74"/>
  <c r="F80" i="74"/>
  <c r="P80" i="78" s="1"/>
  <c r="AS43" i="84"/>
  <c r="AT42" i="84"/>
  <c r="M33" i="74"/>
  <c r="O29" i="74"/>
  <c r="H85" i="74" s="1"/>
  <c r="O58" i="81"/>
  <c r="H67" i="74"/>
  <c r="N42" i="81"/>
  <c r="N41" i="81"/>
  <c r="N39" i="81"/>
  <c r="N35" i="81"/>
  <c r="N30" i="81"/>
  <c r="N26" i="81"/>
  <c r="N22" i="81"/>
  <c r="N18" i="81"/>
  <c r="N14" i="81"/>
  <c r="N10" i="81"/>
  <c r="N6" i="81"/>
  <c r="N38" i="81"/>
  <c r="N34" i="81"/>
  <c r="N31" i="81"/>
  <c r="N27" i="81"/>
  <c r="N23" i="81"/>
  <c r="N19" i="81"/>
  <c r="N15" i="81"/>
  <c r="N11" i="81"/>
  <c r="N7" i="81"/>
  <c r="N37" i="81"/>
  <c r="N33" i="81"/>
  <c r="N32" i="81"/>
  <c r="N28" i="81"/>
  <c r="N24" i="81"/>
  <c r="N20" i="81"/>
  <c r="N40" i="81"/>
  <c r="N36" i="81"/>
  <c r="N29" i="81"/>
  <c r="N25" i="81"/>
  <c r="N21" i="81"/>
  <c r="N17" i="81"/>
  <c r="N13" i="81"/>
  <c r="N9" i="81"/>
  <c r="N8" i="81"/>
  <c r="N3" i="81"/>
  <c r="N12" i="81"/>
  <c r="N4" i="81"/>
  <c r="N16" i="81"/>
  <c r="N5" i="81"/>
  <c r="N2" i="81"/>
  <c r="K40" i="84"/>
  <c r="P47" i="81"/>
  <c r="E66" i="74"/>
  <c r="J61" i="74"/>
  <c r="O61" i="78"/>
  <c r="G42" i="81"/>
  <c r="G45" i="81"/>
  <c r="G41" i="81"/>
  <c r="G43" i="81"/>
  <c r="G44" i="81"/>
  <c r="G38" i="81"/>
  <c r="G34" i="81"/>
  <c r="G31" i="81"/>
  <c r="G27" i="81"/>
  <c r="G23" i="81"/>
  <c r="G19" i="81"/>
  <c r="G15" i="81"/>
  <c r="G11" i="81"/>
  <c r="G37" i="81"/>
  <c r="G33" i="81"/>
  <c r="G32" i="81"/>
  <c r="G28" i="81"/>
  <c r="G24" i="81"/>
  <c r="G20" i="81"/>
  <c r="G16" i="81"/>
  <c r="G12" i="81"/>
  <c r="G8" i="81"/>
  <c r="G40" i="81"/>
  <c r="G36" i="81"/>
  <c r="G29" i="81"/>
  <c r="G25" i="81"/>
  <c r="G21" i="81"/>
  <c r="G39" i="81"/>
  <c r="G35" i="81"/>
  <c r="G30" i="81"/>
  <c r="G26" i="81"/>
  <c r="G22" i="81"/>
  <c r="G18" i="81"/>
  <c r="G14" i="81"/>
  <c r="G10" i="81"/>
  <c r="G9" i="81"/>
  <c r="G13" i="81"/>
  <c r="G17" i="81"/>
  <c r="L45" i="81"/>
  <c r="L41" i="81"/>
  <c r="L44" i="81"/>
  <c r="L46" i="81"/>
  <c r="L42" i="81"/>
  <c r="L37" i="81"/>
  <c r="L33" i="81"/>
  <c r="L32" i="81"/>
  <c r="L28" i="81"/>
  <c r="L24" i="81"/>
  <c r="L20" i="81"/>
  <c r="L16" i="81"/>
  <c r="F16" i="80" s="1"/>
  <c r="L12" i="81"/>
  <c r="F12" i="80" s="1"/>
  <c r="L8" i="81"/>
  <c r="F8" i="80" s="1"/>
  <c r="L47" i="81"/>
  <c r="L40" i="81"/>
  <c r="L36" i="81"/>
  <c r="L29" i="81"/>
  <c r="L25" i="81"/>
  <c r="L21" i="81"/>
  <c r="L17" i="81"/>
  <c r="F17" i="80" s="1"/>
  <c r="L13" i="81"/>
  <c r="F13" i="80" s="1"/>
  <c r="L9" i="81"/>
  <c r="F9" i="80" s="1"/>
  <c r="L5" i="81"/>
  <c r="L43" i="81"/>
  <c r="L39" i="81"/>
  <c r="L35" i="81"/>
  <c r="L30" i="81"/>
  <c r="L26" i="81"/>
  <c r="L22" i="81"/>
  <c r="L38" i="81"/>
  <c r="L34" i="81"/>
  <c r="L31" i="81"/>
  <c r="L27" i="81"/>
  <c r="L23" i="81"/>
  <c r="L19" i="81"/>
  <c r="L15" i="81"/>
  <c r="F15" i="80" s="1"/>
  <c r="L11" i="81"/>
  <c r="F11" i="80" s="1"/>
  <c r="L7" i="81"/>
  <c r="L10" i="81"/>
  <c r="F10" i="80" s="1"/>
  <c r="L2" i="81"/>
  <c r="L14" i="81"/>
  <c r="F14" i="80" s="1"/>
  <c r="L6" i="81"/>
  <c r="L3" i="81"/>
  <c r="L18" i="81"/>
  <c r="F18" i="80" s="1"/>
  <c r="L4" i="81"/>
  <c r="H40" i="84"/>
  <c r="AA48" i="82"/>
  <c r="K62" i="74"/>
  <c r="J62" i="78"/>
  <c r="E73" i="74"/>
  <c r="E40" i="84"/>
  <c r="P46" i="87"/>
  <c r="R46" i="87" s="1"/>
  <c r="J46" i="81" s="1"/>
  <c r="O46" i="87"/>
  <c r="Q46" i="87" s="1"/>
  <c r="G71" i="74"/>
  <c r="L7" i="87"/>
  <c r="K6" i="87"/>
  <c r="I44" i="81"/>
  <c r="I43" i="81"/>
  <c r="I45" i="81"/>
  <c r="I41" i="81"/>
  <c r="I40" i="81"/>
  <c r="I36" i="81"/>
  <c r="I29" i="81"/>
  <c r="I25" i="81"/>
  <c r="I21" i="81"/>
  <c r="I17" i="81"/>
  <c r="I13" i="81"/>
  <c r="I9" i="81"/>
  <c r="I39" i="81"/>
  <c r="I35" i="81"/>
  <c r="I30" i="81"/>
  <c r="I26" i="81"/>
  <c r="I22" i="81"/>
  <c r="I18" i="81"/>
  <c r="I14" i="81"/>
  <c r="I10" i="81"/>
  <c r="I42" i="81"/>
  <c r="I38" i="81"/>
  <c r="I34" i="81"/>
  <c r="I31" i="81"/>
  <c r="I27" i="81"/>
  <c r="I23" i="81"/>
  <c r="I19" i="81"/>
  <c r="I37" i="81"/>
  <c r="I33" i="81"/>
  <c r="I32" i="81"/>
  <c r="I28" i="81"/>
  <c r="I24" i="81"/>
  <c r="I20" i="81"/>
  <c r="I16" i="81"/>
  <c r="I12" i="81"/>
  <c r="I8" i="81"/>
  <c r="I11" i="81"/>
  <c r="I15" i="81"/>
  <c r="S46" i="81"/>
  <c r="S42" i="81"/>
  <c r="S45" i="81"/>
  <c r="S41" i="81"/>
  <c r="S43" i="81"/>
  <c r="S38" i="81"/>
  <c r="S34" i="81"/>
  <c r="S31" i="81"/>
  <c r="S27" i="81"/>
  <c r="S23" i="81"/>
  <c r="S19" i="81"/>
  <c r="S15" i="81"/>
  <c r="S11" i="81"/>
  <c r="S7" i="81"/>
  <c r="S44" i="81"/>
  <c r="S37" i="81"/>
  <c r="S33" i="81"/>
  <c r="S32" i="81"/>
  <c r="S28" i="81"/>
  <c r="S24" i="81"/>
  <c r="S20" i="81"/>
  <c r="S16" i="81"/>
  <c r="S12" i="81"/>
  <c r="S8" i="81"/>
  <c r="S40" i="81"/>
  <c r="S36" i="81"/>
  <c r="S29" i="81"/>
  <c r="S25" i="81"/>
  <c r="S21" i="81"/>
  <c r="S39" i="81"/>
  <c r="S35" i="81"/>
  <c r="S30" i="81"/>
  <c r="S26" i="81"/>
  <c r="S22" i="81"/>
  <c r="S18" i="81"/>
  <c r="S14" i="81"/>
  <c r="S10" i="81"/>
  <c r="S6" i="81"/>
  <c r="S5" i="81"/>
  <c r="S4" i="81"/>
  <c r="S9" i="81"/>
  <c r="S13" i="81"/>
  <c r="S2" i="81"/>
  <c r="S17" i="81"/>
  <c r="S3" i="81"/>
  <c r="W55" i="81"/>
  <c r="C40" i="84"/>
  <c r="M36" i="74"/>
  <c r="O32" i="74"/>
  <c r="C48" i="82"/>
  <c r="M34" i="74"/>
  <c r="O30" i="74"/>
  <c r="AP42" i="84"/>
  <c r="P48" i="82" s="1"/>
  <c r="O62" i="81" l="1"/>
  <c r="O66" i="81" s="1"/>
  <c r="X36" i="81"/>
  <c r="X31" i="81"/>
  <c r="X32" i="81"/>
  <c r="X16" i="81"/>
  <c r="X15" i="81"/>
  <c r="X22" i="81"/>
  <c r="X39" i="81"/>
  <c r="X24" i="81"/>
  <c r="Y61" i="81" s="1"/>
  <c r="X26" i="81"/>
  <c r="X28" i="81"/>
  <c r="X42" i="81"/>
  <c r="X41" i="81"/>
  <c r="X19" i="81"/>
  <c r="AL47" i="81" s="1"/>
  <c r="X34" i="81"/>
  <c r="X30" i="81"/>
  <c r="X21" i="81"/>
  <c r="X40" i="81"/>
  <c r="X9" i="81"/>
  <c r="W61" i="81"/>
  <c r="W65" i="81" s="1"/>
  <c r="J85" i="78"/>
  <c r="AW44" i="84"/>
  <c r="AX44" i="84" s="1"/>
  <c r="AX43" i="84"/>
  <c r="AK37" i="81"/>
  <c r="AS20" i="81"/>
  <c r="AK39" i="81"/>
  <c r="AS39" i="81"/>
  <c r="AK29" i="81"/>
  <c r="AK38" i="81"/>
  <c r="AS38" i="81"/>
  <c r="AS27" i="81"/>
  <c r="AS32" i="81"/>
  <c r="AK34" i="81"/>
  <c r="AK41" i="81"/>
  <c r="AK40" i="81"/>
  <c r="AS28" i="81"/>
  <c r="AS22" i="81"/>
  <c r="AS43" i="81"/>
  <c r="AK42" i="81"/>
  <c r="AS23" i="81"/>
  <c r="AK32" i="81"/>
  <c r="AS44" i="81"/>
  <c r="BA44" i="84"/>
  <c r="BB43" i="84"/>
  <c r="AG49" i="82"/>
  <c r="AI42" i="84"/>
  <c r="AH43" i="84"/>
  <c r="AU44" i="84"/>
  <c r="AV43" i="84"/>
  <c r="BE43" i="84"/>
  <c r="U49" i="82"/>
  <c r="AA42" i="84"/>
  <c r="Z43" i="84" s="1"/>
  <c r="E48" i="82"/>
  <c r="X44" i="84"/>
  <c r="Y44" i="84" s="1"/>
  <c r="Y43" i="84"/>
  <c r="C49" i="82" s="1"/>
  <c r="C50" i="82" s="1"/>
  <c r="AO43" i="84"/>
  <c r="C41" i="84"/>
  <c r="AO26" i="81"/>
  <c r="S54" i="81"/>
  <c r="AO20" i="81"/>
  <c r="AO27" i="81"/>
  <c r="AO45" i="81"/>
  <c r="I57" i="81"/>
  <c r="AE24" i="81"/>
  <c r="AE31" i="81"/>
  <c r="I55" i="81"/>
  <c r="AE36" i="81"/>
  <c r="E41" i="84"/>
  <c r="X6" i="81"/>
  <c r="F6" i="80"/>
  <c r="F7" i="80"/>
  <c r="G8" i="80" s="1"/>
  <c r="X7" i="81"/>
  <c r="L56" i="81"/>
  <c r="F23" i="80"/>
  <c r="F38" i="80"/>
  <c r="F35" i="80"/>
  <c r="G9" i="80"/>
  <c r="L58" i="81"/>
  <c r="F25" i="80"/>
  <c r="F47" i="80"/>
  <c r="F20" i="80"/>
  <c r="F33" i="80"/>
  <c r="F45" i="80"/>
  <c r="AC29" i="81"/>
  <c r="G56" i="81"/>
  <c r="AC38" i="81"/>
  <c r="N58" i="81"/>
  <c r="AJ20" i="81"/>
  <c r="AJ41" i="81"/>
  <c r="K80" i="74"/>
  <c r="J80" i="78"/>
  <c r="E84" i="74"/>
  <c r="AL27" i="81"/>
  <c r="P55" i="81"/>
  <c r="AL22" i="81"/>
  <c r="AL44" i="81"/>
  <c r="AA33" i="81"/>
  <c r="E46" i="81"/>
  <c r="AA46" i="81" s="1"/>
  <c r="J69" i="74"/>
  <c r="O69" i="78"/>
  <c r="X13" i="81"/>
  <c r="T102" i="74"/>
  <c r="V103" i="74"/>
  <c r="AP34" i="81"/>
  <c r="T54" i="81"/>
  <c r="AP33" i="81"/>
  <c r="AP41" i="81"/>
  <c r="AB28" i="81"/>
  <c r="AB30" i="81"/>
  <c r="E85" i="74"/>
  <c r="BD87" i="84"/>
  <c r="BE87" i="84" s="1"/>
  <c r="BE86" i="84"/>
  <c r="D102" i="74"/>
  <c r="F90" i="74"/>
  <c r="P90" i="78" s="1"/>
  <c r="I41" i="84"/>
  <c r="L48" i="81"/>
  <c r="K72" i="74"/>
  <c r="J72" i="78"/>
  <c r="M35" i="74"/>
  <c r="O31" i="74"/>
  <c r="H90" i="74" s="1"/>
  <c r="I89" i="74"/>
  <c r="D101" i="74"/>
  <c r="G89" i="74"/>
  <c r="F89" i="74"/>
  <c r="P89" i="78" s="1"/>
  <c r="AR42" i="84"/>
  <c r="AQ43" i="84" s="1"/>
  <c r="X8" i="81"/>
  <c r="W62" i="81"/>
  <c r="W66" i="81" s="1"/>
  <c r="X17" i="81"/>
  <c r="H3" i="80"/>
  <c r="H8" i="80"/>
  <c r="J8" i="80" s="1"/>
  <c r="M57" i="81"/>
  <c r="AI24" i="81"/>
  <c r="H24" i="80"/>
  <c r="AI37" i="81"/>
  <c r="H37" i="80"/>
  <c r="AI31" i="81"/>
  <c r="H31" i="80"/>
  <c r="H10" i="80"/>
  <c r="J10" i="80" s="1"/>
  <c r="H26" i="80"/>
  <c r="H42" i="80"/>
  <c r="M54" i="81"/>
  <c r="AI21" i="81"/>
  <c r="H21" i="80"/>
  <c r="AI40" i="81"/>
  <c r="H40" i="80"/>
  <c r="AI44" i="81"/>
  <c r="I83" i="74"/>
  <c r="AK47" i="81"/>
  <c r="BD130" i="84"/>
  <c r="S40" i="84"/>
  <c r="BE129" i="84"/>
  <c r="AQ32" i="81"/>
  <c r="AQ34" i="81"/>
  <c r="U54" i="81"/>
  <c r="AQ40" i="81"/>
  <c r="J58" i="81"/>
  <c r="AF25" i="81"/>
  <c r="AF33" i="81"/>
  <c r="J55" i="81"/>
  <c r="AF39" i="81"/>
  <c r="AO3" i="82"/>
  <c r="F4" i="82"/>
  <c r="O60" i="81"/>
  <c r="O64" i="81" s="1"/>
  <c r="J75" i="74"/>
  <c r="O75" i="78"/>
  <c r="W49" i="82"/>
  <c r="R58" i="81"/>
  <c r="AN41" i="81"/>
  <c r="R56" i="81"/>
  <c r="AN38" i="81"/>
  <c r="AN43" i="81"/>
  <c r="K58" i="81"/>
  <c r="K8" i="81"/>
  <c r="C8" i="81" s="1"/>
  <c r="K57" i="81"/>
  <c r="AG24" i="81"/>
  <c r="AG19" i="81"/>
  <c r="AG42" i="81"/>
  <c r="B18" i="81"/>
  <c r="B18" i="80"/>
  <c r="D56" i="81"/>
  <c r="B23" i="81"/>
  <c r="B23" i="80"/>
  <c r="B38" i="81"/>
  <c r="B38" i="80"/>
  <c r="B30" i="81"/>
  <c r="B30" i="80"/>
  <c r="B13" i="81"/>
  <c r="B13" i="80"/>
  <c r="B29" i="81"/>
  <c r="B29" i="80"/>
  <c r="B12" i="81"/>
  <c r="B12" i="80"/>
  <c r="B28" i="81"/>
  <c r="B28" i="80"/>
  <c r="AM19" i="81"/>
  <c r="AM30" i="81"/>
  <c r="Q58" i="81"/>
  <c r="AM25" i="81"/>
  <c r="V58" i="81"/>
  <c r="AR20" i="81"/>
  <c r="AR27" i="81"/>
  <c r="AR35" i="81"/>
  <c r="AR43" i="81"/>
  <c r="C14" i="81"/>
  <c r="D14" i="80"/>
  <c r="C15" i="81"/>
  <c r="D15" i="80"/>
  <c r="C31" i="81"/>
  <c r="AD31" i="81"/>
  <c r="D31" i="80"/>
  <c r="H55" i="81"/>
  <c r="C22" i="81"/>
  <c r="D22" i="80"/>
  <c r="AD39" i="81"/>
  <c r="C39" i="81"/>
  <c r="D39" i="80"/>
  <c r="C17" i="81"/>
  <c r="D17" i="80"/>
  <c r="C36" i="81"/>
  <c r="AD36" i="81"/>
  <c r="D36" i="80"/>
  <c r="C16" i="81"/>
  <c r="D16" i="80"/>
  <c r="C32" i="81"/>
  <c r="D32" i="80"/>
  <c r="H46" i="81"/>
  <c r="C41" i="81"/>
  <c r="D41" i="80"/>
  <c r="H79" i="74"/>
  <c r="J68" i="74"/>
  <c r="O68" i="78"/>
  <c r="H82" i="74"/>
  <c r="E81" i="74"/>
  <c r="AO30" i="81"/>
  <c r="S58" i="81"/>
  <c r="AO25" i="81"/>
  <c r="S57" i="81"/>
  <c r="AO24" i="81"/>
  <c r="AO31" i="81"/>
  <c r="AE19" i="81"/>
  <c r="AE26" i="81"/>
  <c r="I46" i="81"/>
  <c r="I54" i="81"/>
  <c r="AE40" i="81"/>
  <c r="F4" i="80"/>
  <c r="X4" i="81"/>
  <c r="G14" i="80"/>
  <c r="G11" i="80"/>
  <c r="F27" i="80"/>
  <c r="L55" i="81"/>
  <c r="AH22" i="81"/>
  <c r="F22" i="80"/>
  <c r="AH39" i="81"/>
  <c r="F39" i="80"/>
  <c r="G13" i="80"/>
  <c r="F29" i="80"/>
  <c r="L57" i="81"/>
  <c r="F24" i="80"/>
  <c r="F37" i="80"/>
  <c r="F44" i="80"/>
  <c r="G55" i="81"/>
  <c r="AC22" i="81"/>
  <c r="AC36" i="81"/>
  <c r="AC27" i="81"/>
  <c r="AC41" i="81"/>
  <c r="G46" i="81"/>
  <c r="J66" i="74"/>
  <c r="O66" i="78"/>
  <c r="AJ29" i="81"/>
  <c r="N57" i="81"/>
  <c r="AJ24" i="81"/>
  <c r="AJ19" i="81"/>
  <c r="AJ30" i="81"/>
  <c r="N43" i="81"/>
  <c r="H43" i="80" s="1"/>
  <c r="AJ42" i="81"/>
  <c r="AT43" i="84"/>
  <c r="AS44" i="84" s="1"/>
  <c r="AT44" i="84" s="1"/>
  <c r="I92" i="74"/>
  <c r="E92" i="74"/>
  <c r="H92" i="74"/>
  <c r="G92" i="74"/>
  <c r="D104" i="74"/>
  <c r="F92" i="74"/>
  <c r="P92" i="78" s="1"/>
  <c r="F96" i="74"/>
  <c r="P96" i="78" s="1"/>
  <c r="D108" i="74"/>
  <c r="I84" i="74"/>
  <c r="AL26" i="81"/>
  <c r="P54" i="81"/>
  <c r="AL21" i="81"/>
  <c r="AL32" i="81"/>
  <c r="E57" i="81"/>
  <c r="AA37" i="81"/>
  <c r="E55" i="81"/>
  <c r="AA39" i="81"/>
  <c r="E54" i="81"/>
  <c r="AA21" i="81"/>
  <c r="X27" i="81"/>
  <c r="X35" i="81"/>
  <c r="J48" i="82"/>
  <c r="T56" i="81"/>
  <c r="AP23" i="81"/>
  <c r="AP30" i="81"/>
  <c r="T58" i="81"/>
  <c r="AP25" i="81"/>
  <c r="T57" i="81"/>
  <c r="T61" i="81" s="1"/>
  <c r="T65" i="81" s="1"/>
  <c r="AP24" i="81"/>
  <c r="AP45" i="81"/>
  <c r="F54" i="81"/>
  <c r="AB21" i="81"/>
  <c r="AB32" i="81"/>
  <c r="F56" i="81"/>
  <c r="AB23" i="81"/>
  <c r="AB35" i="81"/>
  <c r="G85" i="74"/>
  <c r="I85" i="74"/>
  <c r="K85" i="74" s="1"/>
  <c r="J78" i="74"/>
  <c r="O78" i="78"/>
  <c r="J77" i="74"/>
  <c r="O77" i="78"/>
  <c r="X38" i="81"/>
  <c r="W60" i="81"/>
  <c r="W64" i="81" s="1"/>
  <c r="X25" i="81"/>
  <c r="H7" i="80"/>
  <c r="H2" i="80"/>
  <c r="H12" i="80"/>
  <c r="J12" i="80" s="1"/>
  <c r="H28" i="80"/>
  <c r="H19" i="80"/>
  <c r="H34" i="80"/>
  <c r="H14" i="80"/>
  <c r="J14" i="80" s="1"/>
  <c r="AI30" i="81"/>
  <c r="H30" i="80"/>
  <c r="H9" i="80"/>
  <c r="M58" i="81"/>
  <c r="M62" i="81" s="1"/>
  <c r="M66" i="81" s="1"/>
  <c r="AI25" i="81"/>
  <c r="H25" i="80"/>
  <c r="AI46" i="81"/>
  <c r="G83" i="74"/>
  <c r="D107" i="74"/>
  <c r="F95" i="74"/>
  <c r="P95" i="78" s="1"/>
  <c r="J41" i="84"/>
  <c r="K76" i="74"/>
  <c r="J76" i="78"/>
  <c r="K73" i="74"/>
  <c r="J73" i="78"/>
  <c r="AQ20" i="81"/>
  <c r="U56" i="81"/>
  <c r="AQ38" i="81"/>
  <c r="U58" i="81"/>
  <c r="AQ41" i="81"/>
  <c r="AF29" i="81"/>
  <c r="J57" i="81"/>
  <c r="AF24" i="81"/>
  <c r="AF19" i="81"/>
  <c r="AF26" i="81"/>
  <c r="AF42" i="81"/>
  <c r="AN20" i="81"/>
  <c r="AN27" i="81"/>
  <c r="R55" i="81"/>
  <c r="AN22" i="81"/>
  <c r="AN42" i="81"/>
  <c r="K55" i="81"/>
  <c r="AG22" i="81"/>
  <c r="AG29" i="81"/>
  <c r="K56" i="81"/>
  <c r="AG38" i="81"/>
  <c r="K46" i="81"/>
  <c r="AG46" i="81" s="1"/>
  <c r="X33" i="81"/>
  <c r="B27" i="81"/>
  <c r="B27" i="80"/>
  <c r="B35" i="81"/>
  <c r="B35" i="80"/>
  <c r="B17" i="81"/>
  <c r="B17" i="80"/>
  <c r="Z36" i="81"/>
  <c r="B36" i="81"/>
  <c r="B36" i="80"/>
  <c r="B16" i="81"/>
  <c r="B16" i="80"/>
  <c r="B32" i="81"/>
  <c r="Z32" i="81"/>
  <c r="B32" i="80"/>
  <c r="Z42" i="81"/>
  <c r="B42" i="81"/>
  <c r="B42" i="80"/>
  <c r="AM33" i="81"/>
  <c r="Q56" i="81"/>
  <c r="AM23" i="81"/>
  <c r="AM35" i="81"/>
  <c r="AM41" i="81"/>
  <c r="AR29" i="81"/>
  <c r="V57" i="81"/>
  <c r="AR24" i="81"/>
  <c r="AR31" i="81"/>
  <c r="V55" i="81"/>
  <c r="AR22" i="81"/>
  <c r="AR42" i="81"/>
  <c r="C18" i="81"/>
  <c r="D18" i="80"/>
  <c r="C19" i="81"/>
  <c r="D19" i="80"/>
  <c r="C34" i="81"/>
  <c r="AD34" i="81"/>
  <c r="D34" i="80"/>
  <c r="AD26" i="81"/>
  <c r="C26" i="81"/>
  <c r="D26" i="80"/>
  <c r="H54" i="81"/>
  <c r="AD21" i="81"/>
  <c r="C21" i="81"/>
  <c r="D21" i="80"/>
  <c r="E21" i="80" s="1"/>
  <c r="C40" i="81"/>
  <c r="AD40" i="81"/>
  <c r="D40" i="80"/>
  <c r="C20" i="81"/>
  <c r="D20" i="80"/>
  <c r="C33" i="81"/>
  <c r="AD33" i="81"/>
  <c r="D33" i="80"/>
  <c r="C45" i="81"/>
  <c r="D45" i="80"/>
  <c r="W46" i="81"/>
  <c r="K74" i="74"/>
  <c r="J74" i="78"/>
  <c r="AM43" i="84"/>
  <c r="AN42" i="84"/>
  <c r="Y48" i="82" s="1"/>
  <c r="D103" i="74"/>
  <c r="I91" i="74"/>
  <c r="E91" i="74"/>
  <c r="H91" i="74"/>
  <c r="G91" i="74"/>
  <c r="F91" i="74"/>
  <c r="P91" i="78" s="1"/>
  <c r="O61" i="81"/>
  <c r="O65" i="81" s="1"/>
  <c r="J72" i="74"/>
  <c r="O72" i="78"/>
  <c r="I94" i="74"/>
  <c r="E94" i="74"/>
  <c r="D106" i="74"/>
  <c r="H94" i="74"/>
  <c r="G94" i="74"/>
  <c r="F94" i="74"/>
  <c r="P94" i="78" s="1"/>
  <c r="G81" i="74"/>
  <c r="I81" i="74"/>
  <c r="AE42" i="84"/>
  <c r="AD43" i="84"/>
  <c r="AL43" i="84"/>
  <c r="AA49" i="82" s="1"/>
  <c r="O48" i="81"/>
  <c r="AK48" i="81" s="1"/>
  <c r="M40" i="74"/>
  <c r="O36" i="74"/>
  <c r="AO29" i="81"/>
  <c r="AO44" i="81"/>
  <c r="AO34" i="81"/>
  <c r="AE32" i="81"/>
  <c r="I56" i="81"/>
  <c r="AE23" i="81"/>
  <c r="AE30" i="81"/>
  <c r="I58" i="81"/>
  <c r="AE25" i="81"/>
  <c r="AE43" i="81"/>
  <c r="L6" i="87"/>
  <c r="K5" i="87"/>
  <c r="J73" i="74"/>
  <c r="O73" i="78"/>
  <c r="G18" i="80"/>
  <c r="F2" i="80"/>
  <c r="J2" i="80" s="1"/>
  <c r="X2" i="81"/>
  <c r="G15" i="80"/>
  <c r="F31" i="80"/>
  <c r="F26" i="80"/>
  <c r="F43" i="80"/>
  <c r="G17" i="80"/>
  <c r="AH36" i="81"/>
  <c r="F36" i="80"/>
  <c r="G12" i="80"/>
  <c r="AH28" i="81"/>
  <c r="F28" i="80"/>
  <c r="AH42" i="81"/>
  <c r="F42" i="80"/>
  <c r="AC26" i="81"/>
  <c r="G54" i="81"/>
  <c r="AC21" i="81"/>
  <c r="AC20" i="81"/>
  <c r="AC31" i="81"/>
  <c r="AC45" i="81"/>
  <c r="AJ28" i="81"/>
  <c r="N56" i="81"/>
  <c r="AJ23" i="81"/>
  <c r="AJ35" i="81"/>
  <c r="K67" i="74"/>
  <c r="J67" i="78"/>
  <c r="J80" i="74"/>
  <c r="O80" i="78"/>
  <c r="G84" i="74"/>
  <c r="R47" i="81"/>
  <c r="AN47" i="81" s="1"/>
  <c r="AL19" i="81"/>
  <c r="AL30" i="81"/>
  <c r="P58" i="81"/>
  <c r="AL25" i="81"/>
  <c r="AL20" i="81"/>
  <c r="AL33" i="81"/>
  <c r="AL46" i="81"/>
  <c r="AA19" i="81"/>
  <c r="AA28" i="81"/>
  <c r="AA42" i="81"/>
  <c r="AA26" i="81"/>
  <c r="E58" i="81"/>
  <c r="AA25" i="81"/>
  <c r="AA43" i="81"/>
  <c r="K70" i="74"/>
  <c r="J70" i="78"/>
  <c r="X12" i="81"/>
  <c r="J71" i="74"/>
  <c r="O71" i="78"/>
  <c r="F41" i="84"/>
  <c r="AP27" i="81"/>
  <c r="AP47" i="81"/>
  <c r="AP35" i="81"/>
  <c r="AP28" i="81"/>
  <c r="AP43" i="81"/>
  <c r="AP44" i="81"/>
  <c r="F58" i="81"/>
  <c r="AB25" i="81"/>
  <c r="AB20" i="81"/>
  <c r="AB33" i="81"/>
  <c r="AB27" i="81"/>
  <c r="F55" i="81"/>
  <c r="AB22" i="81"/>
  <c r="AB39" i="81"/>
  <c r="F97" i="74"/>
  <c r="P97" i="78" s="1"/>
  <c r="D109" i="74"/>
  <c r="P47" i="87"/>
  <c r="R47" i="87" s="1"/>
  <c r="O47" i="87"/>
  <c r="Q47" i="87" s="1"/>
  <c r="H11" i="80"/>
  <c r="H5" i="80"/>
  <c r="H16" i="80"/>
  <c r="J16" i="80" s="1"/>
  <c r="AI32" i="81"/>
  <c r="H32" i="80"/>
  <c r="M56" i="81"/>
  <c r="AI23" i="81"/>
  <c r="H23" i="80"/>
  <c r="AI38" i="81"/>
  <c r="H38" i="80"/>
  <c r="H18" i="80"/>
  <c r="AI35" i="81"/>
  <c r="H35" i="80"/>
  <c r="H13" i="80"/>
  <c r="AI29" i="81"/>
  <c r="H29" i="80"/>
  <c r="AI41" i="81"/>
  <c r="H41" i="80"/>
  <c r="AI43" i="81"/>
  <c r="H83" i="74"/>
  <c r="S47" i="81"/>
  <c r="AO47" i="81" s="1"/>
  <c r="I88" i="74"/>
  <c r="E88" i="74"/>
  <c r="H88" i="74"/>
  <c r="G88" i="74"/>
  <c r="D100" i="74"/>
  <c r="F88" i="74"/>
  <c r="P88" i="78" s="1"/>
  <c r="U57" i="81"/>
  <c r="AQ24" i="81"/>
  <c r="AQ37" i="81"/>
  <c r="AQ27" i="81"/>
  <c r="AQ46" i="81"/>
  <c r="AQ35" i="81"/>
  <c r="AQ29" i="81"/>
  <c r="AQ45" i="81"/>
  <c r="AF36" i="81"/>
  <c r="AF28" i="81"/>
  <c r="J56" i="81"/>
  <c r="AF23" i="81"/>
  <c r="AF38" i="81"/>
  <c r="AF30" i="81"/>
  <c r="AF44" i="81"/>
  <c r="K66" i="74"/>
  <c r="J66" i="78"/>
  <c r="U47" i="81"/>
  <c r="AQ47" i="81" s="1"/>
  <c r="K75" i="74"/>
  <c r="J75" i="78"/>
  <c r="AN36" i="81"/>
  <c r="R57" i="81"/>
  <c r="R61" i="81" s="1"/>
  <c r="R65" i="81" s="1"/>
  <c r="AN24" i="81"/>
  <c r="AN37" i="81"/>
  <c r="AN31" i="81"/>
  <c r="AN26" i="81"/>
  <c r="AN44" i="81"/>
  <c r="AG26" i="81"/>
  <c r="AG44" i="81"/>
  <c r="AG36" i="81"/>
  <c r="AG32" i="81"/>
  <c r="AG27" i="81"/>
  <c r="AG43" i="81"/>
  <c r="AG45" i="81"/>
  <c r="K48" i="87"/>
  <c r="L48" i="87" s="1"/>
  <c r="J48" i="87"/>
  <c r="X20" i="81"/>
  <c r="B15" i="81"/>
  <c r="B15" i="80"/>
  <c r="B31" i="81"/>
  <c r="Z31" i="81"/>
  <c r="B31" i="80"/>
  <c r="D55" i="81"/>
  <c r="B22" i="81"/>
  <c r="Z22" i="81"/>
  <c r="B22" i="80"/>
  <c r="Z39" i="81"/>
  <c r="B39" i="81"/>
  <c r="B39" i="80"/>
  <c r="C39" i="80" s="1"/>
  <c r="D54" i="81"/>
  <c r="Z21" i="81"/>
  <c r="B21" i="81"/>
  <c r="B21" i="80"/>
  <c r="Z40" i="81"/>
  <c r="B40" i="81"/>
  <c r="B40" i="80"/>
  <c r="B20" i="81"/>
  <c r="Z20" i="81"/>
  <c r="B20" i="80"/>
  <c r="Z33" i="81"/>
  <c r="B33" i="81"/>
  <c r="B33" i="80"/>
  <c r="C33" i="80" s="1"/>
  <c r="Z41" i="81"/>
  <c r="B41" i="81"/>
  <c r="B41" i="80"/>
  <c r="Q57" i="81"/>
  <c r="AM24" i="81"/>
  <c r="AM37" i="81"/>
  <c r="AM27" i="81"/>
  <c r="Q55" i="81"/>
  <c r="AM22" i="81"/>
  <c r="AM39" i="81"/>
  <c r="AM36" i="81"/>
  <c r="AM45" i="81"/>
  <c r="AM47" i="81"/>
  <c r="AR36" i="81"/>
  <c r="AR28" i="81"/>
  <c r="AR41" i="81"/>
  <c r="AR19" i="81"/>
  <c r="AR34" i="81"/>
  <c r="AR26" i="81"/>
  <c r="AR44" i="81"/>
  <c r="AR46" i="81"/>
  <c r="H56" i="81"/>
  <c r="H60" i="81" s="1"/>
  <c r="H64" i="81" s="1"/>
  <c r="C23" i="81"/>
  <c r="AD23" i="81"/>
  <c r="D23" i="80"/>
  <c r="C38" i="81"/>
  <c r="AD38" i="81"/>
  <c r="D38" i="80"/>
  <c r="AD30" i="81"/>
  <c r="C30" i="81"/>
  <c r="D30" i="80"/>
  <c r="H58" i="81"/>
  <c r="AD25" i="81"/>
  <c r="C25" i="81"/>
  <c r="D25" i="80"/>
  <c r="H57" i="81"/>
  <c r="C24" i="81"/>
  <c r="AD24" i="81"/>
  <c r="D24" i="80"/>
  <c r="C37" i="81"/>
  <c r="AD37" i="81"/>
  <c r="D37" i="80"/>
  <c r="AD44" i="81"/>
  <c r="C44" i="81"/>
  <c r="D44" i="80"/>
  <c r="I86" i="74"/>
  <c r="E86" i="74"/>
  <c r="D98" i="74"/>
  <c r="H86" i="74"/>
  <c r="G86" i="74"/>
  <c r="F86" i="74"/>
  <c r="P86" i="78" s="1"/>
  <c r="E79" i="74"/>
  <c r="E82" i="74"/>
  <c r="H81" i="74"/>
  <c r="M38" i="74"/>
  <c r="O34" i="74"/>
  <c r="S55" i="81"/>
  <c r="AO22" i="81"/>
  <c r="AO39" i="81"/>
  <c r="AO36" i="81"/>
  <c r="AO32" i="81"/>
  <c r="S56" i="81"/>
  <c r="AO23" i="81"/>
  <c r="AO38" i="81"/>
  <c r="AO41" i="81"/>
  <c r="AO46" i="81"/>
  <c r="AE20" i="81"/>
  <c r="AE33" i="81"/>
  <c r="AE27" i="81"/>
  <c r="AE42" i="81"/>
  <c r="AE35" i="81"/>
  <c r="AE29" i="81"/>
  <c r="AE45" i="81"/>
  <c r="O7" i="87"/>
  <c r="Q7" i="87" s="1"/>
  <c r="P7" i="87"/>
  <c r="R7" i="87" s="1"/>
  <c r="H41" i="84"/>
  <c r="F3" i="80"/>
  <c r="X3" i="81"/>
  <c r="G10" i="80"/>
  <c r="AH19" i="81"/>
  <c r="F19" i="80"/>
  <c r="AH34" i="81"/>
  <c r="F34" i="80"/>
  <c r="AH30" i="81"/>
  <c r="F30" i="80"/>
  <c r="F5" i="80"/>
  <c r="X5" i="81"/>
  <c r="L54" i="81"/>
  <c r="AH21" i="81"/>
  <c r="F21" i="80"/>
  <c r="AH40" i="81"/>
  <c r="F40" i="80"/>
  <c r="G16" i="80"/>
  <c r="AH32" i="81"/>
  <c r="F32" i="80"/>
  <c r="AH46" i="81"/>
  <c r="F46" i="80"/>
  <c r="AH41" i="81"/>
  <c r="F41" i="80"/>
  <c r="AC30" i="81"/>
  <c r="G58" i="81"/>
  <c r="AC25" i="81"/>
  <c r="G57" i="81"/>
  <c r="AC24" i="81"/>
  <c r="AC37" i="81"/>
  <c r="AC19" i="81"/>
  <c r="AC34" i="81"/>
  <c r="K41" i="84"/>
  <c r="P48" i="81"/>
  <c r="AL48" i="81" s="1"/>
  <c r="N54" i="81"/>
  <c r="AJ21" i="81"/>
  <c r="AJ40" i="81"/>
  <c r="AJ32" i="81"/>
  <c r="AJ27" i="81"/>
  <c r="N55" i="81"/>
  <c r="AJ22" i="81"/>
  <c r="AJ39" i="81"/>
  <c r="M37" i="74"/>
  <c r="O33" i="74"/>
  <c r="E96" i="74" s="1"/>
  <c r="H84" i="74"/>
  <c r="AK130" i="84"/>
  <c r="N40" i="84"/>
  <c r="P56" i="81"/>
  <c r="AL23" i="81"/>
  <c r="AL38" i="81"/>
  <c r="AL35" i="81"/>
  <c r="AL29" i="81"/>
  <c r="P57" i="81"/>
  <c r="AL24" i="81"/>
  <c r="AL37" i="81"/>
  <c r="AL45" i="81"/>
  <c r="AA32" i="81"/>
  <c r="E56" i="81"/>
  <c r="AA23" i="81"/>
  <c r="AA38" i="81"/>
  <c r="AA30" i="81"/>
  <c r="AA29" i="81"/>
  <c r="AA45" i="81"/>
  <c r="J65" i="74"/>
  <c r="O65" i="78"/>
  <c r="X11" i="81"/>
  <c r="X29" i="81"/>
  <c r="X18" i="81"/>
  <c r="AP31" i="81"/>
  <c r="T55" i="81"/>
  <c r="AP22" i="81"/>
  <c r="AP39" i="81"/>
  <c r="AP36" i="81"/>
  <c r="AP32" i="81"/>
  <c r="AP42" i="81"/>
  <c r="AP48" i="81"/>
  <c r="AB29" i="81"/>
  <c r="F57" i="81"/>
  <c r="AB24" i="81"/>
  <c r="AB37" i="81"/>
  <c r="AB31" i="81"/>
  <c r="AB26" i="81"/>
  <c r="F43" i="81"/>
  <c r="AB42" i="81"/>
  <c r="G41" i="84"/>
  <c r="K78" i="74"/>
  <c r="J78" i="78"/>
  <c r="K68" i="74"/>
  <c r="J68" i="78"/>
  <c r="H77" i="74"/>
  <c r="R48" i="82"/>
  <c r="X23" i="81"/>
  <c r="X37" i="81"/>
  <c r="X14" i="81"/>
  <c r="H4" i="80"/>
  <c r="H15" i="80"/>
  <c r="AI20" i="81"/>
  <c r="H20" i="80"/>
  <c r="AI33" i="81"/>
  <c r="H33" i="80"/>
  <c r="AI27" i="81"/>
  <c r="H27" i="80"/>
  <c r="H6" i="80"/>
  <c r="M55" i="81"/>
  <c r="AI22" i="81"/>
  <c r="H22" i="80"/>
  <c r="AI39" i="81"/>
  <c r="H39" i="80"/>
  <c r="H17" i="80"/>
  <c r="AI36" i="81"/>
  <c r="H36" i="80"/>
  <c r="AI45" i="81"/>
  <c r="M47" i="81"/>
  <c r="E10" i="82"/>
  <c r="M9" i="82"/>
  <c r="J9" i="81" s="1"/>
  <c r="D9" i="80" s="1"/>
  <c r="E83" i="74"/>
  <c r="AS130" i="84"/>
  <c r="O40" i="84"/>
  <c r="J76" i="74"/>
  <c r="O76" i="78"/>
  <c r="Y13" i="78"/>
  <c r="Z12" i="78"/>
  <c r="AQ28" i="81"/>
  <c r="AQ42" i="81"/>
  <c r="AQ31" i="81"/>
  <c r="U55" i="81"/>
  <c r="AQ22" i="81"/>
  <c r="AQ39" i="81"/>
  <c r="AQ36" i="81"/>
  <c r="AQ44" i="81"/>
  <c r="J54" i="81"/>
  <c r="AF21" i="81"/>
  <c r="AF40" i="81"/>
  <c r="AF32" i="81"/>
  <c r="AF27" i="81"/>
  <c r="AF41" i="81"/>
  <c r="AF35" i="81"/>
  <c r="J67" i="74"/>
  <c r="O67" i="78"/>
  <c r="BA130" i="84"/>
  <c r="Q40" i="84"/>
  <c r="D99" i="74"/>
  <c r="I87" i="74"/>
  <c r="E87" i="74"/>
  <c r="H87" i="74"/>
  <c r="G87" i="74"/>
  <c r="F87" i="74"/>
  <c r="P87" i="78" s="1"/>
  <c r="AB43" i="84"/>
  <c r="R54" i="81"/>
  <c r="AN21" i="81"/>
  <c r="AN40" i="81"/>
  <c r="AN28" i="81"/>
  <c r="AN45" i="81"/>
  <c r="AN19" i="81"/>
  <c r="AN34" i="81"/>
  <c r="AN30" i="81"/>
  <c r="AG30" i="81"/>
  <c r="K54" i="81"/>
  <c r="AG21" i="81"/>
  <c r="AG40" i="81"/>
  <c r="AG20" i="81"/>
  <c r="AG33" i="81"/>
  <c r="AG31" i="81"/>
  <c r="J70" i="74"/>
  <c r="O70" i="78"/>
  <c r="F50" i="87"/>
  <c r="I50" i="87" s="1"/>
  <c r="I49" i="87"/>
  <c r="X10" i="81"/>
  <c r="B14" i="81"/>
  <c r="B14" i="80"/>
  <c r="B19" i="81"/>
  <c r="Z19" i="81"/>
  <c r="B19" i="80"/>
  <c r="C19" i="80" s="1"/>
  <c r="Z34" i="81"/>
  <c r="B34" i="81"/>
  <c r="B34" i="80"/>
  <c r="B26" i="81"/>
  <c r="Z26" i="81"/>
  <c r="B26" i="80"/>
  <c r="B9" i="81"/>
  <c r="B9" i="80"/>
  <c r="D58" i="81"/>
  <c r="Z25" i="81"/>
  <c r="B25" i="81"/>
  <c r="B25" i="80"/>
  <c r="B8" i="81"/>
  <c r="B8" i="80"/>
  <c r="D57" i="81"/>
  <c r="B24" i="81"/>
  <c r="Z24" i="81"/>
  <c r="B24" i="80"/>
  <c r="Z37" i="81"/>
  <c r="B37" i="81"/>
  <c r="B37" i="80"/>
  <c r="K71" i="74"/>
  <c r="J71" i="78"/>
  <c r="AM28" i="81"/>
  <c r="AM46" i="81"/>
  <c r="AM31" i="81"/>
  <c r="AM26" i="81"/>
  <c r="Q54" i="81"/>
  <c r="AM21" i="81"/>
  <c r="AM40" i="81"/>
  <c r="AM44" i="81"/>
  <c r="V54" i="81"/>
  <c r="AR21" i="81"/>
  <c r="AR40" i="81"/>
  <c r="AR32" i="81"/>
  <c r="V56" i="81"/>
  <c r="AR23" i="81"/>
  <c r="AR38" i="81"/>
  <c r="AR30" i="81"/>
  <c r="AR48" i="81"/>
  <c r="AR50" i="81"/>
  <c r="C27" i="81"/>
  <c r="AD27" i="81"/>
  <c r="D27" i="80"/>
  <c r="AD43" i="81"/>
  <c r="C43" i="81"/>
  <c r="D43" i="80"/>
  <c r="AD35" i="81"/>
  <c r="C35" i="81"/>
  <c r="D35" i="80"/>
  <c r="E35" i="80" s="1"/>
  <c r="C13" i="81"/>
  <c r="D13" i="80"/>
  <c r="AD29" i="81"/>
  <c r="C29" i="81"/>
  <c r="D29" i="80"/>
  <c r="C12" i="81"/>
  <c r="D12" i="80"/>
  <c r="C28" i="81"/>
  <c r="AD28" i="81"/>
  <c r="D28" i="80"/>
  <c r="E28" i="80" s="1"/>
  <c r="C42" i="81"/>
  <c r="AD42" i="81"/>
  <c r="D42" i="80"/>
  <c r="AC48" i="82"/>
  <c r="B41" i="84"/>
  <c r="J74" i="74"/>
  <c r="O74" i="78"/>
  <c r="G79" i="74"/>
  <c r="I79" i="74"/>
  <c r="G82" i="74"/>
  <c r="I93" i="74"/>
  <c r="E93" i="74"/>
  <c r="H93" i="74"/>
  <c r="D105" i="74"/>
  <c r="G93" i="74"/>
  <c r="F93" i="74"/>
  <c r="P93" i="78" s="1"/>
  <c r="AG43" i="84"/>
  <c r="H49" i="82" s="1"/>
  <c r="H50" i="82" s="1"/>
  <c r="AZ43" i="84"/>
  <c r="AY44" i="84" s="1"/>
  <c r="AE49" i="82"/>
  <c r="T49" i="81" s="1"/>
  <c r="AP49" i="81" s="1"/>
  <c r="W42" i="84"/>
  <c r="B43" i="82" s="1"/>
  <c r="V43" i="84"/>
  <c r="E42" i="80" l="1"/>
  <c r="D61" i="81"/>
  <c r="D65" i="81" s="1"/>
  <c r="C34" i="80"/>
  <c r="I15" i="80"/>
  <c r="X56" i="81"/>
  <c r="G62" i="81"/>
  <c r="G66" i="81" s="1"/>
  <c r="E37" i="80"/>
  <c r="I4" i="80"/>
  <c r="P60" i="81"/>
  <c r="P64" i="81" s="1"/>
  <c r="X55" i="81"/>
  <c r="F62" i="81"/>
  <c r="F66" i="81" s="1"/>
  <c r="P61" i="81"/>
  <c r="P65" i="81" s="1"/>
  <c r="C9" i="81"/>
  <c r="Q61" i="81"/>
  <c r="Q65" i="81" s="1"/>
  <c r="C22" i="80"/>
  <c r="I60" i="81"/>
  <c r="I64" i="81" s="1"/>
  <c r="L61" i="81"/>
  <c r="L65" i="81" s="1"/>
  <c r="C37" i="80"/>
  <c r="C14" i="80"/>
  <c r="G61" i="81"/>
  <c r="G65" i="81" s="1"/>
  <c r="E32" i="80"/>
  <c r="I62" i="81"/>
  <c r="I66" i="81" s="1"/>
  <c r="AS25" i="81"/>
  <c r="AK25" i="81"/>
  <c r="X60" i="81"/>
  <c r="X64" i="81" s="1"/>
  <c r="X54" i="81"/>
  <c r="V60" i="81"/>
  <c r="V64" i="81" s="1"/>
  <c r="E23" i="80"/>
  <c r="I17" i="80"/>
  <c r="H61" i="81"/>
  <c r="H65" i="81" s="1"/>
  <c r="I13" i="80"/>
  <c r="E20" i="80"/>
  <c r="I9" i="80"/>
  <c r="AB19" i="81"/>
  <c r="AP40" i="81"/>
  <c r="AA36" i="81"/>
  <c r="AL36" i="81"/>
  <c r="AJ31" i="81"/>
  <c r="AE22" i="81"/>
  <c r="AO21" i="81"/>
  <c r="AK22" i="81"/>
  <c r="AK30" i="81"/>
  <c r="AS34" i="81"/>
  <c r="AK43" i="81"/>
  <c r="AS26" i="81"/>
  <c r="AS42" i="81"/>
  <c r="AN46" i="81"/>
  <c r="C24" i="80"/>
  <c r="S60" i="81"/>
  <c r="S64" i="81" s="1"/>
  <c r="C58" i="81"/>
  <c r="AK35" i="81"/>
  <c r="AS19" i="81"/>
  <c r="AK27" i="81"/>
  <c r="AS31" i="81"/>
  <c r="AK36" i="81"/>
  <c r="AS37" i="81"/>
  <c r="AS35" i="81"/>
  <c r="AS45" i="81"/>
  <c r="AK28" i="81"/>
  <c r="AK45" i="81"/>
  <c r="AK20" i="81"/>
  <c r="AK24" i="81"/>
  <c r="AK46" i="81"/>
  <c r="AS29" i="81"/>
  <c r="AO40" i="81"/>
  <c r="AO43" i="81"/>
  <c r="AE37" i="81"/>
  <c r="AE39" i="81"/>
  <c r="AH38" i="81"/>
  <c r="AH47" i="81"/>
  <c r="AH33" i="81"/>
  <c r="AC35" i="81"/>
  <c r="AC23" i="81"/>
  <c r="AJ25" i="81"/>
  <c r="AJ26" i="81"/>
  <c r="AL39" i="81"/>
  <c r="AA20" i="81"/>
  <c r="AA35" i="81"/>
  <c r="AP19" i="81"/>
  <c r="AP21" i="81"/>
  <c r="AP46" i="81"/>
  <c r="AB41" i="81"/>
  <c r="AI42" i="81"/>
  <c r="AQ26" i="81"/>
  <c r="AF31" i="81"/>
  <c r="AF43" i="81"/>
  <c r="AN25" i="81"/>
  <c r="AN23" i="81"/>
  <c r="AG35" i="81"/>
  <c r="AG34" i="81"/>
  <c r="Z38" i="81"/>
  <c r="Z30" i="81"/>
  <c r="Z29" i="81"/>
  <c r="AM32" i="81"/>
  <c r="AR25" i="81"/>
  <c r="AR45" i="81"/>
  <c r="AD22" i="81"/>
  <c r="AE28" i="81"/>
  <c r="AH27" i="81"/>
  <c r="AH29" i="81"/>
  <c r="AH24" i="81"/>
  <c r="AH44" i="81"/>
  <c r="AC39" i="81"/>
  <c r="AC44" i="81"/>
  <c r="AJ37" i="81"/>
  <c r="AL31" i="81"/>
  <c r="AL40" i="81"/>
  <c r="AA24" i="81"/>
  <c r="AA22" i="81"/>
  <c r="AA40" i="81"/>
  <c r="AP37" i="81"/>
  <c r="AB40" i="81"/>
  <c r="AB38" i="81"/>
  <c r="AI19" i="81"/>
  <c r="AQ23" i="81"/>
  <c r="AQ25" i="81"/>
  <c r="AF34" i="81"/>
  <c r="AN29" i="81"/>
  <c r="AG28" i="81"/>
  <c r="AG41" i="81"/>
  <c r="Z27" i="81"/>
  <c r="AM29" i="81"/>
  <c r="AR47" i="81"/>
  <c r="AD19" i="81"/>
  <c r="AD20" i="81"/>
  <c r="AO35" i="81"/>
  <c r="AO19" i="81"/>
  <c r="AH31" i="81"/>
  <c r="AH43" i="81"/>
  <c r="AC33" i="81"/>
  <c r="AJ36" i="81"/>
  <c r="AJ38" i="81"/>
  <c r="AF46" i="81"/>
  <c r="AS21" i="81"/>
  <c r="AK23" i="81"/>
  <c r="AK31" i="81"/>
  <c r="AK19" i="81"/>
  <c r="AS30" i="81"/>
  <c r="AK21" i="81"/>
  <c r="AK44" i="81"/>
  <c r="AS40" i="81"/>
  <c r="AS24" i="81"/>
  <c r="AS41" i="81"/>
  <c r="AS36" i="81"/>
  <c r="AS33" i="81"/>
  <c r="AK26" i="81"/>
  <c r="AK33" i="81"/>
  <c r="AO33" i="81"/>
  <c r="AE44" i="81"/>
  <c r="AH23" i="81"/>
  <c r="AH35" i="81"/>
  <c r="AH25" i="81"/>
  <c r="AH20" i="81"/>
  <c r="AH45" i="81"/>
  <c r="AC28" i="81"/>
  <c r="AC42" i="81"/>
  <c r="AJ33" i="81"/>
  <c r="AL28" i="81"/>
  <c r="AA27" i="81"/>
  <c r="AA44" i="81"/>
  <c r="AP26" i="81"/>
  <c r="AP20" i="81"/>
  <c r="AB36" i="81"/>
  <c r="AB34" i="81"/>
  <c r="AI26" i="81"/>
  <c r="AQ19" i="81"/>
  <c r="AQ21" i="81"/>
  <c r="AF20" i="81"/>
  <c r="AF22" i="81"/>
  <c r="AN32" i="81"/>
  <c r="AN35" i="81"/>
  <c r="AG25" i="81"/>
  <c r="AG37" i="81"/>
  <c r="Z23" i="81"/>
  <c r="Z28" i="81"/>
  <c r="AM34" i="81"/>
  <c r="AM42" i="81"/>
  <c r="AR33" i="81"/>
  <c r="AR49" i="81"/>
  <c r="AD32" i="81"/>
  <c r="AD41" i="81"/>
  <c r="AO37" i="81"/>
  <c r="AE34" i="81"/>
  <c r="AE21" i="81"/>
  <c r="AH37" i="81"/>
  <c r="AC32" i="81"/>
  <c r="AJ34" i="81"/>
  <c r="AL42" i="81"/>
  <c r="AA31" i="81"/>
  <c r="AP38" i="81"/>
  <c r="AI28" i="81"/>
  <c r="AI34" i="81"/>
  <c r="AQ33" i="81"/>
  <c r="AQ30" i="81"/>
  <c r="AQ43" i="81"/>
  <c r="AF37" i="81"/>
  <c r="AF45" i="81"/>
  <c r="AN33" i="81"/>
  <c r="AN39" i="81"/>
  <c r="AG39" i="81"/>
  <c r="AG23" i="81"/>
  <c r="Z35" i="81"/>
  <c r="AM20" i="81"/>
  <c r="AM38" i="81"/>
  <c r="AM43" i="81"/>
  <c r="AR37" i="81"/>
  <c r="AR39" i="81"/>
  <c r="AD45" i="81"/>
  <c r="AO28" i="81"/>
  <c r="AO42" i="81"/>
  <c r="AE38" i="81"/>
  <c r="AE41" i="81"/>
  <c r="AH26" i="81"/>
  <c r="AC40" i="81"/>
  <c r="AC43" i="81"/>
  <c r="AL34" i="81"/>
  <c r="AL43" i="81"/>
  <c r="AL41" i="81"/>
  <c r="AA34" i="81"/>
  <c r="AA41" i="81"/>
  <c r="AP29" i="81"/>
  <c r="E18" i="80"/>
  <c r="AC46" i="81"/>
  <c r="E33" i="80"/>
  <c r="AE46" i="81"/>
  <c r="E16" i="80"/>
  <c r="I6" i="80"/>
  <c r="E24" i="80"/>
  <c r="I11" i="80"/>
  <c r="E40" i="80"/>
  <c r="C56" i="81"/>
  <c r="E15" i="80"/>
  <c r="C31" i="80"/>
  <c r="J60" i="81"/>
  <c r="J64" i="81" s="1"/>
  <c r="E27" i="80"/>
  <c r="B57" i="81"/>
  <c r="C25" i="80"/>
  <c r="C9" i="80"/>
  <c r="F61" i="81"/>
  <c r="F65" i="81" s="1"/>
  <c r="E60" i="81"/>
  <c r="E64" i="81" s="1"/>
  <c r="C57" i="81"/>
  <c r="C40" i="80"/>
  <c r="B54" i="81"/>
  <c r="U61" i="81"/>
  <c r="U65" i="81" s="1"/>
  <c r="E62" i="81"/>
  <c r="E66" i="81" s="1"/>
  <c r="AZ44" i="84"/>
  <c r="AE50" i="82"/>
  <c r="T50" i="81" s="1"/>
  <c r="AP50" i="81" s="1"/>
  <c r="AH48" i="81"/>
  <c r="F48" i="80"/>
  <c r="AA43" i="84"/>
  <c r="Z44" i="84"/>
  <c r="E49" i="82"/>
  <c r="J96" i="74"/>
  <c r="O96" i="78"/>
  <c r="AA50" i="82"/>
  <c r="AR43" i="84"/>
  <c r="AQ44" i="84" s="1"/>
  <c r="AR44" i="84" s="1"/>
  <c r="J90" i="78"/>
  <c r="D111" i="74"/>
  <c r="H99" i="74"/>
  <c r="G99" i="74"/>
  <c r="F99" i="74"/>
  <c r="P99" i="78" s="1"/>
  <c r="I99" i="74"/>
  <c r="E99" i="74"/>
  <c r="M36" i="80"/>
  <c r="I36" i="80"/>
  <c r="W43" i="84"/>
  <c r="V44" i="84"/>
  <c r="W44" i="84" s="1"/>
  <c r="AF44" i="84"/>
  <c r="AG44" i="84" s="1"/>
  <c r="K93" i="74"/>
  <c r="J93" i="78"/>
  <c r="E29" i="80"/>
  <c r="E43" i="80"/>
  <c r="D62" i="81"/>
  <c r="D66" i="81" s="1"/>
  <c r="J50" i="87"/>
  <c r="K50" i="87"/>
  <c r="L50" i="87" s="1"/>
  <c r="M39" i="80"/>
  <c r="I39" i="80"/>
  <c r="I33" i="80"/>
  <c r="M33" i="80"/>
  <c r="G42" i="84"/>
  <c r="R48" i="81"/>
  <c r="AN48" i="81" s="1"/>
  <c r="M41" i="74"/>
  <c r="O37" i="74"/>
  <c r="J41" i="80"/>
  <c r="G41" i="80"/>
  <c r="G32" i="80"/>
  <c r="J32" i="80"/>
  <c r="G40" i="80"/>
  <c r="J40" i="80"/>
  <c r="G3" i="80"/>
  <c r="J3" i="80"/>
  <c r="K3" i="80" s="1"/>
  <c r="H7" i="81"/>
  <c r="J7" i="81"/>
  <c r="I7" i="81"/>
  <c r="K7" i="81"/>
  <c r="M42" i="74"/>
  <c r="O38" i="74"/>
  <c r="J86" i="74"/>
  <c r="O86" i="78"/>
  <c r="E25" i="80"/>
  <c r="C41" i="80"/>
  <c r="C21" i="80"/>
  <c r="J88" i="74"/>
  <c r="O88" i="78"/>
  <c r="K83" i="74"/>
  <c r="J83" i="78"/>
  <c r="I35" i="80"/>
  <c r="M35" i="80"/>
  <c r="M32" i="80"/>
  <c r="I32" i="80"/>
  <c r="G97" i="74"/>
  <c r="I97" i="74"/>
  <c r="P62" i="81"/>
  <c r="P66" i="81" s="1"/>
  <c r="G28" i="80"/>
  <c r="J28" i="80"/>
  <c r="G36" i="80"/>
  <c r="J36" i="80"/>
  <c r="G43" i="80"/>
  <c r="J43" i="80"/>
  <c r="J31" i="80"/>
  <c r="G31" i="80"/>
  <c r="AK44" i="84"/>
  <c r="AL44" i="84" s="1"/>
  <c r="D118" i="74"/>
  <c r="F106" i="74"/>
  <c r="P106" i="78" s="1"/>
  <c r="K91" i="74"/>
  <c r="J91" i="78"/>
  <c r="Q48" i="81"/>
  <c r="AM48" i="81" s="1"/>
  <c r="AS46" i="81"/>
  <c r="E19" i="80"/>
  <c r="C42" i="80"/>
  <c r="C36" i="80"/>
  <c r="C27" i="80"/>
  <c r="K60" i="81"/>
  <c r="K64" i="81" s="1"/>
  <c r="E95" i="74"/>
  <c r="H95" i="74"/>
  <c r="M34" i="80"/>
  <c r="I34" i="80"/>
  <c r="M28" i="80"/>
  <c r="I28" i="80"/>
  <c r="I7" i="80"/>
  <c r="E61" i="81"/>
  <c r="E65" i="81" s="1"/>
  <c r="I96" i="74"/>
  <c r="F104" i="74"/>
  <c r="P104" i="78" s="1"/>
  <c r="D116" i="74"/>
  <c r="N44" i="81"/>
  <c r="AJ43" i="81"/>
  <c r="X43" i="81"/>
  <c r="J29" i="80"/>
  <c r="G29" i="80"/>
  <c r="G39" i="80"/>
  <c r="J39" i="80"/>
  <c r="G4" i="80"/>
  <c r="J4" i="80"/>
  <c r="E39" i="80"/>
  <c r="C55" i="81"/>
  <c r="E14" i="80"/>
  <c r="C30" i="80"/>
  <c r="B56" i="81"/>
  <c r="K62" i="81"/>
  <c r="K66" i="81" s="1"/>
  <c r="AO2" i="82"/>
  <c r="F2" i="82" s="1"/>
  <c r="F3" i="82"/>
  <c r="I40" i="80"/>
  <c r="M40" i="80"/>
  <c r="I37" i="80"/>
  <c r="M37" i="80"/>
  <c r="M61" i="81"/>
  <c r="M65" i="81" s="1"/>
  <c r="E89" i="74"/>
  <c r="D114" i="74"/>
  <c r="F102" i="74"/>
  <c r="P102" i="78" s="1"/>
  <c r="J33" i="80"/>
  <c r="G33" i="80"/>
  <c r="G47" i="80"/>
  <c r="L62" i="81"/>
  <c r="L66" i="81" s="1"/>
  <c r="G6" i="80"/>
  <c r="J6" i="80"/>
  <c r="AO44" i="84"/>
  <c r="AP44" i="84" s="1"/>
  <c r="AP43" i="84"/>
  <c r="P49" i="82" s="1"/>
  <c r="X57" i="81"/>
  <c r="X61" i="81" s="1"/>
  <c r="X65" i="81" s="1"/>
  <c r="M48" i="81"/>
  <c r="AK131" i="84"/>
  <c r="N42" i="84" s="1"/>
  <c r="N41" i="84"/>
  <c r="G34" i="80"/>
  <c r="J34" i="80"/>
  <c r="E7" i="81"/>
  <c r="F7" i="81"/>
  <c r="D7" i="81"/>
  <c r="G7" i="81"/>
  <c r="K81" i="74"/>
  <c r="J81" i="78"/>
  <c r="E38" i="80"/>
  <c r="B55" i="81"/>
  <c r="G100" i="74"/>
  <c r="F100" i="74"/>
  <c r="P100" i="78" s="1"/>
  <c r="I100" i="74"/>
  <c r="E100" i="74"/>
  <c r="D112" i="74"/>
  <c r="H100" i="74"/>
  <c r="M43" i="80"/>
  <c r="I43" i="80"/>
  <c r="I29" i="80"/>
  <c r="M29" i="80"/>
  <c r="I23" i="80"/>
  <c r="M23" i="80"/>
  <c r="E47" i="81"/>
  <c r="AA47" i="81" s="1"/>
  <c r="G47" i="81"/>
  <c r="AC47" i="81" s="1"/>
  <c r="H97" i="74"/>
  <c r="M44" i="74"/>
  <c r="O40" i="74"/>
  <c r="AE43" i="84"/>
  <c r="AD44" i="84"/>
  <c r="AE44" i="84" s="1"/>
  <c r="J94" i="74"/>
  <c r="O94" i="78"/>
  <c r="J91" i="74"/>
  <c r="O91" i="78"/>
  <c r="AN43" i="84"/>
  <c r="Y49" i="82" s="1"/>
  <c r="E34" i="80"/>
  <c r="V61" i="81"/>
  <c r="V65" i="81" s="1"/>
  <c r="Q60" i="81"/>
  <c r="Q64" i="81" s="1"/>
  <c r="C35" i="80"/>
  <c r="J61" i="81"/>
  <c r="J65" i="81" s="1"/>
  <c r="I95" i="74"/>
  <c r="D119" i="74"/>
  <c r="F107" i="74"/>
  <c r="P107" i="78" s="1"/>
  <c r="I25" i="80"/>
  <c r="M25" i="80"/>
  <c r="M30" i="80"/>
  <c r="I30" i="80"/>
  <c r="X58" i="81"/>
  <c r="Y62" i="81"/>
  <c r="F60" i="81"/>
  <c r="F64" i="81" s="1"/>
  <c r="H96" i="74"/>
  <c r="J37" i="80"/>
  <c r="K37" i="80" s="1"/>
  <c r="G37" i="80"/>
  <c r="G27" i="80"/>
  <c r="J27" i="80"/>
  <c r="S61" i="81"/>
  <c r="S65" i="81" s="1"/>
  <c r="J81" i="74"/>
  <c r="O81" i="78"/>
  <c r="K79" i="74"/>
  <c r="J79" i="78"/>
  <c r="C46" i="81"/>
  <c r="AD46" i="81"/>
  <c r="D46" i="80"/>
  <c r="E46" i="80" s="1"/>
  <c r="Q62" i="81"/>
  <c r="Q66" i="81" s="1"/>
  <c r="D60" i="81"/>
  <c r="D64" i="81" s="1"/>
  <c r="K61" i="81"/>
  <c r="K65" i="81" s="1"/>
  <c r="J62" i="81"/>
  <c r="J66" i="81" s="1"/>
  <c r="I42" i="80"/>
  <c r="M42" i="80"/>
  <c r="I10" i="80"/>
  <c r="I8" i="80"/>
  <c r="E90" i="74"/>
  <c r="J85" i="74"/>
  <c r="O85" i="78"/>
  <c r="J84" i="74"/>
  <c r="O84" i="78"/>
  <c r="J9" i="80"/>
  <c r="K9" i="80" s="1"/>
  <c r="G38" i="80"/>
  <c r="J38" i="80"/>
  <c r="L60" i="81"/>
  <c r="L64" i="81" s="1"/>
  <c r="I61" i="81"/>
  <c r="I65" i="81" s="1"/>
  <c r="C42" i="84"/>
  <c r="BE44" i="84"/>
  <c r="AV44" i="84"/>
  <c r="U50" i="82"/>
  <c r="O50" i="81" s="1"/>
  <c r="AK50" i="81" s="1"/>
  <c r="E11" i="82"/>
  <c r="M10" i="82"/>
  <c r="J10" i="81" s="1"/>
  <c r="F10" i="81"/>
  <c r="B58" i="81"/>
  <c r="K87" i="74"/>
  <c r="J87" i="78"/>
  <c r="U48" i="81"/>
  <c r="AQ48" i="81" s="1"/>
  <c r="Y14" i="78"/>
  <c r="Z13" i="78"/>
  <c r="AS131" i="84"/>
  <c r="O42" i="84" s="1"/>
  <c r="O41" i="84"/>
  <c r="AI47" i="81"/>
  <c r="I22" i="80"/>
  <c r="M22" i="80"/>
  <c r="I27" i="80"/>
  <c r="M27" i="80"/>
  <c r="M20" i="80"/>
  <c r="I20" i="80"/>
  <c r="K77" i="74"/>
  <c r="J77" i="78"/>
  <c r="K84" i="74"/>
  <c r="J84" i="78"/>
  <c r="K42" i="84"/>
  <c r="G46" i="80"/>
  <c r="G21" i="80"/>
  <c r="J21" i="80"/>
  <c r="G5" i="80"/>
  <c r="J5" i="80"/>
  <c r="K5" i="80" s="1"/>
  <c r="H42" i="84"/>
  <c r="J82" i="74"/>
  <c r="O82" i="78"/>
  <c r="K86" i="74"/>
  <c r="J86" i="78"/>
  <c r="E44" i="80"/>
  <c r="E30" i="80"/>
  <c r="C20" i="80"/>
  <c r="C15" i="80"/>
  <c r="P48" i="87"/>
  <c r="R48" i="87" s="1"/>
  <c r="O48" i="87"/>
  <c r="Q48" i="87" s="1"/>
  <c r="W47" i="81"/>
  <c r="I18" i="80"/>
  <c r="I16" i="80"/>
  <c r="K47" i="81"/>
  <c r="AG47" i="81" s="1"/>
  <c r="I47" i="81"/>
  <c r="AE47" i="81" s="1"/>
  <c r="H47" i="81"/>
  <c r="J47" i="81"/>
  <c r="AF47" i="81" s="1"/>
  <c r="F109" i="74"/>
  <c r="P109" i="78" s="1"/>
  <c r="D121" i="74"/>
  <c r="F42" i="84"/>
  <c r="N60" i="81"/>
  <c r="N64" i="81" s="1"/>
  <c r="G42" i="80"/>
  <c r="J42" i="80"/>
  <c r="J17" i="80"/>
  <c r="K17" i="80" s="1"/>
  <c r="J26" i="80"/>
  <c r="G26" i="80"/>
  <c r="J15" i="80"/>
  <c r="K15" i="80" s="1"/>
  <c r="J18" i="80"/>
  <c r="K18" i="80" s="1"/>
  <c r="L5" i="87"/>
  <c r="K4" i="87"/>
  <c r="E45" i="80"/>
  <c r="E26" i="80"/>
  <c r="C16" i="80"/>
  <c r="U62" i="81"/>
  <c r="U66" i="81" s="1"/>
  <c r="U60" i="81"/>
  <c r="U64" i="81" s="1"/>
  <c r="J42" i="84"/>
  <c r="I19" i="80"/>
  <c r="M19" i="80"/>
  <c r="I12" i="80"/>
  <c r="F108" i="74"/>
  <c r="P108" i="78" s="1"/>
  <c r="D120" i="74"/>
  <c r="G96" i="74"/>
  <c r="K92" i="74"/>
  <c r="J92" i="78"/>
  <c r="N61" i="81"/>
  <c r="N65" i="81" s="1"/>
  <c r="J13" i="80"/>
  <c r="K13" i="80" s="1"/>
  <c r="J22" i="80"/>
  <c r="G22" i="80"/>
  <c r="K82" i="74"/>
  <c r="J82" i="78"/>
  <c r="E41" i="80"/>
  <c r="E17" i="80"/>
  <c r="V62" i="81"/>
  <c r="V66" i="81" s="1"/>
  <c r="C28" i="80"/>
  <c r="C13" i="80"/>
  <c r="C23" i="80"/>
  <c r="C18" i="80"/>
  <c r="R60" i="81"/>
  <c r="R64" i="81" s="1"/>
  <c r="R62" i="81"/>
  <c r="R66" i="81" s="1"/>
  <c r="I21" i="80"/>
  <c r="M21" i="80"/>
  <c r="I31" i="80"/>
  <c r="M31" i="80"/>
  <c r="M24" i="80"/>
  <c r="I24" i="80"/>
  <c r="I3" i="80"/>
  <c r="F101" i="74"/>
  <c r="P101" i="78" s="1"/>
  <c r="D113" i="74"/>
  <c r="G90" i="74"/>
  <c r="I90" i="74"/>
  <c r="K90" i="74" s="1"/>
  <c r="V104" i="74"/>
  <c r="T103" i="74"/>
  <c r="N62" i="81"/>
  <c r="N66" i="81" s="1"/>
  <c r="G60" i="81"/>
  <c r="G64" i="81" s="1"/>
  <c r="G45" i="80"/>
  <c r="G20" i="80"/>
  <c r="J20" i="80"/>
  <c r="G25" i="80"/>
  <c r="J25" i="80"/>
  <c r="O49" i="81"/>
  <c r="AK49" i="81" s="1"/>
  <c r="AI43" i="84"/>
  <c r="J49" i="82" s="1"/>
  <c r="J50" i="82" s="1"/>
  <c r="BB44" i="84"/>
  <c r="AG50" i="82"/>
  <c r="U50" i="81" s="1"/>
  <c r="AQ50" i="81" s="1"/>
  <c r="D8" i="80"/>
  <c r="J93" i="74"/>
  <c r="O93" i="78"/>
  <c r="B42" i="84"/>
  <c r="B44" i="82"/>
  <c r="D43" i="81"/>
  <c r="F105" i="74"/>
  <c r="P105" i="78" s="1"/>
  <c r="D117" i="74"/>
  <c r="AC49" i="82"/>
  <c r="S48" i="81"/>
  <c r="AO48" i="81" s="1"/>
  <c r="E13" i="80"/>
  <c r="C26" i="80"/>
  <c r="K49" i="87"/>
  <c r="L49" i="87" s="1"/>
  <c r="J49" i="87"/>
  <c r="AC43" i="84"/>
  <c r="F49" i="82" s="1"/>
  <c r="F50" i="82" s="1"/>
  <c r="AB44" i="84"/>
  <c r="AC44" i="84" s="1"/>
  <c r="J87" i="74"/>
  <c r="O87" i="78"/>
  <c r="BA131" i="84"/>
  <c r="Q42" i="84" s="1"/>
  <c r="Q41" i="84"/>
  <c r="J83" i="74"/>
  <c r="O83" i="78"/>
  <c r="F44" i="81"/>
  <c r="AB43" i="81"/>
  <c r="G30" i="80"/>
  <c r="J30" i="80"/>
  <c r="K30" i="80" s="1"/>
  <c r="G19" i="80"/>
  <c r="J19" i="80"/>
  <c r="J79" i="74"/>
  <c r="O79" i="78"/>
  <c r="I98" i="74"/>
  <c r="E98" i="74"/>
  <c r="D110" i="74"/>
  <c r="H98" i="74"/>
  <c r="G98" i="74"/>
  <c r="F98" i="74"/>
  <c r="P98" i="78" s="1"/>
  <c r="H62" i="81"/>
  <c r="H66" i="81" s="1"/>
  <c r="K88" i="74"/>
  <c r="J88" i="78"/>
  <c r="I41" i="80"/>
  <c r="M41" i="80"/>
  <c r="I38" i="80"/>
  <c r="M38" i="80"/>
  <c r="M60" i="81"/>
  <c r="M64" i="81" s="1"/>
  <c r="I5" i="80"/>
  <c r="E97" i="74"/>
  <c r="P6" i="87"/>
  <c r="R6" i="87" s="1"/>
  <c r="O6" i="87"/>
  <c r="Q6" i="87" s="1"/>
  <c r="K94" i="74"/>
  <c r="J94" i="78"/>
  <c r="D115" i="74"/>
  <c r="G103" i="74"/>
  <c r="F103" i="74"/>
  <c r="P103" i="78" s="1"/>
  <c r="C54" i="81"/>
  <c r="C32" i="80"/>
  <c r="C17" i="80"/>
  <c r="G95" i="74"/>
  <c r="I14" i="80"/>
  <c r="T62" i="81"/>
  <c r="T66" i="81" s="1"/>
  <c r="T60" i="81"/>
  <c r="T64" i="81" s="1"/>
  <c r="J92" i="74"/>
  <c r="O92" i="78"/>
  <c r="G44" i="80"/>
  <c r="G24" i="80"/>
  <c r="J24" i="80"/>
  <c r="J11" i="80"/>
  <c r="K11" i="80" s="1"/>
  <c r="S62" i="81"/>
  <c r="S66" i="81" s="1"/>
  <c r="E36" i="80"/>
  <c r="E22" i="80"/>
  <c r="E31" i="80"/>
  <c r="C29" i="80"/>
  <c r="C38" i="80"/>
  <c r="W50" i="82"/>
  <c r="P50" i="81" s="1"/>
  <c r="AL50" i="81" s="1"/>
  <c r="P49" i="81"/>
  <c r="AL49" i="81" s="1"/>
  <c r="BD131" i="84"/>
  <c r="BE130" i="84"/>
  <c r="S41" i="84"/>
  <c r="I26" i="80"/>
  <c r="M26" i="80"/>
  <c r="H89" i="74"/>
  <c r="M39" i="74"/>
  <c r="O35" i="74"/>
  <c r="I106" i="74" s="1"/>
  <c r="I42" i="84"/>
  <c r="J35" i="80"/>
  <c r="G35" i="80"/>
  <c r="G23" i="80"/>
  <c r="J23" i="80"/>
  <c r="G7" i="80"/>
  <c r="J7" i="80"/>
  <c r="K7" i="80" s="1"/>
  <c r="E42" i="84"/>
  <c r="K22" i="80" l="1"/>
  <c r="C7" i="81"/>
  <c r="K34" i="80"/>
  <c r="K29" i="80"/>
  <c r="D7" i="80"/>
  <c r="E8" i="80" s="1"/>
  <c r="X62" i="81"/>
  <c r="X66" i="81" s="1"/>
  <c r="K35" i="80"/>
  <c r="K23" i="80"/>
  <c r="K19" i="80"/>
  <c r="K33" i="80"/>
  <c r="K42" i="80"/>
  <c r="K4" i="80"/>
  <c r="K16" i="80"/>
  <c r="K38" i="80"/>
  <c r="K10" i="80"/>
  <c r="K40" i="80"/>
  <c r="K41" i="80"/>
  <c r="Y50" i="82"/>
  <c r="Q50" i="81" s="1"/>
  <c r="AM50" i="81" s="1"/>
  <c r="Q49" i="81"/>
  <c r="AM49" i="81" s="1"/>
  <c r="M43" i="74"/>
  <c r="O39" i="74"/>
  <c r="K24" i="80"/>
  <c r="Z43" i="81"/>
  <c r="B43" i="81"/>
  <c r="B43" i="80"/>
  <c r="C43" i="80" s="1"/>
  <c r="F120" i="74"/>
  <c r="P120" i="78" s="1"/>
  <c r="D132" i="74"/>
  <c r="K89" i="74"/>
  <c r="J89" i="78"/>
  <c r="BE131" i="84"/>
  <c r="S42" i="84"/>
  <c r="W50" i="81" s="1"/>
  <c r="I103" i="74"/>
  <c r="D127" i="74"/>
  <c r="H115" i="74"/>
  <c r="G115" i="74"/>
  <c r="F115" i="74"/>
  <c r="P115" i="78" s="1"/>
  <c r="I115" i="74"/>
  <c r="E115" i="74"/>
  <c r="H6" i="81"/>
  <c r="K6" i="81"/>
  <c r="J6" i="81"/>
  <c r="I6" i="81"/>
  <c r="AB44" i="81"/>
  <c r="F45" i="81"/>
  <c r="G105" i="74"/>
  <c r="I105" i="74"/>
  <c r="AH44" i="84"/>
  <c r="AI44" i="84" s="1"/>
  <c r="V105" i="74"/>
  <c r="T104" i="74"/>
  <c r="H101" i="74"/>
  <c r="W48" i="81"/>
  <c r="K8" i="80"/>
  <c r="I108" i="74"/>
  <c r="G109" i="74"/>
  <c r="I109" i="74"/>
  <c r="AS47" i="81"/>
  <c r="Y15" i="78"/>
  <c r="Z14" i="78"/>
  <c r="C10" i="81"/>
  <c r="D10" i="80"/>
  <c r="E10" i="80" s="1"/>
  <c r="K27" i="80"/>
  <c r="K96" i="74"/>
  <c r="J96" i="78"/>
  <c r="E107" i="74"/>
  <c r="H107" i="74"/>
  <c r="AM44" i="84"/>
  <c r="AN44" i="84" s="1"/>
  <c r="K100" i="74"/>
  <c r="J100" i="78"/>
  <c r="R49" i="82"/>
  <c r="H102" i="74"/>
  <c r="J89" i="74"/>
  <c r="O89" i="78"/>
  <c r="K39" i="80"/>
  <c r="G116" i="74"/>
  <c r="F116" i="74"/>
  <c r="P116" i="78" s="1"/>
  <c r="I116" i="74"/>
  <c r="E116" i="74"/>
  <c r="D128" i="74"/>
  <c r="H116" i="74"/>
  <c r="G104" i="74"/>
  <c r="H106" i="74"/>
  <c r="M45" i="74"/>
  <c r="O41" i="74"/>
  <c r="G120" i="74" s="1"/>
  <c r="E9" i="80"/>
  <c r="G48" i="80"/>
  <c r="J97" i="74"/>
  <c r="O97" i="78"/>
  <c r="K98" i="74"/>
  <c r="J98" i="78"/>
  <c r="H105" i="74"/>
  <c r="K20" i="80"/>
  <c r="F113" i="74"/>
  <c r="P113" i="78" s="1"/>
  <c r="I113" i="74"/>
  <c r="E113" i="74"/>
  <c r="D125" i="74"/>
  <c r="H113" i="74"/>
  <c r="G113" i="74"/>
  <c r="H108" i="74"/>
  <c r="K12" i="80"/>
  <c r="H109" i="74"/>
  <c r="K21" i="80"/>
  <c r="M11" i="82"/>
  <c r="J11" i="81" s="1"/>
  <c r="F11" i="81"/>
  <c r="J90" i="74"/>
  <c r="O90" i="78"/>
  <c r="I107" i="74"/>
  <c r="D131" i="74"/>
  <c r="H119" i="74"/>
  <c r="G119" i="74"/>
  <c r="F119" i="74"/>
  <c r="P119" i="78" s="1"/>
  <c r="I119" i="74"/>
  <c r="E119" i="74"/>
  <c r="M48" i="74"/>
  <c r="O44" i="74"/>
  <c r="G112" i="74"/>
  <c r="F112" i="74"/>
  <c r="P112" i="78" s="1"/>
  <c r="I112" i="74"/>
  <c r="E112" i="74"/>
  <c r="D124" i="74"/>
  <c r="H112" i="74"/>
  <c r="R49" i="81"/>
  <c r="AN49" i="81" s="1"/>
  <c r="P50" i="82"/>
  <c r="L50" i="81" s="1"/>
  <c r="L49" i="81"/>
  <c r="I114" i="74"/>
  <c r="E114" i="74"/>
  <c r="D126" i="74"/>
  <c r="H114" i="74"/>
  <c r="G114" i="74"/>
  <c r="F114" i="74"/>
  <c r="P114" i="78" s="1"/>
  <c r="E104" i="74"/>
  <c r="K95" i="74"/>
  <c r="J95" i="78"/>
  <c r="I118" i="74"/>
  <c r="E118" i="74"/>
  <c r="D130" i="74"/>
  <c r="H118" i="74"/>
  <c r="G118" i="74"/>
  <c r="F118" i="74"/>
  <c r="P118" i="78" s="1"/>
  <c r="K36" i="80"/>
  <c r="R50" i="81"/>
  <c r="AN50" i="81" s="1"/>
  <c r="O49" i="87"/>
  <c r="Q49" i="87" s="1"/>
  <c r="P49" i="87"/>
  <c r="R49" i="87" s="1"/>
  <c r="F117" i="74"/>
  <c r="P117" i="78" s="1"/>
  <c r="I117" i="74"/>
  <c r="E117" i="74"/>
  <c r="D129" i="74"/>
  <c r="H117" i="74"/>
  <c r="G117" i="74"/>
  <c r="E101" i="74"/>
  <c r="G108" i="74"/>
  <c r="L4" i="87"/>
  <c r="K3" i="87"/>
  <c r="F121" i="74"/>
  <c r="P121" i="78" s="1"/>
  <c r="I121" i="74"/>
  <c r="E121" i="74"/>
  <c r="D133" i="74"/>
  <c r="H121" i="74"/>
  <c r="G121" i="74"/>
  <c r="E48" i="81"/>
  <c r="AA48" i="81" s="1"/>
  <c r="G48" i="81"/>
  <c r="AC48" i="81" s="1"/>
  <c r="K97" i="74"/>
  <c r="J97" i="78"/>
  <c r="J100" i="74"/>
  <c r="O100" i="78"/>
  <c r="E102" i="74"/>
  <c r="AJ44" i="81"/>
  <c r="N45" i="81"/>
  <c r="H44" i="80"/>
  <c r="X44" i="81"/>
  <c r="I104" i="74"/>
  <c r="J95" i="74"/>
  <c r="O95" i="78"/>
  <c r="E106" i="74"/>
  <c r="K31" i="80"/>
  <c r="M46" i="74"/>
  <c r="O42" i="74"/>
  <c r="P50" i="87"/>
  <c r="R50" i="87" s="1"/>
  <c r="O50" i="87"/>
  <c r="Q50" i="87" s="1"/>
  <c r="J99" i="74"/>
  <c r="O99" i="78"/>
  <c r="K99" i="74"/>
  <c r="J99" i="78"/>
  <c r="AA44" i="84"/>
  <c r="E50" i="82"/>
  <c r="I110" i="74"/>
  <c r="E110" i="74"/>
  <c r="D122" i="74"/>
  <c r="H110" i="74"/>
  <c r="G110" i="74"/>
  <c r="F110" i="74"/>
  <c r="P110" i="78" s="1"/>
  <c r="E103" i="74"/>
  <c r="H103" i="74"/>
  <c r="D6" i="81"/>
  <c r="F6" i="81"/>
  <c r="E6" i="81"/>
  <c r="G6" i="81"/>
  <c r="J98" i="74"/>
  <c r="O98" i="78"/>
  <c r="U49" i="81"/>
  <c r="AQ49" i="81" s="1"/>
  <c r="AC50" i="82"/>
  <c r="S50" i="81" s="1"/>
  <c r="AO50" i="81" s="1"/>
  <c r="S49" i="81"/>
  <c r="AO49" i="81" s="1"/>
  <c r="E105" i="74"/>
  <c r="B45" i="82"/>
  <c r="D44" i="81"/>
  <c r="K25" i="80"/>
  <c r="G101" i="74"/>
  <c r="I101" i="74"/>
  <c r="E108" i="74"/>
  <c r="P5" i="87"/>
  <c r="R5" i="87" s="1"/>
  <c r="O5" i="87"/>
  <c r="Q5" i="87" s="1"/>
  <c r="K26" i="80"/>
  <c r="E109" i="74"/>
  <c r="AD47" i="81"/>
  <c r="C47" i="81"/>
  <c r="D47" i="80"/>
  <c r="E47" i="80" s="1"/>
  <c r="H48" i="81"/>
  <c r="J48" i="81"/>
  <c r="AF48" i="81" s="1"/>
  <c r="I48" i="81"/>
  <c r="AE48" i="81" s="1"/>
  <c r="K48" i="81"/>
  <c r="AG48" i="81" s="1"/>
  <c r="B10" i="81"/>
  <c r="B10" i="80"/>
  <c r="C10" i="80" s="1"/>
  <c r="K14" i="80"/>
  <c r="G107" i="74"/>
  <c r="B7" i="81"/>
  <c r="B7" i="80"/>
  <c r="AI48" i="81"/>
  <c r="K6" i="80"/>
  <c r="G102" i="74"/>
  <c r="I102" i="74"/>
  <c r="H104" i="74"/>
  <c r="G106" i="74"/>
  <c r="K43" i="80"/>
  <c r="K28" i="80"/>
  <c r="K32" i="80"/>
  <c r="D123" i="74"/>
  <c r="H111" i="74"/>
  <c r="G111" i="74"/>
  <c r="F111" i="74"/>
  <c r="P111" i="78" s="1"/>
  <c r="I111" i="74"/>
  <c r="E111" i="74"/>
  <c r="D6" i="80" l="1"/>
  <c r="E7" i="80" s="1"/>
  <c r="C6" i="81"/>
  <c r="D5" i="81"/>
  <c r="F5" i="81"/>
  <c r="E5" i="81"/>
  <c r="G5" i="81"/>
  <c r="J105" i="74"/>
  <c r="O105" i="78"/>
  <c r="J103" i="74"/>
  <c r="O103" i="78"/>
  <c r="I122" i="74"/>
  <c r="E122" i="74"/>
  <c r="D134" i="74"/>
  <c r="H122" i="74"/>
  <c r="G122" i="74"/>
  <c r="F122" i="74"/>
  <c r="P122" i="78" s="1"/>
  <c r="I44" i="80"/>
  <c r="M44" i="80"/>
  <c r="J44" i="80"/>
  <c r="K44" i="80" s="1"/>
  <c r="K121" i="74"/>
  <c r="J121" i="78"/>
  <c r="J101" i="74"/>
  <c r="O101" i="78"/>
  <c r="J117" i="74"/>
  <c r="O117" i="78"/>
  <c r="G49" i="81"/>
  <c r="AC49" i="81" s="1"/>
  <c r="E49" i="81"/>
  <c r="AA49" i="81" s="1"/>
  <c r="D142" i="74"/>
  <c r="F130" i="74"/>
  <c r="P130" i="78" s="1"/>
  <c r="K114" i="74"/>
  <c r="J114" i="78"/>
  <c r="AH49" i="81"/>
  <c r="F49" i="80"/>
  <c r="K112" i="74"/>
  <c r="J112" i="78"/>
  <c r="J119" i="74"/>
  <c r="O119" i="78"/>
  <c r="K119" i="74"/>
  <c r="J119" i="78"/>
  <c r="K108" i="74"/>
  <c r="J108" i="78"/>
  <c r="J113" i="74"/>
  <c r="O113" i="78"/>
  <c r="K105" i="74"/>
  <c r="J105" i="78"/>
  <c r="K116" i="74"/>
  <c r="J116" i="78"/>
  <c r="D139" i="74"/>
  <c r="F127" i="74"/>
  <c r="P127" i="78" s="1"/>
  <c r="E120" i="74"/>
  <c r="J111" i="74"/>
  <c r="O111" i="78"/>
  <c r="K111" i="74"/>
  <c r="J111" i="78"/>
  <c r="C8" i="80"/>
  <c r="J5" i="81"/>
  <c r="K5" i="81"/>
  <c r="I5" i="81"/>
  <c r="H5" i="81"/>
  <c r="J110" i="74"/>
  <c r="O110" i="78"/>
  <c r="G50" i="81"/>
  <c r="AC50" i="81" s="1"/>
  <c r="E50" i="81"/>
  <c r="AA50" i="81" s="1"/>
  <c r="M50" i="74"/>
  <c r="O46" i="74"/>
  <c r="AJ45" i="81"/>
  <c r="N46" i="81"/>
  <c r="X45" i="81"/>
  <c r="H45" i="80"/>
  <c r="F133" i="74"/>
  <c r="P133" i="78" s="1"/>
  <c r="D145" i="74"/>
  <c r="L3" i="87"/>
  <c r="K2" i="87"/>
  <c r="L2" i="87" s="1"/>
  <c r="W49" i="81"/>
  <c r="J118" i="74"/>
  <c r="O118" i="78"/>
  <c r="J104" i="74"/>
  <c r="O104" i="78"/>
  <c r="E126" i="74"/>
  <c r="D138" i="74"/>
  <c r="H126" i="74"/>
  <c r="F126" i="74"/>
  <c r="P126" i="78" s="1"/>
  <c r="AH50" i="81"/>
  <c r="F50" i="80"/>
  <c r="G124" i="74"/>
  <c r="F124" i="74"/>
  <c r="P124" i="78" s="1"/>
  <c r="I124" i="74"/>
  <c r="E124" i="74"/>
  <c r="D136" i="74"/>
  <c r="H124" i="74"/>
  <c r="D143" i="74"/>
  <c r="F131" i="74"/>
  <c r="P131" i="78" s="1"/>
  <c r="B11" i="80"/>
  <c r="B11" i="81"/>
  <c r="M49" i="74"/>
  <c r="O45" i="74"/>
  <c r="H131" i="74" s="1"/>
  <c r="F128" i="74"/>
  <c r="P128" i="78" s="1"/>
  <c r="E128" i="74"/>
  <c r="D140" i="74"/>
  <c r="H128" i="74"/>
  <c r="K102" i="74"/>
  <c r="J102" i="78"/>
  <c r="AS48" i="81"/>
  <c r="T105" i="74"/>
  <c r="V106" i="74"/>
  <c r="AB45" i="81"/>
  <c r="F46" i="81"/>
  <c r="I120" i="74"/>
  <c r="M47" i="74"/>
  <c r="O43" i="74"/>
  <c r="G127" i="74" s="1"/>
  <c r="D135" i="74"/>
  <c r="H123" i="74"/>
  <c r="G123" i="74"/>
  <c r="F123" i="74"/>
  <c r="P123" i="78" s="1"/>
  <c r="I123" i="74"/>
  <c r="E123" i="74"/>
  <c r="C48" i="81"/>
  <c r="AD48" i="81"/>
  <c r="D48" i="80"/>
  <c r="E48" i="80" s="1"/>
  <c r="J109" i="74"/>
  <c r="O109" i="78"/>
  <c r="J108" i="74"/>
  <c r="O108" i="78"/>
  <c r="Z44" i="81"/>
  <c r="B44" i="81"/>
  <c r="B44" i="80"/>
  <c r="C44" i="80" s="1"/>
  <c r="B6" i="81"/>
  <c r="B6" i="80"/>
  <c r="C7" i="80" s="1"/>
  <c r="J50" i="81"/>
  <c r="AF50" i="81" s="1"/>
  <c r="K50" i="81"/>
  <c r="AG50" i="81" s="1"/>
  <c r="H50" i="81"/>
  <c r="I50" i="81"/>
  <c r="AE50" i="81" s="1"/>
  <c r="J121" i="74"/>
  <c r="O121" i="78"/>
  <c r="P4" i="87"/>
  <c r="R4" i="87" s="1"/>
  <c r="O4" i="87"/>
  <c r="Q4" i="87" s="1"/>
  <c r="K117" i="74"/>
  <c r="J117" i="78"/>
  <c r="J114" i="74"/>
  <c r="O114" i="78"/>
  <c r="J112" i="74"/>
  <c r="O112" i="78"/>
  <c r="C11" i="81"/>
  <c r="D11" i="80"/>
  <c r="K109" i="74"/>
  <c r="J109" i="78"/>
  <c r="K113" i="74"/>
  <c r="J113" i="78"/>
  <c r="K106" i="74"/>
  <c r="J106" i="78"/>
  <c r="J116" i="74"/>
  <c r="O116" i="78"/>
  <c r="R50" i="82"/>
  <c r="M50" i="81" s="1"/>
  <c r="M49" i="81"/>
  <c r="K107" i="74"/>
  <c r="J107" i="78"/>
  <c r="Y16" i="78"/>
  <c r="Z15" i="78"/>
  <c r="AS50" i="81"/>
  <c r="H120" i="74"/>
  <c r="K104" i="74"/>
  <c r="J104" i="78"/>
  <c r="B46" i="82"/>
  <c r="D45" i="81"/>
  <c r="K103" i="74"/>
  <c r="J103" i="78"/>
  <c r="K110" i="74"/>
  <c r="J110" i="78"/>
  <c r="J106" i="74"/>
  <c r="O106" i="78"/>
  <c r="J102" i="74"/>
  <c r="O102" i="78"/>
  <c r="F129" i="74"/>
  <c r="P129" i="78" s="1"/>
  <c r="I129" i="74"/>
  <c r="E129" i="74"/>
  <c r="D141" i="74"/>
  <c r="H129" i="74"/>
  <c r="G129" i="74"/>
  <c r="K49" i="81"/>
  <c r="AG49" i="81" s="1"/>
  <c r="H49" i="81"/>
  <c r="J49" i="81"/>
  <c r="AF49" i="81" s="1"/>
  <c r="I49" i="81"/>
  <c r="AE49" i="81" s="1"/>
  <c r="K118" i="74"/>
  <c r="J118" i="78"/>
  <c r="M52" i="74"/>
  <c r="O48" i="74"/>
  <c r="F125" i="74"/>
  <c r="P125" i="78" s="1"/>
  <c r="I125" i="74"/>
  <c r="E125" i="74"/>
  <c r="D137" i="74"/>
  <c r="H125" i="74"/>
  <c r="G125" i="74"/>
  <c r="J107" i="74"/>
  <c r="O107" i="78"/>
  <c r="K101" i="74"/>
  <c r="J101" i="78"/>
  <c r="J115" i="74"/>
  <c r="O115" i="78"/>
  <c r="K115" i="74"/>
  <c r="J115" i="78"/>
  <c r="G132" i="74"/>
  <c r="F132" i="74"/>
  <c r="P132" i="78" s="1"/>
  <c r="I132" i="74"/>
  <c r="E132" i="74"/>
  <c r="D144" i="74"/>
  <c r="H132" i="74"/>
  <c r="J131" i="78" l="1"/>
  <c r="F144" i="74"/>
  <c r="P144" i="78" s="1"/>
  <c r="D156" i="74"/>
  <c r="K129" i="74"/>
  <c r="J129" i="78"/>
  <c r="K4" i="81"/>
  <c r="H4" i="81"/>
  <c r="I4" i="81"/>
  <c r="J4" i="81"/>
  <c r="C50" i="81"/>
  <c r="AD50" i="81"/>
  <c r="D50" i="80"/>
  <c r="D147" i="74"/>
  <c r="H135" i="74"/>
  <c r="G135" i="74"/>
  <c r="F135" i="74"/>
  <c r="P135" i="78" s="1"/>
  <c r="I135" i="74"/>
  <c r="E135" i="74"/>
  <c r="J132" i="74"/>
  <c r="O132" i="78"/>
  <c r="K125" i="74"/>
  <c r="J125" i="78"/>
  <c r="J129" i="74"/>
  <c r="O129" i="78"/>
  <c r="B47" i="82"/>
  <c r="D46" i="81"/>
  <c r="Y17" i="78"/>
  <c r="Z16" i="78"/>
  <c r="AI50" i="81"/>
  <c r="M51" i="74"/>
  <c r="O47" i="74"/>
  <c r="I144" i="74" s="1"/>
  <c r="T106" i="74"/>
  <c r="V107" i="74"/>
  <c r="J128" i="74"/>
  <c r="O128" i="78"/>
  <c r="E131" i="74"/>
  <c r="J124" i="74"/>
  <c r="O124" i="78"/>
  <c r="J126" i="78"/>
  <c r="AS49" i="81"/>
  <c r="G133" i="74"/>
  <c r="I133" i="74"/>
  <c r="N47" i="81"/>
  <c r="AJ46" i="81"/>
  <c r="H46" i="80"/>
  <c r="X46" i="81"/>
  <c r="E127" i="74"/>
  <c r="H127" i="74"/>
  <c r="E130" i="74"/>
  <c r="K122" i="74"/>
  <c r="J122" i="78"/>
  <c r="C5" i="81"/>
  <c r="J125" i="74"/>
  <c r="O125" i="78"/>
  <c r="J128" i="78"/>
  <c r="K132" i="74"/>
  <c r="J132" i="78"/>
  <c r="F137" i="74"/>
  <c r="P137" i="78" s="1"/>
  <c r="I137" i="74"/>
  <c r="E137" i="74"/>
  <c r="D149" i="74"/>
  <c r="H137" i="74"/>
  <c r="G137" i="74"/>
  <c r="E11" i="80"/>
  <c r="E12" i="80"/>
  <c r="F4" i="81"/>
  <c r="E4" i="81"/>
  <c r="G4" i="81"/>
  <c r="C4" i="81" s="1"/>
  <c r="D4" i="81"/>
  <c r="J123" i="74"/>
  <c r="O123" i="78"/>
  <c r="K123" i="74"/>
  <c r="J123" i="78"/>
  <c r="I128" i="74"/>
  <c r="K128" i="74" s="1"/>
  <c r="M53" i="74"/>
  <c r="O49" i="74"/>
  <c r="H143" i="74" s="1"/>
  <c r="I131" i="74"/>
  <c r="K131" i="74" s="1"/>
  <c r="D155" i="74"/>
  <c r="G143" i="74"/>
  <c r="F143" i="74"/>
  <c r="P143" i="78" s="1"/>
  <c r="I143" i="74"/>
  <c r="E143" i="74"/>
  <c r="I138" i="74"/>
  <c r="E138" i="74"/>
  <c r="D150" i="74"/>
  <c r="H138" i="74"/>
  <c r="G138" i="74"/>
  <c r="F138" i="74"/>
  <c r="P138" i="78" s="1"/>
  <c r="H133" i="74"/>
  <c r="D5" i="80"/>
  <c r="I127" i="74"/>
  <c r="D151" i="74"/>
  <c r="H139" i="74"/>
  <c r="G139" i="74"/>
  <c r="F139" i="74"/>
  <c r="P139" i="78" s="1"/>
  <c r="I139" i="74"/>
  <c r="E139" i="74"/>
  <c r="G130" i="74"/>
  <c r="I130" i="74"/>
  <c r="I134" i="74"/>
  <c r="E134" i="74"/>
  <c r="D146" i="74"/>
  <c r="H134" i="74"/>
  <c r="G134" i="74"/>
  <c r="F134" i="74"/>
  <c r="P134" i="78" s="1"/>
  <c r="F47" i="81"/>
  <c r="AB46" i="81"/>
  <c r="K124" i="74"/>
  <c r="J124" i="78"/>
  <c r="J126" i="74"/>
  <c r="O126" i="78"/>
  <c r="P2" i="87"/>
  <c r="R2" i="87" s="1"/>
  <c r="O2" i="87"/>
  <c r="Q2" i="87" s="1"/>
  <c r="F145" i="74"/>
  <c r="P145" i="78" s="1"/>
  <c r="I145" i="74"/>
  <c r="E145" i="74"/>
  <c r="D157" i="74"/>
  <c r="H145" i="74"/>
  <c r="G145" i="74"/>
  <c r="I45" i="80"/>
  <c r="M45" i="80"/>
  <c r="J45" i="80"/>
  <c r="K45" i="80" s="1"/>
  <c r="H130" i="74"/>
  <c r="J122" i="74"/>
  <c r="O122" i="78"/>
  <c r="M56" i="74"/>
  <c r="O52" i="74"/>
  <c r="C49" i="81"/>
  <c r="AD49" i="81"/>
  <c r="D49" i="80"/>
  <c r="F141" i="74"/>
  <c r="P141" i="78" s="1"/>
  <c r="I141" i="74"/>
  <c r="E141" i="74"/>
  <c r="D153" i="74"/>
  <c r="H141" i="74"/>
  <c r="G141" i="74"/>
  <c r="Z45" i="81"/>
  <c r="B45" i="81"/>
  <c r="B45" i="80"/>
  <c r="C45" i="80" s="1"/>
  <c r="K120" i="74"/>
  <c r="J120" i="78"/>
  <c r="AI49" i="81"/>
  <c r="G140" i="74"/>
  <c r="F140" i="74"/>
  <c r="P140" i="78" s="1"/>
  <c r="I140" i="74"/>
  <c r="E140" i="74"/>
  <c r="D152" i="74"/>
  <c r="H140" i="74"/>
  <c r="G128" i="74"/>
  <c r="C11" i="80"/>
  <c r="C12" i="80"/>
  <c r="G131" i="74"/>
  <c r="G136" i="74"/>
  <c r="F136" i="74"/>
  <c r="P136" i="78" s="1"/>
  <c r="I136" i="74"/>
  <c r="E136" i="74"/>
  <c r="D148" i="74"/>
  <c r="H136" i="74"/>
  <c r="G126" i="74"/>
  <c r="I126" i="74"/>
  <c r="K126" i="74" s="1"/>
  <c r="O3" i="87"/>
  <c r="Q3" i="87" s="1"/>
  <c r="P3" i="87"/>
  <c r="R3" i="87" s="1"/>
  <c r="E133" i="74"/>
  <c r="M54" i="74"/>
  <c r="O50" i="74"/>
  <c r="J120" i="74"/>
  <c r="O120" i="78"/>
  <c r="I142" i="74"/>
  <c r="E142" i="74"/>
  <c r="D154" i="74"/>
  <c r="H142" i="74"/>
  <c r="G142" i="74"/>
  <c r="F142" i="74"/>
  <c r="P142" i="78" s="1"/>
  <c r="B5" i="80"/>
  <c r="B5" i="81"/>
  <c r="K143" i="74" l="1"/>
  <c r="J143" i="78"/>
  <c r="D166" i="74"/>
  <c r="F154" i="74"/>
  <c r="P154" i="78" s="1"/>
  <c r="J140" i="74"/>
  <c r="O140" i="78"/>
  <c r="K141" i="74"/>
  <c r="J141" i="78"/>
  <c r="K130" i="74"/>
  <c r="J130" i="78"/>
  <c r="K134" i="74"/>
  <c r="J134" i="78"/>
  <c r="B4" i="81"/>
  <c r="B4" i="80"/>
  <c r="C5" i="80" s="1"/>
  <c r="F149" i="74"/>
  <c r="P149" i="78" s="1"/>
  <c r="D161" i="74"/>
  <c r="J127" i="74"/>
  <c r="O127" i="78"/>
  <c r="N48" i="81"/>
  <c r="AJ47" i="81"/>
  <c r="H47" i="80"/>
  <c r="X47" i="81"/>
  <c r="M55" i="74"/>
  <c r="O51" i="74"/>
  <c r="E154" i="74" s="1"/>
  <c r="Y18" i="78"/>
  <c r="Z17" i="78"/>
  <c r="D4" i="80"/>
  <c r="E5" i="80" s="1"/>
  <c r="H144" i="74"/>
  <c r="J136" i="74"/>
  <c r="O136" i="78"/>
  <c r="J3" i="81"/>
  <c r="I3" i="81"/>
  <c r="K3" i="81"/>
  <c r="H3" i="81"/>
  <c r="K136" i="74"/>
  <c r="J136" i="78"/>
  <c r="J142" i="74"/>
  <c r="O142" i="78"/>
  <c r="D3" i="81"/>
  <c r="G3" i="81"/>
  <c r="E3" i="81"/>
  <c r="F3" i="81"/>
  <c r="G148" i="74"/>
  <c r="F148" i="74"/>
  <c r="P148" i="78" s="1"/>
  <c r="I148" i="74"/>
  <c r="E148" i="74"/>
  <c r="D160" i="74"/>
  <c r="H148" i="74"/>
  <c r="F153" i="74"/>
  <c r="P153" i="78" s="1"/>
  <c r="D165" i="74"/>
  <c r="I153" i="74"/>
  <c r="H153" i="74"/>
  <c r="M60" i="74"/>
  <c r="O56" i="74"/>
  <c r="K145" i="74"/>
  <c r="J145" i="78"/>
  <c r="F48" i="81"/>
  <c r="AB47" i="81"/>
  <c r="I146" i="74"/>
  <c r="E146" i="74"/>
  <c r="D158" i="74"/>
  <c r="H146" i="74"/>
  <c r="G146" i="74"/>
  <c r="F146" i="74"/>
  <c r="P146" i="78" s="1"/>
  <c r="E6" i="80"/>
  <c r="K138" i="74"/>
  <c r="J138" i="78"/>
  <c r="J143" i="74"/>
  <c r="O143" i="78"/>
  <c r="M57" i="74"/>
  <c r="O53" i="74"/>
  <c r="G156" i="74" s="1"/>
  <c r="J137" i="74"/>
  <c r="O137" i="78"/>
  <c r="J130" i="74"/>
  <c r="O130" i="78"/>
  <c r="V108" i="74"/>
  <c r="T107" i="74"/>
  <c r="Z46" i="81"/>
  <c r="B46" i="81"/>
  <c r="B46" i="80"/>
  <c r="C46" i="80" s="1"/>
  <c r="J135" i="74"/>
  <c r="O135" i="78"/>
  <c r="K135" i="74"/>
  <c r="J135" i="78"/>
  <c r="F156" i="74"/>
  <c r="P156" i="78" s="1"/>
  <c r="D168" i="74"/>
  <c r="I156" i="74"/>
  <c r="H156" i="74"/>
  <c r="G144" i="74"/>
  <c r="K140" i="74"/>
  <c r="J140" i="78"/>
  <c r="J141" i="74"/>
  <c r="O141" i="78"/>
  <c r="D169" i="74"/>
  <c r="F157" i="74"/>
  <c r="P157" i="78" s="1"/>
  <c r="I157" i="74"/>
  <c r="E157" i="74"/>
  <c r="H157" i="74"/>
  <c r="G157" i="74"/>
  <c r="D2" i="81"/>
  <c r="F2" i="81"/>
  <c r="G2" i="81"/>
  <c r="E2" i="81"/>
  <c r="J134" i="74"/>
  <c r="O134" i="78"/>
  <c r="J139" i="74"/>
  <c r="O139" i="78"/>
  <c r="K139" i="74"/>
  <c r="J139" i="78"/>
  <c r="K133" i="74"/>
  <c r="J133" i="78"/>
  <c r="I150" i="74"/>
  <c r="E150" i="74"/>
  <c r="D162" i="74"/>
  <c r="H150" i="74"/>
  <c r="G150" i="74"/>
  <c r="F150" i="74"/>
  <c r="P150" i="78" s="1"/>
  <c r="H155" i="74"/>
  <c r="D167" i="74"/>
  <c r="G155" i="74"/>
  <c r="F155" i="74"/>
  <c r="P155" i="78" s="1"/>
  <c r="I155" i="74"/>
  <c r="E155" i="74"/>
  <c r="I46" i="80"/>
  <c r="M46" i="80"/>
  <c r="J46" i="80"/>
  <c r="K46" i="80" s="1"/>
  <c r="J131" i="74"/>
  <c r="O131" i="78"/>
  <c r="B48" i="82"/>
  <c r="D47" i="81"/>
  <c r="D159" i="74"/>
  <c r="H147" i="74"/>
  <c r="G147" i="74"/>
  <c r="F147" i="74"/>
  <c r="P147" i="78" s="1"/>
  <c r="I147" i="74"/>
  <c r="E147" i="74"/>
  <c r="E144" i="74"/>
  <c r="M58" i="74"/>
  <c r="O54" i="74"/>
  <c r="K142" i="74"/>
  <c r="J142" i="78"/>
  <c r="J133" i="74"/>
  <c r="O133" i="78"/>
  <c r="G152" i="74"/>
  <c r="F152" i="74"/>
  <c r="P152" i="78" s="1"/>
  <c r="D164" i="74"/>
  <c r="I152" i="74"/>
  <c r="E152" i="74"/>
  <c r="H152" i="74"/>
  <c r="J145" i="74"/>
  <c r="O145" i="78"/>
  <c r="H2" i="81"/>
  <c r="J2" i="81"/>
  <c r="I2" i="81"/>
  <c r="K2" i="81"/>
  <c r="D163" i="74"/>
  <c r="H151" i="74"/>
  <c r="G151" i="74"/>
  <c r="F151" i="74"/>
  <c r="P151" i="78" s="1"/>
  <c r="I151" i="74"/>
  <c r="E151" i="74"/>
  <c r="J138" i="74"/>
  <c r="O138" i="78"/>
  <c r="C6" i="80"/>
  <c r="K137" i="74"/>
  <c r="J137" i="78"/>
  <c r="K127" i="74"/>
  <c r="J127" i="78"/>
  <c r="D2" i="80" l="1"/>
  <c r="J154" i="74"/>
  <c r="O154" i="78"/>
  <c r="D175" i="74"/>
  <c r="F163" i="74"/>
  <c r="P163" i="78" s="1"/>
  <c r="K147" i="74"/>
  <c r="J147" i="78"/>
  <c r="F164" i="74"/>
  <c r="P164" i="78" s="1"/>
  <c r="D176" i="74"/>
  <c r="M62" i="74"/>
  <c r="O58" i="74"/>
  <c r="Z47" i="81"/>
  <c r="B47" i="81"/>
  <c r="B47" i="80"/>
  <c r="C47" i="80" s="1"/>
  <c r="K155" i="74"/>
  <c r="J155" i="78"/>
  <c r="D174" i="74"/>
  <c r="F162" i="74"/>
  <c r="P162" i="78" s="1"/>
  <c r="C2" i="81"/>
  <c r="K157" i="74"/>
  <c r="J157" i="78"/>
  <c r="D181" i="74"/>
  <c r="F169" i="74"/>
  <c r="P169" i="78" s="1"/>
  <c r="V109" i="74"/>
  <c r="T108" i="74"/>
  <c r="D170" i="74"/>
  <c r="I158" i="74"/>
  <c r="E158" i="74"/>
  <c r="H158" i="74"/>
  <c r="G158" i="74"/>
  <c r="F158" i="74"/>
  <c r="P158" i="78" s="1"/>
  <c r="AB48" i="81"/>
  <c r="F49" i="81"/>
  <c r="M64" i="74"/>
  <c r="O60" i="74"/>
  <c r="G160" i="74"/>
  <c r="F160" i="74"/>
  <c r="P160" i="78" s="1"/>
  <c r="I160" i="74"/>
  <c r="E160" i="74"/>
  <c r="D172" i="74"/>
  <c r="H160" i="74"/>
  <c r="B3" i="81"/>
  <c r="B3" i="80"/>
  <c r="C4" i="80" s="1"/>
  <c r="K144" i="74"/>
  <c r="J144" i="78"/>
  <c r="G149" i="74"/>
  <c r="I149" i="74"/>
  <c r="I154" i="74"/>
  <c r="J151" i="74"/>
  <c r="O151" i="78"/>
  <c r="K151" i="74"/>
  <c r="J151" i="78"/>
  <c r="K152" i="74"/>
  <c r="J152" i="78"/>
  <c r="J144" i="74"/>
  <c r="O144" i="78"/>
  <c r="B49" i="82"/>
  <c r="D48" i="81"/>
  <c r="J150" i="74"/>
  <c r="O150" i="78"/>
  <c r="J157" i="74"/>
  <c r="O157" i="78"/>
  <c r="D180" i="74"/>
  <c r="F168" i="74"/>
  <c r="P168" i="78" s="1"/>
  <c r="J146" i="74"/>
  <c r="O146" i="78"/>
  <c r="G153" i="74"/>
  <c r="D177" i="74"/>
  <c r="F165" i="74"/>
  <c r="P165" i="78" s="1"/>
  <c r="J148" i="74"/>
  <c r="O148" i="78"/>
  <c r="D3" i="80"/>
  <c r="E3" i="80" s="1"/>
  <c r="M59" i="74"/>
  <c r="O55" i="74"/>
  <c r="I163" i="74" s="1"/>
  <c r="AJ48" i="81"/>
  <c r="N49" i="81"/>
  <c r="H48" i="80"/>
  <c r="X48" i="81"/>
  <c r="H149" i="74"/>
  <c r="G154" i="74"/>
  <c r="D178" i="74"/>
  <c r="F166" i="74"/>
  <c r="P166" i="78" s="1"/>
  <c r="J152" i="74"/>
  <c r="O152" i="78"/>
  <c r="J147" i="74"/>
  <c r="O147" i="78"/>
  <c r="B2" i="80"/>
  <c r="B2" i="81"/>
  <c r="K156" i="74"/>
  <c r="J156" i="78"/>
  <c r="M61" i="74"/>
  <c r="O57" i="74"/>
  <c r="K153" i="74"/>
  <c r="J153" i="78"/>
  <c r="D173" i="74"/>
  <c r="F161" i="74"/>
  <c r="P161" i="78" s="1"/>
  <c r="E161" i="74"/>
  <c r="H154" i="74"/>
  <c r="D171" i="74"/>
  <c r="H159" i="74"/>
  <c r="G159" i="74"/>
  <c r="F159" i="74"/>
  <c r="P159" i="78" s="1"/>
  <c r="I159" i="74"/>
  <c r="E159" i="74"/>
  <c r="J155" i="74"/>
  <c r="O155" i="78"/>
  <c r="D179" i="74"/>
  <c r="F167" i="74"/>
  <c r="P167" i="78" s="1"/>
  <c r="H167" i="74"/>
  <c r="E167" i="74"/>
  <c r="K150" i="74"/>
  <c r="J150" i="78"/>
  <c r="E156" i="74"/>
  <c r="K146" i="74"/>
  <c r="J146" i="78"/>
  <c r="E153" i="74"/>
  <c r="K148" i="74"/>
  <c r="J148" i="78"/>
  <c r="C3" i="81"/>
  <c r="Y19" i="78"/>
  <c r="Z18" i="78"/>
  <c r="M47" i="80"/>
  <c r="I47" i="80"/>
  <c r="J47" i="80"/>
  <c r="K47" i="80" s="1"/>
  <c r="E149" i="74"/>
  <c r="Y20" i="78" l="1"/>
  <c r="Z19" i="78"/>
  <c r="J167" i="78"/>
  <c r="I167" i="74"/>
  <c r="K167" i="74" s="1"/>
  <c r="D191" i="74"/>
  <c r="F179" i="74"/>
  <c r="P179" i="78" s="1"/>
  <c r="J159" i="74"/>
  <c r="O159" i="78"/>
  <c r="K159" i="74"/>
  <c r="J159" i="78"/>
  <c r="G161" i="74"/>
  <c r="I166" i="74"/>
  <c r="AJ49" i="81"/>
  <c r="N50" i="81"/>
  <c r="X49" i="81"/>
  <c r="H49" i="80"/>
  <c r="J49" i="80" s="1"/>
  <c r="E4" i="80"/>
  <c r="G165" i="74"/>
  <c r="E165" i="74"/>
  <c r="I168" i="74"/>
  <c r="B50" i="82"/>
  <c r="D50" i="81" s="1"/>
  <c r="D49" i="81"/>
  <c r="K160" i="74"/>
  <c r="J160" i="78"/>
  <c r="AB49" i="81"/>
  <c r="F50" i="81"/>
  <c r="AB50" i="81" s="1"/>
  <c r="K158" i="74"/>
  <c r="J158" i="78"/>
  <c r="F181" i="74"/>
  <c r="P181" i="78" s="1"/>
  <c r="D193" i="74"/>
  <c r="G162" i="74"/>
  <c r="D186" i="74"/>
  <c r="F174" i="74"/>
  <c r="P174" i="78" s="1"/>
  <c r="H164" i="74"/>
  <c r="G164" i="74"/>
  <c r="E163" i="74"/>
  <c r="D187" i="74"/>
  <c r="F175" i="74"/>
  <c r="P175" i="78" s="1"/>
  <c r="J149" i="74"/>
  <c r="O149" i="78"/>
  <c r="J156" i="74"/>
  <c r="O156" i="78"/>
  <c r="J167" i="74"/>
  <c r="O167" i="78"/>
  <c r="G167" i="74"/>
  <c r="I171" i="74"/>
  <c r="E171" i="74"/>
  <c r="D183" i="74"/>
  <c r="H171" i="74"/>
  <c r="F171" i="74"/>
  <c r="P171" i="78" s="1"/>
  <c r="G171" i="74"/>
  <c r="H161" i="74"/>
  <c r="F173" i="74"/>
  <c r="P173" i="78" s="1"/>
  <c r="D185" i="74"/>
  <c r="M65" i="74"/>
  <c r="O61" i="74"/>
  <c r="E166" i="74"/>
  <c r="K149" i="74"/>
  <c r="J149" i="78"/>
  <c r="H165" i="74"/>
  <c r="I165" i="74"/>
  <c r="H168" i="74"/>
  <c r="D184" i="74"/>
  <c r="F172" i="74"/>
  <c r="P172" i="78" s="1"/>
  <c r="I172" i="74"/>
  <c r="E172" i="74"/>
  <c r="G172" i="74"/>
  <c r="H172" i="74"/>
  <c r="J158" i="74"/>
  <c r="O158" i="78"/>
  <c r="T109" i="74"/>
  <c r="V110" i="74"/>
  <c r="H169" i="74"/>
  <c r="H162" i="74"/>
  <c r="I164" i="74"/>
  <c r="G163" i="74"/>
  <c r="J161" i="74"/>
  <c r="O161" i="78"/>
  <c r="G168" i="74"/>
  <c r="D192" i="74"/>
  <c r="F180" i="74"/>
  <c r="P180" i="78" s="1"/>
  <c r="C3" i="80"/>
  <c r="J160" i="74"/>
  <c r="O160" i="78"/>
  <c r="G169" i="74"/>
  <c r="E169" i="74"/>
  <c r="E162" i="74"/>
  <c r="D188" i="74"/>
  <c r="F176" i="74"/>
  <c r="P176" i="78" s="1"/>
  <c r="H176" i="74"/>
  <c r="H163" i="74"/>
  <c r="J153" i="74"/>
  <c r="O153" i="78"/>
  <c r="K154" i="74"/>
  <c r="J154" i="78"/>
  <c r="F178" i="74"/>
  <c r="P178" i="78" s="1"/>
  <c r="H178" i="74"/>
  <c r="D190" i="74"/>
  <c r="I161" i="74"/>
  <c r="G166" i="74"/>
  <c r="H166" i="74"/>
  <c r="I48" i="80"/>
  <c r="M48" i="80"/>
  <c r="J48" i="80"/>
  <c r="K48" i="80" s="1"/>
  <c r="M63" i="74"/>
  <c r="O59" i="74"/>
  <c r="H179" i="74" s="1"/>
  <c r="I177" i="74"/>
  <c r="E177" i="74"/>
  <c r="D189" i="74"/>
  <c r="F177" i="74"/>
  <c r="P177" i="78" s="1"/>
  <c r="G177" i="74"/>
  <c r="E168" i="74"/>
  <c r="Z48" i="81"/>
  <c r="B48" i="81"/>
  <c r="B48" i="80"/>
  <c r="C48" i="80" s="1"/>
  <c r="M68" i="74"/>
  <c r="O64" i="74"/>
  <c r="H170" i="74"/>
  <c r="G170" i="74"/>
  <c r="I170" i="74"/>
  <c r="E170" i="74"/>
  <c r="D182" i="74"/>
  <c r="F170" i="74"/>
  <c r="P170" i="78" s="1"/>
  <c r="I169" i="74"/>
  <c r="I162" i="74"/>
  <c r="M66" i="74"/>
  <c r="O62" i="74"/>
  <c r="E164" i="74"/>
  <c r="J179" i="78" l="1"/>
  <c r="K170" i="74"/>
  <c r="J170" i="78"/>
  <c r="J178" i="78"/>
  <c r="J170" i="74"/>
  <c r="O170" i="78"/>
  <c r="J164" i="74"/>
  <c r="O164" i="78"/>
  <c r="M72" i="74"/>
  <c r="O68" i="74"/>
  <c r="J168" i="74"/>
  <c r="O168" i="78"/>
  <c r="H177" i="74"/>
  <c r="M67" i="74"/>
  <c r="O63" i="74"/>
  <c r="K166" i="74"/>
  <c r="J166" i="78"/>
  <c r="E178" i="74"/>
  <c r="G178" i="74"/>
  <c r="E176" i="74"/>
  <c r="J162" i="74"/>
  <c r="O162" i="78"/>
  <c r="I180" i="74"/>
  <c r="D196" i="74"/>
  <c r="H184" i="74"/>
  <c r="G184" i="74"/>
  <c r="I184" i="74"/>
  <c r="E184" i="74"/>
  <c r="F184" i="74"/>
  <c r="P184" i="78" s="1"/>
  <c r="M69" i="74"/>
  <c r="O65" i="74"/>
  <c r="G185" i="74"/>
  <c r="F185" i="74"/>
  <c r="P185" i="78" s="1"/>
  <c r="D197" i="74"/>
  <c r="H185" i="74"/>
  <c r="I185" i="74"/>
  <c r="E185" i="74"/>
  <c r="J171" i="74"/>
  <c r="O171" i="78"/>
  <c r="E174" i="74"/>
  <c r="G193" i="74"/>
  <c r="F193" i="74"/>
  <c r="P193" i="78" s="1"/>
  <c r="D205" i="74"/>
  <c r="H193" i="74"/>
  <c r="I193" i="74"/>
  <c r="E193" i="74"/>
  <c r="J165" i="74"/>
  <c r="O165" i="78"/>
  <c r="I191" i="74"/>
  <c r="E191" i="74"/>
  <c r="D203" i="74"/>
  <c r="H191" i="74"/>
  <c r="F191" i="74"/>
  <c r="P191" i="78" s="1"/>
  <c r="G191" i="74"/>
  <c r="J177" i="74"/>
  <c r="O177" i="78"/>
  <c r="F190" i="74"/>
  <c r="P190" i="78" s="1"/>
  <c r="I190" i="74"/>
  <c r="E190" i="74"/>
  <c r="G190" i="74"/>
  <c r="D202" i="74"/>
  <c r="H190" i="74"/>
  <c r="K163" i="74"/>
  <c r="J163" i="78"/>
  <c r="I176" i="74"/>
  <c r="J169" i="74"/>
  <c r="O169" i="78"/>
  <c r="G180" i="74"/>
  <c r="K162" i="74"/>
  <c r="J162" i="78"/>
  <c r="J172" i="74"/>
  <c r="O172" i="78"/>
  <c r="K168" i="74"/>
  <c r="J168" i="78"/>
  <c r="E173" i="74"/>
  <c r="E175" i="74"/>
  <c r="I187" i="74"/>
  <c r="E187" i="74"/>
  <c r="D199" i="74"/>
  <c r="H187" i="74"/>
  <c r="F187" i="74"/>
  <c r="P187" i="78" s="1"/>
  <c r="G187" i="74"/>
  <c r="K164" i="74"/>
  <c r="J164" i="78"/>
  <c r="I174" i="74"/>
  <c r="E181" i="74"/>
  <c r="Z49" i="81"/>
  <c r="B49" i="81"/>
  <c r="B49" i="80"/>
  <c r="AJ50" i="81"/>
  <c r="X50" i="81"/>
  <c r="H50" i="80"/>
  <c r="J50" i="80" s="1"/>
  <c r="K50" i="80" s="1"/>
  <c r="G179" i="74"/>
  <c r="E179" i="74"/>
  <c r="M70" i="74"/>
  <c r="O66" i="74"/>
  <c r="F182" i="74"/>
  <c r="P182" i="78" s="1"/>
  <c r="I182" i="74"/>
  <c r="E182" i="74"/>
  <c r="G182" i="74"/>
  <c r="D194" i="74"/>
  <c r="H182" i="74"/>
  <c r="H180" i="74"/>
  <c r="K169" i="74"/>
  <c r="J169" i="78"/>
  <c r="J166" i="74"/>
  <c r="O166" i="78"/>
  <c r="I173" i="74"/>
  <c r="G173" i="74"/>
  <c r="K171" i="74"/>
  <c r="J171" i="78"/>
  <c r="I175" i="74"/>
  <c r="G175" i="74"/>
  <c r="G174" i="74"/>
  <c r="I181" i="74"/>
  <c r="G181" i="74"/>
  <c r="Z50" i="81"/>
  <c r="B50" i="81"/>
  <c r="B50" i="80"/>
  <c r="I179" i="74"/>
  <c r="K179" i="74" s="1"/>
  <c r="K176" i="74"/>
  <c r="J176" i="78"/>
  <c r="G189" i="74"/>
  <c r="F189" i="74"/>
  <c r="P189" i="78" s="1"/>
  <c r="D201" i="74"/>
  <c r="H189" i="74"/>
  <c r="I189" i="74"/>
  <c r="E189" i="74"/>
  <c r="I178" i="74"/>
  <c r="K178" i="74" s="1"/>
  <c r="G176" i="74"/>
  <c r="D200" i="74"/>
  <c r="H188" i="74"/>
  <c r="G188" i="74"/>
  <c r="I188" i="74"/>
  <c r="E188" i="74"/>
  <c r="F188" i="74"/>
  <c r="P188" i="78" s="1"/>
  <c r="E180" i="74"/>
  <c r="D204" i="74"/>
  <c r="H192" i="74"/>
  <c r="G192" i="74"/>
  <c r="I192" i="74"/>
  <c r="E192" i="74"/>
  <c r="F192" i="74"/>
  <c r="P192" i="78" s="1"/>
  <c r="T110" i="74"/>
  <c r="V111" i="74"/>
  <c r="K172" i="74"/>
  <c r="J172" i="78"/>
  <c r="K165" i="74"/>
  <c r="J165" i="78"/>
  <c r="H173" i="74"/>
  <c r="K161" i="74"/>
  <c r="J161" i="78"/>
  <c r="I183" i="74"/>
  <c r="E183" i="74"/>
  <c r="D195" i="74"/>
  <c r="H183" i="74"/>
  <c r="F183" i="74"/>
  <c r="P183" i="78" s="1"/>
  <c r="G183" i="74"/>
  <c r="H175" i="74"/>
  <c r="J163" i="74"/>
  <c r="O163" i="78"/>
  <c r="F186" i="74"/>
  <c r="P186" i="78" s="1"/>
  <c r="I186" i="74"/>
  <c r="E186" i="74"/>
  <c r="G186" i="74"/>
  <c r="D198" i="74"/>
  <c r="H186" i="74"/>
  <c r="H174" i="74"/>
  <c r="H181" i="74"/>
  <c r="K49" i="80"/>
  <c r="Y21" i="78"/>
  <c r="Z20" i="78"/>
  <c r="J186" i="74" l="1"/>
  <c r="O186" i="78"/>
  <c r="F198" i="74"/>
  <c r="P198" i="78" s="1"/>
  <c r="D210" i="74"/>
  <c r="J183" i="74"/>
  <c r="O183" i="78"/>
  <c r="K173" i="74"/>
  <c r="J173" i="78"/>
  <c r="J192" i="74"/>
  <c r="O192" i="78"/>
  <c r="D216" i="74"/>
  <c r="F204" i="74"/>
  <c r="P204" i="78" s="1"/>
  <c r="K189" i="74"/>
  <c r="J189" i="78"/>
  <c r="K182" i="74"/>
  <c r="J182" i="78"/>
  <c r="J179" i="74"/>
  <c r="O179" i="78"/>
  <c r="J181" i="74"/>
  <c r="O181" i="78"/>
  <c r="J187" i="74"/>
  <c r="O187" i="78"/>
  <c r="K190" i="74"/>
  <c r="J190" i="78"/>
  <c r="J191" i="74"/>
  <c r="O191" i="78"/>
  <c r="J193" i="74"/>
  <c r="O193" i="78"/>
  <c r="F197" i="74"/>
  <c r="P197" i="78" s="1"/>
  <c r="D209" i="74"/>
  <c r="E197" i="74"/>
  <c r="M73" i="74"/>
  <c r="O69" i="74"/>
  <c r="J178" i="74"/>
  <c r="O178" i="78"/>
  <c r="M71" i="74"/>
  <c r="O67" i="74"/>
  <c r="E198" i="74" s="1"/>
  <c r="V112" i="74"/>
  <c r="T111" i="74"/>
  <c r="J180" i="74"/>
  <c r="O180" i="78"/>
  <c r="F201" i="74"/>
  <c r="P201" i="78" s="1"/>
  <c r="D213" i="74"/>
  <c r="H201" i="74"/>
  <c r="E201" i="74"/>
  <c r="F194" i="74"/>
  <c r="P194" i="78" s="1"/>
  <c r="I194" i="74"/>
  <c r="E194" i="74"/>
  <c r="G194" i="74"/>
  <c r="D206" i="74"/>
  <c r="H194" i="74"/>
  <c r="F202" i="74"/>
  <c r="P202" i="78" s="1"/>
  <c r="I202" i="74"/>
  <c r="G202" i="74"/>
  <c r="D214" i="74"/>
  <c r="H202" i="74"/>
  <c r="J185" i="74"/>
  <c r="O185" i="78"/>
  <c r="K184" i="74"/>
  <c r="J184" i="78"/>
  <c r="K177" i="74"/>
  <c r="J177" i="78"/>
  <c r="M76" i="74"/>
  <c r="O72" i="74"/>
  <c r="K183" i="74"/>
  <c r="J183" i="78"/>
  <c r="K188" i="74"/>
  <c r="J188" i="78"/>
  <c r="J189" i="74"/>
  <c r="O189" i="78"/>
  <c r="K191" i="74"/>
  <c r="J191" i="78"/>
  <c r="K193" i="74"/>
  <c r="J193" i="78"/>
  <c r="J174" i="74"/>
  <c r="O174" i="78"/>
  <c r="J184" i="74"/>
  <c r="O184" i="78"/>
  <c r="D208" i="74"/>
  <c r="H196" i="74"/>
  <c r="G196" i="74"/>
  <c r="I196" i="74"/>
  <c r="E196" i="74"/>
  <c r="F196" i="74"/>
  <c r="P196" i="78" s="1"/>
  <c r="J176" i="74"/>
  <c r="O176" i="78"/>
  <c r="K181" i="74"/>
  <c r="J181" i="78"/>
  <c r="K174" i="74"/>
  <c r="J174" i="78"/>
  <c r="K187" i="74"/>
  <c r="J187" i="78"/>
  <c r="J175" i="74"/>
  <c r="O175" i="78"/>
  <c r="Y22" i="78"/>
  <c r="Z21" i="78"/>
  <c r="K186" i="74"/>
  <c r="J186" i="78"/>
  <c r="K175" i="74"/>
  <c r="J175" i="78"/>
  <c r="I195" i="74"/>
  <c r="E195" i="74"/>
  <c r="D207" i="74"/>
  <c r="H195" i="74"/>
  <c r="F195" i="74"/>
  <c r="P195" i="78" s="1"/>
  <c r="G195" i="74"/>
  <c r="K192" i="74"/>
  <c r="J192" i="78"/>
  <c r="J188" i="74"/>
  <c r="O188" i="78"/>
  <c r="D212" i="74"/>
  <c r="H200" i="74"/>
  <c r="I200" i="74"/>
  <c r="F200" i="74"/>
  <c r="P200" i="78" s="1"/>
  <c r="K180" i="74"/>
  <c r="J180" i="78"/>
  <c r="J182" i="74"/>
  <c r="O182" i="78"/>
  <c r="M74" i="74"/>
  <c r="O70" i="74"/>
  <c r="E199" i="74"/>
  <c r="D211" i="74"/>
  <c r="H199" i="74"/>
  <c r="F199" i="74"/>
  <c r="P199" i="78" s="1"/>
  <c r="G199" i="74"/>
  <c r="J173" i="74"/>
  <c r="O173" i="78"/>
  <c r="J190" i="74"/>
  <c r="O190" i="78"/>
  <c r="E203" i="74"/>
  <c r="D215" i="74"/>
  <c r="H203" i="74"/>
  <c r="F203" i="74"/>
  <c r="P203" i="78" s="1"/>
  <c r="G203" i="74"/>
  <c r="G205" i="74"/>
  <c r="F205" i="74"/>
  <c r="P205" i="78" s="1"/>
  <c r="D217" i="74"/>
  <c r="H205" i="74"/>
  <c r="I205" i="74"/>
  <c r="E205" i="74"/>
  <c r="K185" i="74"/>
  <c r="J185" i="78"/>
  <c r="J198" i="74" l="1"/>
  <c r="O198" i="78"/>
  <c r="J205" i="74"/>
  <c r="O205" i="78"/>
  <c r="K205" i="74"/>
  <c r="J205" i="78"/>
  <c r="J203" i="74"/>
  <c r="O203" i="78"/>
  <c r="J199" i="78"/>
  <c r="J195" i="74"/>
  <c r="O195" i="78"/>
  <c r="K194" i="74"/>
  <c r="J194" i="78"/>
  <c r="J201" i="78"/>
  <c r="H197" i="74"/>
  <c r="H204" i="74"/>
  <c r="H198" i="74"/>
  <c r="I198" i="74"/>
  <c r="F217" i="74"/>
  <c r="P217" i="78" s="1"/>
  <c r="D229" i="74"/>
  <c r="E217" i="74"/>
  <c r="I203" i="74"/>
  <c r="I211" i="74"/>
  <c r="D223" i="74"/>
  <c r="F211" i="74"/>
  <c r="P211" i="78" s="1"/>
  <c r="M78" i="74"/>
  <c r="O74" i="74"/>
  <c r="G200" i="74"/>
  <c r="E202" i="74"/>
  <c r="F206" i="74"/>
  <c r="P206" i="78" s="1"/>
  <c r="I206" i="74"/>
  <c r="E206" i="74"/>
  <c r="G206" i="74"/>
  <c r="D218" i="74"/>
  <c r="H206" i="74"/>
  <c r="G213" i="74"/>
  <c r="F213" i="74"/>
  <c r="P213" i="78" s="1"/>
  <c r="D225" i="74"/>
  <c r="I213" i="74"/>
  <c r="E213" i="74"/>
  <c r="M75" i="74"/>
  <c r="O71" i="74"/>
  <c r="G217" i="74" s="1"/>
  <c r="M77" i="74"/>
  <c r="O73" i="74"/>
  <c r="H217" i="74" s="1"/>
  <c r="G209" i="74"/>
  <c r="F209" i="74"/>
  <c r="P209" i="78" s="1"/>
  <c r="D221" i="74"/>
  <c r="H209" i="74"/>
  <c r="I209" i="74"/>
  <c r="E209" i="74"/>
  <c r="E204" i="74"/>
  <c r="D228" i="74"/>
  <c r="H216" i="74"/>
  <c r="G216" i="74"/>
  <c r="I216" i="74"/>
  <c r="E216" i="74"/>
  <c r="F216" i="74"/>
  <c r="P216" i="78" s="1"/>
  <c r="F210" i="74"/>
  <c r="P210" i="78" s="1"/>
  <c r="I210" i="74"/>
  <c r="E210" i="74"/>
  <c r="G210" i="74"/>
  <c r="D222" i="74"/>
  <c r="H210" i="74"/>
  <c r="K203" i="74"/>
  <c r="J203" i="78"/>
  <c r="K200" i="74"/>
  <c r="J200" i="78"/>
  <c r="K202" i="74"/>
  <c r="J202" i="78"/>
  <c r="I204" i="74"/>
  <c r="G198" i="74"/>
  <c r="J199" i="74"/>
  <c r="O199" i="78"/>
  <c r="K195" i="74"/>
  <c r="J195" i="78"/>
  <c r="K196" i="74"/>
  <c r="J196" i="78"/>
  <c r="J201" i="74"/>
  <c r="O201" i="78"/>
  <c r="J197" i="74"/>
  <c r="O197" i="78"/>
  <c r="I215" i="74"/>
  <c r="E215" i="74"/>
  <c r="D227" i="74"/>
  <c r="H215" i="74"/>
  <c r="F215" i="74"/>
  <c r="P215" i="78" s="1"/>
  <c r="G215" i="74"/>
  <c r="I199" i="74"/>
  <c r="K199" i="74" s="1"/>
  <c r="E200" i="74"/>
  <c r="D224" i="74"/>
  <c r="H212" i="74"/>
  <c r="G212" i="74"/>
  <c r="I212" i="74"/>
  <c r="E212" i="74"/>
  <c r="F212" i="74"/>
  <c r="P212" i="78" s="1"/>
  <c r="I207" i="74"/>
  <c r="E207" i="74"/>
  <c r="D219" i="74"/>
  <c r="H207" i="74"/>
  <c r="F207" i="74"/>
  <c r="P207" i="78" s="1"/>
  <c r="G207" i="74"/>
  <c r="Y23" i="78"/>
  <c r="Z22" i="78"/>
  <c r="J196" i="74"/>
  <c r="O196" i="78"/>
  <c r="D220" i="74"/>
  <c r="H208" i="74"/>
  <c r="G208" i="74"/>
  <c r="I208" i="74"/>
  <c r="E208" i="74"/>
  <c r="F208" i="74"/>
  <c r="P208" i="78" s="1"/>
  <c r="M80" i="74"/>
  <c r="O76" i="74"/>
  <c r="F214" i="74"/>
  <c r="P214" i="78" s="1"/>
  <c r="I214" i="74"/>
  <c r="E214" i="74"/>
  <c r="G214" i="74"/>
  <c r="D226" i="74"/>
  <c r="H214" i="74"/>
  <c r="J194" i="74"/>
  <c r="O194" i="78"/>
  <c r="I201" i="74"/>
  <c r="K201" i="74" s="1"/>
  <c r="G201" i="74"/>
  <c r="V113" i="74"/>
  <c r="T112" i="74"/>
  <c r="I197" i="74"/>
  <c r="G197" i="74"/>
  <c r="G204" i="74"/>
  <c r="J217" i="78" l="1"/>
  <c r="K207" i="74"/>
  <c r="J207" i="78"/>
  <c r="K212" i="74"/>
  <c r="J212" i="78"/>
  <c r="J215" i="74"/>
  <c r="O215" i="78"/>
  <c r="K210" i="74"/>
  <c r="J210" i="78"/>
  <c r="J204" i="74"/>
  <c r="O204" i="78"/>
  <c r="F221" i="74"/>
  <c r="P221" i="78" s="1"/>
  <c r="D233" i="74"/>
  <c r="M81" i="74"/>
  <c r="O77" i="74"/>
  <c r="J206" i="74"/>
  <c r="O206" i="78"/>
  <c r="K208" i="74"/>
  <c r="J208" i="78"/>
  <c r="F226" i="74"/>
  <c r="P226" i="78" s="1"/>
  <c r="D238" i="74"/>
  <c r="J208" i="74"/>
  <c r="O208" i="78"/>
  <c r="D232" i="74"/>
  <c r="H220" i="74"/>
  <c r="G220" i="74"/>
  <c r="I220" i="74"/>
  <c r="E220" i="74"/>
  <c r="F220" i="74"/>
  <c r="P220" i="78" s="1"/>
  <c r="Y24" i="78"/>
  <c r="Z23" i="78"/>
  <c r="I219" i="74"/>
  <c r="E219" i="74"/>
  <c r="D231" i="74"/>
  <c r="H219" i="74"/>
  <c r="F219" i="74"/>
  <c r="P219" i="78" s="1"/>
  <c r="G219" i="74"/>
  <c r="J212" i="74"/>
  <c r="O212" i="78"/>
  <c r="D236" i="74"/>
  <c r="F224" i="74"/>
  <c r="P224" i="78" s="1"/>
  <c r="F222" i="74"/>
  <c r="P222" i="78" s="1"/>
  <c r="G222" i="74"/>
  <c r="D234" i="74"/>
  <c r="J209" i="74"/>
  <c r="O209" i="78"/>
  <c r="H213" i="74"/>
  <c r="K206" i="74"/>
  <c r="J206" i="78"/>
  <c r="H211" i="74"/>
  <c r="F229" i="74"/>
  <c r="P229" i="78" s="1"/>
  <c r="D241" i="74"/>
  <c r="H229" i="74"/>
  <c r="K198" i="74"/>
  <c r="J198" i="78"/>
  <c r="K214" i="74"/>
  <c r="J214" i="78"/>
  <c r="K216" i="74"/>
  <c r="J216" i="78"/>
  <c r="M79" i="74"/>
  <c r="O75" i="74"/>
  <c r="G221" i="74" s="1"/>
  <c r="F225" i="74"/>
  <c r="P225" i="78" s="1"/>
  <c r="D237" i="74"/>
  <c r="H225" i="74"/>
  <c r="E225" i="74"/>
  <c r="F218" i="74"/>
  <c r="P218" i="78" s="1"/>
  <c r="I218" i="74"/>
  <c r="E218" i="74"/>
  <c r="G218" i="74"/>
  <c r="D230" i="74"/>
  <c r="H218" i="74"/>
  <c r="M82" i="74"/>
  <c r="O78" i="74"/>
  <c r="E223" i="74"/>
  <c r="D235" i="74"/>
  <c r="H223" i="74"/>
  <c r="F223" i="74"/>
  <c r="P223" i="78" s="1"/>
  <c r="G223" i="74"/>
  <c r="J217" i="74"/>
  <c r="O217" i="78"/>
  <c r="K204" i="74"/>
  <c r="J204" i="78"/>
  <c r="J207" i="74"/>
  <c r="O207" i="78"/>
  <c r="J200" i="74"/>
  <c r="O200" i="78"/>
  <c r="K215" i="74"/>
  <c r="J215" i="78"/>
  <c r="T113" i="74"/>
  <c r="V114" i="74"/>
  <c r="J214" i="74"/>
  <c r="O214" i="78"/>
  <c r="M84" i="74"/>
  <c r="O80" i="74"/>
  <c r="E227" i="74"/>
  <c r="D239" i="74"/>
  <c r="H227" i="74"/>
  <c r="F227" i="74"/>
  <c r="P227" i="78" s="1"/>
  <c r="G227" i="74"/>
  <c r="J210" i="74"/>
  <c r="O210" i="78"/>
  <c r="J216" i="74"/>
  <c r="O216" i="78"/>
  <c r="D240" i="74"/>
  <c r="H228" i="74"/>
  <c r="G228" i="74"/>
  <c r="I228" i="74"/>
  <c r="F228" i="74"/>
  <c r="P228" i="78" s="1"/>
  <c r="K209" i="74"/>
  <c r="J209" i="78"/>
  <c r="J213" i="74"/>
  <c r="O213" i="78"/>
  <c r="J202" i="74"/>
  <c r="O202" i="78"/>
  <c r="G211" i="74"/>
  <c r="E211" i="74"/>
  <c r="I217" i="74"/>
  <c r="K217" i="74" s="1"/>
  <c r="K197" i="74"/>
  <c r="J197" i="78"/>
  <c r="J227" i="74" l="1"/>
  <c r="O227" i="78"/>
  <c r="K223" i="74"/>
  <c r="J223" i="78"/>
  <c r="J225" i="74"/>
  <c r="O225" i="78"/>
  <c r="J211" i="74"/>
  <c r="O211" i="78"/>
  <c r="K228" i="74"/>
  <c r="J228" i="78"/>
  <c r="J227" i="78"/>
  <c r="T114" i="74"/>
  <c r="V115" i="74"/>
  <c r="J223" i="74"/>
  <c r="O223" i="78"/>
  <c r="I222" i="74"/>
  <c r="I224" i="74"/>
  <c r="K219" i="74"/>
  <c r="J219" i="78"/>
  <c r="G226" i="74"/>
  <c r="H221" i="74"/>
  <c r="K218" i="74"/>
  <c r="J218" i="78"/>
  <c r="J225" i="78"/>
  <c r="E229" i="74"/>
  <c r="H222" i="74"/>
  <c r="E228" i="74"/>
  <c r="D252" i="74"/>
  <c r="H240" i="74"/>
  <c r="F240" i="74"/>
  <c r="P240" i="78" s="1"/>
  <c r="D251" i="74"/>
  <c r="H239" i="74"/>
  <c r="F239" i="74"/>
  <c r="P239" i="78" s="1"/>
  <c r="M88" i="74"/>
  <c r="O84" i="74"/>
  <c r="I223" i="74"/>
  <c r="F230" i="74"/>
  <c r="P230" i="78" s="1"/>
  <c r="I230" i="74"/>
  <c r="E230" i="74"/>
  <c r="G230" i="74"/>
  <c r="D242" i="74"/>
  <c r="H230" i="74"/>
  <c r="G237" i="74"/>
  <c r="F237" i="74"/>
  <c r="P237" i="78" s="1"/>
  <c r="D249" i="74"/>
  <c r="I237" i="74"/>
  <c r="E237" i="74"/>
  <c r="M83" i="74"/>
  <c r="O79" i="74"/>
  <c r="I240" i="74" s="1"/>
  <c r="I229" i="74"/>
  <c r="G229" i="74"/>
  <c r="K213" i="74"/>
  <c r="J213" i="78"/>
  <c r="F234" i="74"/>
  <c r="P234" i="78" s="1"/>
  <c r="I234" i="74"/>
  <c r="G234" i="74"/>
  <c r="D246" i="74"/>
  <c r="H234" i="74"/>
  <c r="G224" i="74"/>
  <c r="I231" i="74"/>
  <c r="E231" i="74"/>
  <c r="D243" i="74"/>
  <c r="H231" i="74"/>
  <c r="F231" i="74"/>
  <c r="P231" i="78" s="1"/>
  <c r="G231" i="74"/>
  <c r="Y25" i="78"/>
  <c r="Z24" i="78"/>
  <c r="E226" i="74"/>
  <c r="M85" i="74"/>
  <c r="O81" i="74"/>
  <c r="E241" i="74" s="1"/>
  <c r="G233" i="74"/>
  <c r="F233" i="74"/>
  <c r="P233" i="78" s="1"/>
  <c r="D245" i="74"/>
  <c r="H233" i="74"/>
  <c r="I233" i="74"/>
  <c r="E233" i="74"/>
  <c r="H224" i="74"/>
  <c r="J219" i="74"/>
  <c r="O219" i="78"/>
  <c r="K220" i="74"/>
  <c r="J220" i="78"/>
  <c r="H226" i="74"/>
  <c r="I226" i="74"/>
  <c r="E221" i="74"/>
  <c r="K229" i="74"/>
  <c r="J229" i="78"/>
  <c r="K211" i="74"/>
  <c r="J211" i="78"/>
  <c r="I227" i="74"/>
  <c r="K227" i="74" s="1"/>
  <c r="I235" i="74"/>
  <c r="E235" i="74"/>
  <c r="D247" i="74"/>
  <c r="H235" i="74"/>
  <c r="F235" i="74"/>
  <c r="P235" i="78" s="1"/>
  <c r="G235" i="74"/>
  <c r="M86" i="74"/>
  <c r="O82" i="74"/>
  <c r="J218" i="74"/>
  <c r="O218" i="78"/>
  <c r="I225" i="74"/>
  <c r="K225" i="74" s="1"/>
  <c r="G225" i="74"/>
  <c r="G241" i="74"/>
  <c r="F241" i="74"/>
  <c r="P241" i="78" s="1"/>
  <c r="D253" i="74"/>
  <c r="H241" i="74"/>
  <c r="I241" i="74"/>
  <c r="E222" i="74"/>
  <c r="E224" i="74"/>
  <c r="D248" i="74"/>
  <c r="H236" i="74"/>
  <c r="G236" i="74"/>
  <c r="I236" i="74"/>
  <c r="E236" i="74"/>
  <c r="F236" i="74"/>
  <c r="P236" i="78" s="1"/>
  <c r="J220" i="74"/>
  <c r="O220" i="78"/>
  <c r="D244" i="74"/>
  <c r="H232" i="74"/>
  <c r="G232" i="74"/>
  <c r="I232" i="74"/>
  <c r="E232" i="74"/>
  <c r="F232" i="74"/>
  <c r="P232" i="78" s="1"/>
  <c r="F238" i="74"/>
  <c r="P238" i="78" s="1"/>
  <c r="I238" i="74"/>
  <c r="E238" i="74"/>
  <c r="G238" i="74"/>
  <c r="D250" i="74"/>
  <c r="H238" i="74"/>
  <c r="I221" i="74"/>
  <c r="J241" i="74" l="1"/>
  <c r="O241" i="78"/>
  <c r="K238" i="74"/>
  <c r="J238" i="78"/>
  <c r="J224" i="74"/>
  <c r="O224" i="78"/>
  <c r="K235" i="74"/>
  <c r="J235" i="78"/>
  <c r="J238" i="74"/>
  <c r="O238" i="78"/>
  <c r="J232" i="74"/>
  <c r="O232" i="78"/>
  <c r="D256" i="74"/>
  <c r="H244" i="74"/>
  <c r="G244" i="74"/>
  <c r="I244" i="74"/>
  <c r="E244" i="74"/>
  <c r="F244" i="74"/>
  <c r="P244" i="78" s="1"/>
  <c r="J236" i="74"/>
  <c r="O236" i="78"/>
  <c r="D260" i="74"/>
  <c r="F248" i="74"/>
  <c r="P248" i="78" s="1"/>
  <c r="K226" i="74"/>
  <c r="J226" i="78"/>
  <c r="K233" i="74"/>
  <c r="J233" i="78"/>
  <c r="Y26" i="78"/>
  <c r="Z25" i="78"/>
  <c r="I243" i="74"/>
  <c r="E243" i="74"/>
  <c r="D255" i="74"/>
  <c r="H243" i="74"/>
  <c r="F243" i="74"/>
  <c r="P243" i="78" s="1"/>
  <c r="G243" i="74"/>
  <c r="K234" i="74"/>
  <c r="J234" i="78"/>
  <c r="J237" i="74"/>
  <c r="O237" i="78"/>
  <c r="I239" i="74"/>
  <c r="K239" i="74" s="1"/>
  <c r="G240" i="74"/>
  <c r="K222" i="74"/>
  <c r="J222" i="78"/>
  <c r="K224" i="74"/>
  <c r="J224" i="78"/>
  <c r="F245" i="74"/>
  <c r="P245" i="78" s="1"/>
  <c r="D257" i="74"/>
  <c r="M89" i="74"/>
  <c r="O85" i="74"/>
  <c r="J230" i="74"/>
  <c r="O230" i="78"/>
  <c r="J239" i="78"/>
  <c r="K240" i="74"/>
  <c r="J240" i="78"/>
  <c r="F250" i="74"/>
  <c r="P250" i="78" s="1"/>
  <c r="D262" i="74"/>
  <c r="J222" i="74"/>
  <c r="O222" i="78"/>
  <c r="F253" i="74"/>
  <c r="P253" i="78" s="1"/>
  <c r="D265" i="74"/>
  <c r="M90" i="74"/>
  <c r="O86" i="74"/>
  <c r="D259" i="74"/>
  <c r="F247" i="74"/>
  <c r="P247" i="78" s="1"/>
  <c r="J221" i="74"/>
  <c r="O221" i="78"/>
  <c r="J233" i="74"/>
  <c r="O233" i="78"/>
  <c r="J226" i="74"/>
  <c r="O226" i="78"/>
  <c r="H237" i="74"/>
  <c r="K230" i="74"/>
  <c r="J230" i="78"/>
  <c r="M92" i="74"/>
  <c r="O88" i="74"/>
  <c r="D263" i="74"/>
  <c r="F251" i="74"/>
  <c r="P251" i="78" s="1"/>
  <c r="E240" i="74"/>
  <c r="D264" i="74"/>
  <c r="F252" i="74"/>
  <c r="P252" i="78" s="1"/>
  <c r="K221" i="74"/>
  <c r="J221" i="78"/>
  <c r="V116" i="74"/>
  <c r="T115" i="74"/>
  <c r="K241" i="74"/>
  <c r="J241" i="78"/>
  <c r="J231" i="74"/>
  <c r="O231" i="78"/>
  <c r="F246" i="74"/>
  <c r="P246" i="78" s="1"/>
  <c r="D258" i="74"/>
  <c r="J229" i="74"/>
  <c r="O229" i="78"/>
  <c r="K232" i="74"/>
  <c r="J232" i="78"/>
  <c r="K236" i="74"/>
  <c r="J236" i="78"/>
  <c r="J235" i="74"/>
  <c r="O235" i="78"/>
  <c r="K231" i="74"/>
  <c r="J231" i="78"/>
  <c r="E234" i="74"/>
  <c r="M87" i="74"/>
  <c r="O83" i="74"/>
  <c r="E248" i="74" s="1"/>
  <c r="F249" i="74"/>
  <c r="P249" i="78" s="1"/>
  <c r="D261" i="74"/>
  <c r="H249" i="74"/>
  <c r="F242" i="74"/>
  <c r="P242" i="78" s="1"/>
  <c r="I242" i="74"/>
  <c r="E242" i="74"/>
  <c r="G242" i="74"/>
  <c r="D254" i="74"/>
  <c r="H242" i="74"/>
  <c r="G239" i="74"/>
  <c r="E239" i="74"/>
  <c r="J228" i="74"/>
  <c r="O228" i="78"/>
  <c r="J248" i="74" l="1"/>
  <c r="O248" i="78"/>
  <c r="J249" i="78"/>
  <c r="E246" i="74"/>
  <c r="V117" i="74"/>
  <c r="T116" i="74"/>
  <c r="D276" i="74"/>
  <c r="F264" i="74"/>
  <c r="P264" i="78" s="1"/>
  <c r="M93" i="74"/>
  <c r="O89" i="74"/>
  <c r="I263" i="74" s="1"/>
  <c r="F257" i="74"/>
  <c r="P257" i="78" s="1"/>
  <c r="D269" i="74"/>
  <c r="H257" i="74"/>
  <c r="Y27" i="78"/>
  <c r="Z26" i="78"/>
  <c r="M91" i="74"/>
  <c r="O87" i="74"/>
  <c r="H264" i="74" s="1"/>
  <c r="H246" i="74"/>
  <c r="J240" i="74"/>
  <c r="O240" i="78"/>
  <c r="D275" i="74"/>
  <c r="F263" i="74"/>
  <c r="P263" i="78" s="1"/>
  <c r="M96" i="74"/>
  <c r="O92" i="74"/>
  <c r="J242" i="74"/>
  <c r="O242" i="78"/>
  <c r="I249" i="74"/>
  <c r="K249" i="74" s="1"/>
  <c r="G249" i="74"/>
  <c r="G246" i="74"/>
  <c r="H252" i="74"/>
  <c r="I251" i="74"/>
  <c r="G247" i="74"/>
  <c r="E247" i="74"/>
  <c r="E253" i="74"/>
  <c r="H250" i="74"/>
  <c r="I250" i="74"/>
  <c r="H245" i="74"/>
  <c r="K243" i="74"/>
  <c r="J243" i="78"/>
  <c r="I248" i="74"/>
  <c r="K242" i="74"/>
  <c r="J242" i="78"/>
  <c r="E252" i="74"/>
  <c r="H251" i="74"/>
  <c r="K237" i="74"/>
  <c r="J237" i="78"/>
  <c r="I247" i="74"/>
  <c r="I253" i="74"/>
  <c r="G253" i="74"/>
  <c r="F262" i="74"/>
  <c r="P262" i="78" s="1"/>
  <c r="I262" i="74"/>
  <c r="E262" i="74"/>
  <c r="G262" i="74"/>
  <c r="D274" i="74"/>
  <c r="H262" i="74"/>
  <c r="I255" i="74"/>
  <c r="E255" i="74"/>
  <c r="D267" i="74"/>
  <c r="H255" i="74"/>
  <c r="F255" i="74"/>
  <c r="P255" i="78" s="1"/>
  <c r="G255" i="74"/>
  <c r="G248" i="74"/>
  <c r="F254" i="74"/>
  <c r="P254" i="78" s="1"/>
  <c r="I254" i="74"/>
  <c r="E254" i="74"/>
  <c r="G254" i="74"/>
  <c r="D266" i="74"/>
  <c r="H254" i="74"/>
  <c r="G261" i="74"/>
  <c r="F261" i="74"/>
  <c r="P261" i="78" s="1"/>
  <c r="D273" i="74"/>
  <c r="H261" i="74"/>
  <c r="I261" i="74"/>
  <c r="E261" i="74"/>
  <c r="I246" i="74"/>
  <c r="I252" i="74"/>
  <c r="H247" i="74"/>
  <c r="H253" i="74"/>
  <c r="G250" i="74"/>
  <c r="E245" i="74"/>
  <c r="J243" i="74"/>
  <c r="O243" i="78"/>
  <c r="H248" i="74"/>
  <c r="K244" i="74"/>
  <c r="J244" i="78"/>
  <c r="J239" i="74"/>
  <c r="O239" i="78"/>
  <c r="E249" i="74"/>
  <c r="J234" i="74"/>
  <c r="O234" i="78"/>
  <c r="F258" i="74"/>
  <c r="P258" i="78" s="1"/>
  <c r="I258" i="74"/>
  <c r="E258" i="74"/>
  <c r="G258" i="74"/>
  <c r="D270" i="74"/>
  <c r="H258" i="74"/>
  <c r="G252" i="74"/>
  <c r="G251" i="74"/>
  <c r="E251" i="74"/>
  <c r="I259" i="74"/>
  <c r="E259" i="74"/>
  <c r="D271" i="74"/>
  <c r="H259" i="74"/>
  <c r="F259" i="74"/>
  <c r="P259" i="78" s="1"/>
  <c r="G259" i="74"/>
  <c r="M94" i="74"/>
  <c r="O90" i="74"/>
  <c r="F265" i="74"/>
  <c r="P265" i="78" s="1"/>
  <c r="D277" i="74"/>
  <c r="H265" i="74"/>
  <c r="E250" i="74"/>
  <c r="I245" i="74"/>
  <c r="G245" i="74"/>
  <c r="D272" i="74"/>
  <c r="H260" i="74"/>
  <c r="G260" i="74"/>
  <c r="I260" i="74"/>
  <c r="E260" i="74"/>
  <c r="F260" i="74"/>
  <c r="P260" i="78" s="1"/>
  <c r="J244" i="74"/>
  <c r="O244" i="78"/>
  <c r="D268" i="74"/>
  <c r="H256" i="74"/>
  <c r="G256" i="74"/>
  <c r="I256" i="74"/>
  <c r="E256" i="74"/>
  <c r="F256" i="74"/>
  <c r="P256" i="78" s="1"/>
  <c r="J264" i="78" l="1"/>
  <c r="K259" i="74"/>
  <c r="J259" i="78"/>
  <c r="J251" i="74"/>
  <c r="O251" i="78"/>
  <c r="F270" i="74"/>
  <c r="P270" i="78" s="1"/>
  <c r="D282" i="74"/>
  <c r="K262" i="74"/>
  <c r="J262" i="78"/>
  <c r="K250" i="74"/>
  <c r="J250" i="78"/>
  <c r="O96" i="74"/>
  <c r="M100" i="74"/>
  <c r="D287" i="74"/>
  <c r="F275" i="74"/>
  <c r="P275" i="78" s="1"/>
  <c r="J257" i="78"/>
  <c r="I264" i="74"/>
  <c r="K264" i="74" s="1"/>
  <c r="J250" i="74"/>
  <c r="O250" i="78"/>
  <c r="F277" i="74"/>
  <c r="P277" i="78" s="1"/>
  <c r="D289" i="74"/>
  <c r="M98" i="74"/>
  <c r="O94" i="74"/>
  <c r="D283" i="74"/>
  <c r="F271" i="74"/>
  <c r="P271" i="78" s="1"/>
  <c r="K253" i="74"/>
  <c r="J253" i="78"/>
  <c r="J261" i="74"/>
  <c r="O261" i="78"/>
  <c r="K246" i="74"/>
  <c r="J246" i="78"/>
  <c r="I265" i="74"/>
  <c r="G265" i="74"/>
  <c r="K258" i="74"/>
  <c r="J258" i="78"/>
  <c r="J249" i="74"/>
  <c r="O249" i="78"/>
  <c r="J245" i="74"/>
  <c r="O245" i="78"/>
  <c r="K261" i="74"/>
  <c r="J261" i="78"/>
  <c r="K254" i="74"/>
  <c r="J254" i="78"/>
  <c r="J262" i="74"/>
  <c r="O262" i="78"/>
  <c r="K251" i="74"/>
  <c r="J251" i="78"/>
  <c r="H263" i="74"/>
  <c r="M95" i="74"/>
  <c r="O91" i="74"/>
  <c r="E270" i="74" s="1"/>
  <c r="I257" i="74"/>
  <c r="K257" i="74" s="1"/>
  <c r="G257" i="74"/>
  <c r="E264" i="74"/>
  <c r="D288" i="74"/>
  <c r="F276" i="74"/>
  <c r="P276" i="78" s="1"/>
  <c r="K265" i="74"/>
  <c r="J265" i="78"/>
  <c r="K248" i="74"/>
  <c r="J248" i="78"/>
  <c r="F273" i="74"/>
  <c r="P273" i="78" s="1"/>
  <c r="D285" i="74"/>
  <c r="H273" i="74"/>
  <c r="E273" i="74"/>
  <c r="F266" i="74"/>
  <c r="P266" i="78" s="1"/>
  <c r="I266" i="74"/>
  <c r="E266" i="74"/>
  <c r="G266" i="74"/>
  <c r="D278" i="74"/>
  <c r="H266" i="74"/>
  <c r="K255" i="74"/>
  <c r="J255" i="78"/>
  <c r="J252" i="74"/>
  <c r="O252" i="78"/>
  <c r="K256" i="74"/>
  <c r="J256" i="78"/>
  <c r="K260" i="74"/>
  <c r="J260" i="78"/>
  <c r="I267" i="74"/>
  <c r="E267" i="74"/>
  <c r="D279" i="74"/>
  <c r="H267" i="74"/>
  <c r="F267" i="74"/>
  <c r="P267" i="78" s="1"/>
  <c r="G267" i="74"/>
  <c r="F274" i="74"/>
  <c r="P274" i="78" s="1"/>
  <c r="I274" i="74"/>
  <c r="E274" i="74"/>
  <c r="G274" i="74"/>
  <c r="D286" i="74"/>
  <c r="H274" i="74"/>
  <c r="J253" i="74"/>
  <c r="O253" i="78"/>
  <c r="K252" i="74"/>
  <c r="J252" i="78"/>
  <c r="G263" i="74"/>
  <c r="E263" i="74"/>
  <c r="Y28" i="78"/>
  <c r="Z27" i="78"/>
  <c r="G269" i="74"/>
  <c r="F269" i="74"/>
  <c r="P269" i="78" s="1"/>
  <c r="D281" i="74"/>
  <c r="H269" i="74"/>
  <c r="I269" i="74"/>
  <c r="E269" i="74"/>
  <c r="M97" i="74"/>
  <c r="O93" i="74"/>
  <c r="I276" i="74" s="1"/>
  <c r="G264" i="74"/>
  <c r="T117" i="74"/>
  <c r="V118" i="74"/>
  <c r="J256" i="74"/>
  <c r="O256" i="78"/>
  <c r="D280" i="74"/>
  <c r="H268" i="74"/>
  <c r="G268" i="74"/>
  <c r="I268" i="74"/>
  <c r="E268" i="74"/>
  <c r="F268" i="74"/>
  <c r="P268" i="78" s="1"/>
  <c r="J260" i="74"/>
  <c r="O260" i="78"/>
  <c r="D284" i="74"/>
  <c r="H272" i="74"/>
  <c r="G272" i="74"/>
  <c r="I272" i="74"/>
  <c r="E272" i="74"/>
  <c r="F272" i="74"/>
  <c r="P272" i="78" s="1"/>
  <c r="E265" i="74"/>
  <c r="J259" i="74"/>
  <c r="O259" i="78"/>
  <c r="J258" i="74"/>
  <c r="O258" i="78"/>
  <c r="K247" i="74"/>
  <c r="J247" i="78"/>
  <c r="J254" i="74"/>
  <c r="O254" i="78"/>
  <c r="J255" i="74"/>
  <c r="O255" i="78"/>
  <c r="K245" i="74"/>
  <c r="J245" i="78"/>
  <c r="J247" i="74"/>
  <c r="O247" i="78"/>
  <c r="E257" i="74"/>
  <c r="J246" i="74"/>
  <c r="O246" i="78"/>
  <c r="J270" i="74" l="1"/>
  <c r="O270" i="78"/>
  <c r="J272" i="74"/>
  <c r="O272" i="78"/>
  <c r="D296" i="74"/>
  <c r="I284" i="74"/>
  <c r="F284" i="74"/>
  <c r="P284" i="78" s="1"/>
  <c r="J265" i="74"/>
  <c r="O265" i="78"/>
  <c r="J257" i="74"/>
  <c r="O257" i="78"/>
  <c r="K272" i="74"/>
  <c r="J272" i="78"/>
  <c r="K268" i="74"/>
  <c r="J268" i="78"/>
  <c r="T118" i="74"/>
  <c r="V119" i="74"/>
  <c r="O97" i="74"/>
  <c r="M101" i="74"/>
  <c r="F281" i="74"/>
  <c r="P281" i="78" s="1"/>
  <c r="D293" i="74"/>
  <c r="E281" i="74"/>
  <c r="Y29" i="78"/>
  <c r="Z28" i="78"/>
  <c r="F286" i="74"/>
  <c r="P286" i="78" s="1"/>
  <c r="I286" i="74"/>
  <c r="D298" i="74"/>
  <c r="H286" i="74"/>
  <c r="I279" i="74"/>
  <c r="E279" i="74"/>
  <c r="D291" i="74"/>
  <c r="H279" i="74"/>
  <c r="F279" i="74"/>
  <c r="P279" i="78" s="1"/>
  <c r="G279" i="74"/>
  <c r="F278" i="74"/>
  <c r="P278" i="78" s="1"/>
  <c r="I278" i="74"/>
  <c r="E278" i="74"/>
  <c r="G278" i="74"/>
  <c r="D290" i="74"/>
  <c r="H278" i="74"/>
  <c r="F285" i="74"/>
  <c r="P285" i="78" s="1"/>
  <c r="D297" i="74"/>
  <c r="H285" i="74"/>
  <c r="E276" i="74"/>
  <c r="D300" i="74"/>
  <c r="E288" i="74"/>
  <c r="F288" i="74"/>
  <c r="P288" i="78" s="1"/>
  <c r="D295" i="74"/>
  <c r="F283" i="74"/>
  <c r="P283" i="78" s="1"/>
  <c r="M102" i="74"/>
  <c r="O98" i="74"/>
  <c r="G289" i="74"/>
  <c r="F289" i="74"/>
  <c r="P289" i="78" s="1"/>
  <c r="D301" i="74"/>
  <c r="I289" i="74"/>
  <c r="G275" i="74"/>
  <c r="E275" i="74"/>
  <c r="H270" i="74"/>
  <c r="I270" i="74"/>
  <c r="J263" i="74"/>
  <c r="O263" i="78"/>
  <c r="J273" i="74"/>
  <c r="O273" i="78"/>
  <c r="J264" i="74"/>
  <c r="O264" i="78"/>
  <c r="M99" i="74"/>
  <c r="O95" i="74"/>
  <c r="E284" i="74" s="1"/>
  <c r="G271" i="74"/>
  <c r="E271" i="74"/>
  <c r="E277" i="74"/>
  <c r="I275" i="74"/>
  <c r="F282" i="74"/>
  <c r="P282" i="78" s="1"/>
  <c r="E282" i="74"/>
  <c r="G282" i="74"/>
  <c r="D294" i="74"/>
  <c r="J268" i="74"/>
  <c r="O268" i="78"/>
  <c r="D292" i="74"/>
  <c r="H280" i="74"/>
  <c r="G280" i="74"/>
  <c r="I280" i="74"/>
  <c r="E280" i="74"/>
  <c r="F280" i="74"/>
  <c r="P280" i="78" s="1"/>
  <c r="J269" i="74"/>
  <c r="O269" i="78"/>
  <c r="J267" i="74"/>
  <c r="O267" i="78"/>
  <c r="J274" i="74"/>
  <c r="O274" i="78"/>
  <c r="J266" i="74"/>
  <c r="O266" i="78"/>
  <c r="I273" i="74"/>
  <c r="G273" i="74"/>
  <c r="G276" i="74"/>
  <c r="K263" i="74"/>
  <c r="J263" i="78"/>
  <c r="I271" i="74"/>
  <c r="I277" i="74"/>
  <c r="G277" i="74"/>
  <c r="H275" i="74"/>
  <c r="O100" i="74"/>
  <c r="M104" i="74"/>
  <c r="G270" i="74"/>
  <c r="K269" i="74"/>
  <c r="J269" i="78"/>
  <c r="K274" i="74"/>
  <c r="J274" i="78"/>
  <c r="K267" i="74"/>
  <c r="J267" i="78"/>
  <c r="K266" i="74"/>
  <c r="J266" i="78"/>
  <c r="K273" i="74"/>
  <c r="J273" i="78"/>
  <c r="H276" i="74"/>
  <c r="H271" i="74"/>
  <c r="H277" i="74"/>
  <c r="I287" i="74"/>
  <c r="E287" i="74"/>
  <c r="D299" i="74"/>
  <c r="H287" i="74"/>
  <c r="F287" i="74"/>
  <c r="P287" i="78" s="1"/>
  <c r="G287" i="74"/>
  <c r="J284" i="74" l="1"/>
  <c r="O284" i="78"/>
  <c r="K276" i="74"/>
  <c r="J276" i="78"/>
  <c r="O104" i="74"/>
  <c r="M108" i="74"/>
  <c r="J285" i="78"/>
  <c r="K279" i="74"/>
  <c r="J279" i="78"/>
  <c r="J281" i="74"/>
  <c r="O281" i="78"/>
  <c r="E289" i="74"/>
  <c r="G283" i="74"/>
  <c r="E283" i="74"/>
  <c r="I288" i="74"/>
  <c r="J276" i="74"/>
  <c r="O276" i="78"/>
  <c r="F297" i="74"/>
  <c r="P297" i="78" s="1"/>
  <c r="D309" i="74"/>
  <c r="H297" i="74"/>
  <c r="F290" i="74"/>
  <c r="P290" i="78" s="1"/>
  <c r="I290" i="74"/>
  <c r="E290" i="74"/>
  <c r="D302" i="74"/>
  <c r="G290" i="74"/>
  <c r="H290" i="74"/>
  <c r="I291" i="74"/>
  <c r="E291" i="74"/>
  <c r="D303" i="74"/>
  <c r="H291" i="74"/>
  <c r="F291" i="74"/>
  <c r="P291" i="78" s="1"/>
  <c r="G291" i="74"/>
  <c r="G286" i="74"/>
  <c r="I281" i="74"/>
  <c r="G281" i="74"/>
  <c r="G284" i="74"/>
  <c r="J288" i="74"/>
  <c r="O288" i="78"/>
  <c r="K278" i="74"/>
  <c r="J278" i="78"/>
  <c r="K286" i="74"/>
  <c r="J286" i="78"/>
  <c r="K287" i="74"/>
  <c r="J287" i="78"/>
  <c r="K277" i="74"/>
  <c r="J277" i="78"/>
  <c r="K275" i="74"/>
  <c r="J275" i="78"/>
  <c r="J282" i="74"/>
  <c r="O282" i="78"/>
  <c r="J277" i="74"/>
  <c r="O277" i="78"/>
  <c r="M103" i="74"/>
  <c r="O99" i="74"/>
  <c r="I297" i="74" s="1"/>
  <c r="K270" i="74"/>
  <c r="J270" i="78"/>
  <c r="I283" i="74"/>
  <c r="G288" i="74"/>
  <c r="E285" i="74"/>
  <c r="J279" i="74"/>
  <c r="O279" i="78"/>
  <c r="F298" i="74"/>
  <c r="P298" i="78" s="1"/>
  <c r="E298" i="74"/>
  <c r="D310" i="74"/>
  <c r="H298" i="74"/>
  <c r="H281" i="74"/>
  <c r="O101" i="74"/>
  <c r="M105" i="74"/>
  <c r="H284" i="74"/>
  <c r="J287" i="74"/>
  <c r="O287" i="78"/>
  <c r="J280" i="74"/>
  <c r="O280" i="78"/>
  <c r="D304" i="74"/>
  <c r="H292" i="74"/>
  <c r="G292" i="74"/>
  <c r="I292" i="74"/>
  <c r="E292" i="74"/>
  <c r="F292" i="74"/>
  <c r="P292" i="78" s="1"/>
  <c r="F294" i="74"/>
  <c r="P294" i="78" s="1"/>
  <c r="E294" i="74"/>
  <c r="D306" i="74"/>
  <c r="G294" i="74"/>
  <c r="G301" i="74"/>
  <c r="F301" i="74"/>
  <c r="P301" i="78" s="1"/>
  <c r="I301" i="74"/>
  <c r="D313" i="74"/>
  <c r="H301" i="74"/>
  <c r="M106" i="74"/>
  <c r="O102" i="74"/>
  <c r="I295" i="74"/>
  <c r="E295" i="74"/>
  <c r="D307" i="74"/>
  <c r="G295" i="74"/>
  <c r="F295" i="74"/>
  <c r="P295" i="78" s="1"/>
  <c r="D312" i="74"/>
  <c r="G300" i="74"/>
  <c r="F300" i="74"/>
  <c r="P300" i="78" s="1"/>
  <c r="I300" i="74"/>
  <c r="E300" i="74"/>
  <c r="V120" i="74"/>
  <c r="T119" i="74"/>
  <c r="I299" i="74"/>
  <c r="E299" i="74"/>
  <c r="D311" i="74"/>
  <c r="H299" i="74"/>
  <c r="G299" i="74"/>
  <c r="F299" i="74"/>
  <c r="P299" i="78" s="1"/>
  <c r="K271" i="74"/>
  <c r="J271" i="78"/>
  <c r="K280" i="74"/>
  <c r="J280" i="78"/>
  <c r="H282" i="74"/>
  <c r="I282" i="74"/>
  <c r="J271" i="74"/>
  <c r="O271" i="78"/>
  <c r="J275" i="74"/>
  <c r="O275" i="78"/>
  <c r="H289" i="74"/>
  <c r="H283" i="74"/>
  <c r="H288" i="74"/>
  <c r="I285" i="74"/>
  <c r="K285" i="74" s="1"/>
  <c r="G285" i="74"/>
  <c r="J278" i="74"/>
  <c r="O278" i="78"/>
  <c r="E286" i="74"/>
  <c r="Y30" i="78"/>
  <c r="Z29" i="78"/>
  <c r="G293" i="74"/>
  <c r="F293" i="74"/>
  <c r="P293" i="78" s="1"/>
  <c r="D305" i="74"/>
  <c r="H293" i="74"/>
  <c r="I293" i="74"/>
  <c r="E293" i="74"/>
  <c r="D308" i="74"/>
  <c r="H296" i="74"/>
  <c r="G296" i="74"/>
  <c r="F296" i="74"/>
  <c r="P296" i="78" s="1"/>
  <c r="I296" i="74"/>
  <c r="E296" i="74"/>
  <c r="K288" i="74" l="1"/>
  <c r="J288" i="78"/>
  <c r="J294" i="74"/>
  <c r="O294" i="78"/>
  <c r="K281" i="74"/>
  <c r="J281" i="78"/>
  <c r="J291" i="74"/>
  <c r="O291" i="78"/>
  <c r="F302" i="74"/>
  <c r="P302" i="78" s="1"/>
  <c r="I302" i="74"/>
  <c r="E302" i="74"/>
  <c r="D314" i="74"/>
  <c r="H302" i="74"/>
  <c r="G302" i="74"/>
  <c r="K297" i="74"/>
  <c r="J297" i="78"/>
  <c r="J296" i="74"/>
  <c r="O296" i="78"/>
  <c r="K296" i="74"/>
  <c r="J296" i="78"/>
  <c r="K293" i="74"/>
  <c r="J293" i="78"/>
  <c r="K283" i="74"/>
  <c r="J283" i="78"/>
  <c r="J299" i="74"/>
  <c r="O299" i="78"/>
  <c r="J300" i="74"/>
  <c r="O300" i="78"/>
  <c r="H300" i="74"/>
  <c r="H295" i="74"/>
  <c r="E301" i="74"/>
  <c r="H294" i="74"/>
  <c r="I294" i="74"/>
  <c r="K284" i="74"/>
  <c r="J284" i="78"/>
  <c r="G298" i="74"/>
  <c r="I298" i="74"/>
  <c r="J285" i="74"/>
  <c r="O285" i="78"/>
  <c r="J290" i="74"/>
  <c r="O290" i="78"/>
  <c r="F309" i="74"/>
  <c r="P309" i="78" s="1"/>
  <c r="I309" i="74"/>
  <c r="D321" i="74"/>
  <c r="G297" i="74"/>
  <c r="J283" i="74"/>
  <c r="O283" i="78"/>
  <c r="J292" i="74"/>
  <c r="O292" i="78"/>
  <c r="D316" i="74"/>
  <c r="H304" i="74"/>
  <c r="G304" i="74"/>
  <c r="F304" i="74"/>
  <c r="P304" i="78" s="1"/>
  <c r="I304" i="74"/>
  <c r="E304" i="74"/>
  <c r="J298" i="74"/>
  <c r="O298" i="78"/>
  <c r="D320" i="74"/>
  <c r="F308" i="74"/>
  <c r="P308" i="78" s="1"/>
  <c r="F305" i="74"/>
  <c r="P305" i="78" s="1"/>
  <c r="D317" i="74"/>
  <c r="H305" i="74"/>
  <c r="Y31" i="78"/>
  <c r="Z30" i="78"/>
  <c r="K289" i="74"/>
  <c r="J289" i="78"/>
  <c r="D324" i="74"/>
  <c r="F312" i="74"/>
  <c r="P312" i="78" s="1"/>
  <c r="E307" i="74"/>
  <c r="D319" i="74"/>
  <c r="F307" i="74"/>
  <c r="P307" i="78" s="1"/>
  <c r="M110" i="74"/>
  <c r="O106" i="74"/>
  <c r="O105" i="74"/>
  <c r="M109" i="74"/>
  <c r="K298" i="74"/>
  <c r="J298" i="78"/>
  <c r="K291" i="74"/>
  <c r="J291" i="78"/>
  <c r="K290" i="74"/>
  <c r="J290" i="78"/>
  <c r="E297" i="74"/>
  <c r="O108" i="74"/>
  <c r="M112" i="74"/>
  <c r="K282" i="74"/>
  <c r="J282" i="78"/>
  <c r="I311" i="74"/>
  <c r="D323" i="74"/>
  <c r="G311" i="74"/>
  <c r="F311" i="74"/>
  <c r="P311" i="78" s="1"/>
  <c r="V121" i="74"/>
  <c r="T120" i="74"/>
  <c r="G313" i="74"/>
  <c r="F313" i="74"/>
  <c r="P313" i="78" s="1"/>
  <c r="I313" i="74"/>
  <c r="D325" i="74"/>
  <c r="J293" i="74"/>
  <c r="O293" i="78"/>
  <c r="J286" i="74"/>
  <c r="O286" i="78"/>
  <c r="K299" i="74"/>
  <c r="J299" i="78"/>
  <c r="J295" i="74"/>
  <c r="O295" i="78"/>
  <c r="K301" i="74"/>
  <c r="J301" i="78"/>
  <c r="F306" i="74"/>
  <c r="P306" i="78" s="1"/>
  <c r="E306" i="74"/>
  <c r="D318" i="74"/>
  <c r="H306" i="74"/>
  <c r="K292" i="74"/>
  <c r="J292" i="78"/>
  <c r="F310" i="74"/>
  <c r="P310" i="78" s="1"/>
  <c r="E310" i="74"/>
  <c r="D322" i="74"/>
  <c r="H310" i="74"/>
  <c r="G310" i="74"/>
  <c r="M107" i="74"/>
  <c r="O103" i="74"/>
  <c r="E309" i="74" s="1"/>
  <c r="I303" i="74"/>
  <c r="E303" i="74"/>
  <c r="D315" i="74"/>
  <c r="H303" i="74"/>
  <c r="G303" i="74"/>
  <c r="F303" i="74"/>
  <c r="P303" i="78" s="1"/>
  <c r="J289" i="74"/>
  <c r="O289" i="78"/>
  <c r="J309" i="74" l="1"/>
  <c r="O309" i="78"/>
  <c r="F325" i="74"/>
  <c r="P325" i="78" s="1"/>
  <c r="D337" i="74"/>
  <c r="H325" i="74"/>
  <c r="O109" i="74"/>
  <c r="M113" i="74"/>
  <c r="J307" i="74"/>
  <c r="O307" i="78"/>
  <c r="K303" i="74"/>
  <c r="J303" i="78"/>
  <c r="F322" i="74"/>
  <c r="P322" i="78" s="1"/>
  <c r="I322" i="74"/>
  <c r="D334" i="74"/>
  <c r="G322" i="74"/>
  <c r="F318" i="74"/>
  <c r="P318" i="78" s="1"/>
  <c r="D330" i="74"/>
  <c r="E313" i="74"/>
  <c r="H311" i="74"/>
  <c r="J297" i="74"/>
  <c r="O297" i="78"/>
  <c r="G307" i="74"/>
  <c r="I307" i="74"/>
  <c r="G312" i="74"/>
  <c r="F317" i="74"/>
  <c r="P317" i="78" s="1"/>
  <c r="I317" i="74"/>
  <c r="D329" i="74"/>
  <c r="G305" i="74"/>
  <c r="G308" i="74"/>
  <c r="H309" i="74"/>
  <c r="J301" i="74"/>
  <c r="O301" i="78"/>
  <c r="J302" i="74"/>
  <c r="O302" i="78"/>
  <c r="J310" i="78"/>
  <c r="J306" i="78"/>
  <c r="I315" i="74"/>
  <c r="E315" i="74"/>
  <c r="D327" i="74"/>
  <c r="H315" i="74"/>
  <c r="G315" i="74"/>
  <c r="F315" i="74"/>
  <c r="P315" i="78" s="1"/>
  <c r="M111" i="74"/>
  <c r="O107" i="74"/>
  <c r="I325" i="74" s="1"/>
  <c r="J310" i="74"/>
  <c r="O310" i="78"/>
  <c r="J306" i="74"/>
  <c r="O306" i="78"/>
  <c r="T121" i="74"/>
  <c r="V122" i="74"/>
  <c r="E323" i="74"/>
  <c r="D335" i="74"/>
  <c r="H323" i="74"/>
  <c r="F323" i="74"/>
  <c r="P323" i="78" s="1"/>
  <c r="H307" i="74"/>
  <c r="E312" i="74"/>
  <c r="H312" i="74"/>
  <c r="E305" i="74"/>
  <c r="E308" i="74"/>
  <c r="H308" i="74"/>
  <c r="J304" i="74"/>
  <c r="O304" i="78"/>
  <c r="K304" i="74"/>
  <c r="J304" i="78"/>
  <c r="F321" i="74"/>
  <c r="P321" i="78" s="1"/>
  <c r="E321" i="74"/>
  <c r="D333" i="74"/>
  <c r="H321" i="74"/>
  <c r="G309" i="74"/>
  <c r="K295" i="74"/>
  <c r="J295" i="78"/>
  <c r="J305" i="78"/>
  <c r="K294" i="74"/>
  <c r="J294" i="78"/>
  <c r="F314" i="74"/>
  <c r="P314" i="78" s="1"/>
  <c r="I314" i="74"/>
  <c r="E314" i="74"/>
  <c r="D326" i="74"/>
  <c r="H314" i="74"/>
  <c r="G314" i="74"/>
  <c r="J303" i="74"/>
  <c r="O303" i="78"/>
  <c r="I310" i="74"/>
  <c r="K310" i="74" s="1"/>
  <c r="G306" i="74"/>
  <c r="I306" i="74"/>
  <c r="K306" i="74" s="1"/>
  <c r="H313" i="74"/>
  <c r="E311" i="74"/>
  <c r="O112" i="74"/>
  <c r="M116" i="74"/>
  <c r="M114" i="74"/>
  <c r="O110" i="74"/>
  <c r="I319" i="74"/>
  <c r="E319" i="74"/>
  <c r="D331" i="74"/>
  <c r="H319" i="74"/>
  <c r="G319" i="74"/>
  <c r="F319" i="74"/>
  <c r="P319" i="78" s="1"/>
  <c r="I312" i="74"/>
  <c r="D336" i="74"/>
  <c r="H324" i="74"/>
  <c r="G324" i="74"/>
  <c r="F324" i="74"/>
  <c r="P324" i="78" s="1"/>
  <c r="I324" i="74"/>
  <c r="E324" i="74"/>
  <c r="Y32" i="78"/>
  <c r="Z31" i="78"/>
  <c r="I305" i="74"/>
  <c r="K305" i="74" s="1"/>
  <c r="I308" i="74"/>
  <c r="D332" i="74"/>
  <c r="H320" i="74"/>
  <c r="G320" i="74"/>
  <c r="F320" i="74"/>
  <c r="P320" i="78" s="1"/>
  <c r="I320" i="74"/>
  <c r="E320" i="74"/>
  <c r="D328" i="74"/>
  <c r="H316" i="74"/>
  <c r="G316" i="74"/>
  <c r="F316" i="74"/>
  <c r="P316" i="78" s="1"/>
  <c r="I316" i="74"/>
  <c r="E316" i="74"/>
  <c r="K300" i="74"/>
  <c r="J300" i="78"/>
  <c r="K302" i="74"/>
  <c r="J302" i="78"/>
  <c r="J321" i="74" l="1"/>
  <c r="O321" i="78"/>
  <c r="J312" i="74"/>
  <c r="O312" i="78"/>
  <c r="J315" i="74"/>
  <c r="O315" i="78"/>
  <c r="K325" i="74"/>
  <c r="J325" i="78"/>
  <c r="J316" i="74"/>
  <c r="O316" i="78"/>
  <c r="K316" i="74"/>
  <c r="J316" i="78"/>
  <c r="J324" i="74"/>
  <c r="O324" i="78"/>
  <c r="K324" i="74"/>
  <c r="J324" i="78"/>
  <c r="I321" i="74"/>
  <c r="J308" i="74"/>
  <c r="O308" i="78"/>
  <c r="K307" i="74"/>
  <c r="J307" i="78"/>
  <c r="D347" i="74"/>
  <c r="F335" i="74"/>
  <c r="P335" i="78" s="1"/>
  <c r="H317" i="74"/>
  <c r="J313" i="74"/>
  <c r="O313" i="78"/>
  <c r="E318" i="74"/>
  <c r="H322" i="74"/>
  <c r="F337" i="74"/>
  <c r="P337" i="78" s="1"/>
  <c r="D349" i="74"/>
  <c r="G325" i="74"/>
  <c r="F330" i="74"/>
  <c r="P330" i="78" s="1"/>
  <c r="D342" i="74"/>
  <c r="D348" i="74"/>
  <c r="F336" i="74"/>
  <c r="P336" i="78" s="1"/>
  <c r="J311" i="74"/>
  <c r="O311" i="78"/>
  <c r="J305" i="74"/>
  <c r="O305" i="78"/>
  <c r="J323" i="74"/>
  <c r="O323" i="78"/>
  <c r="K315" i="74"/>
  <c r="J315" i="78"/>
  <c r="K309" i="74"/>
  <c r="J309" i="78"/>
  <c r="F329" i="74"/>
  <c r="P329" i="78" s="1"/>
  <c r="D341" i="74"/>
  <c r="G317" i="74"/>
  <c r="G318" i="74"/>
  <c r="I318" i="74"/>
  <c r="F334" i="74"/>
  <c r="P334" i="78" s="1"/>
  <c r="D346" i="74"/>
  <c r="O113" i="74"/>
  <c r="M117" i="74"/>
  <c r="E325" i="74"/>
  <c r="D344" i="74"/>
  <c r="F332" i="74"/>
  <c r="P332" i="78" s="1"/>
  <c r="J319" i="74"/>
  <c r="O319" i="78"/>
  <c r="O116" i="74"/>
  <c r="M120" i="74"/>
  <c r="J314" i="74"/>
  <c r="O314" i="78"/>
  <c r="K308" i="74"/>
  <c r="J308" i="78"/>
  <c r="J323" i="78"/>
  <c r="T122" i="74"/>
  <c r="V123" i="74"/>
  <c r="K311" i="74"/>
  <c r="J311" i="78"/>
  <c r="D340" i="74"/>
  <c r="H328" i="74"/>
  <c r="G328" i="74"/>
  <c r="F328" i="74"/>
  <c r="P328" i="78" s="1"/>
  <c r="I328" i="74"/>
  <c r="E328" i="74"/>
  <c r="K319" i="74"/>
  <c r="J319" i="78"/>
  <c r="K314" i="74"/>
  <c r="J314" i="78"/>
  <c r="K321" i="74"/>
  <c r="J321" i="78"/>
  <c r="J320" i="74"/>
  <c r="O320" i="78"/>
  <c r="K320" i="74"/>
  <c r="J320" i="78"/>
  <c r="D343" i="74"/>
  <c r="H331" i="74"/>
  <c r="F331" i="74"/>
  <c r="P331" i="78" s="1"/>
  <c r="M118" i="74"/>
  <c r="O114" i="74"/>
  <c r="K313" i="74"/>
  <c r="J313" i="78"/>
  <c r="F326" i="74"/>
  <c r="P326" i="78" s="1"/>
  <c r="I326" i="74"/>
  <c r="E326" i="74"/>
  <c r="D338" i="74"/>
  <c r="H326" i="74"/>
  <c r="G326" i="74"/>
  <c r="F333" i="74"/>
  <c r="P333" i="78" s="1"/>
  <c r="E333" i="74"/>
  <c r="D345" i="74"/>
  <c r="H333" i="74"/>
  <c r="G321" i="74"/>
  <c r="K312" i="74"/>
  <c r="J312" i="78"/>
  <c r="G323" i="74"/>
  <c r="I323" i="74"/>
  <c r="K323" i="74" s="1"/>
  <c r="M115" i="74"/>
  <c r="O111" i="74"/>
  <c r="H335" i="74" s="1"/>
  <c r="I327" i="74"/>
  <c r="E327" i="74"/>
  <c r="D339" i="74"/>
  <c r="H327" i="74"/>
  <c r="G327" i="74"/>
  <c r="F327" i="74"/>
  <c r="P327" i="78" s="1"/>
  <c r="E317" i="74"/>
  <c r="H318" i="74"/>
  <c r="E322" i="74"/>
  <c r="J335" i="78" l="1"/>
  <c r="K318" i="74"/>
  <c r="J318" i="78"/>
  <c r="K327" i="74"/>
  <c r="J327" i="78"/>
  <c r="F345" i="74"/>
  <c r="P345" i="78" s="1"/>
  <c r="D357" i="74"/>
  <c r="G333" i="74"/>
  <c r="J326" i="74"/>
  <c r="O326" i="78"/>
  <c r="G331" i="74"/>
  <c r="I331" i="74"/>
  <c r="D352" i="74"/>
  <c r="H340" i="74"/>
  <c r="G340" i="74"/>
  <c r="F340" i="74"/>
  <c r="P340" i="78" s="1"/>
  <c r="I340" i="74"/>
  <c r="E340" i="74"/>
  <c r="I332" i="74"/>
  <c r="D356" i="74"/>
  <c r="F344" i="74"/>
  <c r="P344" i="78" s="1"/>
  <c r="G334" i="74"/>
  <c r="I334" i="74"/>
  <c r="I329" i="74"/>
  <c r="G336" i="74"/>
  <c r="H330" i="74"/>
  <c r="E337" i="74"/>
  <c r="K322" i="74"/>
  <c r="J322" i="78"/>
  <c r="K317" i="74"/>
  <c r="J317" i="78"/>
  <c r="D359" i="74"/>
  <c r="F347" i="74"/>
  <c r="P347" i="78" s="1"/>
  <c r="J317" i="74"/>
  <c r="O317" i="78"/>
  <c r="I339" i="74"/>
  <c r="E339" i="74"/>
  <c r="D351" i="74"/>
  <c r="H339" i="74"/>
  <c r="G339" i="74"/>
  <c r="F339" i="74"/>
  <c r="P339" i="78" s="1"/>
  <c r="M119" i="74"/>
  <c r="O115" i="74"/>
  <c r="I345" i="74" s="1"/>
  <c r="K331" i="74"/>
  <c r="J331" i="78"/>
  <c r="J325" i="74"/>
  <c r="O325" i="78"/>
  <c r="H334" i="74"/>
  <c r="H329" i="74"/>
  <c r="E336" i="74"/>
  <c r="H336" i="74"/>
  <c r="F342" i="74"/>
  <c r="P342" i="78" s="1"/>
  <c r="I342" i="74"/>
  <c r="D354" i="74"/>
  <c r="G342" i="74"/>
  <c r="I337" i="74"/>
  <c r="J318" i="74"/>
  <c r="O318" i="78"/>
  <c r="E335" i="74"/>
  <c r="J333" i="74"/>
  <c r="O333" i="78"/>
  <c r="J327" i="74"/>
  <c r="O327" i="78"/>
  <c r="I333" i="74"/>
  <c r="K326" i="74"/>
  <c r="J326" i="78"/>
  <c r="M122" i="74"/>
  <c r="O118" i="74"/>
  <c r="I343" i="74"/>
  <c r="E343" i="74"/>
  <c r="D355" i="74"/>
  <c r="G343" i="74"/>
  <c r="F343" i="74"/>
  <c r="P343" i="78" s="1"/>
  <c r="G332" i="74"/>
  <c r="O117" i="74"/>
  <c r="M121" i="74"/>
  <c r="F346" i="74"/>
  <c r="P346" i="78" s="1"/>
  <c r="I346" i="74"/>
  <c r="D358" i="74"/>
  <c r="H346" i="74"/>
  <c r="G346" i="74"/>
  <c r="F341" i="74"/>
  <c r="P341" i="78" s="1"/>
  <c r="I341" i="74"/>
  <c r="E341" i="74"/>
  <c r="D353" i="74"/>
  <c r="H341" i="74"/>
  <c r="G329" i="74"/>
  <c r="I336" i="74"/>
  <c r="D360" i="74"/>
  <c r="H348" i="74"/>
  <c r="G348" i="74"/>
  <c r="F348" i="74"/>
  <c r="P348" i="78" s="1"/>
  <c r="E348" i="74"/>
  <c r="E330" i="74"/>
  <c r="H337" i="74"/>
  <c r="G335" i="74"/>
  <c r="I335" i="74"/>
  <c r="K335" i="74" s="1"/>
  <c r="J322" i="74"/>
  <c r="O322" i="78"/>
  <c r="K333" i="74"/>
  <c r="J333" i="78"/>
  <c r="F338" i="74"/>
  <c r="P338" i="78" s="1"/>
  <c r="I338" i="74"/>
  <c r="E338" i="74"/>
  <c r="D350" i="74"/>
  <c r="H338" i="74"/>
  <c r="G338" i="74"/>
  <c r="E331" i="74"/>
  <c r="J328" i="74"/>
  <c r="O328" i="78"/>
  <c r="K328" i="74"/>
  <c r="J328" i="78"/>
  <c r="V124" i="74"/>
  <c r="T123" i="74"/>
  <c r="O120" i="74"/>
  <c r="M124" i="74"/>
  <c r="E332" i="74"/>
  <c r="H332" i="74"/>
  <c r="E334" i="74"/>
  <c r="E329" i="74"/>
  <c r="G330" i="74"/>
  <c r="I330" i="74"/>
  <c r="G349" i="74"/>
  <c r="F349" i="74"/>
  <c r="P349" i="78" s="1"/>
  <c r="I349" i="74"/>
  <c r="E349" i="74"/>
  <c r="D361" i="74"/>
  <c r="H349" i="74"/>
  <c r="G337" i="74"/>
  <c r="J334" i="74" l="1"/>
  <c r="O334" i="78"/>
  <c r="J349" i="74"/>
  <c r="O349" i="78"/>
  <c r="K332" i="74"/>
  <c r="J332" i="78"/>
  <c r="K338" i="74"/>
  <c r="J338" i="78"/>
  <c r="J332" i="74"/>
  <c r="O332" i="78"/>
  <c r="V125" i="74"/>
  <c r="T124" i="74"/>
  <c r="F350" i="74"/>
  <c r="P350" i="78" s="1"/>
  <c r="I350" i="74"/>
  <c r="E350" i="74"/>
  <c r="D362" i="74"/>
  <c r="H350" i="74"/>
  <c r="G350" i="74"/>
  <c r="F358" i="74"/>
  <c r="P358" i="78" s="1"/>
  <c r="D370" i="74"/>
  <c r="O121" i="74"/>
  <c r="M125" i="74"/>
  <c r="F354" i="74"/>
  <c r="P354" i="78" s="1"/>
  <c r="D366" i="74"/>
  <c r="K336" i="74"/>
  <c r="J336" i="78"/>
  <c r="K339" i="74"/>
  <c r="J339" i="78"/>
  <c r="H347" i="74"/>
  <c r="J337" i="74"/>
  <c r="O337" i="78"/>
  <c r="H345" i="74"/>
  <c r="F361" i="74"/>
  <c r="P361" i="78" s="1"/>
  <c r="D373" i="74"/>
  <c r="J348" i="74"/>
  <c r="O348" i="78"/>
  <c r="J348" i="78"/>
  <c r="K341" i="74"/>
  <c r="J341" i="78"/>
  <c r="K349" i="74"/>
  <c r="J349" i="78"/>
  <c r="J329" i="74"/>
  <c r="O329" i="78"/>
  <c r="O124" i="74"/>
  <c r="M128" i="74"/>
  <c r="J331" i="74"/>
  <c r="O331" i="78"/>
  <c r="J338" i="74"/>
  <c r="O338" i="78"/>
  <c r="I348" i="74"/>
  <c r="K348" i="74" s="1"/>
  <c r="D372" i="74"/>
  <c r="G360" i="74"/>
  <c r="F360" i="74"/>
  <c r="P360" i="78" s="1"/>
  <c r="I360" i="74"/>
  <c r="G353" i="74"/>
  <c r="F353" i="74"/>
  <c r="P353" i="78" s="1"/>
  <c r="I353" i="74"/>
  <c r="D365" i="74"/>
  <c r="G341" i="74"/>
  <c r="E346" i="74"/>
  <c r="H343" i="74"/>
  <c r="E342" i="74"/>
  <c r="J336" i="74"/>
  <c r="O336" i="78"/>
  <c r="M123" i="74"/>
  <c r="O119" i="74"/>
  <c r="E358" i="74" s="1"/>
  <c r="I351" i="74"/>
  <c r="E351" i="74"/>
  <c r="D363" i="74"/>
  <c r="H351" i="74"/>
  <c r="G351" i="74"/>
  <c r="F351" i="74"/>
  <c r="P351" i="78" s="1"/>
  <c r="I359" i="74"/>
  <c r="E359" i="74"/>
  <c r="D371" i="74"/>
  <c r="G359" i="74"/>
  <c r="F359" i="74"/>
  <c r="P359" i="78" s="1"/>
  <c r="K330" i="74"/>
  <c r="J330" i="78"/>
  <c r="G344" i="74"/>
  <c r="J340" i="74"/>
  <c r="O340" i="78"/>
  <c r="K340" i="74"/>
  <c r="J340" i="78"/>
  <c r="G357" i="74"/>
  <c r="F357" i="74"/>
  <c r="P357" i="78" s="1"/>
  <c r="I357" i="74"/>
  <c r="E357" i="74"/>
  <c r="D369" i="74"/>
  <c r="H357" i="74"/>
  <c r="G345" i="74"/>
  <c r="K337" i="74"/>
  <c r="J337" i="78"/>
  <c r="J341" i="74"/>
  <c r="O341" i="78"/>
  <c r="I355" i="74"/>
  <c r="E355" i="74"/>
  <c r="D367" i="74"/>
  <c r="H355" i="74"/>
  <c r="G355" i="74"/>
  <c r="F355" i="74"/>
  <c r="P355" i="78" s="1"/>
  <c r="M126" i="74"/>
  <c r="O122" i="74"/>
  <c r="J335" i="74"/>
  <c r="O335" i="78"/>
  <c r="K329" i="74"/>
  <c r="J329" i="78"/>
  <c r="J339" i="74"/>
  <c r="O339" i="78"/>
  <c r="E347" i="74"/>
  <c r="E344" i="74"/>
  <c r="H344" i="74"/>
  <c r="D364" i="74"/>
  <c r="H352" i="74"/>
  <c r="G352" i="74"/>
  <c r="F352" i="74"/>
  <c r="P352" i="78" s="1"/>
  <c r="I352" i="74"/>
  <c r="E352" i="74"/>
  <c r="E345" i="74"/>
  <c r="J330" i="74"/>
  <c r="O330" i="78"/>
  <c r="K346" i="74"/>
  <c r="J346" i="78"/>
  <c r="J343" i="74"/>
  <c r="O343" i="78"/>
  <c r="H342" i="74"/>
  <c r="K334" i="74"/>
  <c r="J334" i="78"/>
  <c r="G347" i="74"/>
  <c r="I347" i="74"/>
  <c r="I344" i="74"/>
  <c r="D368" i="74"/>
  <c r="H356" i="74"/>
  <c r="G356" i="74"/>
  <c r="F356" i="74"/>
  <c r="P356" i="78" s="1"/>
  <c r="I356" i="74"/>
  <c r="E356" i="74"/>
  <c r="J358" i="74" l="1"/>
  <c r="O358" i="78"/>
  <c r="K342" i="74"/>
  <c r="J342" i="78"/>
  <c r="J352" i="74"/>
  <c r="O352" i="78"/>
  <c r="K352" i="74"/>
  <c r="J352" i="78"/>
  <c r="J347" i="74"/>
  <c r="O347" i="78"/>
  <c r="M130" i="74"/>
  <c r="O126" i="74"/>
  <c r="D379" i="74"/>
  <c r="F367" i="74"/>
  <c r="P367" i="78" s="1"/>
  <c r="K357" i="74"/>
  <c r="J357" i="78"/>
  <c r="D383" i="74"/>
  <c r="F371" i="74"/>
  <c r="P371" i="78" s="1"/>
  <c r="D384" i="74"/>
  <c r="F372" i="74"/>
  <c r="P372" i="78" s="1"/>
  <c r="E361" i="74"/>
  <c r="K345" i="74"/>
  <c r="J345" i="78"/>
  <c r="G354" i="74"/>
  <c r="I354" i="74"/>
  <c r="G358" i="74"/>
  <c r="I358" i="74"/>
  <c r="F362" i="74"/>
  <c r="P362" i="78" s="1"/>
  <c r="I362" i="74"/>
  <c r="E362" i="74"/>
  <c r="D374" i="74"/>
  <c r="H362" i="74"/>
  <c r="G362" i="74"/>
  <c r="J356" i="74"/>
  <c r="O356" i="78"/>
  <c r="D376" i="74"/>
  <c r="H364" i="74"/>
  <c r="G364" i="74"/>
  <c r="F364" i="74"/>
  <c r="P364" i="78" s="1"/>
  <c r="I364" i="74"/>
  <c r="E364" i="74"/>
  <c r="J355" i="74"/>
  <c r="O355" i="78"/>
  <c r="F369" i="74"/>
  <c r="P369" i="78" s="1"/>
  <c r="D381" i="74"/>
  <c r="J359" i="74"/>
  <c r="O359" i="78"/>
  <c r="K351" i="74"/>
  <c r="J351" i="78"/>
  <c r="J342" i="74"/>
  <c r="O342" i="78"/>
  <c r="H353" i="74"/>
  <c r="I361" i="74"/>
  <c r="H354" i="74"/>
  <c r="H358" i="74"/>
  <c r="J350" i="74"/>
  <c r="O350" i="78"/>
  <c r="T125" i="74"/>
  <c r="V126" i="74"/>
  <c r="K344" i="74"/>
  <c r="J344" i="78"/>
  <c r="J357" i="74"/>
  <c r="O357" i="78"/>
  <c r="I363" i="74"/>
  <c r="E363" i="74"/>
  <c r="D375" i="74"/>
  <c r="H363" i="74"/>
  <c r="G363" i="74"/>
  <c r="F363" i="74"/>
  <c r="P363" i="78" s="1"/>
  <c r="M127" i="74"/>
  <c r="O123" i="74"/>
  <c r="I367" i="74" s="1"/>
  <c r="K343" i="74"/>
  <c r="J343" i="78"/>
  <c r="F365" i="74"/>
  <c r="P365" i="78" s="1"/>
  <c r="E365" i="74"/>
  <c r="D377" i="74"/>
  <c r="H365" i="74"/>
  <c r="O128" i="74"/>
  <c r="M132" i="74"/>
  <c r="H361" i="74"/>
  <c r="F366" i="74"/>
  <c r="P366" i="78" s="1"/>
  <c r="I366" i="74"/>
  <c r="E366" i="74"/>
  <c r="D378" i="74"/>
  <c r="H366" i="74"/>
  <c r="G366" i="74"/>
  <c r="O125" i="74"/>
  <c r="H373" i="74" s="1"/>
  <c r="M129" i="74"/>
  <c r="F370" i="74"/>
  <c r="P370" i="78" s="1"/>
  <c r="I370" i="74"/>
  <c r="E370" i="74"/>
  <c r="D382" i="74"/>
  <c r="H370" i="74"/>
  <c r="G370" i="74"/>
  <c r="K356" i="74"/>
  <c r="J356" i="78"/>
  <c r="D380" i="74"/>
  <c r="H368" i="74"/>
  <c r="G368" i="74"/>
  <c r="F368" i="74"/>
  <c r="P368" i="78" s="1"/>
  <c r="I368" i="74"/>
  <c r="E368" i="74"/>
  <c r="J345" i="74"/>
  <c r="O345" i="78"/>
  <c r="J344" i="74"/>
  <c r="O344" i="78"/>
  <c r="K355" i="74"/>
  <c r="J355" i="78"/>
  <c r="H359" i="74"/>
  <c r="J351" i="74"/>
  <c r="O351" i="78"/>
  <c r="J346" i="74"/>
  <c r="O346" i="78"/>
  <c r="E353" i="74"/>
  <c r="E360" i="74"/>
  <c r="H360" i="74"/>
  <c r="G373" i="74"/>
  <c r="F373" i="74"/>
  <c r="P373" i="78" s="1"/>
  <c r="I373" i="74"/>
  <c r="E373" i="74"/>
  <c r="D385" i="74"/>
  <c r="G361" i="74"/>
  <c r="K347" i="74"/>
  <c r="J347" i="78"/>
  <c r="E354" i="74"/>
  <c r="K350" i="74"/>
  <c r="J350" i="78"/>
  <c r="K373" i="74" l="1"/>
  <c r="J373" i="78"/>
  <c r="J354" i="74"/>
  <c r="O354" i="78"/>
  <c r="J353" i="74"/>
  <c r="O353" i="78"/>
  <c r="J368" i="74"/>
  <c r="O368" i="78"/>
  <c r="K368" i="74"/>
  <c r="J368" i="78"/>
  <c r="I365" i="74"/>
  <c r="K353" i="74"/>
  <c r="J353" i="78"/>
  <c r="D393" i="74"/>
  <c r="F381" i="74"/>
  <c r="P381" i="78" s="1"/>
  <c r="G369" i="74"/>
  <c r="D388" i="74"/>
  <c r="H376" i="74"/>
  <c r="G376" i="74"/>
  <c r="F376" i="74"/>
  <c r="P376" i="78" s="1"/>
  <c r="E376" i="74"/>
  <c r="K362" i="74"/>
  <c r="J362" i="78"/>
  <c r="E372" i="74"/>
  <c r="H372" i="74"/>
  <c r="H371" i="74"/>
  <c r="H367" i="74"/>
  <c r="D397" i="74"/>
  <c r="F385" i="74"/>
  <c r="P385" i="78" s="1"/>
  <c r="K359" i="74"/>
  <c r="J359" i="78"/>
  <c r="D392" i="74"/>
  <c r="F380" i="74"/>
  <c r="P380" i="78" s="1"/>
  <c r="K370" i="74"/>
  <c r="J370" i="78"/>
  <c r="K366" i="74"/>
  <c r="J366" i="78"/>
  <c r="K365" i="74"/>
  <c r="J365" i="78"/>
  <c r="K363" i="74"/>
  <c r="J363" i="78"/>
  <c r="T126" i="74"/>
  <c r="I376" i="74" s="1"/>
  <c r="V127" i="74"/>
  <c r="K358" i="74"/>
  <c r="J358" i="78"/>
  <c r="E369" i="74"/>
  <c r="F374" i="74"/>
  <c r="P374" i="78" s="1"/>
  <c r="I374" i="74"/>
  <c r="E374" i="74"/>
  <c r="D386" i="74"/>
  <c r="H374" i="74"/>
  <c r="G374" i="74"/>
  <c r="I372" i="74"/>
  <c r="D396" i="74"/>
  <c r="F384" i="74"/>
  <c r="P384" i="78" s="1"/>
  <c r="E384" i="74"/>
  <c r="D395" i="74"/>
  <c r="H383" i="74"/>
  <c r="F383" i="74"/>
  <c r="P383" i="78" s="1"/>
  <c r="D391" i="74"/>
  <c r="H379" i="74"/>
  <c r="F379" i="74"/>
  <c r="P379" i="78" s="1"/>
  <c r="M134" i="74"/>
  <c r="O130" i="74"/>
  <c r="J373" i="74"/>
  <c r="O373" i="78"/>
  <c r="K360" i="74"/>
  <c r="J360" i="78"/>
  <c r="F382" i="74"/>
  <c r="P382" i="78" s="1"/>
  <c r="H382" i="74"/>
  <c r="D394" i="74"/>
  <c r="G382" i="74"/>
  <c r="O129" i="74"/>
  <c r="M133" i="74"/>
  <c r="F378" i="74"/>
  <c r="P378" i="78" s="1"/>
  <c r="H378" i="74"/>
  <c r="D390" i="74"/>
  <c r="G378" i="74"/>
  <c r="K361" i="74"/>
  <c r="J361" i="78"/>
  <c r="F377" i="74"/>
  <c r="P377" i="78" s="1"/>
  <c r="E377" i="74"/>
  <c r="D389" i="74"/>
  <c r="H377" i="74"/>
  <c r="G365" i="74"/>
  <c r="M131" i="74"/>
  <c r="O127" i="74"/>
  <c r="I375" i="74"/>
  <c r="E375" i="74"/>
  <c r="D387" i="74"/>
  <c r="H375" i="74"/>
  <c r="G375" i="74"/>
  <c r="F375" i="74"/>
  <c r="P375" i="78" s="1"/>
  <c r="K354" i="74"/>
  <c r="J354" i="78"/>
  <c r="I369" i="74"/>
  <c r="J362" i="74"/>
  <c r="O362" i="78"/>
  <c r="E371" i="74"/>
  <c r="E367" i="74"/>
  <c r="J360" i="74"/>
  <c r="O360" i="78"/>
  <c r="J370" i="74"/>
  <c r="O370" i="78"/>
  <c r="J366" i="74"/>
  <c r="O366" i="78"/>
  <c r="O132" i="74"/>
  <c r="M136" i="74"/>
  <c r="J365" i="74"/>
  <c r="O365" i="78"/>
  <c r="J363" i="74"/>
  <c r="O363" i="78"/>
  <c r="H369" i="74"/>
  <c r="J364" i="74"/>
  <c r="O364" i="78"/>
  <c r="K364" i="74"/>
  <c r="J364" i="78"/>
  <c r="J361" i="74"/>
  <c r="O361" i="78"/>
  <c r="G372" i="74"/>
  <c r="G371" i="74"/>
  <c r="I371" i="74"/>
  <c r="G367" i="74"/>
  <c r="J377" i="78" l="1"/>
  <c r="J384" i="74"/>
  <c r="O384" i="78"/>
  <c r="F396" i="74"/>
  <c r="P396" i="78" s="1"/>
  <c r="D408" i="74"/>
  <c r="K374" i="74"/>
  <c r="J374" i="78"/>
  <c r="V128" i="74"/>
  <c r="T127" i="74"/>
  <c r="K367" i="74"/>
  <c r="J367" i="78"/>
  <c r="O136" i="74"/>
  <c r="M140" i="74"/>
  <c r="J383" i="78"/>
  <c r="J371" i="74"/>
  <c r="O371" i="78"/>
  <c r="K375" i="74"/>
  <c r="J375" i="78"/>
  <c r="D401" i="74"/>
  <c r="F389" i="74"/>
  <c r="P389" i="78" s="1"/>
  <c r="G377" i="74"/>
  <c r="F390" i="74"/>
  <c r="P390" i="78" s="1"/>
  <c r="D402" i="74"/>
  <c r="F394" i="74"/>
  <c r="P394" i="78" s="1"/>
  <c r="D406" i="74"/>
  <c r="G379" i="74"/>
  <c r="F391" i="74"/>
  <c r="P391" i="78" s="1"/>
  <c r="D403" i="74"/>
  <c r="E383" i="74"/>
  <c r="H384" i="74"/>
  <c r="F386" i="74"/>
  <c r="P386" i="78" s="1"/>
  <c r="E386" i="74"/>
  <c r="H386" i="74"/>
  <c r="D398" i="74"/>
  <c r="G386" i="74"/>
  <c r="J369" i="74"/>
  <c r="O369" i="78"/>
  <c r="G380" i="74"/>
  <c r="K371" i="74"/>
  <c r="J371" i="78"/>
  <c r="H381" i="74"/>
  <c r="G381" i="74"/>
  <c r="J367" i="74"/>
  <c r="O367" i="78"/>
  <c r="D399" i="74"/>
  <c r="E387" i="74"/>
  <c r="H387" i="74"/>
  <c r="G387" i="74"/>
  <c r="F387" i="74"/>
  <c r="P387" i="78" s="1"/>
  <c r="M135" i="74"/>
  <c r="O131" i="74"/>
  <c r="G389" i="74" s="1"/>
  <c r="J377" i="74"/>
  <c r="O377" i="78"/>
  <c r="J378" i="78"/>
  <c r="O133" i="74"/>
  <c r="M137" i="74"/>
  <c r="J382" i="78"/>
  <c r="J374" i="74"/>
  <c r="O374" i="78"/>
  <c r="E380" i="74"/>
  <c r="F392" i="74"/>
  <c r="P392" i="78" s="1"/>
  <c r="D404" i="74"/>
  <c r="H392" i="74"/>
  <c r="H385" i="74"/>
  <c r="G385" i="74"/>
  <c r="K372" i="74"/>
  <c r="J372" i="78"/>
  <c r="J376" i="74"/>
  <c r="O376" i="78"/>
  <c r="K376" i="74"/>
  <c r="J376" i="78"/>
  <c r="E381" i="74"/>
  <c r="D405" i="74"/>
  <c r="H393" i="74"/>
  <c r="G393" i="74"/>
  <c r="F393" i="74"/>
  <c r="P393" i="78" s="1"/>
  <c r="J379" i="78"/>
  <c r="K369" i="74"/>
  <c r="J369" i="78"/>
  <c r="J375" i="74"/>
  <c r="O375" i="78"/>
  <c r="I377" i="74"/>
  <c r="K377" i="74" s="1"/>
  <c r="E378" i="74"/>
  <c r="E382" i="74"/>
  <c r="M138" i="74"/>
  <c r="O134" i="74"/>
  <c r="E379" i="74"/>
  <c r="G383" i="74"/>
  <c r="F395" i="74"/>
  <c r="P395" i="78" s="1"/>
  <c r="D407" i="74"/>
  <c r="H395" i="74"/>
  <c r="G395" i="74"/>
  <c r="G384" i="74"/>
  <c r="H380" i="74"/>
  <c r="E385" i="74"/>
  <c r="D409" i="74"/>
  <c r="H397" i="74"/>
  <c r="G397" i="74"/>
  <c r="F397" i="74"/>
  <c r="P397" i="78" s="1"/>
  <c r="E397" i="74"/>
  <c r="J372" i="74"/>
  <c r="O372" i="78"/>
  <c r="H388" i="74"/>
  <c r="D400" i="74"/>
  <c r="G388" i="74"/>
  <c r="F388" i="74"/>
  <c r="P388" i="78" s="1"/>
  <c r="E388" i="74"/>
  <c r="J380" i="78" l="1"/>
  <c r="M142" i="74"/>
  <c r="O138" i="74"/>
  <c r="J381" i="74"/>
  <c r="O381" i="78"/>
  <c r="J385" i="78"/>
  <c r="O137" i="74"/>
  <c r="M141" i="74"/>
  <c r="G398" i="74"/>
  <c r="H398" i="74"/>
  <c r="F398" i="74"/>
  <c r="P398" i="78" s="1"/>
  <c r="E398" i="74"/>
  <c r="D410" i="74"/>
  <c r="E391" i="74"/>
  <c r="F403" i="74"/>
  <c r="P403" i="78" s="1"/>
  <c r="D415" i="74"/>
  <c r="F406" i="74"/>
  <c r="P406" i="78" s="1"/>
  <c r="D418" i="74"/>
  <c r="G394" i="74"/>
  <c r="H389" i="74"/>
  <c r="O140" i="74"/>
  <c r="M144" i="74"/>
  <c r="J388" i="74"/>
  <c r="O388" i="78"/>
  <c r="E400" i="74"/>
  <c r="F400" i="74"/>
  <c r="P400" i="78" s="1"/>
  <c r="D412" i="74"/>
  <c r="H400" i="74"/>
  <c r="G400" i="74"/>
  <c r="J397" i="78"/>
  <c r="J395" i="78"/>
  <c r="J382" i="74"/>
  <c r="O382" i="78"/>
  <c r="G392" i="74"/>
  <c r="E392" i="74"/>
  <c r="F399" i="74"/>
  <c r="P399" i="78" s="1"/>
  <c r="D411" i="74"/>
  <c r="H399" i="74"/>
  <c r="G399" i="74"/>
  <c r="E399" i="74"/>
  <c r="J381" i="78"/>
  <c r="J386" i="78"/>
  <c r="J384" i="78"/>
  <c r="G391" i="74"/>
  <c r="E394" i="74"/>
  <c r="H390" i="74"/>
  <c r="E389" i="74"/>
  <c r="D413" i="74"/>
  <c r="F401" i="74"/>
  <c r="P401" i="78" s="1"/>
  <c r="I378" i="74"/>
  <c r="K378" i="74" s="1"/>
  <c r="I379" i="74"/>
  <c r="K379" i="74" s="1"/>
  <c r="G396" i="74"/>
  <c r="E396" i="74"/>
  <c r="J397" i="74"/>
  <c r="O397" i="78"/>
  <c r="D421" i="74"/>
  <c r="F409" i="74"/>
  <c r="P409" i="78" s="1"/>
  <c r="J379" i="74"/>
  <c r="O379" i="78"/>
  <c r="J378" i="74"/>
  <c r="O378" i="78"/>
  <c r="J393" i="78"/>
  <c r="J392" i="78"/>
  <c r="J387" i="78"/>
  <c r="J386" i="74"/>
  <c r="O386" i="78"/>
  <c r="H391" i="74"/>
  <c r="F402" i="74"/>
  <c r="P402" i="78" s="1"/>
  <c r="D414" i="74"/>
  <c r="G390" i="74"/>
  <c r="V129" i="74"/>
  <c r="T128" i="74"/>
  <c r="H396" i="74"/>
  <c r="J388" i="78"/>
  <c r="J385" i="74"/>
  <c r="O385" i="78"/>
  <c r="E395" i="74"/>
  <c r="F407" i="74"/>
  <c r="P407" i="78" s="1"/>
  <c r="D419" i="74"/>
  <c r="G407" i="74"/>
  <c r="E393" i="74"/>
  <c r="D417" i="74"/>
  <c r="H405" i="74"/>
  <c r="F405" i="74"/>
  <c r="P405" i="78" s="1"/>
  <c r="F404" i="74"/>
  <c r="P404" i="78" s="1"/>
  <c r="D416" i="74"/>
  <c r="J380" i="74"/>
  <c r="O380" i="78"/>
  <c r="M139" i="74"/>
  <c r="O135" i="74"/>
  <c r="H403" i="74" s="1"/>
  <c r="J387" i="74"/>
  <c r="O387" i="78"/>
  <c r="J383" i="74"/>
  <c r="O383" i="78"/>
  <c r="H394" i="74"/>
  <c r="E390" i="74"/>
  <c r="E408" i="74"/>
  <c r="F408" i="74"/>
  <c r="P408" i="78" s="1"/>
  <c r="D420" i="74"/>
  <c r="H408" i="74"/>
  <c r="G408" i="74"/>
  <c r="J403" i="78" l="1"/>
  <c r="F420" i="74"/>
  <c r="P420" i="78" s="1"/>
  <c r="D432" i="74"/>
  <c r="J390" i="74"/>
  <c r="O390" i="78"/>
  <c r="J394" i="78"/>
  <c r="M143" i="74"/>
  <c r="O139" i="74"/>
  <c r="H404" i="74"/>
  <c r="G405" i="74"/>
  <c r="E407" i="74"/>
  <c r="F419" i="74"/>
  <c r="P419" i="78" s="1"/>
  <c r="D431" i="74"/>
  <c r="J396" i="78"/>
  <c r="H402" i="74"/>
  <c r="E409" i="74"/>
  <c r="D433" i="74"/>
  <c r="F421" i="74"/>
  <c r="P421" i="78" s="1"/>
  <c r="E401" i="74"/>
  <c r="D425" i="74"/>
  <c r="H413" i="74"/>
  <c r="G413" i="74"/>
  <c r="F413" i="74"/>
  <c r="P413" i="78" s="1"/>
  <c r="E413" i="74"/>
  <c r="J394" i="74"/>
  <c r="O394" i="78"/>
  <c r="J399" i="74"/>
  <c r="O399" i="78"/>
  <c r="F411" i="74"/>
  <c r="P411" i="78" s="1"/>
  <c r="D423" i="74"/>
  <c r="H411" i="74"/>
  <c r="G411" i="74"/>
  <c r="E411" i="74"/>
  <c r="E412" i="74"/>
  <c r="F412" i="74"/>
  <c r="P412" i="78" s="1"/>
  <c r="D424" i="74"/>
  <c r="H412" i="74"/>
  <c r="G412" i="74"/>
  <c r="J389" i="78"/>
  <c r="G418" i="74"/>
  <c r="H418" i="74"/>
  <c r="F418" i="74"/>
  <c r="P418" i="78" s="1"/>
  <c r="E418" i="74"/>
  <c r="D430" i="74"/>
  <c r="G406" i="74"/>
  <c r="J398" i="78"/>
  <c r="E416" i="74"/>
  <c r="F416" i="74"/>
  <c r="P416" i="78" s="1"/>
  <c r="D428" i="74"/>
  <c r="H416" i="74"/>
  <c r="G416" i="74"/>
  <c r="J405" i="78"/>
  <c r="I382" i="74"/>
  <c r="K382" i="74" s="1"/>
  <c r="I381" i="74"/>
  <c r="K381" i="74" s="1"/>
  <c r="I380" i="74"/>
  <c r="K380" i="74" s="1"/>
  <c r="G414" i="74"/>
  <c r="H414" i="74"/>
  <c r="F414" i="74"/>
  <c r="P414" i="78" s="1"/>
  <c r="E414" i="74"/>
  <c r="D426" i="74"/>
  <c r="G402" i="74"/>
  <c r="J389" i="74"/>
  <c r="O389" i="78"/>
  <c r="E406" i="74"/>
  <c r="E403" i="74"/>
  <c r="F415" i="74"/>
  <c r="P415" i="78" s="1"/>
  <c r="D427" i="74"/>
  <c r="H415" i="74"/>
  <c r="G415" i="74"/>
  <c r="E415" i="74"/>
  <c r="G410" i="74"/>
  <c r="H410" i="74"/>
  <c r="F410" i="74"/>
  <c r="P410" i="78" s="1"/>
  <c r="E410" i="74"/>
  <c r="D422" i="74"/>
  <c r="M146" i="74"/>
  <c r="O142" i="74"/>
  <c r="E405" i="74"/>
  <c r="D429" i="74"/>
  <c r="H417" i="74"/>
  <c r="G417" i="74"/>
  <c r="F417" i="74"/>
  <c r="P417" i="78" s="1"/>
  <c r="E417" i="74"/>
  <c r="H407" i="74"/>
  <c r="J395" i="74"/>
  <c r="O395" i="78"/>
  <c r="T129" i="74"/>
  <c r="V130" i="74"/>
  <c r="E402" i="74"/>
  <c r="J391" i="78"/>
  <c r="G409" i="74"/>
  <c r="G401" i="74"/>
  <c r="J390" i="78"/>
  <c r="J399" i="78"/>
  <c r="J392" i="74"/>
  <c r="O392" i="78"/>
  <c r="J400" i="74"/>
  <c r="O400" i="78"/>
  <c r="O144" i="74"/>
  <c r="M148" i="74"/>
  <c r="G403" i="74"/>
  <c r="J398" i="74"/>
  <c r="O398" i="78"/>
  <c r="O141" i="74"/>
  <c r="H419" i="74" s="1"/>
  <c r="M145" i="74"/>
  <c r="J408" i="74"/>
  <c r="O408" i="78"/>
  <c r="J408" i="78"/>
  <c r="G404" i="74"/>
  <c r="E404" i="74"/>
  <c r="J393" i="74"/>
  <c r="O393" i="78"/>
  <c r="H409" i="74"/>
  <c r="J396" i="74"/>
  <c r="O396" i="78"/>
  <c r="H401" i="74"/>
  <c r="J400" i="78"/>
  <c r="H406" i="74"/>
  <c r="J391" i="74"/>
  <c r="O391" i="78"/>
  <c r="J419" i="78" l="1"/>
  <c r="J404" i="74"/>
  <c r="O404" i="78"/>
  <c r="J417" i="74"/>
  <c r="O417" i="78"/>
  <c r="D441" i="74"/>
  <c r="F429" i="74"/>
  <c r="P429" i="78" s="1"/>
  <c r="J410" i="78"/>
  <c r="J415" i="78"/>
  <c r="J403" i="74"/>
  <c r="O403" i="78"/>
  <c r="J416" i="74"/>
  <c r="O416" i="78"/>
  <c r="J418" i="74"/>
  <c r="O418" i="78"/>
  <c r="E424" i="74"/>
  <c r="F424" i="74"/>
  <c r="P424" i="78" s="1"/>
  <c r="D436" i="74"/>
  <c r="H424" i="74"/>
  <c r="G424" i="74"/>
  <c r="J411" i="74"/>
  <c r="O411" i="78"/>
  <c r="F423" i="74"/>
  <c r="P423" i="78" s="1"/>
  <c r="D435" i="74"/>
  <c r="H423" i="74"/>
  <c r="G423" i="74"/>
  <c r="E423" i="74"/>
  <c r="J401" i="74"/>
  <c r="O401" i="78"/>
  <c r="G421" i="74"/>
  <c r="J402" i="78"/>
  <c r="E419" i="74"/>
  <c r="F431" i="74"/>
  <c r="P431" i="78" s="1"/>
  <c r="D443" i="74"/>
  <c r="G420" i="74"/>
  <c r="E420" i="74"/>
  <c r="J402" i="74"/>
  <c r="O402" i="78"/>
  <c r="J405" i="74"/>
  <c r="O405" i="78"/>
  <c r="G422" i="74"/>
  <c r="H422" i="74"/>
  <c r="F422" i="74"/>
  <c r="P422" i="78" s="1"/>
  <c r="E422" i="74"/>
  <c r="D434" i="74"/>
  <c r="J406" i="74"/>
  <c r="O406" i="78"/>
  <c r="J414" i="78"/>
  <c r="J416" i="78"/>
  <c r="H421" i="74"/>
  <c r="G419" i="74"/>
  <c r="J404" i="78"/>
  <c r="H420" i="74"/>
  <c r="O145" i="74"/>
  <c r="M149" i="74"/>
  <c r="T130" i="74"/>
  <c r="V131" i="74"/>
  <c r="J407" i="78"/>
  <c r="J410" i="74"/>
  <c r="O410" i="78"/>
  <c r="J415" i="74"/>
  <c r="O415" i="78"/>
  <c r="F427" i="74"/>
  <c r="P427" i="78" s="1"/>
  <c r="D439" i="74"/>
  <c r="F426" i="74"/>
  <c r="P426" i="78" s="1"/>
  <c r="D438" i="74"/>
  <c r="F428" i="74"/>
  <c r="P428" i="78" s="1"/>
  <c r="D440" i="74"/>
  <c r="J418" i="78"/>
  <c r="J412" i="74"/>
  <c r="O412" i="78"/>
  <c r="J411" i="78"/>
  <c r="J413" i="78"/>
  <c r="E421" i="74"/>
  <c r="D445" i="74"/>
  <c r="F433" i="74"/>
  <c r="P433" i="78" s="1"/>
  <c r="J407" i="74"/>
  <c r="O407" i="78"/>
  <c r="F432" i="74"/>
  <c r="P432" i="78" s="1"/>
  <c r="D444" i="74"/>
  <c r="J406" i="78"/>
  <c r="J401" i="78"/>
  <c r="J409" i="78"/>
  <c r="O148" i="74"/>
  <c r="M152" i="74"/>
  <c r="I383" i="74"/>
  <c r="K383" i="74" s="1"/>
  <c r="I384" i="74"/>
  <c r="K384" i="74" s="1"/>
  <c r="I385" i="74"/>
  <c r="K385" i="74" s="1"/>
  <c r="J417" i="78"/>
  <c r="M150" i="74"/>
  <c r="O146" i="74"/>
  <c r="J414" i="74"/>
  <c r="O414" i="78"/>
  <c r="G430" i="74"/>
  <c r="F430" i="74"/>
  <c r="P430" i="78" s="1"/>
  <c r="D442" i="74"/>
  <c r="J412" i="78"/>
  <c r="J413" i="74"/>
  <c r="O413" i="78"/>
  <c r="D437" i="74"/>
  <c r="G425" i="74"/>
  <c r="F425" i="74"/>
  <c r="P425" i="78" s="1"/>
  <c r="E425" i="74"/>
  <c r="J409" i="74"/>
  <c r="O409" i="78"/>
  <c r="M147" i="74"/>
  <c r="O143" i="74"/>
  <c r="H429" i="74" s="1"/>
  <c r="J429" i="78" l="1"/>
  <c r="M151" i="74"/>
  <c r="O147" i="74"/>
  <c r="H430" i="74"/>
  <c r="H432" i="74"/>
  <c r="E433" i="74"/>
  <c r="D457" i="74"/>
  <c r="F445" i="74"/>
  <c r="P445" i="78" s="1"/>
  <c r="E440" i="74"/>
  <c r="F440" i="74"/>
  <c r="P440" i="78" s="1"/>
  <c r="D452" i="74"/>
  <c r="H440" i="74"/>
  <c r="G440" i="74"/>
  <c r="H426" i="74"/>
  <c r="H427" i="74"/>
  <c r="O149" i="74"/>
  <c r="E445" i="74" s="1"/>
  <c r="M153" i="74"/>
  <c r="G434" i="74"/>
  <c r="H434" i="74"/>
  <c r="F434" i="74"/>
  <c r="P434" i="78" s="1"/>
  <c r="E434" i="74"/>
  <c r="D446" i="74"/>
  <c r="G431" i="74"/>
  <c r="J424" i="78"/>
  <c r="E429" i="74"/>
  <c r="D453" i="74"/>
  <c r="H441" i="74"/>
  <c r="G441" i="74"/>
  <c r="F441" i="74"/>
  <c r="P441" i="78" s="1"/>
  <c r="E441" i="74"/>
  <c r="G442" i="74"/>
  <c r="H442" i="74"/>
  <c r="F442" i="74"/>
  <c r="P442" i="78" s="1"/>
  <c r="E442" i="74"/>
  <c r="D454" i="74"/>
  <c r="J421" i="74"/>
  <c r="O421" i="78"/>
  <c r="G438" i="74"/>
  <c r="H438" i="74"/>
  <c r="F438" i="74"/>
  <c r="P438" i="78" s="1"/>
  <c r="E438" i="74"/>
  <c r="D450" i="74"/>
  <c r="G426" i="74"/>
  <c r="J422" i="74"/>
  <c r="O422" i="78"/>
  <c r="J420" i="74"/>
  <c r="O420" i="78"/>
  <c r="H431" i="74"/>
  <c r="J419" i="74"/>
  <c r="O419" i="78"/>
  <c r="J423" i="78"/>
  <c r="E436" i="74"/>
  <c r="F436" i="74"/>
  <c r="P436" i="78" s="1"/>
  <c r="D448" i="74"/>
  <c r="H436" i="74"/>
  <c r="G436" i="74"/>
  <c r="E444" i="74"/>
  <c r="F444" i="74"/>
  <c r="P444" i="78" s="1"/>
  <c r="D456" i="74"/>
  <c r="H444" i="74"/>
  <c r="G444" i="74"/>
  <c r="H425" i="74"/>
  <c r="E430" i="74"/>
  <c r="G433" i="74"/>
  <c r="G428" i="74"/>
  <c r="E428" i="74"/>
  <c r="E426" i="74"/>
  <c r="E427" i="74"/>
  <c r="F439" i="74"/>
  <c r="P439" i="78" s="1"/>
  <c r="D451" i="74"/>
  <c r="H439" i="74"/>
  <c r="G439" i="74"/>
  <c r="E439" i="74"/>
  <c r="V132" i="74"/>
  <c r="T131" i="74"/>
  <c r="G429" i="74"/>
  <c r="M154" i="74"/>
  <c r="O150" i="74"/>
  <c r="J425" i="74"/>
  <c r="O425" i="78"/>
  <c r="D449" i="74"/>
  <c r="H437" i="74"/>
  <c r="G437" i="74"/>
  <c r="F437" i="74"/>
  <c r="P437" i="78" s="1"/>
  <c r="E437" i="74"/>
  <c r="O152" i="74"/>
  <c r="M156" i="74"/>
  <c r="G432" i="74"/>
  <c r="E432" i="74"/>
  <c r="H433" i="74"/>
  <c r="H428" i="74"/>
  <c r="G427" i="74"/>
  <c r="I386" i="74"/>
  <c r="K386" i="74" s="1"/>
  <c r="I388" i="74"/>
  <c r="K388" i="74" s="1"/>
  <c r="I387" i="74"/>
  <c r="K387" i="74" s="1"/>
  <c r="J420" i="78"/>
  <c r="J421" i="78"/>
  <c r="J422" i="78"/>
  <c r="E431" i="74"/>
  <c r="F443" i="74"/>
  <c r="P443" i="78" s="1"/>
  <c r="D455" i="74"/>
  <c r="H443" i="74"/>
  <c r="G443" i="74"/>
  <c r="E443" i="74"/>
  <c r="J423" i="74"/>
  <c r="O423" i="78"/>
  <c r="F435" i="74"/>
  <c r="P435" i="78" s="1"/>
  <c r="D447" i="74"/>
  <c r="H435" i="74"/>
  <c r="G435" i="74"/>
  <c r="E435" i="74"/>
  <c r="J424" i="74"/>
  <c r="O424" i="78"/>
  <c r="J445" i="74" l="1"/>
  <c r="O445" i="78"/>
  <c r="J435" i="74"/>
  <c r="O435" i="78"/>
  <c r="F447" i="74"/>
  <c r="P447" i="78" s="1"/>
  <c r="D459" i="74"/>
  <c r="H447" i="74"/>
  <c r="G447" i="74"/>
  <c r="E447" i="74"/>
  <c r="J443" i="74"/>
  <c r="O443" i="78"/>
  <c r="F455" i="74"/>
  <c r="P455" i="78" s="1"/>
  <c r="D467" i="74"/>
  <c r="J436" i="78"/>
  <c r="J438" i="78"/>
  <c r="J442" i="78"/>
  <c r="J429" i="74"/>
  <c r="O429" i="78"/>
  <c r="J434" i="78"/>
  <c r="J427" i="78"/>
  <c r="J440" i="78"/>
  <c r="G445" i="74"/>
  <c r="J432" i="74"/>
  <c r="O432" i="78"/>
  <c r="J437" i="78"/>
  <c r="I390" i="74"/>
  <c r="K390" i="74" s="1"/>
  <c r="I391" i="74"/>
  <c r="K391" i="74" s="1"/>
  <c r="I389" i="74"/>
  <c r="K389" i="74" s="1"/>
  <c r="J439" i="78"/>
  <c r="J427" i="74"/>
  <c r="O427" i="78"/>
  <c r="J444" i="74"/>
  <c r="O444" i="78"/>
  <c r="E448" i="74"/>
  <c r="F448" i="74"/>
  <c r="P448" i="78" s="1"/>
  <c r="D460" i="74"/>
  <c r="H448" i="74"/>
  <c r="G448" i="74"/>
  <c r="J431" i="78"/>
  <c r="F450" i="74"/>
  <c r="P450" i="78" s="1"/>
  <c r="D462" i="74"/>
  <c r="F454" i="74"/>
  <c r="P454" i="78" s="1"/>
  <c r="D466" i="74"/>
  <c r="G446" i="74"/>
  <c r="H446" i="74"/>
  <c r="F446" i="74"/>
  <c r="P446" i="78" s="1"/>
  <c r="E446" i="74"/>
  <c r="D458" i="74"/>
  <c r="J426" i="78"/>
  <c r="F452" i="74"/>
  <c r="P452" i="78" s="1"/>
  <c r="D464" i="74"/>
  <c r="H445" i="74"/>
  <c r="J432" i="78"/>
  <c r="M155" i="74"/>
  <c r="O151" i="74"/>
  <c r="G455" i="74" s="1"/>
  <c r="J435" i="78"/>
  <c r="J443" i="78"/>
  <c r="J431" i="74"/>
  <c r="O431" i="78"/>
  <c r="J428" i="78"/>
  <c r="J437" i="74"/>
  <c r="O437" i="78"/>
  <c r="D461" i="74"/>
  <c r="H449" i="74"/>
  <c r="F449" i="74"/>
  <c r="P449" i="78" s="1"/>
  <c r="M158" i="74"/>
  <c r="O154" i="74"/>
  <c r="V133" i="74"/>
  <c r="T132" i="74"/>
  <c r="J426" i="74"/>
  <c r="O426" i="78"/>
  <c r="J430" i="74"/>
  <c r="O430" i="78"/>
  <c r="J444" i="78"/>
  <c r="J438" i="74"/>
  <c r="O438" i="78"/>
  <c r="J442" i="74"/>
  <c r="O442" i="78"/>
  <c r="J441" i="78"/>
  <c r="J434" i="74"/>
  <c r="O434" i="78"/>
  <c r="O153" i="74"/>
  <c r="M157" i="74"/>
  <c r="D469" i="74"/>
  <c r="H457" i="74"/>
  <c r="F457" i="74"/>
  <c r="P457" i="78" s="1"/>
  <c r="J430" i="78"/>
  <c r="J433" i="78"/>
  <c r="O156" i="74"/>
  <c r="M160" i="74"/>
  <c r="J439" i="74"/>
  <c r="O439" i="78"/>
  <c r="F451" i="74"/>
  <c r="P451" i="78" s="1"/>
  <c r="D463" i="74"/>
  <c r="H451" i="74"/>
  <c r="G451" i="74"/>
  <c r="E451" i="74"/>
  <c r="J428" i="74"/>
  <c r="O428" i="78"/>
  <c r="J425" i="78"/>
  <c r="E456" i="74"/>
  <c r="F456" i="74"/>
  <c r="P456" i="78" s="1"/>
  <c r="D468" i="74"/>
  <c r="G456" i="74"/>
  <c r="J436" i="74"/>
  <c r="O436" i="78"/>
  <c r="J441" i="74"/>
  <c r="O441" i="78"/>
  <c r="D465" i="74"/>
  <c r="H453" i="74"/>
  <c r="F453" i="74"/>
  <c r="P453" i="78" s="1"/>
  <c r="E453" i="74"/>
  <c r="J440" i="74"/>
  <c r="O440" i="78"/>
  <c r="J433" i="74"/>
  <c r="O433" i="78"/>
  <c r="J456" i="74" l="1"/>
  <c r="O456" i="78"/>
  <c r="J451" i="78"/>
  <c r="J457" i="78"/>
  <c r="G452" i="74"/>
  <c r="E454" i="74"/>
  <c r="H450" i="74"/>
  <c r="J448" i="74"/>
  <c r="O448" i="78"/>
  <c r="H455" i="74"/>
  <c r="J447" i="78"/>
  <c r="E452" i="74"/>
  <c r="J446" i="78"/>
  <c r="G453" i="74"/>
  <c r="H456" i="74"/>
  <c r="E457" i="74"/>
  <c r="D481" i="74"/>
  <c r="F469" i="74"/>
  <c r="P469" i="78" s="1"/>
  <c r="M162" i="74"/>
  <c r="O158" i="74"/>
  <c r="G449" i="74"/>
  <c r="H452" i="74"/>
  <c r="G458" i="74"/>
  <c r="H458" i="74"/>
  <c r="F458" i="74"/>
  <c r="P458" i="78" s="1"/>
  <c r="E458" i="74"/>
  <c r="D470" i="74"/>
  <c r="F462" i="74"/>
  <c r="P462" i="78" s="1"/>
  <c r="D474" i="74"/>
  <c r="G450" i="74"/>
  <c r="J448" i="78"/>
  <c r="F468" i="74"/>
  <c r="P468" i="78" s="1"/>
  <c r="D480" i="74"/>
  <c r="I392" i="74"/>
  <c r="K392" i="74" s="1"/>
  <c r="I393" i="74"/>
  <c r="K393" i="74" s="1"/>
  <c r="I394" i="74"/>
  <c r="K394" i="74" s="1"/>
  <c r="J449" i="78"/>
  <c r="J445" i="78"/>
  <c r="F464" i="74"/>
  <c r="P464" i="78" s="1"/>
  <c r="D476" i="74"/>
  <c r="J446" i="74"/>
  <c r="O446" i="78"/>
  <c r="H454" i="74"/>
  <c r="E450" i="74"/>
  <c r="E460" i="74"/>
  <c r="F460" i="74"/>
  <c r="P460" i="78" s="1"/>
  <c r="D472" i="74"/>
  <c r="H460" i="74"/>
  <c r="G460" i="74"/>
  <c r="E455" i="74"/>
  <c r="F467" i="74"/>
  <c r="P467" i="78" s="1"/>
  <c r="D479" i="74"/>
  <c r="J447" i="74"/>
  <c r="O447" i="78"/>
  <c r="F459" i="74"/>
  <c r="P459" i="78" s="1"/>
  <c r="D471" i="74"/>
  <c r="H459" i="74"/>
  <c r="G459" i="74"/>
  <c r="E459" i="74"/>
  <c r="J453" i="78"/>
  <c r="J451" i="74"/>
  <c r="O451" i="78"/>
  <c r="F463" i="74"/>
  <c r="P463" i="78" s="1"/>
  <c r="D475" i="74"/>
  <c r="M164" i="74"/>
  <c r="O160" i="74"/>
  <c r="O157" i="74"/>
  <c r="M161" i="74"/>
  <c r="J453" i="74"/>
  <c r="O453" i="78"/>
  <c r="D477" i="74"/>
  <c r="F465" i="74"/>
  <c r="P465" i="78" s="1"/>
  <c r="G457" i="74"/>
  <c r="T133" i="74"/>
  <c r="V134" i="74"/>
  <c r="E449" i="74"/>
  <c r="D473" i="74"/>
  <c r="F461" i="74"/>
  <c r="P461" i="78" s="1"/>
  <c r="M159" i="74"/>
  <c r="O155" i="74"/>
  <c r="H469" i="74" s="1"/>
  <c r="H466" i="74"/>
  <c r="F466" i="74"/>
  <c r="P466" i="78" s="1"/>
  <c r="E466" i="74"/>
  <c r="D478" i="74"/>
  <c r="G454" i="74"/>
  <c r="J469" i="78" l="1"/>
  <c r="J466" i="74"/>
  <c r="O466" i="78"/>
  <c r="J449" i="74"/>
  <c r="O449" i="78"/>
  <c r="H465" i="74"/>
  <c r="O161" i="74"/>
  <c r="M165" i="74"/>
  <c r="E463" i="74"/>
  <c r="F475" i="74"/>
  <c r="P475" i="78" s="1"/>
  <c r="D487" i="74"/>
  <c r="H475" i="74"/>
  <c r="G475" i="74"/>
  <c r="J459" i="78"/>
  <c r="M163" i="74"/>
  <c r="O159" i="74"/>
  <c r="G461" i="74"/>
  <c r="T134" i="74"/>
  <c r="V135" i="74"/>
  <c r="E465" i="74"/>
  <c r="D489" i="74"/>
  <c r="H477" i="74"/>
  <c r="G477" i="74"/>
  <c r="F477" i="74"/>
  <c r="P477" i="78" s="1"/>
  <c r="G463" i="74"/>
  <c r="J460" i="74"/>
  <c r="O460" i="78"/>
  <c r="H464" i="74"/>
  <c r="G468" i="74"/>
  <c r="E468" i="74"/>
  <c r="E462" i="74"/>
  <c r="J458" i="78"/>
  <c r="E469" i="74"/>
  <c r="D493" i="74"/>
  <c r="H481" i="74"/>
  <c r="G481" i="74"/>
  <c r="F481" i="74"/>
  <c r="P481" i="78" s="1"/>
  <c r="E481" i="74"/>
  <c r="J456" i="78"/>
  <c r="J455" i="78"/>
  <c r="J454" i="74"/>
  <c r="O454" i="78"/>
  <c r="H463" i="74"/>
  <c r="J459" i="74"/>
  <c r="O459" i="78"/>
  <c r="F471" i="74"/>
  <c r="P471" i="78" s="1"/>
  <c r="D483" i="74"/>
  <c r="H471" i="74"/>
  <c r="G471" i="74"/>
  <c r="E471" i="74"/>
  <c r="E467" i="74"/>
  <c r="F479" i="74"/>
  <c r="P479" i="78" s="1"/>
  <c r="D491" i="74"/>
  <c r="H479" i="74"/>
  <c r="G479" i="74"/>
  <c r="E479" i="74"/>
  <c r="J460" i="78"/>
  <c r="E476" i="74"/>
  <c r="F476" i="74"/>
  <c r="P476" i="78" s="1"/>
  <c r="D488" i="74"/>
  <c r="H476" i="74"/>
  <c r="G476" i="74"/>
  <c r="H468" i="74"/>
  <c r="G470" i="74"/>
  <c r="H470" i="74"/>
  <c r="F470" i="74"/>
  <c r="P470" i="78" s="1"/>
  <c r="E470" i="74"/>
  <c r="D482" i="74"/>
  <c r="J457" i="74"/>
  <c r="O457" i="78"/>
  <c r="J452" i="74"/>
  <c r="O452" i="78"/>
  <c r="J466" i="78"/>
  <c r="H461" i="74"/>
  <c r="I395" i="74"/>
  <c r="K395" i="74" s="1"/>
  <c r="I397" i="74"/>
  <c r="K397" i="74" s="1"/>
  <c r="I396" i="74"/>
  <c r="K396" i="74" s="1"/>
  <c r="G478" i="74"/>
  <c r="H478" i="74"/>
  <c r="F478" i="74"/>
  <c r="P478" i="78" s="1"/>
  <c r="E478" i="74"/>
  <c r="D490" i="74"/>
  <c r="G466" i="74"/>
  <c r="E461" i="74"/>
  <c r="D485" i="74"/>
  <c r="H473" i="74"/>
  <c r="G473" i="74"/>
  <c r="F473" i="74"/>
  <c r="P473" i="78" s="1"/>
  <c r="E473" i="74"/>
  <c r="G465" i="74"/>
  <c r="O164" i="74"/>
  <c r="M168" i="74"/>
  <c r="G467" i="74"/>
  <c r="E472" i="74"/>
  <c r="F472" i="74"/>
  <c r="P472" i="78" s="1"/>
  <c r="D484" i="74"/>
  <c r="H472" i="74"/>
  <c r="G472" i="74"/>
  <c r="J450" i="74"/>
  <c r="O450" i="78"/>
  <c r="E480" i="74"/>
  <c r="F480" i="74"/>
  <c r="P480" i="78" s="1"/>
  <c r="D492" i="74"/>
  <c r="H480" i="74"/>
  <c r="G480" i="74"/>
  <c r="H462" i="74"/>
  <c r="J458" i="74"/>
  <c r="O458" i="78"/>
  <c r="M166" i="74"/>
  <c r="O162" i="74"/>
  <c r="G469" i="74"/>
  <c r="H467" i="74"/>
  <c r="J455" i="74"/>
  <c r="O455" i="78"/>
  <c r="J454" i="78"/>
  <c r="G464" i="74"/>
  <c r="E464" i="74"/>
  <c r="G474" i="74"/>
  <c r="H474" i="74"/>
  <c r="F474" i="74"/>
  <c r="P474" i="78" s="1"/>
  <c r="E474" i="74"/>
  <c r="D486" i="74"/>
  <c r="G462" i="74"/>
  <c r="J452" i="78"/>
  <c r="J450" i="78"/>
  <c r="J462" i="78" l="1"/>
  <c r="F492" i="74"/>
  <c r="P492" i="78" s="1"/>
  <c r="D504" i="74"/>
  <c r="E484" i="74"/>
  <c r="F484" i="74"/>
  <c r="P484" i="78" s="1"/>
  <c r="D496" i="74"/>
  <c r="H484" i="74"/>
  <c r="G484" i="74"/>
  <c r="J470" i="74"/>
  <c r="O470" i="78"/>
  <c r="F488" i="74"/>
  <c r="P488" i="78" s="1"/>
  <c r="D500" i="74"/>
  <c r="J479" i="78"/>
  <c r="J467" i="74"/>
  <c r="O467" i="78"/>
  <c r="J481" i="78"/>
  <c r="J465" i="74"/>
  <c r="O465" i="78"/>
  <c r="E475" i="74"/>
  <c r="D499" i="74"/>
  <c r="F487" i="74"/>
  <c r="P487" i="78" s="1"/>
  <c r="J474" i="78"/>
  <c r="J467" i="78"/>
  <c r="M170" i="74"/>
  <c r="O170" i="74" s="1"/>
  <c r="O166" i="74"/>
  <c r="J473" i="78"/>
  <c r="J478" i="78"/>
  <c r="J468" i="78"/>
  <c r="J471" i="74"/>
  <c r="O471" i="78"/>
  <c r="D495" i="74"/>
  <c r="F483" i="74"/>
  <c r="P483" i="78" s="1"/>
  <c r="H483" i="74"/>
  <c r="G483" i="74"/>
  <c r="E483" i="74"/>
  <c r="J463" i="78"/>
  <c r="J481" i="74"/>
  <c r="O481" i="78"/>
  <c r="D505" i="74"/>
  <c r="F493" i="74"/>
  <c r="P493" i="78" s="1"/>
  <c r="J462" i="74"/>
  <c r="O462" i="78"/>
  <c r="J464" i="78"/>
  <c r="V136" i="74"/>
  <c r="T135" i="74"/>
  <c r="M167" i="74"/>
  <c r="O163" i="74"/>
  <c r="E492" i="74" s="1"/>
  <c r="J465" i="78"/>
  <c r="H486" i="74"/>
  <c r="F486" i="74"/>
  <c r="P486" i="78" s="1"/>
  <c r="D498" i="74"/>
  <c r="J473" i="74"/>
  <c r="O473" i="78"/>
  <c r="D497" i="74"/>
  <c r="H485" i="74"/>
  <c r="F485" i="74"/>
  <c r="P485" i="78" s="1"/>
  <c r="H490" i="74"/>
  <c r="F490" i="74"/>
  <c r="P490" i="78" s="1"/>
  <c r="D502" i="74"/>
  <c r="J461" i="78"/>
  <c r="J470" i="78"/>
  <c r="J476" i="74"/>
  <c r="O476" i="78"/>
  <c r="J479" i="74"/>
  <c r="O479" i="78"/>
  <c r="D503" i="74"/>
  <c r="F491" i="74"/>
  <c r="P491" i="78" s="1"/>
  <c r="J469" i="74"/>
  <c r="O469" i="78"/>
  <c r="J468" i="74"/>
  <c r="O468" i="78"/>
  <c r="J477" i="78"/>
  <c r="I400" i="74"/>
  <c r="K400" i="74" s="1"/>
  <c r="I399" i="74"/>
  <c r="K399" i="74" s="1"/>
  <c r="I398" i="74"/>
  <c r="K398" i="74" s="1"/>
  <c r="J475" i="78"/>
  <c r="J463" i="74"/>
  <c r="O463" i="78"/>
  <c r="J480" i="74"/>
  <c r="O480" i="78"/>
  <c r="J472" i="74"/>
  <c r="O472" i="78"/>
  <c r="O168" i="74"/>
  <c r="M172" i="74"/>
  <c r="O172" i="74" s="1"/>
  <c r="J474" i="74"/>
  <c r="O474" i="78"/>
  <c r="J464" i="74"/>
  <c r="O464" i="78"/>
  <c r="J480" i="78"/>
  <c r="J472" i="78"/>
  <c r="J461" i="74"/>
  <c r="O461" i="78"/>
  <c r="J478" i="74"/>
  <c r="O478" i="78"/>
  <c r="G482" i="74"/>
  <c r="H482" i="74"/>
  <c r="F482" i="74"/>
  <c r="P482" i="78" s="1"/>
  <c r="D494" i="74"/>
  <c r="E482" i="74"/>
  <c r="J476" i="78"/>
  <c r="J471" i="78"/>
  <c r="E477" i="74"/>
  <c r="D501" i="74"/>
  <c r="H489" i="74"/>
  <c r="G489" i="74"/>
  <c r="F489" i="74"/>
  <c r="P489" i="78" s="1"/>
  <c r="E489" i="74"/>
  <c r="M169" i="74"/>
  <c r="O165" i="74"/>
  <c r="H491" i="74" s="1"/>
  <c r="J491" i="78" l="1"/>
  <c r="J492" i="74"/>
  <c r="O492" i="78"/>
  <c r="J489" i="78"/>
  <c r="E491" i="74"/>
  <c r="D514" i="74"/>
  <c r="F502" i="74"/>
  <c r="P502" i="78" s="1"/>
  <c r="J485" i="78"/>
  <c r="J486" i="78"/>
  <c r="H493" i="74"/>
  <c r="J483" i="78"/>
  <c r="H487" i="74"/>
  <c r="J475" i="74"/>
  <c r="O475" i="78"/>
  <c r="H492" i="74"/>
  <c r="J482" i="74"/>
  <c r="O482" i="78"/>
  <c r="J489" i="74"/>
  <c r="O489" i="78"/>
  <c r="D513" i="74"/>
  <c r="F501" i="74"/>
  <c r="P501" i="78" s="1"/>
  <c r="G494" i="74"/>
  <c r="E494" i="74"/>
  <c r="D506" i="74"/>
  <c r="H494" i="74"/>
  <c r="F494" i="74"/>
  <c r="P494" i="78" s="1"/>
  <c r="G491" i="74"/>
  <c r="D515" i="74"/>
  <c r="F503" i="74"/>
  <c r="P503" i="78" s="1"/>
  <c r="E485" i="74"/>
  <c r="D509" i="74"/>
  <c r="F497" i="74"/>
  <c r="P497" i="78" s="1"/>
  <c r="E486" i="74"/>
  <c r="G486" i="74"/>
  <c r="M171" i="74"/>
  <c r="O171" i="74" s="1"/>
  <c r="O167" i="74"/>
  <c r="E502" i="74" s="1"/>
  <c r="E493" i="74"/>
  <c r="D517" i="74"/>
  <c r="F505" i="74"/>
  <c r="P505" i="78" s="1"/>
  <c r="G488" i="74"/>
  <c r="E488" i="74"/>
  <c r="J484" i="74"/>
  <c r="O484" i="78"/>
  <c r="D516" i="74"/>
  <c r="F504" i="74"/>
  <c r="P504" i="78" s="1"/>
  <c r="J490" i="78"/>
  <c r="D510" i="74"/>
  <c r="G498" i="74"/>
  <c r="H498" i="74"/>
  <c r="F498" i="74"/>
  <c r="P498" i="78" s="1"/>
  <c r="I401" i="74"/>
  <c r="K401" i="74" s="1"/>
  <c r="I402" i="74"/>
  <c r="K402" i="74" s="1"/>
  <c r="I403" i="74"/>
  <c r="K403" i="74" s="1"/>
  <c r="J483" i="74"/>
  <c r="O483" i="78"/>
  <c r="E487" i="74"/>
  <c r="H488" i="74"/>
  <c r="J484" i="78"/>
  <c r="J477" i="74"/>
  <c r="O477" i="78"/>
  <c r="M173" i="74"/>
  <c r="O173" i="74" s="1"/>
  <c r="O169" i="74"/>
  <c r="J482" i="78"/>
  <c r="E490" i="74"/>
  <c r="G490" i="74"/>
  <c r="G485" i="74"/>
  <c r="V137" i="74"/>
  <c r="T136" i="74"/>
  <c r="G493" i="74"/>
  <c r="D507" i="74"/>
  <c r="F495" i="74"/>
  <c r="P495" i="78" s="1"/>
  <c r="E495" i="74"/>
  <c r="H495" i="74"/>
  <c r="G495" i="74"/>
  <c r="G487" i="74"/>
  <c r="F499" i="74"/>
  <c r="P499" i="78" s="1"/>
  <c r="E499" i="74"/>
  <c r="D511" i="74"/>
  <c r="G499" i="74"/>
  <c r="H499" i="74"/>
  <c r="G500" i="74"/>
  <c r="E500" i="74"/>
  <c r="D512" i="74"/>
  <c r="H500" i="74"/>
  <c r="F500" i="74"/>
  <c r="P500" i="78" s="1"/>
  <c r="G496" i="74"/>
  <c r="D508" i="74"/>
  <c r="E496" i="74"/>
  <c r="H496" i="74"/>
  <c r="F496" i="74"/>
  <c r="P496" i="78" s="1"/>
  <c r="G492" i="74"/>
  <c r="J502" i="74" l="1"/>
  <c r="O502" i="78"/>
  <c r="J495" i="74"/>
  <c r="O495" i="78"/>
  <c r="I405" i="74"/>
  <c r="K405" i="74" s="1"/>
  <c r="I404" i="74"/>
  <c r="K404" i="74" s="1"/>
  <c r="I406" i="74"/>
  <c r="K406" i="74" s="1"/>
  <c r="J490" i="74"/>
  <c r="O490" i="78"/>
  <c r="J487" i="74"/>
  <c r="O487" i="78"/>
  <c r="E505" i="74"/>
  <c r="H497" i="74"/>
  <c r="H503" i="74"/>
  <c r="F515" i="74"/>
  <c r="E515" i="74"/>
  <c r="G515" i="74"/>
  <c r="H515" i="74"/>
  <c r="G501" i="74"/>
  <c r="H502" i="74"/>
  <c r="G502" i="74"/>
  <c r="H508" i="74"/>
  <c r="G508" i="74"/>
  <c r="E508" i="74"/>
  <c r="F508" i="74"/>
  <c r="E512" i="74"/>
  <c r="F512" i="74"/>
  <c r="H512" i="74"/>
  <c r="G512" i="74"/>
  <c r="J496" i="78"/>
  <c r="J500" i="74"/>
  <c r="O500" i="78"/>
  <c r="J496" i="74"/>
  <c r="O496" i="78"/>
  <c r="J500" i="78"/>
  <c r="E511" i="74"/>
  <c r="H511" i="74"/>
  <c r="G511" i="74"/>
  <c r="F511" i="74"/>
  <c r="T137" i="74"/>
  <c r="V138" i="74"/>
  <c r="E498" i="74"/>
  <c r="E504" i="74"/>
  <c r="G505" i="74"/>
  <c r="G497" i="74"/>
  <c r="G509" i="74"/>
  <c r="F509" i="74"/>
  <c r="E509" i="74"/>
  <c r="H509" i="74"/>
  <c r="F506" i="74"/>
  <c r="H506" i="74"/>
  <c r="E506" i="74"/>
  <c r="G506" i="74"/>
  <c r="H501" i="74"/>
  <c r="E513" i="74"/>
  <c r="H513" i="74"/>
  <c r="F513" i="74"/>
  <c r="G513" i="74"/>
  <c r="J493" i="78"/>
  <c r="J491" i="74"/>
  <c r="O491" i="78"/>
  <c r="J499" i="78"/>
  <c r="J495" i="78"/>
  <c r="H507" i="74"/>
  <c r="F507" i="74"/>
  <c r="E507" i="74"/>
  <c r="G507" i="74"/>
  <c r="H516" i="74"/>
  <c r="F516" i="74"/>
  <c r="E516" i="74"/>
  <c r="G516" i="74"/>
  <c r="J488" i="74"/>
  <c r="O488" i="78"/>
  <c r="H505" i="74"/>
  <c r="G517" i="74"/>
  <c r="H517" i="74"/>
  <c r="F517" i="74"/>
  <c r="E517" i="74"/>
  <c r="J485" i="74"/>
  <c r="O485" i="78"/>
  <c r="E503" i="74"/>
  <c r="J494" i="74"/>
  <c r="O494" i="78"/>
  <c r="J487" i="78"/>
  <c r="F514" i="74"/>
  <c r="H514" i="74"/>
  <c r="E514" i="74"/>
  <c r="G514" i="74"/>
  <c r="J499" i="74"/>
  <c r="O499" i="78"/>
  <c r="J488" i="78"/>
  <c r="J498" i="78"/>
  <c r="H510" i="74"/>
  <c r="G510" i="74"/>
  <c r="F510" i="74"/>
  <c r="E510" i="74"/>
  <c r="H504" i="74"/>
  <c r="G504" i="74"/>
  <c r="J493" i="74"/>
  <c r="O493" i="78"/>
  <c r="J486" i="74"/>
  <c r="O486" i="78"/>
  <c r="E497" i="74"/>
  <c r="G503" i="74"/>
  <c r="J494" i="78"/>
  <c r="E501" i="74"/>
  <c r="J492" i="78"/>
  <c r="J514" i="78" l="1"/>
  <c r="J505" i="78"/>
  <c r="J516" i="74"/>
  <c r="O516" i="78"/>
  <c r="J513" i="78"/>
  <c r="I408" i="74"/>
  <c r="K408" i="74" s="1"/>
  <c r="I407" i="74"/>
  <c r="K407" i="74" s="1"/>
  <c r="I409" i="74"/>
  <c r="K409" i="74" s="1"/>
  <c r="J511" i="74"/>
  <c r="O511" i="78"/>
  <c r="J508" i="74"/>
  <c r="O508" i="78"/>
  <c r="J503" i="78"/>
  <c r="J504" i="78"/>
  <c r="J517" i="78"/>
  <c r="J507" i="74"/>
  <c r="O507" i="78"/>
  <c r="J506" i="74"/>
  <c r="O506" i="78"/>
  <c r="J504" i="74"/>
  <c r="O504" i="78"/>
  <c r="J502" i="78"/>
  <c r="J497" i="78"/>
  <c r="J510" i="78"/>
  <c r="J514" i="74"/>
  <c r="O514" i="78"/>
  <c r="J516" i="78"/>
  <c r="J513" i="74"/>
  <c r="O513" i="78"/>
  <c r="J509" i="78"/>
  <c r="J498" i="74"/>
  <c r="O498" i="78"/>
  <c r="J512" i="74"/>
  <c r="O512" i="78"/>
  <c r="J508" i="78"/>
  <c r="J515" i="74"/>
  <c r="O515" i="78"/>
  <c r="J505" i="74"/>
  <c r="O505" i="78"/>
  <c r="J510" i="74"/>
  <c r="O510" i="78"/>
  <c r="J501" i="74"/>
  <c r="O501" i="78"/>
  <c r="J497" i="74"/>
  <c r="O497" i="78"/>
  <c r="J503" i="74"/>
  <c r="O503" i="78"/>
  <c r="J517" i="74"/>
  <c r="O517" i="78"/>
  <c r="J507" i="78"/>
  <c r="J501" i="78"/>
  <c r="J506" i="78"/>
  <c r="J509" i="74"/>
  <c r="O509" i="78"/>
  <c r="T138" i="74"/>
  <c r="V139" i="74"/>
  <c r="J511" i="78"/>
  <c r="J512" i="78"/>
  <c r="J515" i="78"/>
  <c r="V140" i="74" l="1"/>
  <c r="T139" i="74"/>
  <c r="I411" i="74"/>
  <c r="K411" i="74" s="1"/>
  <c r="I412" i="74"/>
  <c r="K412" i="74" s="1"/>
  <c r="I410" i="74"/>
  <c r="K410" i="74" s="1"/>
  <c r="I413" i="74" l="1"/>
  <c r="K413" i="74" s="1"/>
  <c r="I414" i="74"/>
  <c r="K414" i="74" s="1"/>
  <c r="I415" i="74"/>
  <c r="K415" i="74" s="1"/>
  <c r="V141" i="74"/>
  <c r="T140" i="74"/>
  <c r="I417" i="74" l="1"/>
  <c r="K417" i="74" s="1"/>
  <c r="I418" i="74"/>
  <c r="K418" i="74" s="1"/>
  <c r="I416" i="74"/>
  <c r="K416" i="74" s="1"/>
  <c r="T141" i="74"/>
  <c r="V142" i="74"/>
  <c r="T142" i="74" l="1"/>
  <c r="V143" i="74"/>
  <c r="I419" i="74"/>
  <c r="K419" i="74" s="1"/>
  <c r="I420" i="74"/>
  <c r="K420" i="74" s="1"/>
  <c r="I421" i="74"/>
  <c r="K421" i="74" s="1"/>
  <c r="V144" i="74" l="1"/>
  <c r="T143" i="74"/>
  <c r="I422" i="74"/>
  <c r="K422" i="74" s="1"/>
  <c r="I423" i="74"/>
  <c r="K423" i="74" s="1"/>
  <c r="I424" i="74"/>
  <c r="K424" i="74" s="1"/>
  <c r="I426" i="74" l="1"/>
  <c r="K426" i="74" s="1"/>
  <c r="I427" i="74"/>
  <c r="K427" i="74" s="1"/>
  <c r="I425" i="74"/>
  <c r="K425" i="74" s="1"/>
  <c r="V145" i="74"/>
  <c r="T144" i="74"/>
  <c r="T145" i="74" l="1"/>
  <c r="V146" i="74"/>
  <c r="I430" i="74"/>
  <c r="K430" i="74" s="1"/>
  <c r="I428" i="74"/>
  <c r="K428" i="74" s="1"/>
  <c r="I429" i="74"/>
  <c r="K429" i="74" s="1"/>
  <c r="T146" i="74" l="1"/>
  <c r="V147" i="74"/>
  <c r="I432" i="74"/>
  <c r="K432" i="74" s="1"/>
  <c r="I431" i="74"/>
  <c r="K431" i="74" s="1"/>
  <c r="I433" i="74"/>
  <c r="K433" i="74" s="1"/>
  <c r="V148" i="74" l="1"/>
  <c r="T147" i="74"/>
  <c r="I435" i="74"/>
  <c r="K435" i="74" s="1"/>
  <c r="I434" i="74"/>
  <c r="K434" i="74" s="1"/>
  <c r="I436" i="74"/>
  <c r="K436" i="74" s="1"/>
  <c r="I439" i="74" l="1"/>
  <c r="K439" i="74" s="1"/>
  <c r="I437" i="74"/>
  <c r="K437" i="74" s="1"/>
  <c r="I438" i="74"/>
  <c r="K438" i="74" s="1"/>
  <c r="V149" i="74"/>
  <c r="T148" i="74"/>
  <c r="I441" i="74" l="1"/>
  <c r="K441" i="74" s="1"/>
  <c r="I440" i="74"/>
  <c r="K440" i="74" s="1"/>
  <c r="I442" i="74"/>
  <c r="K442" i="74" s="1"/>
  <c r="T149" i="74"/>
  <c r="V150" i="74"/>
  <c r="T150" i="74" l="1"/>
  <c r="V151" i="74"/>
  <c r="I444" i="74"/>
  <c r="K444" i="74" s="1"/>
  <c r="I443" i="74"/>
  <c r="K443" i="74" s="1"/>
  <c r="I445" i="74"/>
  <c r="K445" i="74" s="1"/>
  <c r="V152" i="74" l="1"/>
  <c r="T151" i="74"/>
  <c r="I447" i="74"/>
  <c r="K447" i="74" s="1"/>
  <c r="I448" i="74"/>
  <c r="K448" i="74" s="1"/>
  <c r="I446" i="74"/>
  <c r="K446" i="74" s="1"/>
  <c r="I449" i="74" l="1"/>
  <c r="K449" i="74" s="1"/>
  <c r="I450" i="74"/>
  <c r="K450" i="74" s="1"/>
  <c r="I451" i="74"/>
  <c r="K451" i="74" s="1"/>
  <c r="V153" i="74"/>
  <c r="T152" i="74"/>
  <c r="I453" i="74" l="1"/>
  <c r="K453" i="74" s="1"/>
  <c r="I452" i="74"/>
  <c r="K452" i="74" s="1"/>
  <c r="I454" i="74"/>
  <c r="K454" i="74" s="1"/>
  <c r="T153" i="74"/>
  <c r="V154" i="74"/>
  <c r="T154" i="74" l="1"/>
  <c r="V155" i="74"/>
  <c r="I457" i="74"/>
  <c r="K457" i="74" s="1"/>
  <c r="I456" i="74"/>
  <c r="K456" i="74" s="1"/>
  <c r="I455" i="74"/>
  <c r="K455" i="74" s="1"/>
  <c r="V156" i="74" l="1"/>
  <c r="T155" i="74"/>
  <c r="I460" i="74"/>
  <c r="K460" i="74" s="1"/>
  <c r="I458" i="74"/>
  <c r="K458" i="74" s="1"/>
  <c r="I459" i="74"/>
  <c r="K459" i="74" s="1"/>
  <c r="I461" i="74" l="1"/>
  <c r="K461" i="74" s="1"/>
  <c r="I463" i="74"/>
  <c r="K463" i="74" s="1"/>
  <c r="I462" i="74"/>
  <c r="K462" i="74" s="1"/>
  <c r="V157" i="74"/>
  <c r="T156" i="74"/>
  <c r="I466" i="74" l="1"/>
  <c r="K466" i="74" s="1"/>
  <c r="I465" i="74"/>
  <c r="K465" i="74" s="1"/>
  <c r="I464" i="74"/>
  <c r="K464" i="74" s="1"/>
  <c r="T157" i="74"/>
  <c r="V158" i="74"/>
  <c r="T158" i="74" l="1"/>
  <c r="V159" i="74"/>
  <c r="I469" i="74"/>
  <c r="K469" i="74" s="1"/>
  <c r="I467" i="74"/>
  <c r="K467" i="74" s="1"/>
  <c r="I468" i="74"/>
  <c r="K468" i="74" s="1"/>
  <c r="V160" i="74" l="1"/>
  <c r="T159" i="74"/>
  <c r="I472" i="74"/>
  <c r="K472" i="74" s="1"/>
  <c r="I470" i="74"/>
  <c r="K470" i="74" s="1"/>
  <c r="I471" i="74"/>
  <c r="K471" i="74" s="1"/>
  <c r="I473" i="74" l="1"/>
  <c r="K473" i="74" s="1"/>
  <c r="I474" i="74"/>
  <c r="K474" i="74" s="1"/>
  <c r="I475" i="74"/>
  <c r="K475" i="74" s="1"/>
  <c r="V161" i="74"/>
  <c r="T160" i="74"/>
  <c r="I476" i="74" l="1"/>
  <c r="K476" i="74" s="1"/>
  <c r="I477" i="74"/>
  <c r="K477" i="74" s="1"/>
  <c r="I478" i="74"/>
  <c r="K478" i="74" s="1"/>
  <c r="T161" i="74"/>
  <c r="V162" i="74"/>
  <c r="T162" i="74" l="1"/>
  <c r="V163" i="74"/>
  <c r="I480" i="74"/>
  <c r="K480" i="74" s="1"/>
  <c r="I479" i="74"/>
  <c r="K479" i="74" s="1"/>
  <c r="I481" i="74"/>
  <c r="K481" i="74" s="1"/>
  <c r="V164" i="74" l="1"/>
  <c r="T163" i="74"/>
  <c r="I482" i="74"/>
  <c r="K482" i="74" s="1"/>
  <c r="I484" i="74"/>
  <c r="K484" i="74" s="1"/>
  <c r="I483" i="74"/>
  <c r="K483" i="74" s="1"/>
  <c r="I486" i="74" l="1"/>
  <c r="K486" i="74" s="1"/>
  <c r="I485" i="74"/>
  <c r="K485" i="74" s="1"/>
  <c r="I487" i="74"/>
  <c r="K487" i="74" s="1"/>
  <c r="T164" i="74"/>
  <c r="V165" i="74"/>
  <c r="T165" i="74" l="1"/>
  <c r="V166" i="74"/>
  <c r="I490" i="74"/>
  <c r="K490" i="74" s="1"/>
  <c r="I489" i="74"/>
  <c r="K489" i="74" s="1"/>
  <c r="I488" i="74"/>
  <c r="K488" i="74" s="1"/>
  <c r="V167" i="74" l="1"/>
  <c r="T166" i="74"/>
  <c r="I493" i="74"/>
  <c r="K493" i="74" s="1"/>
  <c r="I492" i="74"/>
  <c r="K492" i="74" s="1"/>
  <c r="I491" i="74"/>
  <c r="K491" i="74" s="1"/>
  <c r="I495" i="74" l="1"/>
  <c r="K495" i="74" s="1"/>
  <c r="I496" i="74"/>
  <c r="K496" i="74" s="1"/>
  <c r="I494" i="74"/>
  <c r="K494" i="74" s="1"/>
  <c r="V168" i="74"/>
  <c r="T167" i="74"/>
  <c r="I498" i="74" l="1"/>
  <c r="K498" i="74" s="1"/>
  <c r="I499" i="74"/>
  <c r="K499" i="74" s="1"/>
  <c r="I497" i="74"/>
  <c r="K497" i="74" s="1"/>
  <c r="V169" i="74"/>
  <c r="T168" i="74"/>
  <c r="I500" i="74" l="1"/>
  <c r="K500" i="74" s="1"/>
  <c r="I502" i="74"/>
  <c r="K502" i="74" s="1"/>
  <c r="I501" i="74"/>
  <c r="K501" i="74" s="1"/>
  <c r="V170" i="74"/>
  <c r="T169" i="74"/>
  <c r="I504" i="74" l="1"/>
  <c r="K504" i="74" s="1"/>
  <c r="I505" i="74"/>
  <c r="K505" i="74" s="1"/>
  <c r="I503" i="74"/>
  <c r="K503" i="74" s="1"/>
  <c r="V171" i="74"/>
  <c r="T170" i="74"/>
  <c r="I508" i="74" l="1"/>
  <c r="K508" i="74" s="1"/>
  <c r="I506" i="74"/>
  <c r="K506" i="74" s="1"/>
  <c r="I507" i="74"/>
  <c r="K507" i="74" s="1"/>
  <c r="V172" i="74"/>
  <c r="T171" i="74"/>
  <c r="I510" i="74" l="1"/>
  <c r="K510" i="74" s="1"/>
  <c r="I509" i="74"/>
  <c r="K509" i="74" s="1"/>
  <c r="I511" i="74"/>
  <c r="K511" i="74" s="1"/>
  <c r="V173" i="74"/>
  <c r="T172" i="74"/>
  <c r="I514" i="74" l="1"/>
  <c r="K514" i="74" s="1"/>
  <c r="I512" i="74"/>
  <c r="K512" i="74" s="1"/>
  <c r="I513" i="74"/>
  <c r="K513" i="74" s="1"/>
  <c r="V174" i="74"/>
  <c r="T173" i="74"/>
  <c r="I516" i="74" l="1"/>
  <c r="K516" i="74" s="1"/>
  <c r="I517" i="74"/>
  <c r="K517" i="74" s="1"/>
  <c r="I515" i="74"/>
  <c r="K515" i="74" s="1"/>
  <c r="D52" i="6" l="1"/>
  <c r="C52" i="6"/>
  <c r="Y54" i="22"/>
  <c r="Z54" i="22"/>
  <c r="Y55" i="22"/>
  <c r="Z55" i="22"/>
  <c r="Y56" i="22"/>
  <c r="Z56" i="22"/>
  <c r="Y57" i="22"/>
  <c r="Z57" i="22"/>
  <c r="Y58" i="22"/>
  <c r="Z58" i="22"/>
  <c r="Y60" i="22"/>
  <c r="Z60" i="22"/>
  <c r="Y61" i="22"/>
  <c r="Z61" i="22"/>
  <c r="Y62" i="22"/>
  <c r="Z62" i="22"/>
  <c r="Y64" i="22"/>
  <c r="Z64" i="22"/>
  <c r="Y65" i="22"/>
  <c r="Z65" i="22"/>
  <c r="Y66" i="22"/>
  <c r="Z66" i="22"/>
  <c r="X58" i="22"/>
  <c r="X62" i="22" s="1"/>
  <c r="X66" i="22" s="1"/>
  <c r="W58" i="22"/>
  <c r="W62" i="22" s="1"/>
  <c r="W66" i="22" s="1"/>
  <c r="V58" i="22"/>
  <c r="V62" i="22" s="1"/>
  <c r="V66" i="22" s="1"/>
  <c r="U58" i="22"/>
  <c r="U62" i="22" s="1"/>
  <c r="U66" i="22" s="1"/>
  <c r="T58" i="22"/>
  <c r="T62" i="22" s="1"/>
  <c r="T66" i="22" s="1"/>
  <c r="S58" i="22"/>
  <c r="S62" i="22" s="1"/>
  <c r="S66" i="22" s="1"/>
  <c r="R58" i="22"/>
  <c r="R62" i="22" s="1"/>
  <c r="R66" i="22" s="1"/>
  <c r="Q58" i="22"/>
  <c r="Q62" i="22" s="1"/>
  <c r="Q66" i="22" s="1"/>
  <c r="P58" i="22"/>
  <c r="P62" i="22" s="1"/>
  <c r="P66" i="22" s="1"/>
  <c r="O58" i="22"/>
  <c r="O62" i="22" s="1"/>
  <c r="O66" i="22" s="1"/>
  <c r="N58" i="22"/>
  <c r="N62" i="22" s="1"/>
  <c r="N66" i="22" s="1"/>
  <c r="M58" i="22"/>
  <c r="M62" i="22" s="1"/>
  <c r="M66" i="22" s="1"/>
  <c r="L58" i="22"/>
  <c r="L62" i="22" s="1"/>
  <c r="L66" i="22" s="1"/>
  <c r="K58" i="22"/>
  <c r="K62" i="22" s="1"/>
  <c r="K66" i="22" s="1"/>
  <c r="J58" i="22"/>
  <c r="J62" i="22" s="1"/>
  <c r="J66" i="22" s="1"/>
  <c r="I58" i="22"/>
  <c r="I62" i="22" s="1"/>
  <c r="I66" i="22" s="1"/>
  <c r="H58" i="22"/>
  <c r="H62" i="22" s="1"/>
  <c r="H66" i="22" s="1"/>
  <c r="G58" i="22"/>
  <c r="G62" i="22" s="1"/>
  <c r="G66" i="22" s="1"/>
  <c r="F58" i="22"/>
  <c r="F62" i="22" s="1"/>
  <c r="F66" i="22" s="1"/>
  <c r="E58" i="22"/>
  <c r="E62" i="22" s="1"/>
  <c r="E66" i="22" s="1"/>
  <c r="D58" i="22"/>
  <c r="D62" i="22" s="1"/>
  <c r="D66" i="22" s="1"/>
  <c r="X57" i="22"/>
  <c r="X61" i="22" s="1"/>
  <c r="X65" i="22" s="1"/>
  <c r="W57" i="22"/>
  <c r="W61" i="22" s="1"/>
  <c r="W65" i="22" s="1"/>
  <c r="V57" i="22"/>
  <c r="V61" i="22" s="1"/>
  <c r="V65" i="22" s="1"/>
  <c r="U57" i="22"/>
  <c r="U61" i="22" s="1"/>
  <c r="U65" i="22" s="1"/>
  <c r="T57" i="22"/>
  <c r="T61" i="22" s="1"/>
  <c r="T65" i="22" s="1"/>
  <c r="S57" i="22"/>
  <c r="S61" i="22" s="1"/>
  <c r="S65" i="22" s="1"/>
  <c r="R57" i="22"/>
  <c r="R61" i="22" s="1"/>
  <c r="R65" i="22" s="1"/>
  <c r="Q57" i="22"/>
  <c r="Q61" i="22" s="1"/>
  <c r="Q65" i="22" s="1"/>
  <c r="P57" i="22"/>
  <c r="P61" i="22" s="1"/>
  <c r="P65" i="22" s="1"/>
  <c r="O57" i="22"/>
  <c r="O61" i="22" s="1"/>
  <c r="O65" i="22" s="1"/>
  <c r="N57" i="22"/>
  <c r="N61" i="22" s="1"/>
  <c r="N65" i="22" s="1"/>
  <c r="M57" i="22"/>
  <c r="M61" i="22" s="1"/>
  <c r="M65" i="22" s="1"/>
  <c r="L57" i="22"/>
  <c r="L61" i="22" s="1"/>
  <c r="L65" i="22" s="1"/>
  <c r="K57" i="22"/>
  <c r="K61" i="22" s="1"/>
  <c r="K65" i="22" s="1"/>
  <c r="J57" i="22"/>
  <c r="J61" i="22" s="1"/>
  <c r="J65" i="22" s="1"/>
  <c r="I57" i="22"/>
  <c r="I61" i="22" s="1"/>
  <c r="I65" i="22" s="1"/>
  <c r="H57" i="22"/>
  <c r="H61" i="22" s="1"/>
  <c r="H65" i="22" s="1"/>
  <c r="G57" i="22"/>
  <c r="G61" i="22" s="1"/>
  <c r="G65" i="22" s="1"/>
  <c r="F57" i="22"/>
  <c r="F61" i="22" s="1"/>
  <c r="F65" i="22" s="1"/>
  <c r="E57" i="22"/>
  <c r="E61" i="22" s="1"/>
  <c r="E65" i="22" s="1"/>
  <c r="D57" i="22"/>
  <c r="D61" i="22" s="1"/>
  <c r="D65" i="22" s="1"/>
  <c r="X56" i="22"/>
  <c r="X60" i="22" s="1"/>
  <c r="X64" i="22" s="1"/>
  <c r="W56" i="22"/>
  <c r="W60" i="22" s="1"/>
  <c r="W64" i="22" s="1"/>
  <c r="V56" i="22"/>
  <c r="V60" i="22" s="1"/>
  <c r="V64" i="22" s="1"/>
  <c r="U56" i="22"/>
  <c r="U60" i="22" s="1"/>
  <c r="U64" i="22" s="1"/>
  <c r="T56" i="22"/>
  <c r="T60" i="22" s="1"/>
  <c r="T64" i="22" s="1"/>
  <c r="S56" i="22"/>
  <c r="S60" i="22" s="1"/>
  <c r="S64" i="22" s="1"/>
  <c r="R56" i="22"/>
  <c r="R60" i="22" s="1"/>
  <c r="R64" i="22" s="1"/>
  <c r="Q56" i="22"/>
  <c r="Q60" i="22" s="1"/>
  <c r="Q64" i="22" s="1"/>
  <c r="P56" i="22"/>
  <c r="P60" i="22" s="1"/>
  <c r="P64" i="22" s="1"/>
  <c r="O56" i="22"/>
  <c r="O60" i="22" s="1"/>
  <c r="O64" i="22" s="1"/>
  <c r="N56" i="22"/>
  <c r="N60" i="22" s="1"/>
  <c r="N64" i="22" s="1"/>
  <c r="M56" i="22"/>
  <c r="M60" i="22" s="1"/>
  <c r="M64" i="22" s="1"/>
  <c r="L56" i="22"/>
  <c r="L60" i="22" s="1"/>
  <c r="L64" i="22" s="1"/>
  <c r="K56" i="22"/>
  <c r="K60" i="22" s="1"/>
  <c r="K64" i="22" s="1"/>
  <c r="J56" i="22"/>
  <c r="J60" i="22" s="1"/>
  <c r="J64" i="22" s="1"/>
  <c r="I56" i="22"/>
  <c r="I60" i="22" s="1"/>
  <c r="I64" i="22" s="1"/>
  <c r="H56" i="22"/>
  <c r="H60" i="22" s="1"/>
  <c r="H64" i="22" s="1"/>
  <c r="G56" i="22"/>
  <c r="G60" i="22" s="1"/>
  <c r="G64" i="22" s="1"/>
  <c r="F56" i="22"/>
  <c r="F60" i="22" s="1"/>
  <c r="F64" i="22" s="1"/>
  <c r="E56" i="22"/>
  <c r="E60" i="22" s="1"/>
  <c r="E64" i="22" s="1"/>
  <c r="D56" i="22"/>
  <c r="D60" i="22" s="1"/>
  <c r="D64" i="22" s="1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AA22" i="22" l="1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21" i="22"/>
  <c r="Y22" i="20"/>
  <c r="Y23" i="20"/>
  <c r="Y24" i="20"/>
  <c r="Y25" i="20"/>
  <c r="Y26" i="20"/>
  <c r="Y27" i="20"/>
  <c r="Y28" i="20"/>
  <c r="Y29" i="20"/>
  <c r="Y30" i="20"/>
  <c r="Y31" i="20"/>
  <c r="Y32" i="20"/>
  <c r="Y33" i="20"/>
  <c r="Y34" i="20"/>
  <c r="Y35" i="20"/>
  <c r="Y36" i="20"/>
  <c r="Y37" i="20"/>
  <c r="Y38" i="20"/>
  <c r="Y39" i="20"/>
  <c r="Y40" i="20"/>
  <c r="Y41" i="20"/>
  <c r="Y42" i="20"/>
  <c r="Y43" i="20"/>
  <c r="Y44" i="20"/>
  <c r="Y45" i="20"/>
  <c r="Y46" i="20"/>
  <c r="Y47" i="20"/>
  <c r="Y48" i="20"/>
  <c r="Y49" i="20"/>
  <c r="Y50" i="20"/>
  <c r="Y21" i="20"/>
  <c r="AC50" i="22" l="1"/>
  <c r="X54" i="20"/>
  <c r="J3" i="67" l="1"/>
  <c r="J4" i="67"/>
  <c r="J5" i="67"/>
  <c r="J6" i="67"/>
  <c r="J7" i="67"/>
  <c r="J8" i="67"/>
  <c r="J9" i="67"/>
  <c r="J10" i="67"/>
  <c r="J11" i="67"/>
  <c r="J12" i="67"/>
  <c r="J13" i="67"/>
  <c r="J14" i="67"/>
  <c r="J15" i="67"/>
  <c r="J16" i="67"/>
  <c r="J17" i="67"/>
  <c r="J18" i="67"/>
  <c r="J19" i="67"/>
  <c r="J20" i="67"/>
  <c r="J21" i="67"/>
  <c r="J22" i="67"/>
  <c r="J23" i="67"/>
  <c r="J24" i="67"/>
  <c r="J25" i="67"/>
  <c r="J26" i="67"/>
  <c r="J27" i="67"/>
  <c r="J28" i="67"/>
  <c r="J29" i="67"/>
  <c r="J30" i="67"/>
  <c r="J31" i="67"/>
  <c r="J32" i="67"/>
  <c r="J33" i="67"/>
  <c r="J34" i="67"/>
  <c r="J35" i="67"/>
  <c r="J36" i="67"/>
  <c r="J37" i="67"/>
  <c r="J38" i="67"/>
  <c r="J39" i="67"/>
  <c r="J40" i="67"/>
  <c r="J41" i="67"/>
  <c r="J42" i="67"/>
  <c r="J43" i="67"/>
  <c r="J44" i="67"/>
  <c r="J45" i="67"/>
  <c r="J46" i="67"/>
  <c r="J47" i="67"/>
  <c r="J48" i="67"/>
  <c r="J49" i="67"/>
  <c r="J50" i="67"/>
  <c r="J51" i="67"/>
  <c r="J52" i="67"/>
  <c r="J53" i="67"/>
  <c r="J54" i="67"/>
  <c r="J55" i="67"/>
  <c r="J56" i="67"/>
  <c r="J57" i="67"/>
  <c r="J58" i="67"/>
  <c r="J59" i="67"/>
  <c r="J60" i="67"/>
  <c r="J61" i="67"/>
  <c r="J62" i="67"/>
  <c r="J63" i="67"/>
  <c r="J64" i="67"/>
  <c r="J65" i="67"/>
  <c r="J66" i="67"/>
  <c r="J67" i="67"/>
  <c r="J68" i="67"/>
  <c r="J69" i="67"/>
  <c r="J70" i="67"/>
  <c r="J71" i="67"/>
  <c r="J72" i="67"/>
  <c r="J73" i="67"/>
  <c r="J74" i="67"/>
  <c r="J75" i="67"/>
  <c r="J76" i="67"/>
  <c r="J77" i="67"/>
  <c r="J78" i="67"/>
  <c r="J79" i="67"/>
  <c r="J80" i="67"/>
  <c r="J81" i="67"/>
  <c r="J82" i="67"/>
  <c r="J83" i="67"/>
  <c r="J84" i="67"/>
  <c r="J85" i="67"/>
  <c r="J86" i="67"/>
  <c r="J87" i="67"/>
  <c r="J88" i="67"/>
  <c r="J89" i="67"/>
  <c r="J90" i="67"/>
  <c r="J91" i="67"/>
  <c r="J92" i="67"/>
  <c r="J93" i="67"/>
  <c r="J94" i="67"/>
  <c r="J95" i="67"/>
  <c r="J96" i="67"/>
  <c r="J97" i="67"/>
  <c r="J98" i="67"/>
  <c r="J99" i="67"/>
  <c r="J100" i="67"/>
  <c r="J101" i="67"/>
  <c r="J102" i="67"/>
  <c r="J103" i="67"/>
  <c r="J104" i="67"/>
  <c r="J105" i="67"/>
  <c r="J106" i="67"/>
  <c r="J107" i="67"/>
  <c r="J108" i="67"/>
  <c r="J109" i="67"/>
  <c r="J110" i="67"/>
  <c r="J111" i="67"/>
  <c r="J112" i="67"/>
  <c r="J113" i="67"/>
  <c r="J114" i="67"/>
  <c r="J115" i="67"/>
  <c r="J116" i="67"/>
  <c r="J117" i="67"/>
  <c r="J118" i="67"/>
  <c r="J119" i="67"/>
  <c r="J120" i="67"/>
  <c r="J121" i="67"/>
  <c r="J122" i="67"/>
  <c r="J123" i="67"/>
  <c r="J124" i="67"/>
  <c r="J125" i="67"/>
  <c r="J126" i="67"/>
  <c r="J127" i="67"/>
  <c r="J128" i="67"/>
  <c r="J129" i="67"/>
  <c r="J130" i="67"/>
  <c r="J131" i="67"/>
  <c r="J132" i="67"/>
  <c r="J133" i="67"/>
  <c r="J134" i="67"/>
  <c r="J135" i="67"/>
  <c r="J136" i="67"/>
  <c r="J137" i="67"/>
  <c r="J138" i="67"/>
  <c r="J139" i="67"/>
  <c r="J140" i="67"/>
  <c r="J141" i="67"/>
  <c r="J142" i="67"/>
  <c r="J143" i="67"/>
  <c r="J144" i="67"/>
  <c r="J145" i="67"/>
  <c r="J146" i="67"/>
  <c r="J147" i="67"/>
  <c r="J148" i="67"/>
  <c r="J149" i="67"/>
  <c r="J150" i="67"/>
  <c r="J151" i="67"/>
  <c r="J152" i="67"/>
  <c r="J153" i="67"/>
  <c r="J154" i="67"/>
  <c r="J155" i="67"/>
  <c r="J156" i="67"/>
  <c r="J157" i="67"/>
  <c r="J158" i="67"/>
  <c r="J159" i="67"/>
  <c r="J160" i="67"/>
  <c r="J161" i="67"/>
  <c r="J162" i="67"/>
  <c r="J163" i="67"/>
  <c r="J164" i="67"/>
  <c r="J165" i="67"/>
  <c r="J166" i="67"/>
  <c r="J167" i="67"/>
  <c r="J168" i="67"/>
  <c r="J169" i="67"/>
  <c r="J170" i="67"/>
  <c r="J171" i="67"/>
  <c r="J172" i="67"/>
  <c r="J173" i="67"/>
  <c r="J174" i="67"/>
  <c r="J175" i="67"/>
  <c r="J176" i="67"/>
  <c r="J177" i="67"/>
  <c r="J178" i="67"/>
  <c r="J179" i="67"/>
  <c r="J180" i="67"/>
  <c r="J181" i="67"/>
  <c r="J182" i="67"/>
  <c r="J183" i="67"/>
  <c r="J184" i="67"/>
  <c r="J185" i="67"/>
  <c r="J186" i="67"/>
  <c r="J187" i="67"/>
  <c r="J188" i="67"/>
  <c r="J189" i="67"/>
  <c r="J190" i="67"/>
  <c r="J191" i="67"/>
  <c r="J192" i="67"/>
  <c r="J193" i="67"/>
  <c r="J194" i="67"/>
  <c r="J195" i="67"/>
  <c r="J196" i="67"/>
  <c r="J197" i="67"/>
  <c r="J198" i="67"/>
  <c r="J199" i="67"/>
  <c r="J200" i="67"/>
  <c r="J201" i="67"/>
  <c r="J202" i="67"/>
  <c r="J203" i="67"/>
  <c r="J204" i="67"/>
  <c r="J205" i="67"/>
  <c r="J206" i="67"/>
  <c r="J207" i="67"/>
  <c r="J208" i="67"/>
  <c r="J209" i="67"/>
  <c r="J210" i="67"/>
  <c r="J211" i="67"/>
  <c r="J212" i="67"/>
  <c r="J213" i="67"/>
  <c r="J214" i="67"/>
  <c r="J215" i="67"/>
  <c r="J216" i="67"/>
  <c r="J217" i="67"/>
  <c r="J218" i="67"/>
  <c r="J219" i="67"/>
  <c r="J220" i="67"/>
  <c r="J221" i="67"/>
  <c r="J222" i="67"/>
  <c r="J223" i="67"/>
  <c r="J224" i="67"/>
  <c r="J225" i="67"/>
  <c r="J226" i="67"/>
  <c r="J227" i="67"/>
  <c r="J228" i="67"/>
  <c r="J229" i="67"/>
  <c r="J230" i="67"/>
  <c r="J231" i="67"/>
  <c r="J232" i="67"/>
  <c r="J233" i="67"/>
  <c r="J234" i="67"/>
  <c r="J235" i="67"/>
  <c r="J236" i="67"/>
  <c r="J237" i="67"/>
  <c r="J238" i="67"/>
  <c r="J239" i="67"/>
  <c r="J240" i="67"/>
  <c r="J241" i="67"/>
  <c r="J242" i="67"/>
  <c r="J243" i="67"/>
  <c r="J244" i="67"/>
  <c r="J245" i="67"/>
  <c r="J246" i="67"/>
  <c r="J247" i="67"/>
  <c r="J248" i="67"/>
  <c r="J249" i="67"/>
  <c r="J250" i="67"/>
  <c r="J251" i="67"/>
  <c r="J252" i="67"/>
  <c r="J253" i="67"/>
  <c r="J254" i="67"/>
  <c r="J255" i="67"/>
  <c r="J256" i="67"/>
  <c r="J257" i="67"/>
  <c r="J258" i="67"/>
  <c r="J259" i="67"/>
  <c r="J260" i="67"/>
  <c r="J261" i="67"/>
  <c r="J262" i="67"/>
  <c r="J263" i="67"/>
  <c r="J264" i="67"/>
  <c r="J265" i="67"/>
  <c r="J266" i="67"/>
  <c r="J267" i="67"/>
  <c r="J268" i="67"/>
  <c r="J269" i="67"/>
  <c r="J270" i="67"/>
  <c r="J271" i="67"/>
  <c r="J272" i="67"/>
  <c r="J273" i="67"/>
  <c r="J274" i="67"/>
  <c r="J275" i="67"/>
  <c r="J276" i="67"/>
  <c r="J277" i="67"/>
  <c r="J278" i="67"/>
  <c r="J279" i="67"/>
  <c r="J280" i="67"/>
  <c r="J281" i="67"/>
  <c r="J282" i="67"/>
  <c r="J283" i="67"/>
  <c r="J284" i="67"/>
  <c r="J285" i="67"/>
  <c r="J286" i="67"/>
  <c r="J287" i="67"/>
  <c r="J288" i="67"/>
  <c r="J289" i="67"/>
  <c r="J290" i="67"/>
  <c r="J291" i="67"/>
  <c r="J292" i="67"/>
  <c r="J293" i="67"/>
  <c r="J294" i="67"/>
  <c r="J295" i="67"/>
  <c r="J296" i="67"/>
  <c r="J297" i="67"/>
  <c r="J298" i="67"/>
  <c r="J299" i="67"/>
  <c r="J300" i="67"/>
  <c r="J301" i="67"/>
  <c r="J302" i="67"/>
  <c r="J303" i="67"/>
  <c r="J304" i="67"/>
  <c r="J305" i="67"/>
  <c r="J306" i="67"/>
  <c r="J307" i="67"/>
  <c r="J308" i="67"/>
  <c r="J309" i="67"/>
  <c r="J310" i="67"/>
  <c r="J311" i="67"/>
  <c r="J312" i="67"/>
  <c r="J313" i="67"/>
  <c r="J314" i="67"/>
  <c r="J315" i="67"/>
  <c r="J316" i="67"/>
  <c r="J317" i="67"/>
  <c r="J318" i="67"/>
  <c r="J319" i="67"/>
  <c r="J320" i="67"/>
  <c r="J321" i="67"/>
  <c r="J322" i="67"/>
  <c r="J323" i="67"/>
  <c r="J324" i="67"/>
  <c r="J325" i="67"/>
  <c r="J326" i="67"/>
  <c r="J327" i="67"/>
  <c r="J328" i="67"/>
  <c r="J329" i="67"/>
  <c r="J330" i="67"/>
  <c r="J331" i="67"/>
  <c r="J332" i="67"/>
  <c r="J333" i="67"/>
  <c r="J334" i="67"/>
  <c r="J335" i="67"/>
  <c r="J336" i="67"/>
  <c r="J337" i="67"/>
  <c r="J338" i="67"/>
  <c r="J339" i="67"/>
  <c r="J340" i="67"/>
  <c r="J341" i="67"/>
  <c r="J342" i="67"/>
  <c r="J343" i="67"/>
  <c r="J344" i="67"/>
  <c r="J345" i="67"/>
  <c r="J346" i="67"/>
  <c r="J347" i="67"/>
  <c r="J348" i="67"/>
  <c r="J349" i="67"/>
  <c r="J350" i="67"/>
  <c r="J351" i="67"/>
  <c r="J352" i="67"/>
  <c r="J353" i="67"/>
  <c r="J354" i="67"/>
  <c r="J355" i="67"/>
  <c r="J356" i="67"/>
  <c r="J357" i="67"/>
  <c r="J358" i="67"/>
  <c r="J359" i="67"/>
  <c r="J360" i="67"/>
  <c r="J361" i="67"/>
  <c r="J362" i="67"/>
  <c r="J363" i="67"/>
  <c r="J364" i="67"/>
  <c r="J365" i="67"/>
  <c r="J366" i="67"/>
  <c r="J367" i="67"/>
  <c r="J368" i="67"/>
  <c r="J369" i="67"/>
  <c r="J370" i="67"/>
  <c r="J371" i="67"/>
  <c r="J372" i="67"/>
  <c r="J373" i="67"/>
  <c r="J374" i="67"/>
  <c r="J375" i="67"/>
  <c r="J376" i="67"/>
  <c r="J377" i="67"/>
  <c r="J378" i="67"/>
  <c r="J379" i="67"/>
  <c r="J380" i="67"/>
  <c r="J381" i="67"/>
  <c r="J382" i="67"/>
  <c r="J383" i="67"/>
  <c r="J384" i="67"/>
  <c r="J385" i="67"/>
  <c r="J386" i="67"/>
  <c r="J387" i="67"/>
  <c r="J388" i="67"/>
  <c r="J389" i="67"/>
  <c r="J390" i="67"/>
  <c r="J391" i="67"/>
  <c r="J392" i="67"/>
  <c r="J393" i="67"/>
  <c r="J394" i="67"/>
  <c r="J395" i="67"/>
  <c r="J396" i="67"/>
  <c r="J397" i="67"/>
  <c r="J398" i="67"/>
  <c r="J399" i="67"/>
  <c r="J400" i="67"/>
  <c r="J401" i="67"/>
  <c r="J402" i="67"/>
  <c r="J403" i="67"/>
  <c r="J404" i="67"/>
  <c r="J405" i="67"/>
  <c r="J406" i="67"/>
  <c r="J407" i="67"/>
  <c r="J408" i="67"/>
  <c r="J409" i="67"/>
  <c r="J410" i="67"/>
  <c r="J411" i="67"/>
  <c r="J412" i="67"/>
  <c r="J413" i="67"/>
  <c r="J414" i="67"/>
  <c r="J415" i="67"/>
  <c r="J416" i="67"/>
  <c r="J417" i="67"/>
  <c r="J418" i="67"/>
  <c r="J419" i="67"/>
  <c r="J420" i="67"/>
  <c r="J421" i="67"/>
  <c r="J422" i="67"/>
  <c r="J423" i="67"/>
  <c r="J424" i="67"/>
  <c r="J425" i="67"/>
  <c r="J426" i="67"/>
  <c r="J427" i="67"/>
  <c r="J428" i="67"/>
  <c r="J429" i="67"/>
  <c r="J430" i="67"/>
  <c r="J431" i="67"/>
  <c r="J432" i="67"/>
  <c r="J433" i="67"/>
  <c r="J434" i="67"/>
  <c r="J435" i="67"/>
  <c r="J436" i="67"/>
  <c r="J437" i="67"/>
  <c r="J438" i="67"/>
  <c r="J439" i="67"/>
  <c r="J440" i="67"/>
  <c r="J441" i="67"/>
  <c r="J442" i="67"/>
  <c r="J443" i="67"/>
  <c r="J444" i="67"/>
  <c r="J445" i="67"/>
  <c r="J446" i="67"/>
  <c r="J447" i="67"/>
  <c r="J448" i="67"/>
  <c r="J449" i="67"/>
  <c r="J450" i="67"/>
  <c r="J451" i="67"/>
  <c r="J452" i="67"/>
  <c r="J453" i="67"/>
  <c r="J454" i="67"/>
  <c r="J455" i="67"/>
  <c r="J456" i="67"/>
  <c r="J457" i="67"/>
  <c r="J458" i="67"/>
  <c r="J459" i="67"/>
  <c r="J460" i="67"/>
  <c r="J461" i="67"/>
  <c r="J462" i="67"/>
  <c r="J463" i="67"/>
  <c r="J464" i="67"/>
  <c r="J465" i="67"/>
  <c r="J466" i="67"/>
  <c r="J467" i="67"/>
  <c r="J468" i="67"/>
  <c r="J469" i="67"/>
  <c r="J470" i="67"/>
  <c r="J471" i="67"/>
  <c r="J472" i="67"/>
  <c r="J473" i="67"/>
  <c r="J474" i="67"/>
  <c r="J475" i="67"/>
  <c r="J476" i="67"/>
  <c r="J477" i="67"/>
  <c r="J478" i="67"/>
  <c r="J479" i="67"/>
  <c r="J480" i="67"/>
  <c r="J481" i="67"/>
  <c r="J482" i="67"/>
  <c r="J483" i="67"/>
  <c r="J484" i="67"/>
  <c r="J485" i="67"/>
  <c r="J486" i="67"/>
  <c r="J487" i="67"/>
  <c r="J488" i="67"/>
  <c r="J489" i="67"/>
  <c r="J490" i="67"/>
  <c r="J491" i="67"/>
  <c r="J492" i="67"/>
  <c r="J493" i="67"/>
  <c r="J494" i="67"/>
  <c r="J495" i="67"/>
  <c r="J496" i="67"/>
  <c r="J497" i="67"/>
  <c r="J498" i="67"/>
  <c r="J499" i="67"/>
  <c r="J500" i="67"/>
  <c r="J501" i="67"/>
  <c r="J502" i="67"/>
  <c r="J503" i="67"/>
  <c r="J504" i="67"/>
  <c r="J505" i="67"/>
  <c r="J506" i="67"/>
  <c r="J507" i="67"/>
  <c r="J508" i="67"/>
  <c r="J509" i="67"/>
  <c r="J510" i="67"/>
  <c r="J511" i="67"/>
  <c r="J512" i="67"/>
  <c r="J513" i="67"/>
  <c r="J514" i="67"/>
  <c r="J515" i="67"/>
  <c r="J516" i="67"/>
  <c r="J517" i="67"/>
  <c r="J2" i="67"/>
  <c r="BC6" i="44" l="1"/>
  <c r="BC7" i="44"/>
  <c r="BC8" i="44"/>
  <c r="BC9" i="44"/>
  <c r="BC10" i="44"/>
  <c r="BC11" i="44"/>
  <c r="BC12" i="44"/>
  <c r="BC13" i="44"/>
  <c r="BC14" i="44"/>
  <c r="BC15" i="44"/>
  <c r="BC16" i="44"/>
  <c r="BC17" i="44"/>
  <c r="BC18" i="44"/>
  <c r="BC19" i="44"/>
  <c r="BC20" i="44"/>
  <c r="BC21" i="44"/>
  <c r="BC22" i="44"/>
  <c r="BC23" i="44"/>
  <c r="BC24" i="44"/>
  <c r="BC25" i="44"/>
  <c r="BC26" i="44"/>
  <c r="BC27" i="44"/>
  <c r="BC28" i="44"/>
  <c r="BC29" i="44"/>
  <c r="BC30" i="44"/>
  <c r="BC31" i="44"/>
  <c r="BC32" i="44"/>
  <c r="BC33" i="44"/>
  <c r="BC34" i="44"/>
  <c r="BI99" i="44"/>
  <c r="BI100" i="44"/>
  <c r="BI101" i="44"/>
  <c r="BI102" i="44"/>
  <c r="BI103" i="44"/>
  <c r="BI104" i="44"/>
  <c r="M44" i="64"/>
  <c r="N44" i="64"/>
  <c r="M45" i="64"/>
  <c r="N45" i="64"/>
  <c r="M46" i="64"/>
  <c r="N46" i="64"/>
  <c r="M47" i="64"/>
  <c r="N47" i="64"/>
  <c r="M48" i="64"/>
  <c r="N48" i="64"/>
  <c r="M49" i="64"/>
  <c r="N49" i="64"/>
  <c r="M50" i="64"/>
  <c r="N50" i="64"/>
  <c r="N43" i="64"/>
  <c r="M43" i="64"/>
  <c r="F44" i="64"/>
  <c r="G44" i="64"/>
  <c r="H44" i="64"/>
  <c r="F45" i="64"/>
  <c r="G45" i="64"/>
  <c r="H45" i="64"/>
  <c r="F46" i="64"/>
  <c r="G46" i="64"/>
  <c r="H46" i="64"/>
  <c r="F47" i="64"/>
  <c r="G47" i="64"/>
  <c r="H47" i="64"/>
  <c r="F48" i="64"/>
  <c r="G48" i="64"/>
  <c r="H48" i="64"/>
  <c r="F49" i="64"/>
  <c r="G49" i="64"/>
  <c r="H49" i="64"/>
  <c r="F50" i="64"/>
  <c r="G50" i="64"/>
  <c r="H50" i="64"/>
  <c r="F43" i="64"/>
  <c r="G43" i="64"/>
  <c r="H43" i="64"/>
  <c r="C44" i="64"/>
  <c r="D44" i="64"/>
  <c r="C45" i="64"/>
  <c r="D45" i="64"/>
  <c r="C46" i="64"/>
  <c r="D46" i="64"/>
  <c r="C47" i="64"/>
  <c r="D47" i="64"/>
  <c r="C48" i="64"/>
  <c r="D48" i="64"/>
  <c r="C49" i="64"/>
  <c r="D49" i="64"/>
  <c r="C50" i="64"/>
  <c r="D50" i="64"/>
  <c r="C43" i="64"/>
  <c r="D43" i="64"/>
  <c r="B44" i="64"/>
  <c r="B45" i="64" s="1"/>
  <c r="B46" i="64" s="1"/>
  <c r="B47" i="64" s="1"/>
  <c r="B48" i="64" s="1"/>
  <c r="B49" i="64" s="1"/>
  <c r="B50" i="64" s="1"/>
  <c r="B43" i="64"/>
  <c r="BG50" i="44"/>
  <c r="BG51" i="44"/>
  <c r="BG52" i="44"/>
  <c r="BG53" i="44"/>
  <c r="BG54" i="44"/>
  <c r="BG55" i="44"/>
  <c r="BG56" i="44"/>
  <c r="BG57" i="44"/>
  <c r="BG58" i="44"/>
  <c r="BG59" i="44"/>
  <c r="BG60" i="44"/>
  <c r="BG61" i="44"/>
  <c r="BG62" i="44"/>
  <c r="BG63" i="44"/>
  <c r="BG64" i="44"/>
  <c r="BG65" i="44"/>
  <c r="BG66" i="44"/>
  <c r="BG67" i="44"/>
  <c r="BG68" i="44"/>
  <c r="BG69" i="44"/>
  <c r="BG70" i="44"/>
  <c r="BG71" i="44"/>
  <c r="BG72" i="44"/>
  <c r="BG73" i="44"/>
  <c r="BG74" i="44"/>
  <c r="BG75" i="44"/>
  <c r="BG76" i="44"/>
  <c r="BG77" i="44"/>
  <c r="BG78" i="44"/>
  <c r="BG79" i="44"/>
  <c r="BG49" i="44"/>
  <c r="T13" i="20" l="1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12" i="20"/>
  <c r="T11" i="20" s="1"/>
  <c r="T10" i="20" s="1"/>
  <c r="T9" i="20" s="1"/>
  <c r="T8" i="20" s="1"/>
  <c r="T7" i="20" s="1"/>
  <c r="T6" i="20" s="1"/>
  <c r="T5" i="20" s="1"/>
  <c r="T4" i="20" s="1"/>
  <c r="T3" i="20" s="1"/>
  <c r="T2" i="20" s="1"/>
  <c r="P2" i="6"/>
  <c r="P3" i="6"/>
  <c r="P4" i="6"/>
  <c r="P5" i="6"/>
  <c r="P6" i="6"/>
  <c r="P7" i="6"/>
  <c r="R2" i="6"/>
  <c r="R3" i="6"/>
  <c r="R4" i="6"/>
  <c r="R5" i="6"/>
  <c r="R6" i="6"/>
  <c r="R7" i="6"/>
  <c r="T14" i="6"/>
  <c r="T15" i="6"/>
  <c r="T16" i="6"/>
  <c r="T17" i="6"/>
  <c r="R13" i="20"/>
  <c r="R14" i="20"/>
  <c r="R15" i="20"/>
  <c r="R16" i="20"/>
  <c r="R17" i="20"/>
  <c r="R18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12" i="20"/>
  <c r="R11" i="20" s="1"/>
  <c r="R10" i="20" s="1"/>
  <c r="R9" i="20" s="1"/>
  <c r="R8" i="20" s="1"/>
  <c r="R7" i="20" s="1"/>
  <c r="R6" i="20" s="1"/>
  <c r="R5" i="20" s="1"/>
  <c r="R4" i="20" s="1"/>
  <c r="R3" i="20" s="1"/>
  <c r="R2" i="20" s="1"/>
  <c r="R35" i="44"/>
  <c r="R36" i="44" s="1"/>
  <c r="R37" i="44" s="1"/>
  <c r="R38" i="44" s="1"/>
  <c r="R39" i="44" s="1"/>
  <c r="R40" i="44" s="1"/>
  <c r="R41" i="44" s="1"/>
  <c r="R42" i="44" s="1"/>
  <c r="P35" i="44"/>
  <c r="P36" i="44" s="1"/>
  <c r="P37" i="44" s="1"/>
  <c r="P38" i="44" s="1"/>
  <c r="P39" i="44" s="1"/>
  <c r="P40" i="44" s="1"/>
  <c r="P41" i="44" s="1"/>
  <c r="P42" i="44" s="1"/>
  <c r="R4" i="44"/>
  <c r="P4" i="44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12" i="20"/>
  <c r="P11" i="20" s="1"/>
  <c r="P10" i="20" s="1"/>
  <c r="P9" i="20" s="1"/>
  <c r="N35" i="44"/>
  <c r="N36" i="44" s="1"/>
  <c r="N37" i="44" s="1"/>
  <c r="N38" i="44" s="1"/>
  <c r="N39" i="44" s="1"/>
  <c r="N40" i="44" s="1"/>
  <c r="N41" i="44" s="1"/>
  <c r="N42" i="44" s="1"/>
  <c r="N4" i="44"/>
  <c r="K4" i="44"/>
  <c r="J4" i="44"/>
  <c r="I4" i="44"/>
  <c r="H4" i="44"/>
  <c r="E4" i="44"/>
  <c r="G4" i="44"/>
  <c r="B4" i="44"/>
  <c r="AE124" i="44"/>
  <c r="P8" i="20" l="1"/>
  <c r="P7" i="20" l="1"/>
  <c r="P6" i="20" l="1"/>
  <c r="P5" i="20" l="1"/>
  <c r="P4" i="20" l="1"/>
  <c r="P3" i="20" l="1"/>
  <c r="P2" i="20" l="1"/>
  <c r="W66" i="44" l="1"/>
  <c r="W65" i="44"/>
  <c r="W64" i="44"/>
  <c r="W63" i="44"/>
  <c r="W62" i="44"/>
  <c r="W61" i="44"/>
  <c r="W60" i="44"/>
  <c r="W59" i="44"/>
  <c r="W58" i="44"/>
  <c r="W57" i="44"/>
  <c r="D14" i="73" l="1"/>
  <c r="D13" i="73"/>
  <c r="D12" i="73"/>
  <c r="D11" i="73"/>
  <c r="D10" i="73"/>
  <c r="D9" i="73"/>
  <c r="D8" i="73"/>
  <c r="D7" i="73"/>
  <c r="D6" i="73"/>
  <c r="D5" i="73"/>
  <c r="I3" i="66"/>
  <c r="I4" i="66"/>
  <c r="I5" i="66"/>
  <c r="I6" i="66"/>
  <c r="I7" i="66"/>
  <c r="I8" i="66"/>
  <c r="I9" i="66"/>
  <c r="I10" i="66"/>
  <c r="I11" i="66"/>
  <c r="I12" i="66"/>
  <c r="I13" i="66"/>
  <c r="I14" i="66"/>
  <c r="I15" i="66"/>
  <c r="I16" i="66"/>
  <c r="I17" i="66"/>
  <c r="I18" i="66"/>
  <c r="I19" i="66"/>
  <c r="I20" i="66"/>
  <c r="I21" i="66"/>
  <c r="I22" i="66"/>
  <c r="I23" i="66"/>
  <c r="I24" i="66"/>
  <c r="I25" i="66"/>
  <c r="I26" i="66"/>
  <c r="I27" i="66"/>
  <c r="I28" i="66"/>
  <c r="I29" i="66"/>
  <c r="I30" i="66"/>
  <c r="I31" i="66"/>
  <c r="I32" i="66"/>
  <c r="I33" i="66"/>
  <c r="I34" i="66"/>
  <c r="I35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52" i="66"/>
  <c r="I53" i="66"/>
  <c r="I54" i="66"/>
  <c r="I55" i="66"/>
  <c r="I56" i="66"/>
  <c r="I57" i="66"/>
  <c r="I58" i="66"/>
  <c r="I59" i="66"/>
  <c r="I60" i="66"/>
  <c r="I61" i="66"/>
  <c r="I62" i="66"/>
  <c r="I63" i="66"/>
  <c r="I64" i="66"/>
  <c r="I65" i="66"/>
  <c r="I66" i="66"/>
  <c r="I67" i="66"/>
  <c r="I68" i="66"/>
  <c r="I69" i="66"/>
  <c r="I70" i="66"/>
  <c r="I71" i="66"/>
  <c r="I72" i="66"/>
  <c r="I73" i="66"/>
  <c r="I74" i="66"/>
  <c r="I75" i="66"/>
  <c r="I76" i="66"/>
  <c r="I77" i="66"/>
  <c r="I78" i="66"/>
  <c r="I79" i="66"/>
  <c r="I80" i="66"/>
  <c r="I81" i="66"/>
  <c r="I82" i="66"/>
  <c r="I83" i="66"/>
  <c r="I84" i="66"/>
  <c r="I85" i="66"/>
  <c r="I86" i="66"/>
  <c r="I87" i="66"/>
  <c r="I88" i="66"/>
  <c r="I89" i="66"/>
  <c r="I90" i="66"/>
  <c r="I91" i="66"/>
  <c r="I92" i="66"/>
  <c r="I93" i="66"/>
  <c r="I94" i="66"/>
  <c r="I95" i="66"/>
  <c r="I96" i="66"/>
  <c r="I97" i="66"/>
  <c r="I98" i="66"/>
  <c r="I99" i="66"/>
  <c r="I100" i="66"/>
  <c r="I101" i="66"/>
  <c r="I102" i="66"/>
  <c r="I103" i="66"/>
  <c r="I104" i="66"/>
  <c r="I105" i="66"/>
  <c r="I106" i="66"/>
  <c r="I107" i="66"/>
  <c r="I108" i="66"/>
  <c r="I109" i="66"/>
  <c r="I110" i="66"/>
  <c r="I111" i="66"/>
  <c r="I112" i="66"/>
  <c r="I113" i="66"/>
  <c r="I114" i="66"/>
  <c r="I115" i="66"/>
  <c r="I116" i="66"/>
  <c r="I117" i="66"/>
  <c r="I118" i="66"/>
  <c r="I119" i="66"/>
  <c r="I120" i="66"/>
  <c r="I121" i="66"/>
  <c r="I122" i="66"/>
  <c r="I123" i="66"/>
  <c r="I124" i="66"/>
  <c r="I125" i="66"/>
  <c r="I126" i="66"/>
  <c r="I127" i="66"/>
  <c r="I128" i="66"/>
  <c r="I129" i="66"/>
  <c r="I130" i="66"/>
  <c r="I131" i="66"/>
  <c r="I132" i="66"/>
  <c r="I133" i="66"/>
  <c r="I134" i="66"/>
  <c r="I135" i="66"/>
  <c r="I136" i="66"/>
  <c r="I137" i="66"/>
  <c r="I138" i="66"/>
  <c r="I139" i="66"/>
  <c r="I140" i="66"/>
  <c r="I141" i="66"/>
  <c r="I142" i="66"/>
  <c r="I143" i="66"/>
  <c r="I144" i="66"/>
  <c r="I145" i="66"/>
  <c r="I146" i="66"/>
  <c r="I147" i="66"/>
  <c r="I148" i="66"/>
  <c r="I149" i="66"/>
  <c r="I150" i="66"/>
  <c r="I151" i="66"/>
  <c r="I152" i="66"/>
  <c r="I153" i="66"/>
  <c r="I154" i="66"/>
  <c r="I155" i="66"/>
  <c r="I156" i="66"/>
  <c r="I157" i="66"/>
  <c r="I158" i="66"/>
  <c r="I159" i="66"/>
  <c r="I160" i="66"/>
  <c r="I161" i="66"/>
  <c r="I162" i="66"/>
  <c r="I163" i="66"/>
  <c r="I164" i="66"/>
  <c r="I165" i="66"/>
  <c r="I166" i="66"/>
  <c r="I167" i="66"/>
  <c r="I168" i="66"/>
  <c r="I169" i="66"/>
  <c r="I170" i="66"/>
  <c r="I171" i="66"/>
  <c r="I172" i="66"/>
  <c r="I173" i="66"/>
  <c r="I174" i="66"/>
  <c r="I175" i="66"/>
  <c r="I176" i="66"/>
  <c r="I177" i="66"/>
  <c r="I178" i="66"/>
  <c r="I179" i="66"/>
  <c r="I180" i="66"/>
  <c r="I181" i="66"/>
  <c r="I182" i="66"/>
  <c r="I183" i="66"/>
  <c r="I184" i="66"/>
  <c r="I185" i="66"/>
  <c r="I186" i="66"/>
  <c r="I187" i="66"/>
  <c r="I188" i="66"/>
  <c r="I189" i="66"/>
  <c r="I190" i="66"/>
  <c r="I191" i="66"/>
  <c r="I192" i="66"/>
  <c r="I193" i="66"/>
  <c r="I194" i="66"/>
  <c r="I195" i="66"/>
  <c r="I196" i="66"/>
  <c r="I197" i="66"/>
  <c r="I198" i="66"/>
  <c r="I199" i="66"/>
  <c r="I200" i="66"/>
  <c r="I201" i="66"/>
  <c r="I202" i="66"/>
  <c r="I203" i="66"/>
  <c r="I204" i="66"/>
  <c r="I205" i="66"/>
  <c r="I206" i="66"/>
  <c r="I207" i="66"/>
  <c r="I208" i="66"/>
  <c r="I209" i="66"/>
  <c r="I210" i="66"/>
  <c r="I211" i="66"/>
  <c r="I212" i="66"/>
  <c r="I213" i="66"/>
  <c r="I214" i="66"/>
  <c r="I215" i="66"/>
  <c r="I216" i="66"/>
  <c r="I217" i="66"/>
  <c r="I218" i="66"/>
  <c r="I219" i="66"/>
  <c r="I220" i="66"/>
  <c r="I221" i="66"/>
  <c r="I222" i="66"/>
  <c r="I223" i="66"/>
  <c r="I224" i="66"/>
  <c r="I225" i="66"/>
  <c r="I226" i="66"/>
  <c r="I227" i="66"/>
  <c r="I228" i="66"/>
  <c r="I229" i="66"/>
  <c r="I230" i="66"/>
  <c r="I231" i="66"/>
  <c r="I232" i="66"/>
  <c r="I233" i="66"/>
  <c r="I234" i="66"/>
  <c r="I235" i="66"/>
  <c r="I236" i="66"/>
  <c r="I237" i="66"/>
  <c r="I238" i="66"/>
  <c r="I239" i="66"/>
  <c r="I240" i="66"/>
  <c r="I241" i="66"/>
  <c r="I242" i="66"/>
  <c r="I243" i="66"/>
  <c r="I244" i="66"/>
  <c r="I245" i="66"/>
  <c r="I246" i="66"/>
  <c r="I247" i="66"/>
  <c r="I248" i="66"/>
  <c r="I249" i="66"/>
  <c r="I250" i="66"/>
  <c r="I251" i="66"/>
  <c r="I252" i="66"/>
  <c r="I253" i="66"/>
  <c r="I254" i="66"/>
  <c r="I255" i="66"/>
  <c r="I256" i="66"/>
  <c r="I257" i="66"/>
  <c r="I258" i="66"/>
  <c r="I259" i="66"/>
  <c r="I260" i="66"/>
  <c r="I261" i="66"/>
  <c r="I262" i="66"/>
  <c r="I263" i="66"/>
  <c r="I264" i="66"/>
  <c r="I265" i="66"/>
  <c r="I266" i="66"/>
  <c r="I267" i="66"/>
  <c r="I268" i="66"/>
  <c r="I269" i="66"/>
  <c r="I270" i="66"/>
  <c r="I271" i="66"/>
  <c r="I272" i="66"/>
  <c r="I273" i="66"/>
  <c r="I274" i="66"/>
  <c r="I275" i="66"/>
  <c r="I276" i="66"/>
  <c r="I277" i="66"/>
  <c r="I278" i="66"/>
  <c r="I279" i="66"/>
  <c r="I280" i="66"/>
  <c r="I281" i="66"/>
  <c r="I282" i="66"/>
  <c r="I283" i="66"/>
  <c r="I284" i="66"/>
  <c r="I285" i="66"/>
  <c r="I286" i="66"/>
  <c r="I287" i="66"/>
  <c r="I288" i="66"/>
  <c r="I289" i="66"/>
  <c r="I290" i="66"/>
  <c r="I291" i="66"/>
  <c r="I292" i="66"/>
  <c r="I293" i="66"/>
  <c r="I294" i="66"/>
  <c r="I295" i="66"/>
  <c r="I296" i="66"/>
  <c r="I297" i="66"/>
  <c r="I298" i="66"/>
  <c r="I299" i="66"/>
  <c r="I300" i="66"/>
  <c r="I301" i="66"/>
  <c r="I302" i="66"/>
  <c r="I303" i="66"/>
  <c r="I304" i="66"/>
  <c r="I305" i="66"/>
  <c r="I306" i="66"/>
  <c r="I307" i="66"/>
  <c r="I308" i="66"/>
  <c r="I309" i="66"/>
  <c r="I310" i="66"/>
  <c r="I311" i="66"/>
  <c r="I312" i="66"/>
  <c r="I313" i="66"/>
  <c r="I314" i="66"/>
  <c r="I315" i="66"/>
  <c r="I316" i="66"/>
  <c r="I317" i="66"/>
  <c r="I318" i="66"/>
  <c r="I319" i="66"/>
  <c r="I320" i="66"/>
  <c r="I321" i="66"/>
  <c r="I322" i="66"/>
  <c r="I323" i="66"/>
  <c r="I324" i="66"/>
  <c r="I325" i="66"/>
  <c r="I326" i="66"/>
  <c r="I327" i="66"/>
  <c r="I328" i="66"/>
  <c r="I329" i="66"/>
  <c r="I330" i="66"/>
  <c r="I331" i="66"/>
  <c r="I332" i="66"/>
  <c r="I333" i="66"/>
  <c r="I334" i="66"/>
  <c r="I335" i="66"/>
  <c r="I336" i="66"/>
  <c r="I337" i="66"/>
  <c r="I338" i="66"/>
  <c r="I339" i="66"/>
  <c r="I340" i="66"/>
  <c r="I341" i="66"/>
  <c r="I342" i="66"/>
  <c r="I343" i="66"/>
  <c r="I344" i="66"/>
  <c r="I345" i="66"/>
  <c r="I346" i="66"/>
  <c r="I347" i="66"/>
  <c r="I348" i="66"/>
  <c r="I349" i="66"/>
  <c r="I350" i="66"/>
  <c r="I351" i="66"/>
  <c r="I352" i="66"/>
  <c r="I353" i="66"/>
  <c r="I354" i="66"/>
  <c r="I355" i="66"/>
  <c r="I356" i="66"/>
  <c r="I357" i="66"/>
  <c r="I358" i="66"/>
  <c r="I359" i="66"/>
  <c r="I360" i="66"/>
  <c r="I361" i="66"/>
  <c r="I362" i="66"/>
  <c r="I363" i="66"/>
  <c r="I364" i="66"/>
  <c r="I365" i="66"/>
  <c r="I366" i="66"/>
  <c r="I367" i="66"/>
  <c r="I368" i="66"/>
  <c r="I369" i="66"/>
  <c r="I370" i="66"/>
  <c r="I371" i="66"/>
  <c r="I372" i="66"/>
  <c r="I373" i="66"/>
  <c r="I374" i="66"/>
  <c r="I375" i="66"/>
  <c r="I376" i="66"/>
  <c r="I377" i="66"/>
  <c r="I378" i="66"/>
  <c r="I379" i="66"/>
  <c r="I380" i="66"/>
  <c r="I381" i="66"/>
  <c r="I382" i="66"/>
  <c r="I383" i="66"/>
  <c r="I384" i="66"/>
  <c r="I385" i="66"/>
  <c r="I386" i="66"/>
  <c r="I387" i="66"/>
  <c r="I388" i="66"/>
  <c r="I389" i="66"/>
  <c r="I390" i="66"/>
  <c r="I391" i="66"/>
  <c r="I392" i="66"/>
  <c r="I393" i="66"/>
  <c r="I394" i="66"/>
  <c r="I395" i="66"/>
  <c r="I396" i="66"/>
  <c r="I397" i="66"/>
  <c r="I398" i="66"/>
  <c r="I399" i="66"/>
  <c r="I400" i="66"/>
  <c r="I401" i="66"/>
  <c r="I402" i="66"/>
  <c r="I403" i="66"/>
  <c r="I404" i="66"/>
  <c r="I405" i="66"/>
  <c r="I406" i="66"/>
  <c r="I407" i="66"/>
  <c r="I408" i="66"/>
  <c r="I409" i="66"/>
  <c r="I410" i="66"/>
  <c r="I411" i="66"/>
  <c r="I412" i="66"/>
  <c r="I413" i="66"/>
  <c r="I414" i="66"/>
  <c r="I415" i="66"/>
  <c r="I416" i="66"/>
  <c r="I417" i="66"/>
  <c r="I418" i="66"/>
  <c r="I419" i="66"/>
  <c r="I420" i="66"/>
  <c r="I421" i="66"/>
  <c r="I422" i="66"/>
  <c r="I423" i="66"/>
  <c r="I424" i="66"/>
  <c r="I425" i="66"/>
  <c r="I426" i="66"/>
  <c r="I427" i="66"/>
  <c r="I428" i="66"/>
  <c r="I429" i="66"/>
  <c r="I430" i="66"/>
  <c r="I431" i="66"/>
  <c r="I432" i="66"/>
  <c r="I433" i="66"/>
  <c r="I434" i="66"/>
  <c r="I435" i="66"/>
  <c r="I436" i="66"/>
  <c r="I437" i="66"/>
  <c r="I438" i="66"/>
  <c r="I439" i="66"/>
  <c r="I440" i="66"/>
  <c r="I441" i="66"/>
  <c r="I442" i="66"/>
  <c r="I443" i="66"/>
  <c r="I444" i="66"/>
  <c r="I445" i="66"/>
  <c r="I446" i="66"/>
  <c r="I447" i="66"/>
  <c r="I448" i="66"/>
  <c r="I449" i="66"/>
  <c r="I450" i="66"/>
  <c r="I451" i="66"/>
  <c r="I452" i="66"/>
  <c r="I453" i="66"/>
  <c r="I454" i="66"/>
  <c r="I455" i="66"/>
  <c r="I456" i="66"/>
  <c r="I457" i="66"/>
  <c r="I458" i="66"/>
  <c r="I459" i="66"/>
  <c r="I460" i="66"/>
  <c r="I461" i="66"/>
  <c r="I462" i="66"/>
  <c r="I463" i="66"/>
  <c r="I464" i="66"/>
  <c r="I465" i="66"/>
  <c r="I466" i="66"/>
  <c r="I467" i="66"/>
  <c r="I468" i="66"/>
  <c r="I469" i="66"/>
  <c r="I470" i="66"/>
  <c r="I471" i="66"/>
  <c r="I472" i="66"/>
  <c r="I473" i="66"/>
  <c r="I474" i="66"/>
  <c r="I475" i="66"/>
  <c r="I476" i="66"/>
  <c r="I477" i="66"/>
  <c r="I478" i="66"/>
  <c r="I479" i="66"/>
  <c r="I480" i="66"/>
  <c r="I481" i="66"/>
  <c r="I482" i="66"/>
  <c r="I483" i="66"/>
  <c r="I484" i="66"/>
  <c r="I485" i="66"/>
  <c r="I486" i="66"/>
  <c r="I487" i="66"/>
  <c r="I488" i="66"/>
  <c r="I489" i="66"/>
  <c r="I490" i="66"/>
  <c r="I491" i="66"/>
  <c r="I492" i="66"/>
  <c r="I493" i="66"/>
  <c r="I494" i="66"/>
  <c r="I495" i="66"/>
  <c r="I496" i="66"/>
  <c r="I497" i="66"/>
  <c r="I498" i="66"/>
  <c r="I499" i="66"/>
  <c r="I500" i="66"/>
  <c r="I501" i="66"/>
  <c r="I502" i="66"/>
  <c r="I503" i="66"/>
  <c r="I504" i="66"/>
  <c r="I505" i="66"/>
  <c r="I506" i="66"/>
  <c r="I507" i="66"/>
  <c r="I508" i="66"/>
  <c r="I509" i="66"/>
  <c r="I510" i="66"/>
  <c r="I511" i="66"/>
  <c r="I512" i="66"/>
  <c r="I513" i="66"/>
  <c r="I514" i="66"/>
  <c r="I515" i="66"/>
  <c r="I516" i="66"/>
  <c r="I517" i="66"/>
  <c r="I2" i="66"/>
  <c r="H3" i="67"/>
  <c r="H4" i="67"/>
  <c r="H5" i="67"/>
  <c r="H6" i="67"/>
  <c r="H7" i="67"/>
  <c r="H8" i="67"/>
  <c r="H9" i="67"/>
  <c r="H10" i="67"/>
  <c r="H11" i="67"/>
  <c r="H12" i="67"/>
  <c r="H13" i="67"/>
  <c r="H14" i="67"/>
  <c r="H15" i="67"/>
  <c r="H16" i="67"/>
  <c r="H17" i="67"/>
  <c r="H18" i="67"/>
  <c r="H19" i="67"/>
  <c r="H20" i="67"/>
  <c r="H21" i="67"/>
  <c r="H22" i="67"/>
  <c r="H23" i="67"/>
  <c r="H24" i="67"/>
  <c r="H25" i="67"/>
  <c r="H26" i="67"/>
  <c r="H27" i="67"/>
  <c r="H28" i="67"/>
  <c r="H29" i="67"/>
  <c r="H30" i="67"/>
  <c r="H31" i="67"/>
  <c r="H32" i="67"/>
  <c r="H33" i="67"/>
  <c r="H34" i="67"/>
  <c r="H35" i="67"/>
  <c r="H36" i="67"/>
  <c r="H37" i="67"/>
  <c r="H38" i="67"/>
  <c r="H39" i="67"/>
  <c r="H40" i="67"/>
  <c r="H41" i="67"/>
  <c r="H42" i="67"/>
  <c r="H43" i="67"/>
  <c r="H44" i="67"/>
  <c r="H45" i="67"/>
  <c r="H46" i="67"/>
  <c r="H47" i="67"/>
  <c r="H48" i="67"/>
  <c r="H49" i="67"/>
  <c r="H50" i="67"/>
  <c r="H51" i="67"/>
  <c r="H52" i="67"/>
  <c r="H53" i="67"/>
  <c r="H54" i="67"/>
  <c r="H55" i="67"/>
  <c r="H56" i="67"/>
  <c r="H57" i="67"/>
  <c r="H58" i="67"/>
  <c r="H59" i="67"/>
  <c r="H60" i="67"/>
  <c r="H61" i="67"/>
  <c r="H62" i="67"/>
  <c r="H63" i="67"/>
  <c r="H64" i="67"/>
  <c r="H65" i="67"/>
  <c r="H66" i="67"/>
  <c r="H67" i="67"/>
  <c r="H68" i="67"/>
  <c r="H69" i="67"/>
  <c r="H70" i="67"/>
  <c r="H71" i="67"/>
  <c r="H72" i="67"/>
  <c r="H73" i="67"/>
  <c r="H74" i="67"/>
  <c r="H75" i="67"/>
  <c r="H76" i="67"/>
  <c r="H77" i="67"/>
  <c r="H78" i="67"/>
  <c r="H79" i="67"/>
  <c r="H80" i="67"/>
  <c r="H81" i="67"/>
  <c r="H82" i="67"/>
  <c r="H83" i="67"/>
  <c r="H84" i="67"/>
  <c r="H85" i="67"/>
  <c r="H86" i="67"/>
  <c r="H87" i="67"/>
  <c r="H88" i="67"/>
  <c r="H89" i="67"/>
  <c r="H90" i="67"/>
  <c r="H91" i="67"/>
  <c r="H92" i="67"/>
  <c r="H93" i="67"/>
  <c r="H94" i="67"/>
  <c r="H95" i="67"/>
  <c r="H96" i="67"/>
  <c r="H97" i="67"/>
  <c r="H98" i="67"/>
  <c r="H99" i="67"/>
  <c r="H100" i="67"/>
  <c r="H101" i="67"/>
  <c r="H102" i="67"/>
  <c r="H103" i="67"/>
  <c r="H104" i="67"/>
  <c r="H105" i="67"/>
  <c r="H106" i="67"/>
  <c r="H107" i="67"/>
  <c r="H108" i="67"/>
  <c r="H109" i="67"/>
  <c r="H110" i="67"/>
  <c r="H111" i="67"/>
  <c r="H112" i="67"/>
  <c r="H113" i="67"/>
  <c r="H114" i="67"/>
  <c r="H115" i="67"/>
  <c r="H116" i="67"/>
  <c r="H117" i="67"/>
  <c r="H118" i="67"/>
  <c r="H119" i="67"/>
  <c r="H120" i="67"/>
  <c r="H121" i="67"/>
  <c r="H122" i="67"/>
  <c r="H123" i="67"/>
  <c r="H124" i="67"/>
  <c r="H125" i="67"/>
  <c r="H126" i="67"/>
  <c r="H127" i="67"/>
  <c r="H128" i="67"/>
  <c r="H129" i="67"/>
  <c r="H130" i="67"/>
  <c r="H131" i="67"/>
  <c r="H132" i="67"/>
  <c r="H133" i="67"/>
  <c r="H134" i="67"/>
  <c r="H135" i="67"/>
  <c r="H136" i="67"/>
  <c r="H137" i="67"/>
  <c r="H138" i="67"/>
  <c r="H139" i="67"/>
  <c r="H140" i="67"/>
  <c r="H141" i="67"/>
  <c r="H142" i="67"/>
  <c r="H143" i="67"/>
  <c r="H144" i="67"/>
  <c r="H145" i="67"/>
  <c r="H146" i="67"/>
  <c r="H147" i="67"/>
  <c r="H148" i="67"/>
  <c r="H149" i="67"/>
  <c r="H150" i="67"/>
  <c r="H151" i="67"/>
  <c r="H152" i="67"/>
  <c r="H153" i="67"/>
  <c r="H154" i="67"/>
  <c r="H155" i="67"/>
  <c r="H156" i="67"/>
  <c r="H157" i="67"/>
  <c r="H158" i="67"/>
  <c r="H159" i="67"/>
  <c r="H160" i="67"/>
  <c r="H161" i="67"/>
  <c r="H162" i="67"/>
  <c r="H163" i="67"/>
  <c r="H164" i="67"/>
  <c r="H165" i="67"/>
  <c r="H166" i="67"/>
  <c r="H167" i="67"/>
  <c r="H168" i="67"/>
  <c r="H169" i="67"/>
  <c r="H170" i="67"/>
  <c r="H171" i="67"/>
  <c r="H172" i="67"/>
  <c r="H173" i="67"/>
  <c r="H174" i="67"/>
  <c r="H175" i="67"/>
  <c r="H176" i="67"/>
  <c r="H177" i="67"/>
  <c r="H178" i="67"/>
  <c r="H179" i="67"/>
  <c r="H180" i="67"/>
  <c r="H181" i="67"/>
  <c r="H182" i="67"/>
  <c r="H183" i="67"/>
  <c r="H184" i="67"/>
  <c r="H185" i="67"/>
  <c r="H186" i="67"/>
  <c r="H187" i="67"/>
  <c r="H188" i="67"/>
  <c r="H189" i="67"/>
  <c r="H190" i="67"/>
  <c r="H191" i="67"/>
  <c r="H192" i="67"/>
  <c r="H193" i="67"/>
  <c r="H194" i="67"/>
  <c r="H195" i="67"/>
  <c r="H196" i="67"/>
  <c r="H197" i="67"/>
  <c r="H198" i="67"/>
  <c r="H199" i="67"/>
  <c r="H200" i="67"/>
  <c r="H201" i="67"/>
  <c r="H202" i="67"/>
  <c r="H203" i="67"/>
  <c r="H204" i="67"/>
  <c r="H205" i="67"/>
  <c r="H206" i="67"/>
  <c r="H207" i="67"/>
  <c r="H208" i="67"/>
  <c r="H209" i="67"/>
  <c r="H210" i="67"/>
  <c r="H211" i="67"/>
  <c r="H212" i="67"/>
  <c r="H213" i="67"/>
  <c r="H214" i="67"/>
  <c r="H215" i="67"/>
  <c r="H216" i="67"/>
  <c r="H217" i="67"/>
  <c r="H218" i="67"/>
  <c r="H219" i="67"/>
  <c r="H220" i="67"/>
  <c r="H221" i="67"/>
  <c r="H222" i="67"/>
  <c r="H223" i="67"/>
  <c r="H224" i="67"/>
  <c r="H225" i="67"/>
  <c r="H226" i="67"/>
  <c r="H227" i="67"/>
  <c r="H228" i="67"/>
  <c r="H229" i="67"/>
  <c r="H230" i="67"/>
  <c r="H231" i="67"/>
  <c r="H232" i="67"/>
  <c r="H233" i="67"/>
  <c r="H234" i="67"/>
  <c r="H235" i="67"/>
  <c r="H236" i="67"/>
  <c r="H237" i="67"/>
  <c r="H238" i="67"/>
  <c r="H239" i="67"/>
  <c r="H240" i="67"/>
  <c r="H241" i="67"/>
  <c r="H242" i="67"/>
  <c r="H243" i="67"/>
  <c r="H244" i="67"/>
  <c r="H245" i="67"/>
  <c r="H246" i="67"/>
  <c r="H247" i="67"/>
  <c r="H248" i="67"/>
  <c r="H249" i="67"/>
  <c r="H250" i="67"/>
  <c r="H251" i="67"/>
  <c r="H252" i="67"/>
  <c r="H253" i="67"/>
  <c r="H254" i="67"/>
  <c r="H255" i="67"/>
  <c r="H256" i="67"/>
  <c r="H257" i="67"/>
  <c r="H258" i="67"/>
  <c r="H259" i="67"/>
  <c r="H260" i="67"/>
  <c r="H261" i="67"/>
  <c r="H262" i="67"/>
  <c r="H263" i="67"/>
  <c r="H264" i="67"/>
  <c r="H265" i="67"/>
  <c r="H266" i="67"/>
  <c r="H267" i="67"/>
  <c r="H268" i="67"/>
  <c r="H269" i="67"/>
  <c r="H270" i="67"/>
  <c r="H271" i="67"/>
  <c r="H272" i="67"/>
  <c r="H273" i="67"/>
  <c r="H274" i="67"/>
  <c r="H275" i="67"/>
  <c r="H276" i="67"/>
  <c r="H277" i="67"/>
  <c r="H278" i="67"/>
  <c r="H279" i="67"/>
  <c r="H280" i="67"/>
  <c r="H281" i="67"/>
  <c r="H282" i="67"/>
  <c r="H283" i="67"/>
  <c r="H284" i="67"/>
  <c r="H285" i="67"/>
  <c r="H286" i="67"/>
  <c r="H287" i="67"/>
  <c r="H288" i="67"/>
  <c r="H289" i="67"/>
  <c r="H290" i="67"/>
  <c r="H291" i="67"/>
  <c r="H292" i="67"/>
  <c r="H293" i="67"/>
  <c r="H294" i="67"/>
  <c r="H295" i="67"/>
  <c r="H296" i="67"/>
  <c r="H297" i="67"/>
  <c r="H298" i="67"/>
  <c r="H299" i="67"/>
  <c r="H300" i="67"/>
  <c r="H301" i="67"/>
  <c r="H302" i="67"/>
  <c r="H303" i="67"/>
  <c r="H304" i="67"/>
  <c r="H305" i="67"/>
  <c r="H306" i="67"/>
  <c r="H307" i="67"/>
  <c r="H308" i="67"/>
  <c r="H309" i="67"/>
  <c r="H310" i="67"/>
  <c r="H311" i="67"/>
  <c r="H312" i="67"/>
  <c r="H313" i="67"/>
  <c r="H314" i="67"/>
  <c r="H315" i="67"/>
  <c r="H316" i="67"/>
  <c r="H317" i="67"/>
  <c r="H318" i="67"/>
  <c r="H319" i="67"/>
  <c r="H320" i="67"/>
  <c r="H321" i="67"/>
  <c r="H322" i="67"/>
  <c r="H323" i="67"/>
  <c r="H324" i="67"/>
  <c r="H325" i="67"/>
  <c r="H326" i="67"/>
  <c r="H327" i="67"/>
  <c r="H328" i="67"/>
  <c r="H329" i="67"/>
  <c r="H330" i="67"/>
  <c r="H331" i="67"/>
  <c r="H332" i="67"/>
  <c r="H333" i="67"/>
  <c r="H334" i="67"/>
  <c r="H335" i="67"/>
  <c r="H336" i="67"/>
  <c r="H337" i="67"/>
  <c r="H338" i="67"/>
  <c r="H339" i="67"/>
  <c r="H340" i="67"/>
  <c r="H341" i="67"/>
  <c r="H342" i="67"/>
  <c r="H343" i="67"/>
  <c r="H344" i="67"/>
  <c r="H345" i="67"/>
  <c r="H346" i="67"/>
  <c r="H347" i="67"/>
  <c r="H348" i="67"/>
  <c r="H349" i="67"/>
  <c r="H350" i="67"/>
  <c r="H351" i="67"/>
  <c r="H352" i="67"/>
  <c r="H353" i="67"/>
  <c r="H354" i="67"/>
  <c r="H355" i="67"/>
  <c r="H356" i="67"/>
  <c r="H357" i="67"/>
  <c r="H358" i="67"/>
  <c r="H359" i="67"/>
  <c r="H360" i="67"/>
  <c r="H361" i="67"/>
  <c r="H362" i="67"/>
  <c r="H363" i="67"/>
  <c r="H364" i="67"/>
  <c r="H365" i="67"/>
  <c r="H366" i="67"/>
  <c r="H367" i="67"/>
  <c r="H368" i="67"/>
  <c r="H369" i="67"/>
  <c r="H370" i="67"/>
  <c r="H371" i="67"/>
  <c r="H372" i="67"/>
  <c r="H373" i="67"/>
  <c r="H374" i="67"/>
  <c r="H375" i="67"/>
  <c r="H376" i="67"/>
  <c r="H377" i="67"/>
  <c r="H378" i="67"/>
  <c r="H379" i="67"/>
  <c r="H380" i="67"/>
  <c r="H381" i="67"/>
  <c r="H382" i="67"/>
  <c r="H383" i="67"/>
  <c r="H384" i="67"/>
  <c r="H385" i="67"/>
  <c r="H386" i="67"/>
  <c r="H387" i="67"/>
  <c r="H388" i="67"/>
  <c r="H389" i="67"/>
  <c r="H390" i="67"/>
  <c r="H391" i="67"/>
  <c r="H392" i="67"/>
  <c r="H393" i="67"/>
  <c r="H394" i="67"/>
  <c r="H395" i="67"/>
  <c r="H396" i="67"/>
  <c r="H397" i="67"/>
  <c r="H398" i="67"/>
  <c r="H399" i="67"/>
  <c r="H400" i="67"/>
  <c r="H401" i="67"/>
  <c r="H402" i="67"/>
  <c r="H403" i="67"/>
  <c r="H404" i="67"/>
  <c r="H405" i="67"/>
  <c r="H406" i="67"/>
  <c r="H407" i="67"/>
  <c r="H408" i="67"/>
  <c r="H409" i="67"/>
  <c r="H410" i="67"/>
  <c r="H411" i="67"/>
  <c r="H412" i="67"/>
  <c r="H413" i="67"/>
  <c r="H414" i="67"/>
  <c r="H415" i="67"/>
  <c r="H416" i="67"/>
  <c r="H417" i="67"/>
  <c r="H418" i="67"/>
  <c r="H419" i="67"/>
  <c r="H420" i="67"/>
  <c r="H421" i="67"/>
  <c r="H422" i="67"/>
  <c r="H423" i="67"/>
  <c r="H424" i="67"/>
  <c r="H425" i="67"/>
  <c r="H426" i="67"/>
  <c r="H427" i="67"/>
  <c r="H428" i="67"/>
  <c r="H429" i="67"/>
  <c r="H430" i="67"/>
  <c r="H431" i="67"/>
  <c r="H432" i="67"/>
  <c r="H433" i="67"/>
  <c r="H434" i="67"/>
  <c r="H435" i="67"/>
  <c r="H436" i="67"/>
  <c r="H437" i="67"/>
  <c r="H438" i="67"/>
  <c r="H439" i="67"/>
  <c r="H440" i="67"/>
  <c r="H441" i="67"/>
  <c r="H442" i="67"/>
  <c r="H443" i="67"/>
  <c r="H444" i="67"/>
  <c r="H445" i="67"/>
  <c r="H446" i="67"/>
  <c r="H447" i="67"/>
  <c r="H448" i="67"/>
  <c r="H449" i="67"/>
  <c r="H450" i="67"/>
  <c r="H451" i="67"/>
  <c r="H452" i="67"/>
  <c r="H453" i="67"/>
  <c r="H454" i="67"/>
  <c r="H455" i="67"/>
  <c r="H456" i="67"/>
  <c r="H457" i="67"/>
  <c r="H458" i="67"/>
  <c r="H459" i="67"/>
  <c r="H460" i="67"/>
  <c r="H461" i="67"/>
  <c r="H462" i="67"/>
  <c r="H463" i="67"/>
  <c r="H464" i="67"/>
  <c r="H465" i="67"/>
  <c r="H466" i="67"/>
  <c r="H467" i="67"/>
  <c r="H468" i="67"/>
  <c r="H469" i="67"/>
  <c r="H470" i="67"/>
  <c r="H471" i="67"/>
  <c r="H472" i="67"/>
  <c r="H473" i="67"/>
  <c r="H474" i="67"/>
  <c r="H475" i="67"/>
  <c r="H476" i="67"/>
  <c r="H477" i="67"/>
  <c r="H478" i="67"/>
  <c r="H479" i="67"/>
  <c r="H480" i="67"/>
  <c r="H481" i="67"/>
  <c r="H482" i="67"/>
  <c r="H483" i="67"/>
  <c r="H484" i="67"/>
  <c r="H485" i="67"/>
  <c r="H486" i="67"/>
  <c r="H487" i="67"/>
  <c r="H488" i="67"/>
  <c r="H489" i="67"/>
  <c r="H490" i="67"/>
  <c r="H491" i="67"/>
  <c r="H492" i="67"/>
  <c r="H493" i="67"/>
  <c r="H494" i="67"/>
  <c r="H495" i="67"/>
  <c r="H496" i="67"/>
  <c r="H497" i="67"/>
  <c r="H498" i="67"/>
  <c r="H499" i="67"/>
  <c r="H500" i="67"/>
  <c r="H501" i="67"/>
  <c r="H502" i="67"/>
  <c r="H503" i="67"/>
  <c r="H504" i="67"/>
  <c r="H505" i="67"/>
  <c r="H506" i="67"/>
  <c r="H507" i="67"/>
  <c r="H508" i="67"/>
  <c r="H509" i="67"/>
  <c r="H510" i="67"/>
  <c r="H511" i="67"/>
  <c r="H512" i="67"/>
  <c r="H513" i="67"/>
  <c r="H514" i="67"/>
  <c r="H515" i="67"/>
  <c r="H516" i="67"/>
  <c r="H517" i="67"/>
  <c r="H2" i="67"/>
  <c r="D12" i="70"/>
  <c r="D13" i="70"/>
  <c r="D14" i="70"/>
  <c r="D6" i="70"/>
  <c r="D7" i="70"/>
  <c r="D8" i="70"/>
  <c r="D9" i="70"/>
  <c r="D10" i="70"/>
  <c r="D11" i="70"/>
  <c r="D5" i="70"/>
  <c r="S171" i="67"/>
  <c r="S172" i="67"/>
  <c r="S173" i="67"/>
  <c r="S170" i="67"/>
  <c r="S179" i="67"/>
  <c r="S177" i="67"/>
  <c r="S178" i="67"/>
  <c r="S176" i="67"/>
  <c r="AB167" i="67"/>
  <c r="AA171" i="67" s="1"/>
  <c r="AB168" i="67"/>
  <c r="AA172" i="67" s="1"/>
  <c r="AB169" i="67"/>
  <c r="AA173" i="67" s="1"/>
  <c r="AB166" i="67"/>
  <c r="AA170" i="67" s="1"/>
  <c r="C6" i="72"/>
  <c r="C7" i="72"/>
  <c r="C8" i="72"/>
  <c r="C9" i="72"/>
  <c r="C10" i="72"/>
  <c r="C11" i="72"/>
  <c r="C12" i="72"/>
  <c r="C13" i="72"/>
  <c r="C14" i="72"/>
  <c r="R170" i="67" l="1"/>
  <c r="P170" i="67"/>
  <c r="P171" i="67"/>
  <c r="P172" i="67"/>
  <c r="P173" i="67"/>
  <c r="A50" i="22"/>
  <c r="AK131" i="44"/>
  <c r="AM131" i="44"/>
  <c r="A42" i="44"/>
  <c r="E205" i="66" l="1"/>
  <c r="E217" i="66" s="1"/>
  <c r="E229" i="66" s="1"/>
  <c r="E241" i="66" s="1"/>
  <c r="E253" i="66" s="1"/>
  <c r="E265" i="66" s="1"/>
  <c r="E277" i="66" s="1"/>
  <c r="E289" i="66" s="1"/>
  <c r="E301" i="66" s="1"/>
  <c r="E313" i="66" s="1"/>
  <c r="E325" i="66" s="1"/>
  <c r="E337" i="66" s="1"/>
  <c r="E349" i="66" s="1"/>
  <c r="E361" i="66" s="1"/>
  <c r="E373" i="66" s="1"/>
  <c r="E385" i="66" s="1"/>
  <c r="E397" i="66" s="1"/>
  <c r="E409" i="66" s="1"/>
  <c r="E421" i="66" s="1"/>
  <c r="E433" i="66" s="1"/>
  <c r="E445" i="66" s="1"/>
  <c r="E457" i="66" s="1"/>
  <c r="E469" i="66" s="1"/>
  <c r="E481" i="66" s="1"/>
  <c r="E493" i="66" s="1"/>
  <c r="E505" i="66" s="1"/>
  <c r="E517" i="66" s="1"/>
  <c r="B507" i="66"/>
  <c r="B508" i="66"/>
  <c r="B509" i="66"/>
  <c r="B510" i="66"/>
  <c r="B511" i="66"/>
  <c r="B512" i="66"/>
  <c r="B513" i="66"/>
  <c r="B514" i="66"/>
  <c r="B515" i="66"/>
  <c r="B516" i="66"/>
  <c r="B517" i="66"/>
  <c r="B506" i="66"/>
  <c r="E135" i="66"/>
  <c r="E136" i="66"/>
  <c r="E137" i="66"/>
  <c r="E138" i="66"/>
  <c r="E139" i="66"/>
  <c r="E140" i="66"/>
  <c r="E141" i="66"/>
  <c r="E142" i="66"/>
  <c r="E143" i="66"/>
  <c r="E144" i="66"/>
  <c r="E145" i="66"/>
  <c r="E146" i="66"/>
  <c r="E147" i="66"/>
  <c r="E148" i="66"/>
  <c r="E149" i="66"/>
  <c r="E150" i="66"/>
  <c r="E151" i="66"/>
  <c r="E152" i="66"/>
  <c r="E153" i="66"/>
  <c r="E154" i="66"/>
  <c r="E155" i="66"/>
  <c r="E156" i="66"/>
  <c r="E157" i="66"/>
  <c r="E158" i="66"/>
  <c r="E159" i="66"/>
  <c r="E160" i="66"/>
  <c r="E161" i="66"/>
  <c r="E162" i="66"/>
  <c r="E163" i="66"/>
  <c r="E164" i="66"/>
  <c r="E165" i="66"/>
  <c r="E166" i="66"/>
  <c r="E167" i="66"/>
  <c r="E168" i="66"/>
  <c r="E169" i="66"/>
  <c r="E170" i="66"/>
  <c r="E171" i="66"/>
  <c r="E172" i="66"/>
  <c r="E173" i="66"/>
  <c r="E174" i="66"/>
  <c r="E175" i="66"/>
  <c r="E176" i="66"/>
  <c r="E177" i="66"/>
  <c r="E178" i="66"/>
  <c r="E179" i="66"/>
  <c r="E180" i="66"/>
  <c r="E181" i="66"/>
  <c r="E182" i="66"/>
  <c r="E183" i="66"/>
  <c r="E184" i="66"/>
  <c r="E185" i="66"/>
  <c r="E186" i="66"/>
  <c r="E187" i="66"/>
  <c r="E188" i="66"/>
  <c r="E189" i="66"/>
  <c r="E190" i="66"/>
  <c r="E191" i="66"/>
  <c r="E192" i="66"/>
  <c r="E193" i="66"/>
  <c r="E194" i="66"/>
  <c r="E206" i="66" s="1"/>
  <c r="E218" i="66" s="1"/>
  <c r="E230" i="66" s="1"/>
  <c r="E242" i="66" s="1"/>
  <c r="E254" i="66" s="1"/>
  <c r="E266" i="66" s="1"/>
  <c r="E278" i="66" s="1"/>
  <c r="E290" i="66" s="1"/>
  <c r="E302" i="66" s="1"/>
  <c r="E314" i="66" s="1"/>
  <c r="E326" i="66" s="1"/>
  <c r="E338" i="66" s="1"/>
  <c r="E350" i="66" s="1"/>
  <c r="E362" i="66" s="1"/>
  <c r="E374" i="66" s="1"/>
  <c r="E386" i="66" s="1"/>
  <c r="E398" i="66" s="1"/>
  <c r="E410" i="66" s="1"/>
  <c r="E422" i="66" s="1"/>
  <c r="E434" i="66" s="1"/>
  <c r="E446" i="66" s="1"/>
  <c r="E458" i="66" s="1"/>
  <c r="E470" i="66" s="1"/>
  <c r="E482" i="66" s="1"/>
  <c r="E494" i="66" s="1"/>
  <c r="E506" i="66" s="1"/>
  <c r="E195" i="66"/>
  <c r="E207" i="66" s="1"/>
  <c r="E219" i="66" s="1"/>
  <c r="E231" i="66" s="1"/>
  <c r="E243" i="66" s="1"/>
  <c r="E255" i="66" s="1"/>
  <c r="E267" i="66" s="1"/>
  <c r="E279" i="66" s="1"/>
  <c r="E291" i="66" s="1"/>
  <c r="E303" i="66" s="1"/>
  <c r="E315" i="66" s="1"/>
  <c r="E327" i="66" s="1"/>
  <c r="E339" i="66" s="1"/>
  <c r="E351" i="66" s="1"/>
  <c r="E363" i="66" s="1"/>
  <c r="E375" i="66" s="1"/>
  <c r="E387" i="66" s="1"/>
  <c r="E399" i="66" s="1"/>
  <c r="E411" i="66" s="1"/>
  <c r="E423" i="66" s="1"/>
  <c r="E435" i="66" s="1"/>
  <c r="E447" i="66" s="1"/>
  <c r="E459" i="66" s="1"/>
  <c r="E471" i="66" s="1"/>
  <c r="E483" i="66" s="1"/>
  <c r="E495" i="66" s="1"/>
  <c r="E507" i="66" s="1"/>
  <c r="E196" i="66"/>
  <c r="E208" i="66" s="1"/>
  <c r="E220" i="66" s="1"/>
  <c r="E232" i="66" s="1"/>
  <c r="E244" i="66" s="1"/>
  <c r="E256" i="66" s="1"/>
  <c r="E268" i="66" s="1"/>
  <c r="E280" i="66" s="1"/>
  <c r="E292" i="66" s="1"/>
  <c r="E304" i="66" s="1"/>
  <c r="E316" i="66" s="1"/>
  <c r="E328" i="66" s="1"/>
  <c r="E340" i="66" s="1"/>
  <c r="E352" i="66" s="1"/>
  <c r="E364" i="66" s="1"/>
  <c r="E376" i="66" s="1"/>
  <c r="E388" i="66" s="1"/>
  <c r="E400" i="66" s="1"/>
  <c r="E412" i="66" s="1"/>
  <c r="E424" i="66" s="1"/>
  <c r="E436" i="66" s="1"/>
  <c r="E448" i="66" s="1"/>
  <c r="E460" i="66" s="1"/>
  <c r="E472" i="66" s="1"/>
  <c r="E484" i="66" s="1"/>
  <c r="E496" i="66" s="1"/>
  <c r="E508" i="66" s="1"/>
  <c r="E197" i="66"/>
  <c r="E209" i="66" s="1"/>
  <c r="E221" i="66" s="1"/>
  <c r="E233" i="66" s="1"/>
  <c r="E245" i="66" s="1"/>
  <c r="E257" i="66" s="1"/>
  <c r="E269" i="66" s="1"/>
  <c r="E281" i="66" s="1"/>
  <c r="E293" i="66" s="1"/>
  <c r="E305" i="66" s="1"/>
  <c r="E317" i="66" s="1"/>
  <c r="E329" i="66" s="1"/>
  <c r="E341" i="66" s="1"/>
  <c r="E353" i="66" s="1"/>
  <c r="E365" i="66" s="1"/>
  <c r="E377" i="66" s="1"/>
  <c r="E389" i="66" s="1"/>
  <c r="E401" i="66" s="1"/>
  <c r="E413" i="66" s="1"/>
  <c r="E425" i="66" s="1"/>
  <c r="E437" i="66" s="1"/>
  <c r="E449" i="66" s="1"/>
  <c r="E461" i="66" s="1"/>
  <c r="E473" i="66" s="1"/>
  <c r="E485" i="66" s="1"/>
  <c r="E497" i="66" s="1"/>
  <c r="E509" i="66" s="1"/>
  <c r="E198" i="66"/>
  <c r="E210" i="66" s="1"/>
  <c r="E222" i="66" s="1"/>
  <c r="E234" i="66" s="1"/>
  <c r="E246" i="66" s="1"/>
  <c r="E258" i="66" s="1"/>
  <c r="E270" i="66" s="1"/>
  <c r="E282" i="66" s="1"/>
  <c r="E294" i="66" s="1"/>
  <c r="E306" i="66" s="1"/>
  <c r="E318" i="66" s="1"/>
  <c r="E330" i="66" s="1"/>
  <c r="E342" i="66" s="1"/>
  <c r="E354" i="66" s="1"/>
  <c r="E366" i="66" s="1"/>
  <c r="E378" i="66" s="1"/>
  <c r="E390" i="66" s="1"/>
  <c r="E402" i="66" s="1"/>
  <c r="E414" i="66" s="1"/>
  <c r="E426" i="66" s="1"/>
  <c r="E438" i="66" s="1"/>
  <c r="E450" i="66" s="1"/>
  <c r="E462" i="66" s="1"/>
  <c r="E474" i="66" s="1"/>
  <c r="E486" i="66" s="1"/>
  <c r="E498" i="66" s="1"/>
  <c r="E510" i="66" s="1"/>
  <c r="E199" i="66"/>
  <c r="E211" i="66" s="1"/>
  <c r="E223" i="66" s="1"/>
  <c r="E235" i="66" s="1"/>
  <c r="E247" i="66" s="1"/>
  <c r="E259" i="66" s="1"/>
  <c r="E271" i="66" s="1"/>
  <c r="E283" i="66" s="1"/>
  <c r="E295" i="66" s="1"/>
  <c r="E307" i="66" s="1"/>
  <c r="E319" i="66" s="1"/>
  <c r="E331" i="66" s="1"/>
  <c r="E343" i="66" s="1"/>
  <c r="E355" i="66" s="1"/>
  <c r="E367" i="66" s="1"/>
  <c r="E379" i="66" s="1"/>
  <c r="E391" i="66" s="1"/>
  <c r="E403" i="66" s="1"/>
  <c r="E415" i="66" s="1"/>
  <c r="E427" i="66" s="1"/>
  <c r="E439" i="66" s="1"/>
  <c r="E451" i="66" s="1"/>
  <c r="E463" i="66" s="1"/>
  <c r="E475" i="66" s="1"/>
  <c r="E487" i="66" s="1"/>
  <c r="E499" i="66" s="1"/>
  <c r="E511" i="66" s="1"/>
  <c r="E200" i="66"/>
  <c r="E212" i="66" s="1"/>
  <c r="E224" i="66" s="1"/>
  <c r="E236" i="66" s="1"/>
  <c r="E248" i="66" s="1"/>
  <c r="E260" i="66" s="1"/>
  <c r="E272" i="66" s="1"/>
  <c r="E284" i="66" s="1"/>
  <c r="E296" i="66" s="1"/>
  <c r="E308" i="66" s="1"/>
  <c r="E320" i="66" s="1"/>
  <c r="E332" i="66" s="1"/>
  <c r="E344" i="66" s="1"/>
  <c r="E356" i="66" s="1"/>
  <c r="E368" i="66" s="1"/>
  <c r="E380" i="66" s="1"/>
  <c r="E392" i="66" s="1"/>
  <c r="E404" i="66" s="1"/>
  <c r="E416" i="66" s="1"/>
  <c r="E428" i="66" s="1"/>
  <c r="E440" i="66" s="1"/>
  <c r="E452" i="66" s="1"/>
  <c r="E464" i="66" s="1"/>
  <c r="E476" i="66" s="1"/>
  <c r="E488" i="66" s="1"/>
  <c r="E500" i="66" s="1"/>
  <c r="E512" i="66" s="1"/>
  <c r="E201" i="66"/>
  <c r="E213" i="66" s="1"/>
  <c r="E225" i="66" s="1"/>
  <c r="E237" i="66" s="1"/>
  <c r="E249" i="66" s="1"/>
  <c r="E261" i="66" s="1"/>
  <c r="E273" i="66" s="1"/>
  <c r="E285" i="66" s="1"/>
  <c r="E297" i="66" s="1"/>
  <c r="E309" i="66" s="1"/>
  <c r="E321" i="66" s="1"/>
  <c r="E333" i="66" s="1"/>
  <c r="E345" i="66" s="1"/>
  <c r="E357" i="66" s="1"/>
  <c r="E369" i="66" s="1"/>
  <c r="E381" i="66" s="1"/>
  <c r="E393" i="66" s="1"/>
  <c r="E405" i="66" s="1"/>
  <c r="E417" i="66" s="1"/>
  <c r="E429" i="66" s="1"/>
  <c r="E441" i="66" s="1"/>
  <c r="E453" i="66" s="1"/>
  <c r="E465" i="66" s="1"/>
  <c r="E477" i="66" s="1"/>
  <c r="E489" i="66" s="1"/>
  <c r="E501" i="66" s="1"/>
  <c r="E513" i="66" s="1"/>
  <c r="E202" i="66"/>
  <c r="E214" i="66" s="1"/>
  <c r="E226" i="66" s="1"/>
  <c r="E238" i="66" s="1"/>
  <c r="E250" i="66" s="1"/>
  <c r="E262" i="66" s="1"/>
  <c r="E274" i="66" s="1"/>
  <c r="E286" i="66" s="1"/>
  <c r="E298" i="66" s="1"/>
  <c r="E310" i="66" s="1"/>
  <c r="E322" i="66" s="1"/>
  <c r="E334" i="66" s="1"/>
  <c r="E346" i="66" s="1"/>
  <c r="E358" i="66" s="1"/>
  <c r="E370" i="66" s="1"/>
  <c r="E382" i="66" s="1"/>
  <c r="E394" i="66" s="1"/>
  <c r="E406" i="66" s="1"/>
  <c r="E418" i="66" s="1"/>
  <c r="E430" i="66" s="1"/>
  <c r="E442" i="66" s="1"/>
  <c r="E454" i="66" s="1"/>
  <c r="E466" i="66" s="1"/>
  <c r="E478" i="66" s="1"/>
  <c r="E490" i="66" s="1"/>
  <c r="E502" i="66" s="1"/>
  <c r="E514" i="66" s="1"/>
  <c r="E203" i="66"/>
  <c r="E215" i="66" s="1"/>
  <c r="E227" i="66" s="1"/>
  <c r="E239" i="66" s="1"/>
  <c r="E251" i="66" s="1"/>
  <c r="E263" i="66" s="1"/>
  <c r="E275" i="66" s="1"/>
  <c r="E287" i="66" s="1"/>
  <c r="E299" i="66" s="1"/>
  <c r="E311" i="66" s="1"/>
  <c r="E323" i="66" s="1"/>
  <c r="E335" i="66" s="1"/>
  <c r="E347" i="66" s="1"/>
  <c r="E359" i="66" s="1"/>
  <c r="E371" i="66" s="1"/>
  <c r="E383" i="66" s="1"/>
  <c r="E395" i="66" s="1"/>
  <c r="E407" i="66" s="1"/>
  <c r="E419" i="66" s="1"/>
  <c r="E431" i="66" s="1"/>
  <c r="E443" i="66" s="1"/>
  <c r="E455" i="66" s="1"/>
  <c r="E467" i="66" s="1"/>
  <c r="E479" i="66" s="1"/>
  <c r="E491" i="66" s="1"/>
  <c r="E503" i="66" s="1"/>
  <c r="E515" i="66" s="1"/>
  <c r="E204" i="66"/>
  <c r="E216" i="66" s="1"/>
  <c r="E228" i="66" s="1"/>
  <c r="E240" i="66" s="1"/>
  <c r="E252" i="66" s="1"/>
  <c r="E264" i="66" s="1"/>
  <c r="E276" i="66" s="1"/>
  <c r="E288" i="66" s="1"/>
  <c r="E300" i="66" s="1"/>
  <c r="E312" i="66" s="1"/>
  <c r="E324" i="66" s="1"/>
  <c r="E336" i="66" s="1"/>
  <c r="E348" i="66" s="1"/>
  <c r="E360" i="66" s="1"/>
  <c r="E372" i="66" s="1"/>
  <c r="E384" i="66" s="1"/>
  <c r="E396" i="66" s="1"/>
  <c r="E408" i="66" s="1"/>
  <c r="E420" i="66" s="1"/>
  <c r="E432" i="66" s="1"/>
  <c r="E444" i="66" s="1"/>
  <c r="E456" i="66" s="1"/>
  <c r="E468" i="66" s="1"/>
  <c r="E480" i="66" s="1"/>
  <c r="E492" i="66" s="1"/>
  <c r="E504" i="66" s="1"/>
  <c r="E516" i="66" s="1"/>
  <c r="E134" i="66"/>
  <c r="AC33" i="22" l="1"/>
  <c r="AC34" i="22" s="1"/>
  <c r="AC35" i="22" s="1"/>
  <c r="AC36" i="22" s="1"/>
  <c r="AC37" i="22" s="1"/>
  <c r="AC38" i="22" s="1"/>
  <c r="AC39" i="22" s="1"/>
  <c r="AC40" i="22" s="1"/>
  <c r="AC41" i="22" s="1"/>
  <c r="AC42" i="22" s="1"/>
  <c r="AC43" i="22" s="1"/>
  <c r="AC44" i="22" s="1"/>
  <c r="AC45" i="22" s="1"/>
  <c r="AC46" i="22" s="1"/>
  <c r="AC47" i="22" s="1"/>
  <c r="AC48" i="22" s="1"/>
  <c r="AC49" i="22" s="1"/>
  <c r="D15" i="70" l="1"/>
  <c r="P13" i="40" l="1"/>
  <c r="Q13" i="40" s="1"/>
  <c r="N13" i="40"/>
  <c r="K13" i="40"/>
  <c r="J13" i="40"/>
  <c r="I13" i="40"/>
  <c r="H13" i="40"/>
  <c r="D13" i="40"/>
  <c r="P12" i="40"/>
  <c r="Q12" i="40" s="1"/>
  <c r="N12" i="40"/>
  <c r="K12" i="40"/>
  <c r="J12" i="40"/>
  <c r="I12" i="40"/>
  <c r="H12" i="40"/>
  <c r="D12" i="40"/>
  <c r="P11" i="40"/>
  <c r="Q11" i="40" s="1"/>
  <c r="N11" i="40"/>
  <c r="K11" i="40"/>
  <c r="J11" i="40"/>
  <c r="I11" i="40"/>
  <c r="H11" i="40"/>
  <c r="D11" i="40"/>
  <c r="P10" i="40"/>
  <c r="Q10" i="40" s="1"/>
  <c r="N10" i="40"/>
  <c r="K10" i="40"/>
  <c r="J10" i="40"/>
  <c r="I10" i="40"/>
  <c r="H10" i="40"/>
  <c r="D10" i="40"/>
  <c r="P9" i="40"/>
  <c r="Q9" i="40" s="1"/>
  <c r="N9" i="40"/>
  <c r="K9" i="40"/>
  <c r="J9" i="40"/>
  <c r="I9" i="40"/>
  <c r="H9" i="40"/>
  <c r="D9" i="40"/>
  <c r="P8" i="40"/>
  <c r="Q8" i="40" s="1"/>
  <c r="N8" i="40"/>
  <c r="K8" i="40"/>
  <c r="J8" i="40"/>
  <c r="I8" i="40"/>
  <c r="H8" i="40"/>
  <c r="D8" i="40"/>
  <c r="P7" i="40"/>
  <c r="Q7" i="40" s="1"/>
  <c r="N7" i="40"/>
  <c r="K7" i="40"/>
  <c r="J7" i="40"/>
  <c r="I7" i="40"/>
  <c r="H7" i="40"/>
  <c r="D7" i="40"/>
  <c r="P6" i="40"/>
  <c r="Q6" i="40" s="1"/>
  <c r="N6" i="40"/>
  <c r="K6" i="40"/>
  <c r="J6" i="40"/>
  <c r="I6" i="40"/>
  <c r="H6" i="40"/>
  <c r="D6" i="40"/>
  <c r="P5" i="40"/>
  <c r="Q5" i="40" s="1"/>
  <c r="N5" i="40"/>
  <c r="K5" i="40"/>
  <c r="J5" i="40"/>
  <c r="I5" i="40"/>
  <c r="H5" i="40"/>
  <c r="D5" i="40"/>
  <c r="P4" i="40"/>
  <c r="Q4" i="40" s="1"/>
  <c r="N4" i="40"/>
  <c r="K4" i="40"/>
  <c r="J4" i="40"/>
  <c r="I4" i="40"/>
  <c r="H4" i="40"/>
  <c r="D4" i="40"/>
  <c r="P3" i="40"/>
  <c r="Q3" i="40" s="1"/>
  <c r="N3" i="40"/>
  <c r="K3" i="40"/>
  <c r="J3" i="40"/>
  <c r="I3" i="40"/>
  <c r="H3" i="40"/>
  <c r="D3" i="40"/>
  <c r="P2" i="40"/>
  <c r="Q2" i="40" s="1"/>
  <c r="N2" i="40"/>
  <c r="K2" i="40"/>
  <c r="J2" i="40"/>
  <c r="I2" i="40"/>
  <c r="H2" i="40"/>
  <c r="D2" i="40"/>
  <c r="BG124" i="44" l="1"/>
  <c r="BF124" i="44"/>
  <c r="BD124" i="44"/>
  <c r="BB124" i="44"/>
  <c r="AZ124" i="44"/>
  <c r="AX124" i="44"/>
  <c r="AV124" i="44"/>
  <c r="AT124" i="44"/>
  <c r="AR124" i="44"/>
  <c r="AP124" i="44"/>
  <c r="AN124" i="44"/>
  <c r="AM124" i="44"/>
  <c r="AK124" i="44"/>
  <c r="AI124" i="44"/>
  <c r="AG124" i="44"/>
  <c r="AC124" i="44"/>
  <c r="AA124" i="44"/>
  <c r="Y124" i="44"/>
  <c r="BH104" i="44"/>
  <c r="BH103" i="44"/>
  <c r="BH102" i="44"/>
  <c r="BH101" i="44"/>
  <c r="BH100" i="44"/>
  <c r="BH99" i="44" l="1"/>
  <c r="BD80" i="44" l="1"/>
  <c r="BB80" i="44"/>
  <c r="AZ80" i="44"/>
  <c r="AX80" i="44"/>
  <c r="AV80" i="44"/>
  <c r="AT80" i="44"/>
  <c r="AR80" i="44"/>
  <c r="AP80" i="44"/>
  <c r="AN80" i="44"/>
  <c r="AI80" i="44"/>
  <c r="AG80" i="44"/>
  <c r="AG81" i="44" s="1"/>
  <c r="AE80" i="44"/>
  <c r="AE81" i="44" s="1"/>
  <c r="AC80" i="44"/>
  <c r="AA80" i="44"/>
  <c r="Y80" i="44"/>
  <c r="AM79" i="44"/>
  <c r="AK79" i="44"/>
  <c r="AM78" i="44"/>
  <c r="AK78" i="44"/>
  <c r="AM77" i="44"/>
  <c r="AK77" i="44"/>
  <c r="AM76" i="44"/>
  <c r="AK76" i="44"/>
  <c r="BR75" i="44"/>
  <c r="AM75" i="44"/>
  <c r="AK75" i="44"/>
  <c r="AM74" i="44"/>
  <c r="AK74" i="44"/>
  <c r="AM73" i="44"/>
  <c r="AK73" i="44"/>
  <c r="AM72" i="44"/>
  <c r="AK72" i="44"/>
  <c r="AM71" i="44"/>
  <c r="AK71" i="44"/>
  <c r="AM70" i="44"/>
  <c r="AK70" i="44"/>
  <c r="AM69" i="44"/>
  <c r="AK69" i="44"/>
  <c r="AM68" i="44"/>
  <c r="AK68" i="44"/>
  <c r="AM67" i="44"/>
  <c r="AK67" i="44"/>
  <c r="CC66" i="44"/>
  <c r="AM66" i="44"/>
  <c r="AK66" i="44"/>
  <c r="AM65" i="44"/>
  <c r="AK65" i="44"/>
  <c r="AM64" i="44"/>
  <c r="AK64" i="44"/>
  <c r="AM63" i="44"/>
  <c r="AK63" i="44"/>
  <c r="AM62" i="44"/>
  <c r="AK62" i="44"/>
  <c r="AM61" i="44"/>
  <c r="AK61" i="44"/>
  <c r="AM60" i="44"/>
  <c r="AK60" i="44"/>
  <c r="AM59" i="44"/>
  <c r="AK59" i="44"/>
  <c r="AM58" i="44"/>
  <c r="AK58" i="44"/>
  <c r="AM57" i="44"/>
  <c r="AK57" i="44"/>
  <c r="AM56" i="44"/>
  <c r="AK56" i="44"/>
  <c r="CL55" i="44"/>
  <c r="CK55" i="44"/>
  <c r="CJ55" i="44"/>
  <c r="CI55" i="44"/>
  <c r="CH55" i="44"/>
  <c r="CG55" i="44"/>
  <c r="CF55" i="44"/>
  <c r="CE55" i="44"/>
  <c r="CD55" i="44"/>
  <c r="CA55" i="44"/>
  <c r="BZ55" i="44"/>
  <c r="BY55" i="44"/>
  <c r="BX55" i="44"/>
  <c r="BW55" i="44"/>
  <c r="BV55" i="44"/>
  <c r="BU55" i="44"/>
  <c r="BT55" i="44"/>
  <c r="BS55" i="44"/>
  <c r="AM55" i="44"/>
  <c r="AK55" i="44"/>
  <c r="CL54" i="44"/>
  <c r="CK54" i="44"/>
  <c r="CJ54" i="44"/>
  <c r="CI54" i="44"/>
  <c r="CH54" i="44"/>
  <c r="CG54" i="44"/>
  <c r="CF54" i="44"/>
  <c r="CE54" i="44"/>
  <c r="CD54" i="44"/>
  <c r="CA54" i="44"/>
  <c r="BZ54" i="44"/>
  <c r="BY54" i="44"/>
  <c r="BX54" i="44"/>
  <c r="BW54" i="44"/>
  <c r="BV54" i="44"/>
  <c r="BU54" i="44"/>
  <c r="BT54" i="44"/>
  <c r="BS54" i="44"/>
  <c r="AM54" i="44"/>
  <c r="AK54" i="44"/>
  <c r="CL53" i="44"/>
  <c r="CK53" i="44"/>
  <c r="CJ53" i="44"/>
  <c r="CI53" i="44"/>
  <c r="CH53" i="44"/>
  <c r="CG53" i="44"/>
  <c r="CF53" i="44"/>
  <c r="CE53" i="44"/>
  <c r="CD53" i="44"/>
  <c r="CA53" i="44"/>
  <c r="BZ53" i="44"/>
  <c r="BY53" i="44"/>
  <c r="BX53" i="44"/>
  <c r="BW53" i="44"/>
  <c r="BV53" i="44"/>
  <c r="BU53" i="44"/>
  <c r="BT53" i="44"/>
  <c r="BS53" i="44"/>
  <c r="AM53" i="44"/>
  <c r="AK53" i="44"/>
  <c r="CL52" i="44"/>
  <c r="CK52" i="44"/>
  <c r="CJ52" i="44"/>
  <c r="CI52" i="44"/>
  <c r="CH52" i="44"/>
  <c r="CG52" i="44"/>
  <c r="CF52" i="44"/>
  <c r="CE52" i="44"/>
  <c r="CD52" i="44"/>
  <c r="CA52" i="44"/>
  <c r="BZ52" i="44"/>
  <c r="BY52" i="44"/>
  <c r="BX52" i="44"/>
  <c r="BW52" i="44"/>
  <c r="BV52" i="44"/>
  <c r="BU52" i="44"/>
  <c r="BT52" i="44"/>
  <c r="BS52" i="44"/>
  <c r="AM52" i="44"/>
  <c r="AK52" i="44"/>
  <c r="CL51" i="44"/>
  <c r="CK51" i="44"/>
  <c r="CJ51" i="44"/>
  <c r="CI51" i="44"/>
  <c r="CH51" i="44"/>
  <c r="CG51" i="44"/>
  <c r="CF51" i="44"/>
  <c r="CE51" i="44"/>
  <c r="CD51" i="44"/>
  <c r="CA51" i="44"/>
  <c r="BZ51" i="44"/>
  <c r="BY51" i="44"/>
  <c r="BX51" i="44"/>
  <c r="BW51" i="44"/>
  <c r="BV51" i="44"/>
  <c r="BU51" i="44"/>
  <c r="BT51" i="44"/>
  <c r="BS51" i="44"/>
  <c r="AM51" i="44"/>
  <c r="AK51" i="44"/>
  <c r="CL50" i="44"/>
  <c r="CK50" i="44"/>
  <c r="CJ50" i="44"/>
  <c r="CI50" i="44"/>
  <c r="CH50" i="44"/>
  <c r="CG50" i="44"/>
  <c r="CF50" i="44"/>
  <c r="CE50" i="44"/>
  <c r="CD50" i="44"/>
  <c r="CA50" i="44"/>
  <c r="BZ50" i="44"/>
  <c r="BY50" i="44"/>
  <c r="BX50" i="44"/>
  <c r="BW50" i="44"/>
  <c r="BV50" i="44"/>
  <c r="BU50" i="44"/>
  <c r="BT50" i="44"/>
  <c r="BS50" i="44"/>
  <c r="AM50" i="44"/>
  <c r="AK50" i="44"/>
  <c r="CL49" i="44"/>
  <c r="CK49" i="44"/>
  <c r="CJ49" i="44"/>
  <c r="CI49" i="44"/>
  <c r="CH49" i="44"/>
  <c r="CG49" i="44"/>
  <c r="CF49" i="44"/>
  <c r="CE49" i="44"/>
  <c r="CD49" i="44"/>
  <c r="CA49" i="44"/>
  <c r="BZ49" i="44"/>
  <c r="BY49" i="44"/>
  <c r="BX49" i="44"/>
  <c r="BW49" i="44"/>
  <c r="BV49" i="44"/>
  <c r="BU49" i="44"/>
  <c r="BT49" i="44"/>
  <c r="BS49" i="44"/>
  <c r="AM49" i="44"/>
  <c r="AK49" i="44"/>
  <c r="CL48" i="44"/>
  <c r="CK48" i="44"/>
  <c r="CJ48" i="44"/>
  <c r="CI48" i="44"/>
  <c r="CH48" i="44"/>
  <c r="CG48" i="44"/>
  <c r="CF48" i="44"/>
  <c r="CE48" i="44"/>
  <c r="CD48" i="44"/>
  <c r="CA48" i="44"/>
  <c r="BZ48" i="44"/>
  <c r="BY48" i="44"/>
  <c r="BX48" i="44"/>
  <c r="BW48" i="44"/>
  <c r="BV48" i="44"/>
  <c r="BU48" i="44"/>
  <c r="BT48" i="44"/>
  <c r="BS48" i="44"/>
  <c r="CL47" i="44"/>
  <c r="CK47" i="44"/>
  <c r="CJ47" i="44"/>
  <c r="CI47" i="44"/>
  <c r="CH47" i="44"/>
  <c r="CG47" i="44"/>
  <c r="CF47" i="44"/>
  <c r="CE47" i="44"/>
  <c r="CD47" i="44"/>
  <c r="CA47" i="44"/>
  <c r="BZ47" i="44"/>
  <c r="BY47" i="44"/>
  <c r="BX47" i="44"/>
  <c r="BW47" i="44"/>
  <c r="BV47" i="44"/>
  <c r="BU47" i="44"/>
  <c r="BT47" i="44"/>
  <c r="BS47" i="44"/>
  <c r="CL46" i="44"/>
  <c r="CK46" i="44"/>
  <c r="CJ46" i="44"/>
  <c r="CI46" i="44"/>
  <c r="CH46" i="44"/>
  <c r="CG46" i="44"/>
  <c r="CF46" i="44"/>
  <c r="CE46" i="44"/>
  <c r="CD46" i="44"/>
  <c r="CA46" i="44"/>
  <c r="BZ46" i="44"/>
  <c r="BY46" i="44"/>
  <c r="BX46" i="44"/>
  <c r="BW46" i="44"/>
  <c r="BV46" i="44"/>
  <c r="BU46" i="44"/>
  <c r="BT46" i="44"/>
  <c r="BS46" i="44"/>
  <c r="CL45" i="44"/>
  <c r="CK45" i="44"/>
  <c r="CJ45" i="44"/>
  <c r="CI45" i="44"/>
  <c r="CH45" i="44"/>
  <c r="CG45" i="44"/>
  <c r="CF45" i="44"/>
  <c r="CE45" i="44"/>
  <c r="CD45" i="44"/>
  <c r="CA45" i="44"/>
  <c r="BZ45" i="44"/>
  <c r="BY45" i="44"/>
  <c r="BX45" i="44"/>
  <c r="BW45" i="44"/>
  <c r="BV45" i="44"/>
  <c r="BU45" i="44"/>
  <c r="BT45" i="44"/>
  <c r="BS45" i="44"/>
  <c r="CL43" i="44"/>
  <c r="CK43" i="44"/>
  <c r="CJ43" i="44"/>
  <c r="CI43" i="44"/>
  <c r="CH43" i="44"/>
  <c r="CG43" i="44"/>
  <c r="CF43" i="44"/>
  <c r="CE43" i="44"/>
  <c r="CD43" i="44"/>
  <c r="CA43" i="44"/>
  <c r="BZ43" i="44"/>
  <c r="BY43" i="44"/>
  <c r="BX43" i="44"/>
  <c r="BW43" i="44"/>
  <c r="BV43" i="44"/>
  <c r="BU43" i="44"/>
  <c r="BT43" i="44"/>
  <c r="BS43" i="44"/>
  <c r="CL42" i="44"/>
  <c r="CK42" i="44"/>
  <c r="CJ42" i="44"/>
  <c r="CI42" i="44"/>
  <c r="CH42" i="44"/>
  <c r="CG42" i="44"/>
  <c r="CF42" i="44"/>
  <c r="CE42" i="44"/>
  <c r="CD42" i="44"/>
  <c r="CA42" i="44"/>
  <c r="BZ42" i="44"/>
  <c r="BY42" i="44"/>
  <c r="BX42" i="44"/>
  <c r="BW42" i="44"/>
  <c r="BV42" i="44"/>
  <c r="BU42" i="44"/>
  <c r="BT42" i="44"/>
  <c r="BS42" i="44"/>
  <c r="AM80" i="44" l="1"/>
  <c r="AC81" i="44"/>
  <c r="AA81" i="44"/>
  <c r="Y81" i="44"/>
  <c r="CC67" i="44"/>
  <c r="CC68" i="44" s="1"/>
  <c r="AK80" i="44"/>
  <c r="BD81" i="44"/>
  <c r="BB81" i="44" s="1"/>
  <c r="AZ81" i="44" s="1"/>
  <c r="AX81" i="44" s="1"/>
  <c r="AV81" i="44" s="1"/>
  <c r="AT81" i="44" s="1"/>
  <c r="AR81" i="44" s="1"/>
  <c r="AP81" i="44" s="1"/>
  <c r="AN81" i="44" s="1"/>
  <c r="AM81" i="44" s="1"/>
  <c r="AK81" i="44" s="1"/>
  <c r="AI81" i="44" s="1"/>
  <c r="CC69" i="44" l="1"/>
  <c r="BD82" i="44"/>
  <c r="BB82" i="44" s="1"/>
  <c r="AZ82" i="44" s="1"/>
  <c r="AX82" i="44" s="1"/>
  <c r="AV82" i="44" s="1"/>
  <c r="AT82" i="44" s="1"/>
  <c r="AR82" i="44" s="1"/>
  <c r="AP82" i="44" s="1"/>
  <c r="AN82" i="44" s="1"/>
  <c r="AM82" i="44" s="1"/>
  <c r="AK82" i="44" s="1"/>
  <c r="AI82" i="44" s="1"/>
  <c r="AG82" i="44" s="1"/>
  <c r="AE82" i="44" s="1"/>
  <c r="CL36" i="44"/>
  <c r="CK36" i="44"/>
  <c r="CJ36" i="44"/>
  <c r="CI36" i="44"/>
  <c r="CH36" i="44"/>
  <c r="CG36" i="44"/>
  <c r="CF36" i="44"/>
  <c r="CE36" i="44"/>
  <c r="CD36" i="44"/>
  <c r="CA36" i="44"/>
  <c r="BZ36" i="44"/>
  <c r="BY36" i="44"/>
  <c r="BX36" i="44"/>
  <c r="BW36" i="44"/>
  <c r="BV36" i="44"/>
  <c r="BU36" i="44"/>
  <c r="BT36" i="44"/>
  <c r="BS36" i="44"/>
  <c r="CL35" i="44"/>
  <c r="CK35" i="44"/>
  <c r="CJ35" i="44"/>
  <c r="CI35" i="44"/>
  <c r="CH35" i="44"/>
  <c r="CG35" i="44"/>
  <c r="CF35" i="44"/>
  <c r="CE35" i="44"/>
  <c r="CD35" i="44"/>
  <c r="CA35" i="44"/>
  <c r="BZ35" i="44"/>
  <c r="BY35" i="44"/>
  <c r="BX35" i="44"/>
  <c r="BW35" i="44"/>
  <c r="BV35" i="44"/>
  <c r="BU35" i="44"/>
  <c r="BT35" i="44"/>
  <c r="BS35" i="44"/>
  <c r="T35" i="44"/>
  <c r="S35" i="44"/>
  <c r="Q35" i="44"/>
  <c r="O35" i="44"/>
  <c r="M35" i="44"/>
  <c r="L35" i="44"/>
  <c r="K35" i="44"/>
  <c r="J35" i="44"/>
  <c r="I35" i="44"/>
  <c r="H35" i="44"/>
  <c r="G35" i="44"/>
  <c r="F35" i="44"/>
  <c r="E35" i="44"/>
  <c r="D35" i="44" s="1"/>
  <c r="C35" i="44"/>
  <c r="C36" i="44" s="1"/>
  <c r="B35" i="44"/>
  <c r="B36" i="44" s="1"/>
  <c r="CL34" i="44"/>
  <c r="CK34" i="44"/>
  <c r="CJ34" i="44"/>
  <c r="CI34" i="44"/>
  <c r="CH34" i="44"/>
  <c r="CG34" i="44"/>
  <c r="CF34" i="44"/>
  <c r="CE34" i="44"/>
  <c r="CD34" i="44"/>
  <c r="CA34" i="44"/>
  <c r="BZ34" i="44"/>
  <c r="BY34" i="44"/>
  <c r="BX34" i="44"/>
  <c r="BW34" i="44"/>
  <c r="BV34" i="44"/>
  <c r="BU34" i="44"/>
  <c r="BT34" i="44"/>
  <c r="BS34" i="44"/>
  <c r="AC82" i="44" l="1"/>
  <c r="AA82" i="44" s="1"/>
  <c r="Y82" i="44" s="1"/>
  <c r="AE83" i="44"/>
  <c r="CC70" i="44"/>
  <c r="BD83" i="44"/>
  <c r="BB83" i="44" s="1"/>
  <c r="AZ83" i="44" s="1"/>
  <c r="AX83" i="44" s="1"/>
  <c r="AV83" i="44" s="1"/>
  <c r="AT83" i="44" s="1"/>
  <c r="AR83" i="44" s="1"/>
  <c r="AP83" i="44" s="1"/>
  <c r="AN83" i="44" s="1"/>
  <c r="AM83" i="44" s="1"/>
  <c r="AK83" i="44" s="1"/>
  <c r="AI83" i="44" s="1"/>
  <c r="AG83" i="44" s="1"/>
  <c r="T34" i="44"/>
  <c r="S34" i="44"/>
  <c r="Q34" i="44"/>
  <c r="O34" i="44"/>
  <c r="M34" i="44"/>
  <c r="L34" i="44"/>
  <c r="D34" i="44"/>
  <c r="CL33" i="44"/>
  <c r="CK33" i="44"/>
  <c r="CJ33" i="44"/>
  <c r="CI33" i="44"/>
  <c r="CH33" i="44"/>
  <c r="CG33" i="44"/>
  <c r="CF33" i="44"/>
  <c r="CE33" i="44"/>
  <c r="CD33" i="44"/>
  <c r="CA33" i="44"/>
  <c r="BZ33" i="44"/>
  <c r="BY33" i="44"/>
  <c r="BX33" i="44"/>
  <c r="BW33" i="44"/>
  <c r="BV33" i="44"/>
  <c r="BU33" i="44"/>
  <c r="BT33" i="44"/>
  <c r="BS33" i="44"/>
  <c r="T33" i="44"/>
  <c r="S33" i="44"/>
  <c r="Q33" i="44"/>
  <c r="O33" i="44"/>
  <c r="M33" i="44"/>
  <c r="L33" i="44"/>
  <c r="D33" i="44"/>
  <c r="CL32" i="44"/>
  <c r="CK32" i="44"/>
  <c r="CJ32" i="44"/>
  <c r="CI32" i="44"/>
  <c r="CH32" i="44"/>
  <c r="CG32" i="44"/>
  <c r="CF32" i="44"/>
  <c r="CE32" i="44"/>
  <c r="CD32" i="44"/>
  <c r="CA32" i="44"/>
  <c r="BZ32" i="44"/>
  <c r="BY32" i="44"/>
  <c r="BX32" i="44"/>
  <c r="BW32" i="44"/>
  <c r="BV32" i="44"/>
  <c r="BU32" i="44"/>
  <c r="BT32" i="44"/>
  <c r="BS32" i="44"/>
  <c r="T32" i="44"/>
  <c r="S32" i="44"/>
  <c r="Q32" i="44"/>
  <c r="O32" i="44"/>
  <c r="M32" i="44"/>
  <c r="L32" i="44"/>
  <c r="D32" i="44"/>
  <c r="CL31" i="44"/>
  <c r="CK31" i="44"/>
  <c r="CJ31" i="44"/>
  <c r="CI31" i="44"/>
  <c r="CH31" i="44"/>
  <c r="CG31" i="44"/>
  <c r="CF31" i="44"/>
  <c r="CE31" i="44"/>
  <c r="CD31" i="44"/>
  <c r="CA31" i="44"/>
  <c r="BZ31" i="44"/>
  <c r="BY31" i="44"/>
  <c r="BX31" i="44"/>
  <c r="BW31" i="44"/>
  <c r="BV31" i="44"/>
  <c r="BU31" i="44"/>
  <c r="BT31" i="44"/>
  <c r="BS31" i="44"/>
  <c r="T31" i="44"/>
  <c r="S31" i="44"/>
  <c r="Q31" i="44"/>
  <c r="O31" i="44"/>
  <c r="M31" i="44"/>
  <c r="L31" i="44"/>
  <c r="D31" i="44"/>
  <c r="CL30" i="44"/>
  <c r="CK30" i="44"/>
  <c r="CJ30" i="44"/>
  <c r="CI30" i="44"/>
  <c r="CH30" i="44"/>
  <c r="CG30" i="44"/>
  <c r="CF30" i="44"/>
  <c r="CE30" i="44"/>
  <c r="CD30" i="44"/>
  <c r="CA30" i="44"/>
  <c r="BZ30" i="44"/>
  <c r="BY30" i="44"/>
  <c r="BX30" i="44"/>
  <c r="BW30" i="44"/>
  <c r="BV30" i="44"/>
  <c r="BU30" i="44"/>
  <c r="BT30" i="44"/>
  <c r="BS30" i="44"/>
  <c r="T30" i="44"/>
  <c r="S30" i="44"/>
  <c r="Q30" i="44"/>
  <c r="O30" i="44"/>
  <c r="M30" i="44"/>
  <c r="L30" i="44"/>
  <c r="D30" i="44"/>
  <c r="CL29" i="44"/>
  <c r="CK29" i="44"/>
  <c r="CJ29" i="44"/>
  <c r="CI29" i="44"/>
  <c r="CH29" i="44"/>
  <c r="CG29" i="44"/>
  <c r="CF29" i="44"/>
  <c r="CE29" i="44"/>
  <c r="CD29" i="44"/>
  <c r="CA29" i="44"/>
  <c r="BZ29" i="44"/>
  <c r="BY29" i="44"/>
  <c r="BX29" i="44"/>
  <c r="BW29" i="44"/>
  <c r="BV29" i="44"/>
  <c r="BU29" i="44"/>
  <c r="BT29" i="44"/>
  <c r="BS29" i="44"/>
  <c r="T29" i="44"/>
  <c r="S29" i="44"/>
  <c r="Q29" i="44"/>
  <c r="O29" i="44"/>
  <c r="M29" i="44"/>
  <c r="L29" i="44"/>
  <c r="D29" i="44"/>
  <c r="CL28" i="44"/>
  <c r="CK28" i="44"/>
  <c r="CJ28" i="44"/>
  <c r="CI28" i="44"/>
  <c r="CH28" i="44"/>
  <c r="CG28" i="44"/>
  <c r="CF28" i="44"/>
  <c r="CE28" i="44"/>
  <c r="CD28" i="44"/>
  <c r="CA28" i="44"/>
  <c r="BZ28" i="44"/>
  <c r="BY28" i="44"/>
  <c r="BX28" i="44"/>
  <c r="BW28" i="44"/>
  <c r="BV28" i="44"/>
  <c r="BU28" i="44"/>
  <c r="BT28" i="44"/>
  <c r="BS28" i="44"/>
  <c r="T28" i="44"/>
  <c r="S28" i="44"/>
  <c r="Q28" i="44"/>
  <c r="O28" i="44"/>
  <c r="M28" i="44"/>
  <c r="L28" i="44"/>
  <c r="D28" i="44"/>
  <c r="CL27" i="44"/>
  <c r="CK27" i="44"/>
  <c r="CJ27" i="44"/>
  <c r="CI27" i="44"/>
  <c r="CH27" i="44"/>
  <c r="CG27" i="44"/>
  <c r="CF27" i="44"/>
  <c r="CE27" i="44"/>
  <c r="CD27" i="44"/>
  <c r="CA27" i="44"/>
  <c r="BZ27" i="44"/>
  <c r="BY27" i="44"/>
  <c r="BX27" i="44"/>
  <c r="BW27" i="44"/>
  <c r="BV27" i="44"/>
  <c r="BU27" i="44"/>
  <c r="BT27" i="44"/>
  <c r="BS27" i="44"/>
  <c r="T27" i="44"/>
  <c r="S27" i="44"/>
  <c r="Q27" i="44"/>
  <c r="O27" i="44"/>
  <c r="M27" i="44"/>
  <c r="L27" i="44"/>
  <c r="D27" i="44"/>
  <c r="CL26" i="44"/>
  <c r="CK26" i="44"/>
  <c r="CJ26" i="44"/>
  <c r="CI26" i="44"/>
  <c r="CH26" i="44"/>
  <c r="CG26" i="44"/>
  <c r="CF26" i="44"/>
  <c r="CE26" i="44"/>
  <c r="CD26" i="44"/>
  <c r="CA26" i="44"/>
  <c r="BZ26" i="44"/>
  <c r="BY26" i="44"/>
  <c r="BX26" i="44"/>
  <c r="BW26" i="44"/>
  <c r="BV26" i="44"/>
  <c r="BU26" i="44"/>
  <c r="BT26" i="44"/>
  <c r="BS26" i="44"/>
  <c r="T26" i="44"/>
  <c r="S26" i="44"/>
  <c r="Q26" i="44"/>
  <c r="O26" i="44"/>
  <c r="M26" i="44"/>
  <c r="L26" i="44"/>
  <c r="D26" i="44"/>
  <c r="CL25" i="44"/>
  <c r="CK25" i="44"/>
  <c r="CJ25" i="44"/>
  <c r="CI25" i="44"/>
  <c r="CH25" i="44"/>
  <c r="CG25" i="44"/>
  <c r="CF25" i="44"/>
  <c r="CE25" i="44"/>
  <c r="CD25" i="44"/>
  <c r="CA25" i="44"/>
  <c r="BZ25" i="44"/>
  <c r="BY25" i="44"/>
  <c r="BX25" i="44"/>
  <c r="BW25" i="44"/>
  <c r="BV25" i="44"/>
  <c r="BU25" i="44"/>
  <c r="BT25" i="44"/>
  <c r="BS25" i="44"/>
  <c r="T25" i="44"/>
  <c r="S25" i="44"/>
  <c r="Q25" i="44"/>
  <c r="O25" i="44"/>
  <c r="M25" i="44"/>
  <c r="L25" i="44"/>
  <c r="D25" i="44"/>
  <c r="A25" i="44"/>
  <c r="A26" i="44" s="1"/>
  <c r="CL24" i="44"/>
  <c r="CK24" i="44"/>
  <c r="CJ24" i="44"/>
  <c r="CI24" i="44"/>
  <c r="CH24" i="44"/>
  <c r="CG24" i="44"/>
  <c r="CF24" i="44"/>
  <c r="CE24" i="44"/>
  <c r="CD24" i="44"/>
  <c r="CA24" i="44"/>
  <c r="BZ24" i="44"/>
  <c r="BY24" i="44"/>
  <c r="BX24" i="44"/>
  <c r="BW24" i="44"/>
  <c r="BV24" i="44"/>
  <c r="BU24" i="44"/>
  <c r="BT24" i="44"/>
  <c r="BS24" i="44"/>
  <c r="T24" i="44"/>
  <c r="S24" i="44"/>
  <c r="Q24" i="44"/>
  <c r="O24" i="44"/>
  <c r="M24" i="44"/>
  <c r="L24" i="44"/>
  <c r="D24" i="44"/>
  <c r="CL23" i="44"/>
  <c r="CK23" i="44"/>
  <c r="CJ23" i="44"/>
  <c r="CI23" i="44"/>
  <c r="CH23" i="44"/>
  <c r="CG23" i="44"/>
  <c r="CF23" i="44"/>
  <c r="CE23" i="44"/>
  <c r="CD23" i="44"/>
  <c r="CA23" i="44"/>
  <c r="BZ23" i="44"/>
  <c r="BY23" i="44"/>
  <c r="BX23" i="44"/>
  <c r="BW23" i="44"/>
  <c r="BV23" i="44"/>
  <c r="BU23" i="44"/>
  <c r="BT23" i="44"/>
  <c r="BS23" i="44"/>
  <c r="T23" i="44"/>
  <c r="S23" i="44"/>
  <c r="Q23" i="44"/>
  <c r="O23" i="44"/>
  <c r="M23" i="44"/>
  <c r="L23" i="44"/>
  <c r="D23" i="44"/>
  <c r="CL22" i="44"/>
  <c r="CK22" i="44"/>
  <c r="CJ22" i="44"/>
  <c r="CI22" i="44"/>
  <c r="CH22" i="44"/>
  <c r="CG22" i="44"/>
  <c r="CF22" i="44"/>
  <c r="CE22" i="44"/>
  <c r="CD22" i="44"/>
  <c r="CA22" i="44"/>
  <c r="BZ22" i="44"/>
  <c r="BY22" i="44"/>
  <c r="BX22" i="44"/>
  <c r="BW22" i="44"/>
  <c r="BV22" i="44"/>
  <c r="BU22" i="44"/>
  <c r="BT22" i="44"/>
  <c r="BS22" i="44"/>
  <c r="T22" i="44"/>
  <c r="S22" i="44"/>
  <c r="Q22" i="44"/>
  <c r="O22" i="44"/>
  <c r="M22" i="44"/>
  <c r="L22" i="44"/>
  <c r="D22" i="44"/>
  <c r="CL21" i="44"/>
  <c r="CK21" i="44"/>
  <c r="CJ21" i="44"/>
  <c r="CI21" i="44"/>
  <c r="CH21" i="44"/>
  <c r="CG21" i="44"/>
  <c r="CF21" i="44"/>
  <c r="CE21" i="44"/>
  <c r="CD21" i="44"/>
  <c r="CA21" i="44"/>
  <c r="BZ21" i="44"/>
  <c r="BY21" i="44"/>
  <c r="BX21" i="44"/>
  <c r="BW21" i="44"/>
  <c r="BV21" i="44"/>
  <c r="BU21" i="44"/>
  <c r="BT21" i="44"/>
  <c r="BS21" i="44"/>
  <c r="T21" i="44"/>
  <c r="S21" i="44"/>
  <c r="Q21" i="44"/>
  <c r="O21" i="44"/>
  <c r="M21" i="44"/>
  <c r="L21" i="44"/>
  <c r="D21" i="44"/>
  <c r="CL20" i="44"/>
  <c r="CK20" i="44"/>
  <c r="CJ20" i="44"/>
  <c r="CI20" i="44"/>
  <c r="CH20" i="44"/>
  <c r="CG20" i="44"/>
  <c r="CF20" i="44"/>
  <c r="CE20" i="44"/>
  <c r="CD20" i="44"/>
  <c r="CA20" i="44"/>
  <c r="BZ20" i="44"/>
  <c r="BY20" i="44"/>
  <c r="BX20" i="44"/>
  <c r="BW20" i="44"/>
  <c r="BV20" i="44"/>
  <c r="BU20" i="44"/>
  <c r="BT20" i="44"/>
  <c r="BS20" i="44"/>
  <c r="T20" i="44"/>
  <c r="S20" i="44"/>
  <c r="Q20" i="44"/>
  <c r="O20" i="44"/>
  <c r="M20" i="44"/>
  <c r="L20" i="44"/>
  <c r="D20" i="44"/>
  <c r="CL19" i="44"/>
  <c r="CK19" i="44"/>
  <c r="CJ19" i="44"/>
  <c r="CI19" i="44"/>
  <c r="CH19" i="44"/>
  <c r="CG19" i="44"/>
  <c r="CF19" i="44"/>
  <c r="CE19" i="44"/>
  <c r="CD19" i="44"/>
  <c r="CA19" i="44"/>
  <c r="BZ19" i="44"/>
  <c r="BY19" i="44"/>
  <c r="BX19" i="44"/>
  <c r="BW19" i="44"/>
  <c r="BV19" i="44"/>
  <c r="BU19" i="44"/>
  <c r="BT19" i="44"/>
  <c r="BS19" i="44"/>
  <c r="T19" i="44"/>
  <c r="S19" i="44"/>
  <c r="Q19" i="44"/>
  <c r="O19" i="44"/>
  <c r="M19" i="44"/>
  <c r="L19" i="44"/>
  <c r="D19" i="44"/>
  <c r="CL18" i="44"/>
  <c r="CK18" i="44"/>
  <c r="CJ18" i="44"/>
  <c r="CI18" i="44"/>
  <c r="CH18" i="44"/>
  <c r="CG18" i="44"/>
  <c r="CF18" i="44"/>
  <c r="CE18" i="44"/>
  <c r="CD18" i="44"/>
  <c r="CA18" i="44"/>
  <c r="BZ18" i="44"/>
  <c r="BY18" i="44"/>
  <c r="BX18" i="44"/>
  <c r="BW18" i="44"/>
  <c r="BV18" i="44"/>
  <c r="BU18" i="44"/>
  <c r="BT18" i="44"/>
  <c r="BS18" i="44"/>
  <c r="T18" i="44"/>
  <c r="S18" i="44"/>
  <c r="Q18" i="44"/>
  <c r="O18" i="44"/>
  <c r="M18" i="44"/>
  <c r="L18" i="44"/>
  <c r="D18" i="44"/>
  <c r="CL17" i="44"/>
  <c r="CK17" i="44"/>
  <c r="CJ17" i="44"/>
  <c r="CI17" i="44"/>
  <c r="CH17" i="44"/>
  <c r="CG17" i="44"/>
  <c r="CF17" i="44"/>
  <c r="CE17" i="44"/>
  <c r="CD17" i="44"/>
  <c r="CA17" i="44"/>
  <c r="BZ17" i="44"/>
  <c r="BY17" i="44"/>
  <c r="BX17" i="44"/>
  <c r="BW17" i="44"/>
  <c r="BV17" i="44"/>
  <c r="BU17" i="44"/>
  <c r="BT17" i="44"/>
  <c r="BS17" i="44"/>
  <c r="T17" i="44"/>
  <c r="S17" i="44"/>
  <c r="Q17" i="44"/>
  <c r="O17" i="44"/>
  <c r="M17" i="44"/>
  <c r="L17" i="44"/>
  <c r="D17" i="44"/>
  <c r="CL16" i="44"/>
  <c r="CK16" i="44"/>
  <c r="CJ16" i="44"/>
  <c r="CI16" i="44"/>
  <c r="CH16" i="44"/>
  <c r="CG16" i="44"/>
  <c r="CF16" i="44"/>
  <c r="CE16" i="44"/>
  <c r="CD16" i="44"/>
  <c r="CA16" i="44"/>
  <c r="BZ16" i="44"/>
  <c r="BY16" i="44"/>
  <c r="BX16" i="44"/>
  <c r="BW16" i="44"/>
  <c r="BV16" i="44"/>
  <c r="BU16" i="44"/>
  <c r="BT16" i="44"/>
  <c r="BS16" i="44"/>
  <c r="T16" i="44"/>
  <c r="S16" i="44"/>
  <c r="Q16" i="44"/>
  <c r="O16" i="44"/>
  <c r="M16" i="44"/>
  <c r="L16" i="44"/>
  <c r="D16" i="44"/>
  <c r="CL15" i="44"/>
  <c r="CK15" i="44"/>
  <c r="CJ15" i="44"/>
  <c r="CI15" i="44"/>
  <c r="CH15" i="44"/>
  <c r="CG15" i="44"/>
  <c r="CF15" i="44"/>
  <c r="CE15" i="44"/>
  <c r="CD15" i="44"/>
  <c r="CA15" i="44"/>
  <c r="BZ15" i="44"/>
  <c r="BY15" i="44"/>
  <c r="BX15" i="44"/>
  <c r="BW15" i="44"/>
  <c r="BV15" i="44"/>
  <c r="BU15" i="44"/>
  <c r="BT15" i="44"/>
  <c r="BS15" i="44"/>
  <c r="T15" i="44"/>
  <c r="S15" i="44"/>
  <c r="Q15" i="44"/>
  <c r="O15" i="44"/>
  <c r="M15" i="44"/>
  <c r="L15" i="44"/>
  <c r="D15" i="44"/>
  <c r="CL14" i="44"/>
  <c r="CK14" i="44"/>
  <c r="CJ14" i="44"/>
  <c r="CI14" i="44"/>
  <c r="CH14" i="44"/>
  <c r="CG14" i="44"/>
  <c r="CF14" i="44"/>
  <c r="CE14" i="44"/>
  <c r="CD14" i="44"/>
  <c r="CC14" i="44"/>
  <c r="CA14" i="44"/>
  <c r="BZ14" i="44"/>
  <c r="BY14" i="44"/>
  <c r="BX14" i="44"/>
  <c r="BW14" i="44"/>
  <c r="BV14" i="44"/>
  <c r="BU14" i="44"/>
  <c r="BT14" i="44"/>
  <c r="BS14" i="44"/>
  <c r="BR14" i="44"/>
  <c r="T14" i="44"/>
  <c r="S14" i="44"/>
  <c r="Q14" i="44"/>
  <c r="O14" i="44"/>
  <c r="M14" i="44"/>
  <c r="L14" i="44"/>
  <c r="D14" i="44"/>
  <c r="CL13" i="44"/>
  <c r="CK13" i="44"/>
  <c r="CJ13" i="44"/>
  <c r="CI13" i="44"/>
  <c r="CH13" i="44"/>
  <c r="CG13" i="44"/>
  <c r="CF13" i="44"/>
  <c r="CE13" i="44"/>
  <c r="CD13" i="44"/>
  <c r="CC13" i="44"/>
  <c r="CA13" i="44"/>
  <c r="BZ13" i="44"/>
  <c r="BY13" i="44"/>
  <c r="BX13" i="44"/>
  <c r="BW13" i="44"/>
  <c r="BV13" i="44"/>
  <c r="BU13" i="44"/>
  <c r="BT13" i="44"/>
  <c r="BS13" i="44"/>
  <c r="BR13" i="44"/>
  <c r="BM13" i="44"/>
  <c r="BN13" i="44" s="1"/>
  <c r="BL13" i="44"/>
  <c r="T13" i="44"/>
  <c r="S13" i="44"/>
  <c r="Q13" i="44"/>
  <c r="O13" i="44"/>
  <c r="M13" i="44"/>
  <c r="L13" i="44"/>
  <c r="D13" i="44"/>
  <c r="CL12" i="44"/>
  <c r="CK12" i="44"/>
  <c r="CJ12" i="44"/>
  <c r="CI12" i="44"/>
  <c r="CH12" i="44"/>
  <c r="CG12" i="44"/>
  <c r="CF12" i="44"/>
  <c r="CE12" i="44"/>
  <c r="CD12" i="44"/>
  <c r="CC12" i="44" s="1"/>
  <c r="CA12" i="44"/>
  <c r="BZ12" i="44"/>
  <c r="BY12" i="44"/>
  <c r="BX12" i="44"/>
  <c r="BW12" i="44"/>
  <c r="BV12" i="44"/>
  <c r="BU12" i="44"/>
  <c r="BT12" i="44"/>
  <c r="BS12" i="44"/>
  <c r="BR12" i="44" s="1"/>
  <c r="BM12" i="44"/>
  <c r="BL12" i="44"/>
  <c r="T12" i="44"/>
  <c r="S12" i="44"/>
  <c r="Q12" i="44"/>
  <c r="O12" i="44"/>
  <c r="M12" i="44"/>
  <c r="L12" i="44"/>
  <c r="D12" i="44"/>
  <c r="CL11" i="44"/>
  <c r="CK11" i="44"/>
  <c r="CJ11" i="44"/>
  <c r="CI11" i="44"/>
  <c r="CH11" i="44"/>
  <c r="CG11" i="44"/>
  <c r="CF11" i="44"/>
  <c r="CE11" i="44"/>
  <c r="CD11" i="44"/>
  <c r="CC11" i="44"/>
  <c r="CA11" i="44"/>
  <c r="BZ11" i="44"/>
  <c r="BY11" i="44"/>
  <c r="BX11" i="44"/>
  <c r="BW11" i="44"/>
  <c r="BV11" i="44"/>
  <c r="BU11" i="44"/>
  <c r="BT11" i="44"/>
  <c r="BS11" i="44"/>
  <c r="BR11" i="44"/>
  <c r="BM11" i="44"/>
  <c r="BL11" i="44"/>
  <c r="T11" i="44"/>
  <c r="S11" i="44"/>
  <c r="Q11" i="44"/>
  <c r="O11" i="44"/>
  <c r="M11" i="44"/>
  <c r="L11" i="44"/>
  <c r="D11" i="44"/>
  <c r="CL10" i="44"/>
  <c r="CK10" i="44"/>
  <c r="CJ10" i="44"/>
  <c r="CI10" i="44"/>
  <c r="CH10" i="44"/>
  <c r="CG10" i="44"/>
  <c r="CF10" i="44"/>
  <c r="CE10" i="44"/>
  <c r="CD10" i="44"/>
  <c r="CC10" i="44" s="1"/>
  <c r="CA10" i="44"/>
  <c r="BZ10" i="44"/>
  <c r="BY10" i="44"/>
  <c r="BX10" i="44"/>
  <c r="BW10" i="44"/>
  <c r="BV10" i="44"/>
  <c r="BU10" i="44"/>
  <c r="BT10" i="44"/>
  <c r="BS10" i="44"/>
  <c r="BR10" i="44" s="1"/>
  <c r="BM10" i="44"/>
  <c r="BL10" i="44"/>
  <c r="T10" i="44"/>
  <c r="S10" i="44"/>
  <c r="Q10" i="44"/>
  <c r="O10" i="44"/>
  <c r="M10" i="44"/>
  <c r="L10" i="44"/>
  <c r="D10" i="44"/>
  <c r="CL9" i="44"/>
  <c r="CK9" i="44"/>
  <c r="CJ9" i="44"/>
  <c r="CI9" i="44"/>
  <c r="CH9" i="44"/>
  <c r="CG9" i="44"/>
  <c r="CF9" i="44"/>
  <c r="CE9" i="44"/>
  <c r="CD9" i="44"/>
  <c r="CC9" i="44" s="1"/>
  <c r="CA9" i="44"/>
  <c r="BZ9" i="44"/>
  <c r="BY9" i="44"/>
  <c r="BX9" i="44"/>
  <c r="BW9" i="44"/>
  <c r="BV9" i="44"/>
  <c r="BU9" i="44"/>
  <c r="BT9" i="44"/>
  <c r="BS9" i="44"/>
  <c r="BR9" i="44" s="1"/>
  <c r="BM9" i="44"/>
  <c r="BL9" i="44"/>
  <c r="T9" i="44"/>
  <c r="S9" i="44"/>
  <c r="Q9" i="44"/>
  <c r="O9" i="44"/>
  <c r="M9" i="44"/>
  <c r="L9" i="44"/>
  <c r="D9" i="44"/>
  <c r="CL8" i="44"/>
  <c r="CK8" i="44"/>
  <c r="CJ8" i="44"/>
  <c r="CI8" i="44"/>
  <c r="CH8" i="44"/>
  <c r="CG8" i="44"/>
  <c r="CF8" i="44"/>
  <c r="CE8" i="44"/>
  <c r="CD8" i="44"/>
  <c r="CC8" i="44" s="1"/>
  <c r="CA8" i="44"/>
  <c r="BZ8" i="44"/>
  <c r="BY8" i="44"/>
  <c r="BX8" i="44"/>
  <c r="BW8" i="44"/>
  <c r="BV8" i="44"/>
  <c r="BU8" i="44"/>
  <c r="BT8" i="44"/>
  <c r="BS8" i="44"/>
  <c r="BR8" i="44" s="1"/>
  <c r="BM8" i="44"/>
  <c r="BL8" i="44"/>
  <c r="T8" i="44"/>
  <c r="S8" i="44"/>
  <c r="Q8" i="44"/>
  <c r="O8" i="44"/>
  <c r="M8" i="44"/>
  <c r="L8" i="44"/>
  <c r="D8" i="44"/>
  <c r="CL7" i="44"/>
  <c r="CK7" i="44"/>
  <c r="CJ7" i="44"/>
  <c r="CI7" i="44"/>
  <c r="CH7" i="44"/>
  <c r="CG7" i="44"/>
  <c r="CF7" i="44"/>
  <c r="CE7" i="44"/>
  <c r="CD7" i="44"/>
  <c r="CC7" i="44" s="1"/>
  <c r="CA7" i="44"/>
  <c r="BZ7" i="44"/>
  <c r="BY7" i="44"/>
  <c r="BX7" i="44"/>
  <c r="BW7" i="44"/>
  <c r="BV7" i="44"/>
  <c r="BU7" i="44"/>
  <c r="BT7" i="44"/>
  <c r="BS7" i="44"/>
  <c r="BR7" i="44" s="1"/>
  <c r="BM7" i="44"/>
  <c r="BL7" i="44"/>
  <c r="T7" i="44"/>
  <c r="S7" i="44"/>
  <c r="Q7" i="44"/>
  <c r="O7" i="44"/>
  <c r="M7" i="44"/>
  <c r="L7" i="44"/>
  <c r="D7" i="44"/>
  <c r="CL6" i="44"/>
  <c r="CK6" i="44"/>
  <c r="CJ6" i="44"/>
  <c r="CI6" i="44"/>
  <c r="CH6" i="44"/>
  <c r="CG6" i="44"/>
  <c r="CF6" i="44"/>
  <c r="CE6" i="44"/>
  <c r="CD6" i="44"/>
  <c r="CC6" i="44" s="1"/>
  <c r="CA6" i="44"/>
  <c r="BZ6" i="44"/>
  <c r="BY6" i="44"/>
  <c r="BX6" i="44"/>
  <c r="BW6" i="44"/>
  <c r="BV6" i="44"/>
  <c r="BU6" i="44"/>
  <c r="BT6" i="44"/>
  <c r="BS6" i="44"/>
  <c r="BR6" i="44" s="1"/>
  <c r="BM6" i="44"/>
  <c r="BL6" i="44"/>
  <c r="T6" i="44"/>
  <c r="S6" i="44"/>
  <c r="Q6" i="44"/>
  <c r="O6" i="44"/>
  <c r="M6" i="44"/>
  <c r="L6" i="44"/>
  <c r="D6" i="44"/>
  <c r="CL5" i="44"/>
  <c r="CK5" i="44"/>
  <c r="CJ5" i="44"/>
  <c r="CI5" i="44"/>
  <c r="CH5" i="44"/>
  <c r="CG5" i="44"/>
  <c r="CF5" i="44"/>
  <c r="CE5" i="44"/>
  <c r="CD5" i="44"/>
  <c r="CC5" i="44" s="1"/>
  <c r="CA5" i="44"/>
  <c r="BZ5" i="44"/>
  <c r="BY5" i="44"/>
  <c r="BX5" i="44"/>
  <c r="BW5" i="44"/>
  <c r="BV5" i="44"/>
  <c r="BU5" i="44"/>
  <c r="BT5" i="44"/>
  <c r="BS5" i="44"/>
  <c r="BR5" i="44" s="1"/>
  <c r="BM5" i="44"/>
  <c r="BL5" i="44"/>
  <c r="T5" i="44"/>
  <c r="S5" i="44"/>
  <c r="Q5" i="44"/>
  <c r="O5" i="44"/>
  <c r="M5" i="44"/>
  <c r="L5" i="44"/>
  <c r="D5" i="44"/>
  <c r="CL4" i="44"/>
  <c r="CK4" i="44"/>
  <c r="CJ4" i="44"/>
  <c r="CI4" i="44"/>
  <c r="CH4" i="44"/>
  <c r="CG4" i="44"/>
  <c r="CF4" i="44"/>
  <c r="CE4" i="44"/>
  <c r="CD4" i="44"/>
  <c r="CA4" i="44"/>
  <c r="BZ4" i="44"/>
  <c r="BY4" i="44"/>
  <c r="BX4" i="44"/>
  <c r="BW4" i="44"/>
  <c r="BV4" i="44"/>
  <c r="BU4" i="44"/>
  <c r="BT4" i="44"/>
  <c r="BS4" i="44"/>
  <c r="T4" i="44"/>
  <c r="BN22" i="44" s="1"/>
  <c r="S4" i="44"/>
  <c r="BN21" i="44" s="1"/>
  <c r="Q4" i="44"/>
  <c r="BN20" i="44" s="1"/>
  <c r="O4" i="44"/>
  <c r="BN19" i="44" s="1"/>
  <c r="M4" i="44"/>
  <c r="BN18" i="44" s="1"/>
  <c r="L4" i="44"/>
  <c r="BN14" i="44" s="1"/>
  <c r="BN15" i="44"/>
  <c r="D4" i="44"/>
  <c r="A43" i="64"/>
  <c r="A44" i="64" s="1"/>
  <c r="BG9" i="44"/>
  <c r="BG8" i="44"/>
  <c r="BG7" i="44"/>
  <c r="BG6" i="44"/>
  <c r="BN12" i="44" l="1"/>
  <c r="BN8" i="44"/>
  <c r="BH53" i="44"/>
  <c r="I45" i="64"/>
  <c r="K45" i="64" s="1"/>
  <c r="I44" i="64"/>
  <c r="K44" i="64" s="1"/>
  <c r="A45" i="64"/>
  <c r="L44" i="64"/>
  <c r="BF11" i="44"/>
  <c r="BD11" i="44" s="1"/>
  <c r="AZ11" i="44"/>
  <c r="BB11" i="44"/>
  <c r="AX11" i="44"/>
  <c r="BH11" i="44" s="1"/>
  <c r="AT11" i="44"/>
  <c r="AP11" i="44"/>
  <c r="AM11" i="44"/>
  <c r="AI11" i="44"/>
  <c r="AE11" i="44"/>
  <c r="BD13" i="44"/>
  <c r="AZ13" i="44"/>
  <c r="AV13" i="44"/>
  <c r="AR13" i="44"/>
  <c r="AN13" i="44"/>
  <c r="AK13" i="44"/>
  <c r="AG13" i="44"/>
  <c r="AC13" i="44"/>
  <c r="Y13" i="44"/>
  <c r="BF13" i="44"/>
  <c r="BB13" i="44"/>
  <c r="AX13" i="44"/>
  <c r="AT13" i="44"/>
  <c r="AP13" i="44"/>
  <c r="AM13" i="44"/>
  <c r="AI13" i="44"/>
  <c r="AE13" i="44"/>
  <c r="AA13" i="44"/>
  <c r="BF15" i="44"/>
  <c r="AZ15" i="44"/>
  <c r="AV15" i="44"/>
  <c r="AR15" i="44"/>
  <c r="AN15" i="44"/>
  <c r="AK15" i="44"/>
  <c r="AG15" i="44"/>
  <c r="AC15" i="44"/>
  <c r="Y15" i="44"/>
  <c r="U13" i="44"/>
  <c r="W21" i="20" s="1"/>
  <c r="BB15" i="44"/>
  <c r="AX15" i="44"/>
  <c r="BH15" i="44" s="1"/>
  <c r="AT15" i="44"/>
  <c r="AP15" i="44"/>
  <c r="AM15" i="44"/>
  <c r="AI15" i="44"/>
  <c r="AE15" i="44"/>
  <c r="AA15" i="44"/>
  <c r="BF17" i="44"/>
  <c r="BB17" i="44"/>
  <c r="AX17" i="44"/>
  <c r="AT17" i="44"/>
  <c r="AP17" i="44"/>
  <c r="AM17" i="44"/>
  <c r="AI17" i="44"/>
  <c r="AE17" i="44"/>
  <c r="AA17" i="44"/>
  <c r="U15" i="44"/>
  <c r="W23" i="20" s="1"/>
  <c r="BD17" i="44"/>
  <c r="AZ17" i="44"/>
  <c r="AV17" i="44"/>
  <c r="AR17" i="44"/>
  <c r="AN17" i="44"/>
  <c r="AK17" i="44"/>
  <c r="AG17" i="44"/>
  <c r="AC17" i="44"/>
  <c r="Y17" i="44"/>
  <c r="BD19" i="44"/>
  <c r="AZ19" i="44"/>
  <c r="AV19" i="44"/>
  <c r="AR19" i="44"/>
  <c r="AN19" i="44"/>
  <c r="AK19" i="44"/>
  <c r="AG19" i="44"/>
  <c r="AC19" i="44"/>
  <c r="Y19" i="44"/>
  <c r="BF19" i="44"/>
  <c r="BB19" i="44"/>
  <c r="AX19" i="44"/>
  <c r="BH19" i="44" s="1"/>
  <c r="AT19" i="44"/>
  <c r="AP19" i="44"/>
  <c r="AM19" i="44"/>
  <c r="AI19" i="44"/>
  <c r="AE19" i="44"/>
  <c r="AA19" i="44"/>
  <c r="U17" i="44"/>
  <c r="W25" i="20" s="1"/>
  <c r="BF21" i="44"/>
  <c r="BB21" i="44"/>
  <c r="AX21" i="44"/>
  <c r="BH21" i="44" s="1"/>
  <c r="AT21" i="44"/>
  <c r="AP21" i="44"/>
  <c r="AM21" i="44"/>
  <c r="AI21" i="44"/>
  <c r="AE21" i="44"/>
  <c r="Y21" i="44"/>
  <c r="U19" i="44"/>
  <c r="W27" i="20" s="1"/>
  <c r="BD21" i="44"/>
  <c r="AZ21" i="44"/>
  <c r="AV21" i="44"/>
  <c r="AR21" i="44"/>
  <c r="AN21" i="44"/>
  <c r="AK21" i="44"/>
  <c r="AG21" i="44"/>
  <c r="AC21" i="44"/>
  <c r="BB23" i="44"/>
  <c r="AX23" i="44"/>
  <c r="AT23" i="44"/>
  <c r="AP23" i="44"/>
  <c r="AM23" i="44"/>
  <c r="AI23" i="44"/>
  <c r="AE23" i="44"/>
  <c r="AA23" i="44"/>
  <c r="U21" i="44"/>
  <c r="W29" i="20" s="1"/>
  <c r="BD23" i="44"/>
  <c r="AZ23" i="44"/>
  <c r="AV23" i="44"/>
  <c r="AR23" i="44"/>
  <c r="AN23" i="44"/>
  <c r="AK23" i="44"/>
  <c r="AG23" i="44"/>
  <c r="AC23" i="44"/>
  <c r="Y23" i="44"/>
  <c r="BD25" i="44"/>
  <c r="AZ25" i="44"/>
  <c r="AV25" i="44"/>
  <c r="AR25" i="44"/>
  <c r="AN25" i="44"/>
  <c r="AK25" i="44"/>
  <c r="AE25" i="44"/>
  <c r="AA25" i="44"/>
  <c r="BF25" i="44"/>
  <c r="BB25" i="44"/>
  <c r="AX25" i="44"/>
  <c r="BH25" i="44" s="1"/>
  <c r="AT25" i="44"/>
  <c r="AP25" i="44"/>
  <c r="AM25" i="44"/>
  <c r="AG25" i="44"/>
  <c r="AC25" i="44"/>
  <c r="Y25" i="44"/>
  <c r="U23" i="44"/>
  <c r="W31" i="20" s="1"/>
  <c r="BN16" i="44"/>
  <c r="BO15" i="44"/>
  <c r="U4" i="44"/>
  <c r="BN23" i="44" s="1"/>
  <c r="V5" i="44"/>
  <c r="V6" i="44"/>
  <c r="AA6" i="44"/>
  <c r="AE6" i="44"/>
  <c r="AI6" i="44"/>
  <c r="AM6" i="44"/>
  <c r="AP6" i="44"/>
  <c r="BO18" i="44" s="1"/>
  <c r="AT6" i="44"/>
  <c r="AX6" i="44"/>
  <c r="BH6" i="44" s="1"/>
  <c r="BB6" i="44"/>
  <c r="BO21" i="44" s="1"/>
  <c r="BF6" i="44"/>
  <c r="Y7" i="44"/>
  <c r="V7" i="44" s="1"/>
  <c r="AC7" i="44"/>
  <c r="AG7" i="44"/>
  <c r="AK7" i="44"/>
  <c r="AN7" i="44"/>
  <c r="AR7" i="44"/>
  <c r="AV7" i="44"/>
  <c r="AZ7" i="44"/>
  <c r="BD7" i="44"/>
  <c r="U8" i="44"/>
  <c r="Y8" i="44"/>
  <c r="AC8" i="44"/>
  <c r="AG8" i="44"/>
  <c r="AK8" i="44"/>
  <c r="AN8" i="44"/>
  <c r="AR8" i="44"/>
  <c r="AV8" i="44"/>
  <c r="AZ8" i="44"/>
  <c r="BD8" i="44"/>
  <c r="AA9" i="44"/>
  <c r="AE9" i="44"/>
  <c r="AI9" i="44"/>
  <c r="AM9" i="44"/>
  <c r="AP9" i="44"/>
  <c r="AT9" i="44"/>
  <c r="AX9" i="44"/>
  <c r="BH9" i="44" s="1"/>
  <c r="BB9" i="44"/>
  <c r="BF9" i="44"/>
  <c r="AA10" i="44"/>
  <c r="AE10" i="44"/>
  <c r="AI10" i="44"/>
  <c r="AN10" i="44"/>
  <c r="AM10" i="44" s="1"/>
  <c r="AR10" i="44"/>
  <c r="AV10" i="44"/>
  <c r="AZ10" i="44"/>
  <c r="BD10" i="44"/>
  <c r="BG10" i="44"/>
  <c r="U11" i="44"/>
  <c r="Y11" i="44"/>
  <c r="AC11" i="44"/>
  <c r="AK11" i="44"/>
  <c r="AR11" i="44"/>
  <c r="BF12" i="44"/>
  <c r="BB12" i="44"/>
  <c r="AX12" i="44"/>
  <c r="AT12" i="44"/>
  <c r="AP12" i="44"/>
  <c r="AQ12" i="44" s="1"/>
  <c r="AM12" i="44"/>
  <c r="AI12" i="44"/>
  <c r="AE12" i="44"/>
  <c r="AF12" i="44" s="1"/>
  <c r="AA12" i="44"/>
  <c r="BD12" i="44"/>
  <c r="AZ12" i="44"/>
  <c r="AV12" i="44"/>
  <c r="AR12" i="44"/>
  <c r="AN12" i="44"/>
  <c r="AK12" i="44"/>
  <c r="AG12" i="44"/>
  <c r="AC12" i="44"/>
  <c r="Y12" i="44"/>
  <c r="Z12" i="44" s="1"/>
  <c r="BF14" i="44"/>
  <c r="BB14" i="44"/>
  <c r="AX14" i="44"/>
  <c r="BH14" i="44" s="1"/>
  <c r="AT14" i="44"/>
  <c r="AP14" i="44"/>
  <c r="AM14" i="44"/>
  <c r="AI14" i="44"/>
  <c r="AE14" i="44"/>
  <c r="AA14" i="44"/>
  <c r="BD14" i="44"/>
  <c r="AZ14" i="44"/>
  <c r="AV14" i="44"/>
  <c r="AW14" i="44" s="1"/>
  <c r="AR14" i="44"/>
  <c r="AN14" i="44"/>
  <c r="AO15" i="44" s="1"/>
  <c r="AK14" i="44"/>
  <c r="AG14" i="44"/>
  <c r="AC14" i="44"/>
  <c r="Y14" i="44"/>
  <c r="U12" i="44"/>
  <c r="W20" i="20" s="1"/>
  <c r="BF16" i="44"/>
  <c r="BB16" i="44"/>
  <c r="AX16" i="44"/>
  <c r="BH16" i="44" s="1"/>
  <c r="AT16" i="44"/>
  <c r="AP16" i="44"/>
  <c r="AQ16" i="44" s="1"/>
  <c r="AM16" i="44"/>
  <c r="AI16" i="44"/>
  <c r="AJ16" i="44" s="1"/>
  <c r="AE16" i="44"/>
  <c r="AA16" i="44"/>
  <c r="AB16" i="44" s="1"/>
  <c r="BD16" i="44"/>
  <c r="AZ16" i="44"/>
  <c r="BA17" i="44" s="1"/>
  <c r="AV16" i="44"/>
  <c r="AR16" i="44"/>
  <c r="AN16" i="44"/>
  <c r="AO16" i="44" s="1"/>
  <c r="AK16" i="44"/>
  <c r="AL17" i="44" s="1"/>
  <c r="AG16" i="44"/>
  <c r="AH17" i="44" s="1"/>
  <c r="AC16" i="44"/>
  <c r="Y16" i="44"/>
  <c r="Z16" i="44" s="1"/>
  <c r="U14" i="44"/>
  <c r="W22" i="20" s="1"/>
  <c r="BF18" i="44"/>
  <c r="BB18" i="44"/>
  <c r="AX18" i="44"/>
  <c r="BH18" i="44" s="1"/>
  <c r="AT18" i="44"/>
  <c r="AP18" i="44"/>
  <c r="AQ19" i="44" s="1"/>
  <c r="AM18" i="44"/>
  <c r="AI18" i="44"/>
  <c r="AJ19" i="44" s="1"/>
  <c r="AE18" i="44"/>
  <c r="AF18" i="44" s="1"/>
  <c r="AA18" i="44"/>
  <c r="BD18" i="44"/>
  <c r="BE18" i="44" s="1"/>
  <c r="AZ18" i="44"/>
  <c r="AV18" i="44"/>
  <c r="AW18" i="44" s="1"/>
  <c r="AR18" i="44"/>
  <c r="AN18" i="44"/>
  <c r="AO19" i="44" s="1"/>
  <c r="AK18" i="44"/>
  <c r="AG18" i="44"/>
  <c r="AH18" i="44" s="1"/>
  <c r="AC18" i="44"/>
  <c r="Y18" i="44"/>
  <c r="Z19" i="44" s="1"/>
  <c r="U16" i="44"/>
  <c r="W24" i="20" s="1"/>
  <c r="BF20" i="44"/>
  <c r="BB20" i="44"/>
  <c r="AX20" i="44"/>
  <c r="BH20" i="44" s="1"/>
  <c r="AT20" i="44"/>
  <c r="AP20" i="44"/>
  <c r="AK20" i="44"/>
  <c r="AG20" i="44"/>
  <c r="AH21" i="44" s="1"/>
  <c r="AC20" i="44"/>
  <c r="Y20" i="44"/>
  <c r="Z21" i="44" s="1"/>
  <c r="BD20" i="44"/>
  <c r="BE21" i="44" s="1"/>
  <c r="AZ20" i="44"/>
  <c r="AV20" i="44"/>
  <c r="AR20" i="44"/>
  <c r="AN20" i="44"/>
  <c r="AM20" i="44" s="1"/>
  <c r="AI20" i="44"/>
  <c r="AJ21" i="44" s="1"/>
  <c r="AE20" i="44"/>
  <c r="AA20" i="44"/>
  <c r="U18" i="44"/>
  <c r="W26" i="20" s="1"/>
  <c r="BF22" i="44"/>
  <c r="AZ22" i="44"/>
  <c r="AV22" i="44"/>
  <c r="AR22" i="44"/>
  <c r="AN22" i="44"/>
  <c r="AK22" i="44"/>
  <c r="AG22" i="44"/>
  <c r="AC22" i="44"/>
  <c r="Y22" i="44"/>
  <c r="Z23" i="44" s="1"/>
  <c r="U20" i="44"/>
  <c r="W28" i="20" s="1"/>
  <c r="BD22" i="44"/>
  <c r="BB22" i="44" s="1"/>
  <c r="AX22" i="44"/>
  <c r="BH22" i="44" s="1"/>
  <c r="AT22" i="44"/>
  <c r="AP22" i="44"/>
  <c r="AM22" i="44"/>
  <c r="AI22" i="44"/>
  <c r="AE22" i="44"/>
  <c r="AA22" i="44"/>
  <c r="BD24" i="44"/>
  <c r="AZ24" i="44"/>
  <c r="AV24" i="44"/>
  <c r="AR24" i="44"/>
  <c r="AN24" i="44"/>
  <c r="AK24" i="44"/>
  <c r="AG24" i="44"/>
  <c r="AH24" i="44" s="1"/>
  <c r="AC24" i="44"/>
  <c r="Y24" i="44"/>
  <c r="Z25" i="44" s="1"/>
  <c r="U22" i="44"/>
  <c r="W30" i="20" s="1"/>
  <c r="BF24" i="44"/>
  <c r="BB24" i="44"/>
  <c r="AX24" i="44"/>
  <c r="BH24" i="44" s="1"/>
  <c r="AT24" i="44"/>
  <c r="AP24" i="44"/>
  <c r="AM24" i="44"/>
  <c r="AI24" i="44"/>
  <c r="AJ24" i="44" s="1"/>
  <c r="AE24" i="44"/>
  <c r="AF24" i="44" s="1"/>
  <c r="AA24" i="44"/>
  <c r="AB25" i="44" s="1"/>
  <c r="BB26" i="44"/>
  <c r="AX26" i="44"/>
  <c r="AT26" i="44"/>
  <c r="AP26" i="44"/>
  <c r="AM26" i="44"/>
  <c r="AI26" i="44"/>
  <c r="AE26" i="44"/>
  <c r="AA26" i="44"/>
  <c r="U24" i="44"/>
  <c r="W32" i="20" s="1"/>
  <c r="BD26" i="44"/>
  <c r="AZ26" i="44"/>
  <c r="AV26" i="44"/>
  <c r="AR26" i="44"/>
  <c r="AN26" i="44"/>
  <c r="AK26" i="44"/>
  <c r="AG26" i="44"/>
  <c r="AC26" i="44"/>
  <c r="Y26" i="44"/>
  <c r="BD27" i="44"/>
  <c r="BB27" i="44" s="1"/>
  <c r="AX27" i="44"/>
  <c r="BH27" i="44" s="1"/>
  <c r="AT27" i="44"/>
  <c r="AP27" i="44"/>
  <c r="AM27" i="44"/>
  <c r="AI27" i="44"/>
  <c r="AE27" i="44"/>
  <c r="AA27" i="44"/>
  <c r="BF27" i="44"/>
  <c r="AZ27" i="44"/>
  <c r="AV27" i="44"/>
  <c r="AR27" i="44"/>
  <c r="AN27" i="44"/>
  <c r="AK27" i="44"/>
  <c r="AG27" i="44"/>
  <c r="AC27" i="44"/>
  <c r="Y27" i="44"/>
  <c r="U25" i="44"/>
  <c r="W33" i="20" s="1"/>
  <c r="V26" i="44"/>
  <c r="BD28" i="44"/>
  <c r="AZ28" i="44"/>
  <c r="AV28" i="44"/>
  <c r="AR28" i="44"/>
  <c r="AN28" i="44"/>
  <c r="AK28" i="44"/>
  <c r="AG28" i="44"/>
  <c r="AC28" i="44"/>
  <c r="Y28" i="44"/>
  <c r="BF28" i="44"/>
  <c r="BB28" i="44"/>
  <c r="AX28" i="44"/>
  <c r="BH28" i="44" s="1"/>
  <c r="BG28" i="44" s="1"/>
  <c r="AT28" i="44"/>
  <c r="AU28" i="44" s="1"/>
  <c r="AP28" i="44"/>
  <c r="AM28" i="44"/>
  <c r="AI28" i="44"/>
  <c r="AE28" i="44"/>
  <c r="AF28" i="44" s="1"/>
  <c r="AA28" i="44"/>
  <c r="U26" i="44"/>
  <c r="W34" i="20" s="1"/>
  <c r="BF29" i="44"/>
  <c r="BB29" i="44"/>
  <c r="AX29" i="44"/>
  <c r="BH29" i="44" s="1"/>
  <c r="AT29" i="44"/>
  <c r="AP29" i="44"/>
  <c r="AM29" i="44"/>
  <c r="AG29" i="44"/>
  <c r="AC29" i="44"/>
  <c r="Y29" i="44"/>
  <c r="BD29" i="44"/>
  <c r="AZ29" i="44"/>
  <c r="AV29" i="44"/>
  <c r="AR29" i="44"/>
  <c r="AN29" i="44"/>
  <c r="AI29" i="44"/>
  <c r="AE29" i="44"/>
  <c r="AA29" i="44"/>
  <c r="U27" i="44"/>
  <c r="W35" i="20" s="1"/>
  <c r="BB30" i="44"/>
  <c r="AX30" i="44"/>
  <c r="AT30" i="44"/>
  <c r="AP30" i="44"/>
  <c r="AQ30" i="44" s="1"/>
  <c r="AM30" i="44"/>
  <c r="AI30" i="44"/>
  <c r="AJ31" i="44" s="1"/>
  <c r="AE30" i="44"/>
  <c r="AA30" i="44"/>
  <c r="AB30" i="44" s="1"/>
  <c r="U28" i="44"/>
  <c r="W36" i="20" s="1"/>
  <c r="BF30" i="44"/>
  <c r="AZ30" i="44"/>
  <c r="AV30" i="44"/>
  <c r="AR30" i="44"/>
  <c r="AN30" i="44"/>
  <c r="AK30" i="44"/>
  <c r="AG30" i="44"/>
  <c r="AC30" i="44"/>
  <c r="Y30" i="44"/>
  <c r="BD31" i="44"/>
  <c r="AZ31" i="44"/>
  <c r="AV31" i="44"/>
  <c r="AR31" i="44"/>
  <c r="AS31" i="44" s="1"/>
  <c r="AN31" i="44"/>
  <c r="AK31" i="44"/>
  <c r="AG31" i="44"/>
  <c r="AC31" i="44"/>
  <c r="Y31" i="44"/>
  <c r="U29" i="44"/>
  <c r="W37" i="20" s="1"/>
  <c r="BF31" i="44"/>
  <c r="BB31" i="44"/>
  <c r="AX31" i="44"/>
  <c r="BH31" i="44" s="1"/>
  <c r="AT31" i="44"/>
  <c r="AU31" i="44" s="1"/>
  <c r="AP31" i="44"/>
  <c r="AM31" i="44"/>
  <c r="AI31" i="44"/>
  <c r="AE31" i="44"/>
  <c r="AF31" i="44" s="1"/>
  <c r="AA31" i="44"/>
  <c r="BG32" i="44"/>
  <c r="BD32" i="44"/>
  <c r="BE32" i="44" s="1"/>
  <c r="AZ32" i="44"/>
  <c r="AV32" i="44"/>
  <c r="AW32" i="44" s="1"/>
  <c r="AP32" i="44"/>
  <c r="AM32" i="44"/>
  <c r="AI32" i="44"/>
  <c r="AE32" i="44"/>
  <c r="AA32" i="44"/>
  <c r="AB33" i="44" s="1"/>
  <c r="U30" i="44"/>
  <c r="W38" i="20" s="1"/>
  <c r="BF32" i="44"/>
  <c r="BB32" i="44"/>
  <c r="AX32" i="44"/>
  <c r="BH32" i="44" s="1"/>
  <c r="AT32" i="44"/>
  <c r="AN32" i="44"/>
  <c r="AK32" i="44"/>
  <c r="AG32" i="44"/>
  <c r="AH32" i="44" s="1"/>
  <c r="AC32" i="44"/>
  <c r="Y32" i="44"/>
  <c r="V31" i="44"/>
  <c r="BF33" i="44"/>
  <c r="BB33" i="44"/>
  <c r="AV33" i="44"/>
  <c r="AR33" i="44"/>
  <c r="AN33" i="44"/>
  <c r="AK33" i="44"/>
  <c r="AG33" i="44"/>
  <c r="AH33" i="44" s="1"/>
  <c r="AC33" i="44"/>
  <c r="Y33" i="44"/>
  <c r="U31" i="44"/>
  <c r="W39" i="20" s="1"/>
  <c r="BD33" i="44"/>
  <c r="BE33" i="44" s="1"/>
  <c r="AZ33" i="44"/>
  <c r="AX33" i="44" s="1"/>
  <c r="BH33" i="44" s="1"/>
  <c r="BG33" i="44" s="1"/>
  <c r="AT33" i="44"/>
  <c r="AP33" i="44"/>
  <c r="AM33" i="44"/>
  <c r="AI33" i="44"/>
  <c r="AE33" i="44"/>
  <c r="AA33" i="44"/>
  <c r="BG34" i="44"/>
  <c r="BD34" i="44"/>
  <c r="AZ34" i="44"/>
  <c r="AV34" i="44"/>
  <c r="AR34" i="44"/>
  <c r="AN34" i="44"/>
  <c r="AK34" i="44"/>
  <c r="AG34" i="44"/>
  <c r="AC34" i="44"/>
  <c r="Y34" i="44"/>
  <c r="AM34" i="44"/>
  <c r="AE34" i="44"/>
  <c r="BF34" i="44"/>
  <c r="BB34" i="44"/>
  <c r="AX34" i="44"/>
  <c r="AT34" i="44"/>
  <c r="AP34" i="44"/>
  <c r="AI34" i="44"/>
  <c r="AA34" i="44"/>
  <c r="U32" i="44"/>
  <c r="W40" i="20" s="1"/>
  <c r="BF35" i="44"/>
  <c r="BB35" i="44"/>
  <c r="AX35" i="44"/>
  <c r="BH35" i="44" s="1"/>
  <c r="AT35" i="44"/>
  <c r="AP35" i="44"/>
  <c r="AM35" i="44"/>
  <c r="AI35" i="44"/>
  <c r="AJ35" i="44" s="1"/>
  <c r="AE35" i="44"/>
  <c r="AA35" i="44"/>
  <c r="BD35" i="44"/>
  <c r="AZ35" i="44"/>
  <c r="AV35" i="44"/>
  <c r="AR35" i="44"/>
  <c r="AN35" i="44"/>
  <c r="AK35" i="44"/>
  <c r="AL35" i="44" s="1"/>
  <c r="AG35" i="44"/>
  <c r="AC35" i="44"/>
  <c r="Y35" i="44"/>
  <c r="U33" i="44"/>
  <c r="W41" i="20" s="1"/>
  <c r="BF80" i="44"/>
  <c r="BD36" i="44"/>
  <c r="BE36" i="44" s="1"/>
  <c r="AZ36" i="44"/>
  <c r="AV36" i="44"/>
  <c r="AR36" i="44"/>
  <c r="AN36" i="44"/>
  <c r="AK36" i="44"/>
  <c r="AG36" i="44"/>
  <c r="AH36" i="44" s="1"/>
  <c r="AC36" i="44"/>
  <c r="Y36" i="44"/>
  <c r="Z36" i="44" s="1"/>
  <c r="BF36" i="44"/>
  <c r="BB36" i="44"/>
  <c r="BC36" i="44" s="1"/>
  <c r="AX36" i="44"/>
  <c r="AT36" i="44"/>
  <c r="AP36" i="44"/>
  <c r="AM36" i="44"/>
  <c r="AI36" i="44"/>
  <c r="AE36" i="44"/>
  <c r="AF36" i="44" s="1"/>
  <c r="AA36" i="44"/>
  <c r="U34" i="44"/>
  <c r="W42" i="20" s="1"/>
  <c r="I43" i="64"/>
  <c r="K43" i="64" s="1"/>
  <c r="L43" i="64" s="1"/>
  <c r="P43" i="64" s="1"/>
  <c r="V4" i="44"/>
  <c r="BN24" i="44" s="1"/>
  <c r="U5" i="44"/>
  <c r="U6" i="44"/>
  <c r="Y6" i="44"/>
  <c r="AC6" i="44"/>
  <c r="AG6" i="44"/>
  <c r="AK6" i="44"/>
  <c r="AN6" i="44"/>
  <c r="AR6" i="44"/>
  <c r="AV6" i="44"/>
  <c r="BO20" i="44" s="1"/>
  <c r="AZ6" i="44"/>
  <c r="BD6" i="44"/>
  <c r="BO22" i="44" s="1"/>
  <c r="U7" i="44"/>
  <c r="AA7" i="44"/>
  <c r="AE7" i="44"/>
  <c r="AI7" i="44"/>
  <c r="AM7" i="44"/>
  <c r="AP7" i="44"/>
  <c r="AT7" i="44"/>
  <c r="AX7" i="44"/>
  <c r="BH7" i="44" s="1"/>
  <c r="BB7" i="44"/>
  <c r="BF7" i="44"/>
  <c r="V8" i="44"/>
  <c r="AA8" i="44"/>
  <c r="AE8" i="44"/>
  <c r="AI8" i="44"/>
  <c r="AM8" i="44"/>
  <c r="AP8" i="44"/>
  <c r="AT8" i="44"/>
  <c r="AX8" i="44"/>
  <c r="BH8" i="44" s="1"/>
  <c r="BB8" i="44"/>
  <c r="BF8" i="44"/>
  <c r="U9" i="44"/>
  <c r="Y9" i="44"/>
  <c r="AC9" i="44"/>
  <c r="AG9" i="44"/>
  <c r="AK9" i="44"/>
  <c r="AN9" i="44"/>
  <c r="AR9" i="44"/>
  <c r="AV9" i="44"/>
  <c r="AZ9" i="44"/>
  <c r="BD9" i="44"/>
  <c r="U10" i="44"/>
  <c r="Y10" i="44"/>
  <c r="AC10" i="44"/>
  <c r="AG10" i="44"/>
  <c r="AK10" i="44"/>
  <c r="AP10" i="44"/>
  <c r="AT10" i="44"/>
  <c r="AX10" i="44"/>
  <c r="BH10" i="44" s="1"/>
  <c r="BB10" i="44"/>
  <c r="BF10" i="44"/>
  <c r="AA11" i="44"/>
  <c r="AB12" i="44" s="1"/>
  <c r="AG11" i="44"/>
  <c r="AN11" i="44"/>
  <c r="AV11" i="44"/>
  <c r="A27" i="44"/>
  <c r="A28" i="44" s="1"/>
  <c r="A29" i="44"/>
  <c r="A30" i="44" s="1"/>
  <c r="A31" i="44" s="1"/>
  <c r="A32" i="44" s="1"/>
  <c r="A33" i="44" s="1"/>
  <c r="A34" i="44" s="1"/>
  <c r="A35" i="44" s="1"/>
  <c r="A36" i="44" s="1"/>
  <c r="CC71" i="44"/>
  <c r="AC83" i="44"/>
  <c r="AA83" i="44" s="1"/>
  <c r="Y83" i="44" s="1"/>
  <c r="AE84" i="44"/>
  <c r="BN10" i="44"/>
  <c r="BD84" i="44"/>
  <c r="BB84" i="44" s="1"/>
  <c r="AZ84" i="44" s="1"/>
  <c r="AX84" i="44" s="1"/>
  <c r="AV84" i="44" s="1"/>
  <c r="AT84" i="44" s="1"/>
  <c r="AR84" i="44" s="1"/>
  <c r="AP84" i="44" s="1"/>
  <c r="AN84" i="44" s="1"/>
  <c r="AM84" i="44" s="1"/>
  <c r="AK84" i="44" s="1"/>
  <c r="AI84" i="44" s="1"/>
  <c r="AG84" i="44" s="1"/>
  <c r="AH12" i="44"/>
  <c r="AL12" i="44"/>
  <c r="AS12" i="44"/>
  <c r="BH12" i="44"/>
  <c r="Z13" i="44"/>
  <c r="AB13" i="44"/>
  <c r="AL13" i="44"/>
  <c r="AQ13" i="44"/>
  <c r="BE13" i="44"/>
  <c r="AF14" i="44"/>
  <c r="AJ14" i="44"/>
  <c r="AO14" i="44"/>
  <c r="AB15" i="44"/>
  <c r="AF15" i="44"/>
  <c r="AL16" i="44"/>
  <c r="AS16" i="44"/>
  <c r="AW16" i="44"/>
  <c r="BA16" i="44"/>
  <c r="AB17" i="44"/>
  <c r="AO17" i="44"/>
  <c r="Z18" i="44"/>
  <c r="AJ18" i="44"/>
  <c r="AS18" i="44"/>
  <c r="AH19" i="44"/>
  <c r="BA19" i="44"/>
  <c r="Z20" i="44"/>
  <c r="AF20" i="44"/>
  <c r="AH20" i="44"/>
  <c r="AJ20" i="44"/>
  <c r="BE20" i="44"/>
  <c r="AO21" i="44"/>
  <c r="Z22" i="44"/>
  <c r="AS22" i="44"/>
  <c r="AW22" i="44"/>
  <c r="BE22" i="44"/>
  <c r="AH23" i="44"/>
  <c r="AL23" i="44"/>
  <c r="AO23" i="44"/>
  <c r="AS23" i="44"/>
  <c r="AW23" i="44"/>
  <c r="BA23" i="44"/>
  <c r="BE23" i="44"/>
  <c r="BH23" i="44"/>
  <c r="AL24" i="44"/>
  <c r="BA24" i="44"/>
  <c r="AF25" i="44"/>
  <c r="AH25" i="44"/>
  <c r="AQ25" i="44"/>
  <c r="BE25" i="44"/>
  <c r="AO26" i="44"/>
  <c r="AU26" i="44"/>
  <c r="Z27" i="44"/>
  <c r="AB27" i="44"/>
  <c r="BE27" i="44"/>
  <c r="AH28" i="44"/>
  <c r="AJ28" i="44"/>
  <c r="AL28" i="44"/>
  <c r="AO28" i="44"/>
  <c r="AW28" i="44"/>
  <c r="BA29" i="44"/>
  <c r="AJ30" i="44"/>
  <c r="AS30" i="44"/>
  <c r="AW30" i="44"/>
  <c r="BA30" i="44"/>
  <c r="BH30" i="44"/>
  <c r="AL31" i="44"/>
  <c r="AO32" i="44"/>
  <c r="Z33" i="44"/>
  <c r="BA33" i="44"/>
  <c r="BA34" i="44"/>
  <c r="AJ12" i="44"/>
  <c r="AF13" i="44"/>
  <c r="AO13" i="44"/>
  <c r="BH13" i="44"/>
  <c r="AH14" i="44"/>
  <c r="AQ14" i="44"/>
  <c r="AS14" i="44"/>
  <c r="BA14" i="44"/>
  <c r="Z15" i="44"/>
  <c r="AQ15" i="44"/>
  <c r="AU15" i="44"/>
  <c r="AW15" i="44"/>
  <c r="AH16" i="44"/>
  <c r="AU16" i="44"/>
  <c r="AJ17" i="44"/>
  <c r="AQ18" i="44"/>
  <c r="AU18" i="44"/>
  <c r="AB19" i="44"/>
  <c r="AF19" i="44"/>
  <c r="AL19" i="44"/>
  <c r="AS19" i="44"/>
  <c r="AU19" i="44"/>
  <c r="AW19" i="44"/>
  <c r="AS20" i="44"/>
  <c r="AL21" i="44"/>
  <c r="BA21" i="44"/>
  <c r="AL22" i="44"/>
  <c r="AQ22" i="44"/>
  <c r="AU22" i="44"/>
  <c r="AJ23" i="44"/>
  <c r="AQ23" i="44"/>
  <c r="AU23" i="44"/>
  <c r="AQ24" i="44"/>
  <c r="AS24" i="44"/>
  <c r="AU24" i="44"/>
  <c r="AW24" i="44"/>
  <c r="AB26" i="44"/>
  <c r="AS26" i="44"/>
  <c r="AW26" i="44"/>
  <c r="BA26" i="44"/>
  <c r="AF27" i="44"/>
  <c r="AQ27" i="44"/>
  <c r="AW27" i="44"/>
  <c r="AS28" i="44"/>
  <c r="BE28" i="44"/>
  <c r="AQ29" i="44"/>
  <c r="AU29" i="44"/>
  <c r="Z30" i="44"/>
  <c r="AH30" i="44"/>
  <c r="AO30" i="44"/>
  <c r="AU30" i="44"/>
  <c r="Z31" i="44"/>
  <c r="AB31" i="44"/>
  <c r="AQ31" i="44"/>
  <c r="AB32" i="44"/>
  <c r="AF32" i="44"/>
  <c r="AJ33" i="44"/>
  <c r="AL33" i="44"/>
  <c r="AQ33" i="44"/>
  <c r="AW33" i="44"/>
  <c r="AS34" i="44"/>
  <c r="D44" i="20"/>
  <c r="C44" i="20"/>
  <c r="V43" i="20"/>
  <c r="U43" i="20"/>
  <c r="S43" i="20"/>
  <c r="Q43" i="20"/>
  <c r="O43" i="20"/>
  <c r="N43" i="20"/>
  <c r="L43" i="20"/>
  <c r="M43" i="20" s="1"/>
  <c r="K43" i="20"/>
  <c r="J43" i="20"/>
  <c r="I43" i="20"/>
  <c r="H43" i="20"/>
  <c r="G43" i="20"/>
  <c r="F43" i="20"/>
  <c r="E43" i="20"/>
  <c r="D43" i="20"/>
  <c r="C43" i="20"/>
  <c r="S42" i="20"/>
  <c r="Q42" i="20" s="1"/>
  <c r="O42" i="20" s="1"/>
  <c r="N42" i="20"/>
  <c r="L42" i="20"/>
  <c r="K42" i="20" s="1"/>
  <c r="J42" i="20"/>
  <c r="I42" i="20"/>
  <c r="H42" i="20"/>
  <c r="G42" i="20"/>
  <c r="F42" i="20"/>
  <c r="E42" i="20"/>
  <c r="D42" i="20"/>
  <c r="C42" i="20"/>
  <c r="N41" i="20"/>
  <c r="L41" i="20"/>
  <c r="K41" i="20" s="1"/>
  <c r="J41" i="20"/>
  <c r="I41" i="20"/>
  <c r="H41" i="20"/>
  <c r="G41" i="20"/>
  <c r="F41" i="20"/>
  <c r="E41" i="20"/>
  <c r="D41" i="20"/>
  <c r="C41" i="20"/>
  <c r="N40" i="20"/>
  <c r="L40" i="20"/>
  <c r="K40" i="20" s="1"/>
  <c r="J40" i="20"/>
  <c r="I40" i="20"/>
  <c r="H40" i="20"/>
  <c r="G40" i="20"/>
  <c r="F40" i="20"/>
  <c r="E40" i="20" s="1"/>
  <c r="D40" i="20"/>
  <c r="C40" i="20"/>
  <c r="S39" i="20"/>
  <c r="Q39" i="20" s="1"/>
  <c r="O39" i="20" s="1"/>
  <c r="N39" i="20"/>
  <c r="L39" i="20"/>
  <c r="K39" i="20" s="1"/>
  <c r="J39" i="20"/>
  <c r="I39" i="20"/>
  <c r="H39" i="20"/>
  <c r="G39" i="20"/>
  <c r="F39" i="20"/>
  <c r="E39" i="20" s="1"/>
  <c r="D39" i="20"/>
  <c r="C39" i="20"/>
  <c r="AU32" i="44" l="1"/>
  <c r="AB36" i="44"/>
  <c r="AJ36" i="44"/>
  <c r="AQ36" i="44"/>
  <c r="AD36" i="44"/>
  <c r="AL36" i="44"/>
  <c r="BA36" i="44"/>
  <c r="AU34" i="44"/>
  <c r="AH31" i="44"/>
  <c r="AW31" i="44"/>
  <c r="Z29" i="44"/>
  <c r="AH27" i="44"/>
  <c r="AL25" i="44"/>
  <c r="BA25" i="44"/>
  <c r="AB23" i="44"/>
  <c r="BA22" i="44"/>
  <c r="AF21" i="44"/>
  <c r="AW20" i="44"/>
  <c r="AL18" i="44"/>
  <c r="AF17" i="44"/>
  <c r="AS15" i="44"/>
  <c r="BA15" i="44"/>
  <c r="AS13" i="44"/>
  <c r="BA13" i="44"/>
  <c r="AL27" i="44"/>
  <c r="BA27" i="44"/>
  <c r="Z35" i="44"/>
  <c r="AH35" i="44"/>
  <c r="BE29" i="44"/>
  <c r="AU27" i="44"/>
  <c r="AU13" i="44"/>
  <c r="BA28" i="44"/>
  <c r="AU20" i="44"/>
  <c r="AU14" i="44"/>
  <c r="AF34" i="44"/>
  <c r="BE34" i="44"/>
  <c r="AJ29" i="44"/>
  <c r="Z28" i="44"/>
  <c r="M42" i="20"/>
  <c r="BO10" i="44"/>
  <c r="BH36" i="44"/>
  <c r="AY36" i="44"/>
  <c r="BG80" i="44"/>
  <c r="BG36" i="44"/>
  <c r="V34" i="44"/>
  <c r="AS36" i="44"/>
  <c r="AS35" i="44"/>
  <c r="AB35" i="44"/>
  <c r="AQ35" i="44"/>
  <c r="BC35" i="44"/>
  <c r="AF35" i="44"/>
  <c r="BE35" i="44"/>
  <c r="AB34" i="44"/>
  <c r="AJ34" i="44"/>
  <c r="AQ34" i="44"/>
  <c r="AL34" i="44"/>
  <c r="AU33" i="44"/>
  <c r="AF33" i="44"/>
  <c r="AJ32" i="44"/>
  <c r="AQ32" i="44"/>
  <c r="Z32" i="44"/>
  <c r="V30" i="44"/>
  <c r="AO31" i="44"/>
  <c r="BG30" i="44"/>
  <c r="V28" i="44"/>
  <c r="AB29" i="44"/>
  <c r="AF29" i="44"/>
  <c r="AH29" i="44"/>
  <c r="AO29" i="44"/>
  <c r="AW29" i="44"/>
  <c r="AB28" i="44"/>
  <c r="AJ27" i="44"/>
  <c r="AQ28" i="44"/>
  <c r="BG27" i="44"/>
  <c r="V25" i="44"/>
  <c r="AS27" i="44"/>
  <c r="BG24" i="44"/>
  <c r="BH65" i="44"/>
  <c r="BG22" i="44"/>
  <c r="V20" i="44"/>
  <c r="AO12" i="44"/>
  <c r="BA12" i="44"/>
  <c r="BH55" i="44"/>
  <c r="BG12" i="44"/>
  <c r="V10" i="44"/>
  <c r="AU25" i="44"/>
  <c r="AL26" i="44"/>
  <c r="AS25" i="44"/>
  <c r="BH68" i="44"/>
  <c r="BG25" i="44"/>
  <c r="V23" i="44"/>
  <c r="Z24" i="44"/>
  <c r="AO24" i="44"/>
  <c r="BE24" i="44"/>
  <c r="AB24" i="44"/>
  <c r="BH66" i="44"/>
  <c r="BG23" i="44"/>
  <c r="BF23" i="44" s="1"/>
  <c r="V21" i="44"/>
  <c r="AS21" i="44"/>
  <c r="AF22" i="44"/>
  <c r="AU21" i="44"/>
  <c r="BH64" i="44"/>
  <c r="BG21" i="44"/>
  <c r="V19" i="44"/>
  <c r="AO20" i="44"/>
  <c r="BE19" i="44"/>
  <c r="AS17" i="44"/>
  <c r="BA18" i="44"/>
  <c r="AU17" i="44"/>
  <c r="BH60" i="44"/>
  <c r="BG17" i="44"/>
  <c r="V15" i="44"/>
  <c r="AJ15" i="44"/>
  <c r="AL15" i="44"/>
  <c r="BH58" i="44"/>
  <c r="BG15" i="44"/>
  <c r="V13" i="44"/>
  <c r="AB14" i="44"/>
  <c r="AJ13" i="44"/>
  <c r="AL14" i="44"/>
  <c r="BH56" i="44"/>
  <c r="BG13" i="44"/>
  <c r="V11" i="44"/>
  <c r="X19" i="20" s="1"/>
  <c r="AU12" i="44"/>
  <c r="BE12" i="44"/>
  <c r="P44" i="64"/>
  <c r="O44" i="64"/>
  <c r="AC84" i="44"/>
  <c r="AA84" i="44" s="1"/>
  <c r="Y84" i="44" s="1"/>
  <c r="AE85" i="44"/>
  <c r="CC72" i="44"/>
  <c r="O43" i="64"/>
  <c r="BF81" i="44"/>
  <c r="BF82" i="44" s="1"/>
  <c r="BF83" i="44" s="1"/>
  <c r="BF84" i="44" s="1"/>
  <c r="BF85" i="44" s="1"/>
  <c r="U35" i="44"/>
  <c r="W43" i="20" s="1"/>
  <c r="AO36" i="44"/>
  <c r="AO35" i="44"/>
  <c r="AW36" i="44"/>
  <c r="AW35" i="44"/>
  <c r="AU36" i="44"/>
  <c r="AU35" i="44"/>
  <c r="BG35" i="44"/>
  <c r="V33" i="44"/>
  <c r="AY35" i="44"/>
  <c r="BH34" i="44"/>
  <c r="BA35" i="44"/>
  <c r="Z34" i="44"/>
  <c r="AH34" i="44"/>
  <c r="AO34" i="44"/>
  <c r="AW34" i="44"/>
  <c r="V32" i="44"/>
  <c r="AO33" i="44"/>
  <c r="AL32" i="44"/>
  <c r="BA32" i="44"/>
  <c r="BG31" i="44"/>
  <c r="V29" i="44"/>
  <c r="BA31" i="44"/>
  <c r="AF30" i="44"/>
  <c r="V27" i="44"/>
  <c r="BG29" i="44"/>
  <c r="AS29" i="44"/>
  <c r="AO27" i="44"/>
  <c r="BG26" i="44"/>
  <c r="BF26" i="44" s="1"/>
  <c r="V24" i="44"/>
  <c r="BH67" i="44"/>
  <c r="V22" i="44"/>
  <c r="BH63" i="44"/>
  <c r="V18" i="44"/>
  <c r="BG20" i="44"/>
  <c r="BH61" i="44"/>
  <c r="V16" i="44"/>
  <c r="BG18" i="44"/>
  <c r="BH59" i="44"/>
  <c r="V14" i="44"/>
  <c r="BG16" i="44"/>
  <c r="BH57" i="44"/>
  <c r="V12" i="44"/>
  <c r="W12" i="44" s="1"/>
  <c r="BG14" i="44"/>
  <c r="AW12" i="44"/>
  <c r="Z26" i="44"/>
  <c r="AH26" i="44"/>
  <c r="AQ26" i="44"/>
  <c r="AF26" i="44"/>
  <c r="AO25" i="44"/>
  <c r="AW25" i="44"/>
  <c r="BE26" i="44"/>
  <c r="AF23" i="44"/>
  <c r="AH22" i="44"/>
  <c r="AO22" i="44"/>
  <c r="AW21" i="44"/>
  <c r="AJ22" i="44"/>
  <c r="AQ21" i="44"/>
  <c r="AB20" i="44"/>
  <c r="AQ20" i="44"/>
  <c r="AL20" i="44"/>
  <c r="BA20" i="44"/>
  <c r="BH62" i="44"/>
  <c r="BG19" i="44"/>
  <c r="V17" i="44"/>
  <c r="Z17" i="44"/>
  <c r="AO18" i="44"/>
  <c r="AW17" i="44"/>
  <c r="BE17" i="44"/>
  <c r="AB18" i="44"/>
  <c r="AQ17" i="44"/>
  <c r="AF16" i="44"/>
  <c r="AH15" i="44"/>
  <c r="Z14" i="44"/>
  <c r="AH13" i="44"/>
  <c r="AW13" i="44"/>
  <c r="BE14" i="44"/>
  <c r="BH54" i="44"/>
  <c r="BG11" i="44"/>
  <c r="V9" i="44"/>
  <c r="L45" i="64"/>
  <c r="A46" i="64"/>
  <c r="M39" i="20"/>
  <c r="M40" i="20"/>
  <c r="M41" i="20"/>
  <c r="BD85" i="44"/>
  <c r="BB85" i="44" s="1"/>
  <c r="AZ85" i="44" s="1"/>
  <c r="AX85" i="44" s="1"/>
  <c r="AV85" i="44" s="1"/>
  <c r="AT85" i="44" s="1"/>
  <c r="AR85" i="44" s="1"/>
  <c r="AP85" i="44" s="1"/>
  <c r="AN85" i="44" s="1"/>
  <c r="AM85" i="44" s="1"/>
  <c r="AK85" i="44" s="1"/>
  <c r="AI85" i="44" s="1"/>
  <c r="AG85" i="44" s="1"/>
  <c r="BF86" i="44"/>
  <c r="S38" i="20"/>
  <c r="Q38" i="20" s="1"/>
  <c r="O38" i="20" s="1"/>
  <c r="N38" i="20"/>
  <c r="L38" i="20"/>
  <c r="K38" i="20" s="1"/>
  <c r="J38" i="20"/>
  <c r="I38" i="20"/>
  <c r="H38" i="20"/>
  <c r="G38" i="20"/>
  <c r="F38" i="20"/>
  <c r="E38" i="20" s="1"/>
  <c r="D38" i="20"/>
  <c r="C38" i="20"/>
  <c r="S37" i="20"/>
  <c r="Q37" i="20" s="1"/>
  <c r="O37" i="20"/>
  <c r="N37" i="20"/>
  <c r="L37" i="20"/>
  <c r="K37" i="20" s="1"/>
  <c r="J37" i="20"/>
  <c r="I37" i="20"/>
  <c r="H37" i="20"/>
  <c r="G37" i="20"/>
  <c r="F37" i="20"/>
  <c r="E37" i="20" s="1"/>
  <c r="D37" i="20"/>
  <c r="C37" i="20"/>
  <c r="N36" i="20"/>
  <c r="L36" i="20"/>
  <c r="K36" i="20" s="1"/>
  <c r="J36" i="20"/>
  <c r="BD86" i="44" l="1"/>
  <c r="BF87" i="44"/>
  <c r="M37" i="20"/>
  <c r="M38" i="20"/>
  <c r="P45" i="64"/>
  <c r="O45" i="64"/>
  <c r="CC73" i="44"/>
  <c r="CC74" i="44" s="1"/>
  <c r="AC85" i="44"/>
  <c r="AA85" i="44" s="1"/>
  <c r="Y85" i="44" s="1"/>
  <c r="AE86" i="44"/>
  <c r="AE87" i="44" s="1"/>
  <c r="BG81" i="44"/>
  <c r="BG82" i="44" s="1"/>
  <c r="BG83" i="44" s="1"/>
  <c r="BG84" i="44" s="1"/>
  <c r="BG85" i="44" s="1"/>
  <c r="BG86" i="44" s="1"/>
  <c r="BG87" i="44" s="1"/>
  <c r="V35" i="44"/>
  <c r="A47" i="64"/>
  <c r="R44" i="64"/>
  <c r="M36" i="20"/>
  <c r="I36" i="20"/>
  <c r="H36" i="20"/>
  <c r="G36" i="20"/>
  <c r="F36" i="20"/>
  <c r="E36" i="20" s="1"/>
  <c r="D36" i="20"/>
  <c r="C36" i="20"/>
  <c r="N35" i="20"/>
  <c r="L35" i="20"/>
  <c r="K35" i="20" s="1"/>
  <c r="J35" i="20"/>
  <c r="I35" i="20"/>
  <c r="H35" i="20"/>
  <c r="G35" i="20"/>
  <c r="F35" i="20"/>
  <c r="E35" i="20" s="1"/>
  <c r="D35" i="20"/>
  <c r="C35" i="20"/>
  <c r="N34" i="20"/>
  <c r="L34" i="20"/>
  <c r="K34" i="20" s="1"/>
  <c r="J34" i="20"/>
  <c r="I34" i="20"/>
  <c r="H34" i="20"/>
  <c r="G34" i="20"/>
  <c r="F34" i="20"/>
  <c r="E34" i="20" s="1"/>
  <c r="D34" i="20"/>
  <c r="C34" i="20"/>
  <c r="N33" i="20"/>
  <c r="L33" i="20"/>
  <c r="K33" i="20" s="1"/>
  <c r="J33" i="20"/>
  <c r="I33" i="20"/>
  <c r="H33" i="20"/>
  <c r="G33" i="20"/>
  <c r="F33" i="20"/>
  <c r="E33" i="20" s="1"/>
  <c r="D33" i="20"/>
  <c r="C33" i="20"/>
  <c r="A33" i="20"/>
  <c r="X32" i="20" s="1"/>
  <c r="N32" i="20"/>
  <c r="L32" i="20"/>
  <c r="K32" i="20" s="1"/>
  <c r="J32" i="20"/>
  <c r="I32" i="20"/>
  <c r="H32" i="20"/>
  <c r="G32" i="20"/>
  <c r="F32" i="20"/>
  <c r="E32" i="20" s="1"/>
  <c r="D32" i="20"/>
  <c r="C32" i="20"/>
  <c r="X31" i="20" s="1"/>
  <c r="N31" i="20"/>
  <c r="L31" i="20"/>
  <c r="K31" i="20" s="1"/>
  <c r="J31" i="20"/>
  <c r="I31" i="20"/>
  <c r="H31" i="20"/>
  <c r="G31" i="20"/>
  <c r="F31" i="20"/>
  <c r="E31" i="20" s="1"/>
  <c r="D31" i="20"/>
  <c r="C31" i="20"/>
  <c r="X30" i="20" s="1"/>
  <c r="N30" i="20"/>
  <c r="L30" i="20"/>
  <c r="K30" i="20" s="1"/>
  <c r="J30" i="20"/>
  <c r="I30" i="20"/>
  <c r="H30" i="20"/>
  <c r="G30" i="20"/>
  <c r="F30" i="20"/>
  <c r="E30" i="20" s="1"/>
  <c r="D30" i="20"/>
  <c r="C30" i="20"/>
  <c r="X29" i="20" s="1"/>
  <c r="N29" i="20"/>
  <c r="L29" i="20"/>
  <c r="K29" i="20" s="1"/>
  <c r="J29" i="20"/>
  <c r="I29" i="20"/>
  <c r="H29" i="20"/>
  <c r="G29" i="20"/>
  <c r="F29" i="20"/>
  <c r="E29" i="20" s="1"/>
  <c r="D29" i="20"/>
  <c r="C29" i="20"/>
  <c r="X28" i="20" s="1"/>
  <c r="N28" i="20"/>
  <c r="L28" i="20"/>
  <c r="K28" i="20" s="1"/>
  <c r="J28" i="20"/>
  <c r="I28" i="20"/>
  <c r="H28" i="20"/>
  <c r="G28" i="20"/>
  <c r="F28" i="20"/>
  <c r="E28" i="20" s="1"/>
  <c r="D28" i="20"/>
  <c r="C28" i="20"/>
  <c r="X27" i="20" s="1"/>
  <c r="N27" i="20"/>
  <c r="L27" i="20"/>
  <c r="K27" i="20" s="1"/>
  <c r="J27" i="20"/>
  <c r="I27" i="20"/>
  <c r="H27" i="20"/>
  <c r="G27" i="20"/>
  <c r="F27" i="20"/>
  <c r="E27" i="20" s="1"/>
  <c r="D27" i="20"/>
  <c r="C27" i="20"/>
  <c r="X26" i="20" s="1"/>
  <c r="N26" i="20"/>
  <c r="L26" i="20"/>
  <c r="K26" i="20" s="1"/>
  <c r="J26" i="20"/>
  <c r="I26" i="20"/>
  <c r="H26" i="20"/>
  <c r="G26" i="20"/>
  <c r="F26" i="20"/>
  <c r="E26" i="20" s="1"/>
  <c r="D26" i="20"/>
  <c r="C26" i="20"/>
  <c r="X25" i="20" s="1"/>
  <c r="N25" i="20"/>
  <c r="L25" i="20"/>
  <c r="K25" i="20" s="1"/>
  <c r="J25" i="20"/>
  <c r="I25" i="20"/>
  <c r="H25" i="20"/>
  <c r="G25" i="20"/>
  <c r="F25" i="20"/>
  <c r="E25" i="20" s="1"/>
  <c r="D25" i="20"/>
  <c r="C25" i="20"/>
  <c r="X24" i="20" s="1"/>
  <c r="N24" i="20"/>
  <c r="L24" i="20"/>
  <c r="K24" i="20" s="1"/>
  <c r="J24" i="20"/>
  <c r="I24" i="20"/>
  <c r="H24" i="20"/>
  <c r="G24" i="20"/>
  <c r="F24" i="20"/>
  <c r="E24" i="20" s="1"/>
  <c r="D24" i="20"/>
  <c r="C24" i="20"/>
  <c r="X23" i="20" s="1"/>
  <c r="Z23" i="22" s="1"/>
  <c r="N23" i="20"/>
  <c r="L23" i="20"/>
  <c r="K23" i="20" s="1"/>
  <c r="J23" i="20"/>
  <c r="I23" i="20"/>
  <c r="H23" i="20"/>
  <c r="G23" i="20"/>
  <c r="F23" i="20"/>
  <c r="E23" i="20" s="1"/>
  <c r="D23" i="20"/>
  <c r="C23" i="20"/>
  <c r="X22" i="20" s="1"/>
  <c r="N22" i="20"/>
  <c r="L22" i="20"/>
  <c r="K22" i="20" s="1"/>
  <c r="J22" i="20"/>
  <c r="I22" i="20"/>
  <c r="H22" i="20"/>
  <c r="G22" i="20"/>
  <c r="F22" i="20"/>
  <c r="E22" i="20" s="1"/>
  <c r="D22" i="20"/>
  <c r="C22" i="20"/>
  <c r="X21" i="20" s="1"/>
  <c r="N21" i="20"/>
  <c r="L21" i="20"/>
  <c r="K21" i="20" s="1"/>
  <c r="J21" i="20"/>
  <c r="I21" i="20"/>
  <c r="H21" i="20"/>
  <c r="G21" i="20"/>
  <c r="F21" i="20"/>
  <c r="E21" i="20" s="1"/>
  <c r="D21" i="20"/>
  <c r="C21" i="20"/>
  <c r="X20" i="20" s="1"/>
  <c r="N20" i="20"/>
  <c r="L20" i="20"/>
  <c r="K20" i="20" s="1"/>
  <c r="J20" i="20"/>
  <c r="I20" i="20"/>
  <c r="H20" i="20"/>
  <c r="G20" i="20"/>
  <c r="F20" i="20"/>
  <c r="E20" i="20" s="1"/>
  <c r="D20" i="20"/>
  <c r="C20" i="20"/>
  <c r="N19" i="20"/>
  <c r="L19" i="20"/>
  <c r="K19" i="20" s="1"/>
  <c r="J19" i="20"/>
  <c r="I19" i="20"/>
  <c r="H19" i="20"/>
  <c r="G19" i="20"/>
  <c r="F19" i="20"/>
  <c r="E19" i="20" s="1"/>
  <c r="D19" i="20"/>
  <c r="C19" i="20"/>
  <c r="X18" i="20" s="1"/>
  <c r="N18" i="20"/>
  <c r="L18" i="20"/>
  <c r="K18" i="20" s="1"/>
  <c r="J18" i="20"/>
  <c r="I18" i="20"/>
  <c r="H18" i="20"/>
  <c r="G18" i="20"/>
  <c r="F18" i="20"/>
  <c r="E18" i="20" s="1"/>
  <c r="D18" i="20"/>
  <c r="C18" i="20"/>
  <c r="X17" i="20" s="1"/>
  <c r="N17" i="20"/>
  <c r="L17" i="20"/>
  <c r="K17" i="20" s="1"/>
  <c r="J17" i="20"/>
  <c r="I17" i="20"/>
  <c r="H17" i="20"/>
  <c r="G17" i="20"/>
  <c r="F17" i="20"/>
  <c r="D17" i="20"/>
  <c r="C17" i="20"/>
  <c r="X16" i="20" s="1"/>
  <c r="N16" i="20"/>
  <c r="L16" i="20"/>
  <c r="K16" i="20" s="1"/>
  <c r="J16" i="20"/>
  <c r="I16" i="20"/>
  <c r="H16" i="20"/>
  <c r="G16" i="20"/>
  <c r="F16" i="20"/>
  <c r="D16" i="20"/>
  <c r="C16" i="20"/>
  <c r="X15" i="20" s="1"/>
  <c r="Z15" i="22" s="1"/>
  <c r="N15" i="20"/>
  <c r="L15" i="20"/>
  <c r="K15" i="20" s="1"/>
  <c r="J15" i="20"/>
  <c r="I15" i="20"/>
  <c r="H15" i="20"/>
  <c r="G15" i="20"/>
  <c r="F15" i="20"/>
  <c r="D15" i="20"/>
  <c r="C15" i="20"/>
  <c r="X14" i="20" s="1"/>
  <c r="Z14" i="22" s="1"/>
  <c r="N14" i="20"/>
  <c r="L14" i="20"/>
  <c r="K14" i="20" s="1"/>
  <c r="J14" i="20"/>
  <c r="I14" i="20"/>
  <c r="H14" i="20"/>
  <c r="G14" i="20"/>
  <c r="F14" i="20"/>
  <c r="D14" i="20"/>
  <c r="C14" i="20"/>
  <c r="X13" i="20" s="1"/>
  <c r="N13" i="20"/>
  <c r="L13" i="20"/>
  <c r="K13" i="20" s="1"/>
  <c r="J13" i="20"/>
  <c r="I13" i="20"/>
  <c r="H13" i="20"/>
  <c r="G13" i="20"/>
  <c r="F13" i="20"/>
  <c r="D13" i="20"/>
  <c r="C13" i="20"/>
  <c r="X12" i="20" s="1"/>
  <c r="W12" i="20"/>
  <c r="V12" i="20" s="1"/>
  <c r="U12" i="20"/>
  <c r="S12" i="20"/>
  <c r="Q12" i="20"/>
  <c r="O12" i="20"/>
  <c r="N12" i="20"/>
  <c r="L12" i="20"/>
  <c r="M12" i="20" s="1"/>
  <c r="K12" i="20"/>
  <c r="J12" i="20"/>
  <c r="I12" i="20"/>
  <c r="H12" i="20"/>
  <c r="G12" i="20" s="1"/>
  <c r="F12" i="20"/>
  <c r="E12" i="20"/>
  <c r="D12" i="20"/>
  <c r="C12" i="20"/>
  <c r="Z9" i="22" l="1"/>
  <c r="Z10" i="22"/>
  <c r="Z11" i="22"/>
  <c r="Z12" i="22"/>
  <c r="Z8" i="22"/>
  <c r="Z20" i="22"/>
  <c r="Z32" i="22"/>
  <c r="Z13" i="22"/>
  <c r="Z17" i="22"/>
  <c r="Z21" i="22"/>
  <c r="Z25" i="22"/>
  <c r="Z29" i="22"/>
  <c r="Z18" i="22"/>
  <c r="Z22" i="22"/>
  <c r="Z26" i="22"/>
  <c r="Z30" i="22"/>
  <c r="Z27" i="22"/>
  <c r="Z31" i="22"/>
  <c r="Z16" i="22"/>
  <c r="Z24" i="22"/>
  <c r="Z28" i="22"/>
  <c r="Z19" i="22"/>
  <c r="W14" i="20"/>
  <c r="O14" i="20" s="1"/>
  <c r="W16" i="20"/>
  <c r="O16" i="20" s="1"/>
  <c r="W18" i="20"/>
  <c r="Q18" i="20" s="1"/>
  <c r="O18" i="20" s="1"/>
  <c r="W13" i="20"/>
  <c r="O13" i="20" s="1"/>
  <c r="W15" i="20"/>
  <c r="O15" i="20" s="1"/>
  <c r="W17" i="20"/>
  <c r="O17" i="20" s="1"/>
  <c r="BB86" i="44"/>
  <c r="BB87" i="44" s="1"/>
  <c r="BD87" i="44"/>
  <c r="AZ86" i="44"/>
  <c r="AX86" i="44"/>
  <c r="AZ87" i="44"/>
  <c r="AV86" i="44"/>
  <c r="AX87" i="44"/>
  <c r="AP86" i="44"/>
  <c r="AR87" i="44"/>
  <c r="AK86" i="44"/>
  <c r="AK87" i="44" s="1"/>
  <c r="AM87" i="44"/>
  <c r="AI86" i="44"/>
  <c r="M26" i="20"/>
  <c r="M28" i="20"/>
  <c r="M30" i="20"/>
  <c r="M32" i="20"/>
  <c r="M33" i="20"/>
  <c r="M13" i="20"/>
  <c r="M15" i="20"/>
  <c r="M17" i="20"/>
  <c r="M19" i="20"/>
  <c r="M20" i="20"/>
  <c r="V22" i="20"/>
  <c r="U22" i="20" s="1"/>
  <c r="S22" i="20" s="1"/>
  <c r="Q22" i="20" s="1"/>
  <c r="O22" i="20" s="1"/>
  <c r="M23" i="20"/>
  <c r="M27" i="20"/>
  <c r="M29" i="20"/>
  <c r="M31" i="20"/>
  <c r="A34" i="20"/>
  <c r="X33" i="20" s="1"/>
  <c r="Z33" i="22" s="1"/>
  <c r="M35" i="20"/>
  <c r="R43" i="64"/>
  <c r="Q43" i="64" s="1"/>
  <c r="AC86" i="44"/>
  <c r="BR74" i="44"/>
  <c r="BR73" i="44" s="1"/>
  <c r="BR72" i="44" s="1"/>
  <c r="BR71" i="44" s="1"/>
  <c r="BR70" i="44" s="1"/>
  <c r="BR69" i="44" s="1"/>
  <c r="BR68" i="44" s="1"/>
  <c r="BR67" i="44" s="1"/>
  <c r="BR66" i="44" s="1"/>
  <c r="CC75" i="44"/>
  <c r="CC76" i="44" s="1"/>
  <c r="CC77" i="44" s="1"/>
  <c r="CC78" i="44" s="1"/>
  <c r="CC79" i="44" s="1"/>
  <c r="CC80" i="44" s="1"/>
  <c r="R45" i="64"/>
  <c r="V20" i="20"/>
  <c r="U20" i="20" s="1"/>
  <c r="S20" i="20" s="1"/>
  <c r="Q20" i="20" s="1"/>
  <c r="O20" i="20" s="1"/>
  <c r="V23" i="20"/>
  <c r="U23" i="20" s="1"/>
  <c r="S23" i="20" s="1"/>
  <c r="Q23" i="20" s="1"/>
  <c r="O23" i="20" s="1"/>
  <c r="Q44" i="64"/>
  <c r="A48" i="64"/>
  <c r="Q45" i="64"/>
  <c r="M14" i="20"/>
  <c r="M16" i="20"/>
  <c r="M18" i="20"/>
  <c r="M21" i="20"/>
  <c r="M22" i="20"/>
  <c r="M24" i="20"/>
  <c r="M25" i="20"/>
  <c r="M34" i="20"/>
  <c r="A35" i="20" l="1"/>
  <c r="AT86" i="44"/>
  <c r="AV87" i="44"/>
  <c r="AN86" i="44"/>
  <c r="AP87" i="44"/>
  <c r="AR86" i="44"/>
  <c r="AT87" i="44"/>
  <c r="AG86" i="44"/>
  <c r="AG87" i="44" s="1"/>
  <c r="AI87" i="44"/>
  <c r="AA86" i="44"/>
  <c r="AA87" i="44" s="1"/>
  <c r="AC87" i="44"/>
  <c r="Y86" i="44"/>
  <c r="Y87" i="44" s="1"/>
  <c r="X35" i="20"/>
  <c r="Z35" i="22" s="1"/>
  <c r="A49" i="64"/>
  <c r="A50" i="64" s="1"/>
  <c r="X34" i="20" l="1"/>
  <c r="Z34" i="22" s="1"/>
  <c r="A36" i="20"/>
  <c r="A37" i="20" s="1"/>
  <c r="AM86" i="44"/>
  <c r="AN87" i="44"/>
  <c r="X36" i="20"/>
  <c r="Z36" i="22" s="1"/>
  <c r="A38" i="20"/>
  <c r="X37" i="20" l="1"/>
  <c r="Z37" i="22" s="1"/>
  <c r="A39" i="20"/>
  <c r="X38" i="20" l="1"/>
  <c r="Z38" i="22" s="1"/>
  <c r="A40" i="20"/>
  <c r="X39" i="20" l="1"/>
  <c r="Z39" i="22" s="1"/>
  <c r="A41" i="20"/>
  <c r="X40" i="20" l="1"/>
  <c r="Z40" i="22" s="1"/>
  <c r="A42" i="20"/>
  <c r="X41" i="20" l="1"/>
  <c r="Z41" i="22" s="1"/>
  <c r="A43" i="20"/>
  <c r="X42" i="20" l="1"/>
  <c r="Z42" i="22" s="1"/>
  <c r="A44" i="20"/>
  <c r="X43" i="20" s="1"/>
  <c r="Z43" i="22" s="1"/>
  <c r="X43" i="6" l="1"/>
  <c r="W43" i="6"/>
  <c r="M42" i="6" l="1"/>
  <c r="D42" i="6" l="1"/>
  <c r="H42" i="6" s="1"/>
  <c r="H43" i="6" s="1"/>
  <c r="H44" i="6" s="1"/>
  <c r="H45" i="6" s="1"/>
  <c r="H46" i="6" s="1"/>
  <c r="H47" i="6" s="1"/>
  <c r="H48" i="6" s="1"/>
  <c r="H49" i="6" s="1"/>
  <c r="H50" i="6" s="1"/>
  <c r="M41" i="6"/>
  <c r="D41" i="6" l="1"/>
  <c r="U40" i="6"/>
  <c r="M40" i="6"/>
  <c r="H41" i="6" l="1"/>
  <c r="D40" i="6"/>
  <c r="M39" i="6"/>
  <c r="H40" i="6" l="1"/>
  <c r="D39" i="6"/>
  <c r="M38" i="6"/>
  <c r="H39" i="6" l="1"/>
  <c r="D38" i="6"/>
  <c r="M37" i="6"/>
  <c r="D37" i="6"/>
  <c r="M36" i="6"/>
  <c r="D36" i="6"/>
  <c r="M35" i="6"/>
  <c r="H36" i="6" l="1"/>
  <c r="H37" i="6"/>
  <c r="H38" i="6"/>
  <c r="D35" i="6"/>
  <c r="M34" i="6"/>
  <c r="H35" i="6" l="1"/>
  <c r="D34" i="6"/>
  <c r="M33" i="6"/>
  <c r="D33" i="6"/>
  <c r="A33" i="6"/>
  <c r="V32" i="6" s="1"/>
  <c r="U32" i="6" s="1"/>
  <c r="M32" i="6"/>
  <c r="H33" i="6" l="1"/>
  <c r="H34" i="6"/>
  <c r="D32" i="6"/>
  <c r="H32" i="6" l="1"/>
  <c r="M31" i="6"/>
  <c r="D31" i="6" l="1"/>
  <c r="M30" i="6"/>
  <c r="D30" i="6"/>
  <c r="M29" i="6"/>
  <c r="H31" i="6" l="1"/>
  <c r="H30" i="6"/>
  <c r="D29" i="6"/>
  <c r="M28" i="6"/>
  <c r="D28" i="6"/>
  <c r="M27" i="6"/>
  <c r="H28" i="6" l="1"/>
  <c r="H29" i="6"/>
  <c r="D27" i="6"/>
  <c r="M26" i="6"/>
  <c r="D26" i="6"/>
  <c r="M25" i="6"/>
  <c r="H26" i="6" l="1"/>
  <c r="H27" i="6"/>
  <c r="D25" i="6"/>
  <c r="M24" i="6"/>
  <c r="D24" i="6"/>
  <c r="M23" i="6"/>
  <c r="H24" i="6" l="1"/>
  <c r="H25" i="6"/>
  <c r="D23" i="6"/>
  <c r="M22" i="6"/>
  <c r="D22" i="6"/>
  <c r="M21" i="6"/>
  <c r="D21" i="6"/>
  <c r="M20" i="6"/>
  <c r="D20" i="6"/>
  <c r="M19" i="6"/>
  <c r="D19" i="6"/>
  <c r="M18" i="6"/>
  <c r="D18" i="6"/>
  <c r="AY17" i="6"/>
  <c r="AW17" i="6"/>
  <c r="AU17" i="6"/>
  <c r="AS17" i="6"/>
  <c r="AQ17" i="6"/>
  <c r="AO17" i="6"/>
  <c r="AM17" i="6"/>
  <c r="AK17" i="6"/>
  <c r="AI17" i="6"/>
  <c r="AG17" i="6"/>
  <c r="AE17" i="6"/>
  <c r="AC17" i="6"/>
  <c r="AB17" i="6"/>
  <c r="AA17" i="6"/>
  <c r="V17" i="6" s="1"/>
  <c r="U17" i="6" s="1"/>
  <c r="S17" i="6"/>
  <c r="Q17" i="6"/>
  <c r="R17" i="6" s="1"/>
  <c r="O17" i="6"/>
  <c r="P17" i="6" s="1"/>
  <c r="N17" i="6"/>
  <c r="M17" i="6"/>
  <c r="K17" i="6"/>
  <c r="J17" i="6"/>
  <c r="I17" i="6"/>
  <c r="G17" i="6"/>
  <c r="F17" i="6"/>
  <c r="E17" i="6"/>
  <c r="D17" i="6"/>
  <c r="C17" i="6"/>
  <c r="B17" i="6"/>
  <c r="M16" i="6"/>
  <c r="D16" i="6"/>
  <c r="AP15" i="6"/>
  <c r="AN15" i="6" s="1"/>
  <c r="AL15" i="6" s="1"/>
  <c r="AJ15" i="6" s="1"/>
  <c r="AH15" i="6" s="1"/>
  <c r="AF15" i="6"/>
  <c r="AF16" i="6" s="1"/>
  <c r="AD15" i="6"/>
  <c r="AD16" i="6" s="1"/>
  <c r="M15" i="6"/>
  <c r="K15" i="6"/>
  <c r="J15" i="6"/>
  <c r="I15" i="6"/>
  <c r="G15" i="6"/>
  <c r="F15" i="6"/>
  <c r="E15" i="6"/>
  <c r="D15" i="6"/>
  <c r="AK14" i="6"/>
  <c r="AC14" i="6"/>
  <c r="AB14" i="6"/>
  <c r="AA14" i="6"/>
  <c r="V14" i="6" s="1"/>
  <c r="U14" i="6" s="1"/>
  <c r="S14" i="6"/>
  <c r="Q14" i="6"/>
  <c r="R14" i="6" s="1"/>
  <c r="O14" i="6"/>
  <c r="P14" i="6" s="1"/>
  <c r="N14" i="6"/>
  <c r="M14" i="6"/>
  <c r="K14" i="6"/>
  <c r="J14" i="6"/>
  <c r="I14" i="6"/>
  <c r="G14" i="6"/>
  <c r="F14" i="6"/>
  <c r="E14" i="6"/>
  <c r="D14" i="6"/>
  <c r="C14" i="6"/>
  <c r="B14" i="6"/>
  <c r="AF13" i="6"/>
  <c r="AD13" i="6" s="1"/>
  <c r="F16" i="6" l="1"/>
  <c r="AJ16" i="6"/>
  <c r="AH16" i="6" s="1"/>
  <c r="G16" i="6" s="1"/>
  <c r="B18" i="6"/>
  <c r="J18" i="6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E16" i="6"/>
  <c r="AL16" i="6"/>
  <c r="J16" i="6" s="1"/>
  <c r="C18" i="6"/>
  <c r="C19" i="6" s="1"/>
  <c r="C20" i="6" s="1"/>
  <c r="C21" i="6" s="1"/>
  <c r="C22" i="6" s="1"/>
  <c r="C23" i="6" s="1"/>
  <c r="C24" i="6" s="1"/>
  <c r="C25" i="6" s="1"/>
  <c r="C26" i="6" s="1"/>
  <c r="I18" i="6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K18" i="6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F18" i="6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H18" i="6"/>
  <c r="N18" i="6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N34" i="6" s="1"/>
  <c r="N35" i="6" s="1"/>
  <c r="N36" i="6" s="1"/>
  <c r="N37" i="6" s="1"/>
  <c r="N38" i="6" s="1"/>
  <c r="N39" i="6" s="1"/>
  <c r="N40" i="6" s="1"/>
  <c r="N41" i="6" s="1"/>
  <c r="N42" i="6" s="1"/>
  <c r="Q18" i="6"/>
  <c r="B19" i="6"/>
  <c r="H19" i="6"/>
  <c r="H21" i="6"/>
  <c r="H23" i="6"/>
  <c r="H14" i="6"/>
  <c r="H15" i="6"/>
  <c r="H16" i="6"/>
  <c r="H17" i="6"/>
  <c r="E18" i="6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E39" i="6" s="1"/>
  <c r="E40" i="6" s="1"/>
  <c r="E41" i="6" s="1"/>
  <c r="E42" i="6" s="1"/>
  <c r="G18" i="6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O18" i="6"/>
  <c r="S18" i="6"/>
  <c r="H20" i="6"/>
  <c r="H22" i="6"/>
  <c r="M13" i="6"/>
  <c r="K13" i="6"/>
  <c r="K12" i="6" s="1"/>
  <c r="G13" i="6"/>
  <c r="G12" i="6" s="1"/>
  <c r="E13" i="6"/>
  <c r="D13" i="6"/>
  <c r="AG12" i="6"/>
  <c r="AD12" i="6"/>
  <c r="E12" i="6" s="1"/>
  <c r="U12" i="6"/>
  <c r="M12" i="6"/>
  <c r="D12" i="6"/>
  <c r="H12" i="6" s="1"/>
  <c r="AJ11" i="6"/>
  <c r="AJ12" i="6" s="1"/>
  <c r="S19" i="6" l="1"/>
  <c r="T18" i="6"/>
  <c r="Q19" i="6"/>
  <c r="R18" i="6"/>
  <c r="O19" i="6"/>
  <c r="P18" i="6"/>
  <c r="AJ13" i="6"/>
  <c r="I12" i="6"/>
  <c r="I13" i="6"/>
  <c r="AD11" i="6"/>
  <c r="I16" i="6"/>
  <c r="V18" i="6"/>
  <c r="U18" i="6" s="1"/>
  <c r="B20" i="6"/>
  <c r="H13" i="6"/>
  <c r="K11" i="6"/>
  <c r="K10" i="6" s="1"/>
  <c r="I11" i="6"/>
  <c r="G11" i="6"/>
  <c r="E11" i="6"/>
  <c r="AK10" i="6"/>
  <c r="AD10" i="6"/>
  <c r="AC10" i="6"/>
  <c r="AB10" i="6"/>
  <c r="AA10" i="6"/>
  <c r="I10" i="6"/>
  <c r="G10" i="6"/>
  <c r="E10" i="6"/>
  <c r="C10" i="6"/>
  <c r="B10" i="6"/>
  <c r="AD9" i="6"/>
  <c r="S20" i="6" l="1"/>
  <c r="T19" i="6"/>
  <c r="Q20" i="6"/>
  <c r="R19" i="6"/>
  <c r="O20" i="6"/>
  <c r="P19" i="6"/>
  <c r="V19" i="6"/>
  <c r="U19" i="6" s="1"/>
  <c r="B21" i="6"/>
  <c r="K9" i="6"/>
  <c r="G9" i="6"/>
  <c r="G8" i="6" s="1"/>
  <c r="E9" i="6"/>
  <c r="AD8" i="6"/>
  <c r="K8" i="6"/>
  <c r="E8" i="6"/>
  <c r="AF7" i="6"/>
  <c r="AF8" i="6" s="1"/>
  <c r="AD7" i="6"/>
  <c r="S7" i="6"/>
  <c r="T7" i="6" s="1"/>
  <c r="S21" i="6" l="1"/>
  <c r="T20" i="6"/>
  <c r="Q21" i="6"/>
  <c r="R20" i="6"/>
  <c r="O21" i="6"/>
  <c r="P20" i="6"/>
  <c r="V20" i="6"/>
  <c r="U20" i="6" s="1"/>
  <c r="B22" i="6"/>
  <c r="K7" i="6"/>
  <c r="G7" i="6"/>
  <c r="E7" i="6"/>
  <c r="AK6" i="6"/>
  <c r="AG6" i="6"/>
  <c r="AD6" i="6"/>
  <c r="S6" i="6"/>
  <c r="T6" i="6" s="1"/>
  <c r="K6" i="6"/>
  <c r="K5" i="6" s="1"/>
  <c r="K4" i="6" s="1"/>
  <c r="I6" i="6"/>
  <c r="G6" i="6"/>
  <c r="G5" i="6" s="1"/>
  <c r="G4" i="6" s="1"/>
  <c r="E6" i="6"/>
  <c r="AD5" i="6"/>
  <c r="AD4" i="6" s="1"/>
  <c r="E4" i="6" s="1"/>
  <c r="S5" i="6"/>
  <c r="T5" i="6" s="1"/>
  <c r="E5" i="6"/>
  <c r="S4" i="6"/>
  <c r="T4" i="6" s="1"/>
  <c r="S22" i="6" l="1"/>
  <c r="T21" i="6"/>
  <c r="Q22" i="6"/>
  <c r="R21" i="6"/>
  <c r="O22" i="6"/>
  <c r="P21" i="6"/>
  <c r="B23" i="6"/>
  <c r="AF3" i="6"/>
  <c r="AF4" i="6" s="1"/>
  <c r="AD3" i="6"/>
  <c r="E3" i="6" s="1"/>
  <c r="Z3" i="6"/>
  <c r="AB3" i="6" s="1"/>
  <c r="B3" i="6" s="1"/>
  <c r="S3" i="6"/>
  <c r="T3" i="6" s="1"/>
  <c r="Q3" i="6"/>
  <c r="Q4" i="6" s="1"/>
  <c r="Q5" i="6" s="1"/>
  <c r="Q6" i="6" s="1"/>
  <c r="Q7" i="6" s="1"/>
  <c r="Q8" i="6" s="1"/>
  <c r="O3" i="6"/>
  <c r="O4" i="6" s="1"/>
  <c r="O5" i="6" s="1"/>
  <c r="O6" i="6" s="1"/>
  <c r="O7" i="6" s="1"/>
  <c r="O8" i="6" s="1"/>
  <c r="N3" i="6"/>
  <c r="N4" i="6" s="1"/>
  <c r="N5" i="6" s="1"/>
  <c r="N6" i="6" s="1"/>
  <c r="N7" i="6" s="1"/>
  <c r="N8" i="6" s="1"/>
  <c r="N9" i="6" s="1"/>
  <c r="N10" i="6" s="1"/>
  <c r="N11" i="6" s="1"/>
  <c r="N12" i="6" s="1"/>
  <c r="N13" i="6" s="1"/>
  <c r="M3" i="6"/>
  <c r="M4" i="6" s="1"/>
  <c r="M5" i="6" s="1"/>
  <c r="M6" i="6" s="1"/>
  <c r="M7" i="6" s="1"/>
  <c r="M8" i="6" s="1"/>
  <c r="M9" i="6" s="1"/>
  <c r="M10" i="6" s="1"/>
  <c r="M11" i="6" s="1"/>
  <c r="L3" i="6"/>
  <c r="L4" i="6" s="1"/>
  <c r="L5" i="6" s="1"/>
  <c r="L6" i="6" s="1"/>
  <c r="L7" i="6" s="1"/>
  <c r="L8" i="6" s="1"/>
  <c r="L9" i="6" s="1"/>
  <c r="L10" i="6" s="1"/>
  <c r="L11" i="6" s="1"/>
  <c r="K3" i="6"/>
  <c r="K2" i="6" s="1"/>
  <c r="G3" i="6"/>
  <c r="D3" i="6"/>
  <c r="D4" i="6" s="1"/>
  <c r="AC2" i="6"/>
  <c r="AB2" i="6"/>
  <c r="S2" i="6"/>
  <c r="T2" i="6" s="1"/>
  <c r="I2" i="6"/>
  <c r="H2" i="6"/>
  <c r="S23" i="6" l="1"/>
  <c r="T22" i="6"/>
  <c r="O9" i="6"/>
  <c r="P8" i="6"/>
  <c r="Q9" i="6"/>
  <c r="R8" i="6"/>
  <c r="S8" i="6" s="1"/>
  <c r="T8" i="6" s="1"/>
  <c r="Q23" i="6"/>
  <c r="R22" i="6"/>
  <c r="O23" i="6"/>
  <c r="P22" i="6"/>
  <c r="AD2" i="6"/>
  <c r="Z4" i="6"/>
  <c r="AC3" i="6"/>
  <c r="C3" i="6" s="1"/>
  <c r="V22" i="6"/>
  <c r="U22" i="6" s="1"/>
  <c r="B24" i="6"/>
  <c r="D5" i="6"/>
  <c r="H4" i="6"/>
  <c r="H3" i="6"/>
  <c r="G2" i="6"/>
  <c r="E2" i="6"/>
  <c r="C2" i="6"/>
  <c r="B2" i="6"/>
  <c r="S24" i="6" l="1"/>
  <c r="T23" i="6"/>
  <c r="Q24" i="6"/>
  <c r="R23" i="6"/>
  <c r="Q10" i="6"/>
  <c r="R9" i="6"/>
  <c r="S9" i="6" s="1"/>
  <c r="T9" i="6" s="1"/>
  <c r="O10" i="6"/>
  <c r="P9" i="6"/>
  <c r="O24" i="6"/>
  <c r="P23" i="6"/>
  <c r="AB4" i="6"/>
  <c r="B4" i="6" s="1"/>
  <c r="AJ3" i="6" s="1"/>
  <c r="AC4" i="6"/>
  <c r="C4" i="6" s="1"/>
  <c r="D6" i="6"/>
  <c r="H5" i="6"/>
  <c r="V23" i="6"/>
  <c r="U23" i="6" s="1"/>
  <c r="B25" i="6"/>
  <c r="S25" i="6" l="1"/>
  <c r="T24" i="6"/>
  <c r="O11" i="6"/>
  <c r="P10" i="6"/>
  <c r="Q11" i="6"/>
  <c r="R10" i="6"/>
  <c r="S10" i="6" s="1"/>
  <c r="T10" i="6" s="1"/>
  <c r="Q25" i="6"/>
  <c r="R24" i="6"/>
  <c r="O25" i="6"/>
  <c r="P24" i="6"/>
  <c r="AJ4" i="6"/>
  <c r="I3" i="6"/>
  <c r="H6" i="6"/>
  <c r="D7" i="6"/>
  <c r="V24" i="6"/>
  <c r="U24" i="6" s="1"/>
  <c r="B26" i="6"/>
  <c r="A33" i="22"/>
  <c r="S26" i="6" l="1"/>
  <c r="T25" i="6"/>
  <c r="Q26" i="6"/>
  <c r="R25" i="6"/>
  <c r="Q12" i="6"/>
  <c r="R11" i="6"/>
  <c r="S11" i="6" s="1"/>
  <c r="T11" i="6" s="1"/>
  <c r="O12" i="6"/>
  <c r="P11" i="6"/>
  <c r="O26" i="6"/>
  <c r="P25" i="6"/>
  <c r="A34" i="22"/>
  <c r="AJ5" i="6"/>
  <c r="I4" i="6"/>
  <c r="V25" i="6"/>
  <c r="U25" i="6" s="1"/>
  <c r="B27" i="6"/>
  <c r="D8" i="6"/>
  <c r="H7" i="6"/>
  <c r="S27" i="6" l="1"/>
  <c r="T26" i="6"/>
  <c r="O13" i="6"/>
  <c r="P13" i="6" s="1"/>
  <c r="P12" i="6"/>
  <c r="Q13" i="6"/>
  <c r="R13" i="6" s="1"/>
  <c r="S13" i="6" s="1"/>
  <c r="T13" i="6" s="1"/>
  <c r="R12" i="6"/>
  <c r="S12" i="6" s="1"/>
  <c r="T12" i="6" s="1"/>
  <c r="Q27" i="6"/>
  <c r="R26" i="6"/>
  <c r="O27" i="6"/>
  <c r="P26" i="6"/>
  <c r="AF5" i="6"/>
  <c r="I5" i="6"/>
  <c r="A35" i="22"/>
  <c r="D9" i="6"/>
  <c r="H8" i="6"/>
  <c r="V26" i="6"/>
  <c r="U26" i="6" s="1"/>
  <c r="B28" i="6"/>
  <c r="Z7" i="22"/>
  <c r="Z6" i="22"/>
  <c r="Z5" i="22"/>
  <c r="Z4" i="22"/>
  <c r="Z3" i="22"/>
  <c r="Z2" i="22"/>
  <c r="S28" i="6" l="1"/>
  <c r="T27" i="6"/>
  <c r="Q28" i="6"/>
  <c r="R27" i="6"/>
  <c r="O28" i="6"/>
  <c r="P27" i="6"/>
  <c r="A36" i="22"/>
  <c r="A37" i="22" s="1"/>
  <c r="D10" i="6"/>
  <c r="H9" i="6"/>
  <c r="V27" i="6"/>
  <c r="U27" i="6" s="1"/>
  <c r="B29" i="6"/>
  <c r="S29" i="6" l="1"/>
  <c r="T28" i="6"/>
  <c r="Q29" i="6"/>
  <c r="R28" i="6"/>
  <c r="O29" i="6"/>
  <c r="P28" i="6"/>
  <c r="A38" i="22"/>
  <c r="A39" i="22" s="1"/>
  <c r="A40" i="22" s="1"/>
  <c r="A41" i="22" s="1"/>
  <c r="A42" i="22" s="1"/>
  <c r="A43" i="22" s="1"/>
  <c r="H10" i="6"/>
  <c r="D11" i="6"/>
  <c r="H11" i="6" s="1"/>
  <c r="V28" i="6"/>
  <c r="U28" i="6" s="1"/>
  <c r="B30" i="6"/>
  <c r="S30" i="6" l="1"/>
  <c r="T29" i="6"/>
  <c r="Q30" i="6"/>
  <c r="R29" i="6"/>
  <c r="O30" i="6"/>
  <c r="P29" i="6"/>
  <c r="V29" i="6"/>
  <c r="U29" i="6" s="1"/>
  <c r="B31" i="6"/>
  <c r="S31" i="6" l="1"/>
  <c r="T30" i="6"/>
  <c r="Q31" i="6"/>
  <c r="R30" i="6"/>
  <c r="O31" i="6"/>
  <c r="P30" i="6"/>
  <c r="V30" i="6"/>
  <c r="U30" i="6" s="1"/>
  <c r="B32" i="6"/>
  <c r="S32" i="6" l="1"/>
  <c r="T31" i="6"/>
  <c r="Q32" i="6"/>
  <c r="R31" i="6"/>
  <c r="O32" i="6"/>
  <c r="P31" i="6"/>
  <c r="V31" i="6"/>
  <c r="U31" i="6" s="1"/>
  <c r="B33" i="6"/>
  <c r="B34" i="6" s="1"/>
  <c r="S33" i="6" l="1"/>
  <c r="T32" i="6"/>
  <c r="Q33" i="6"/>
  <c r="R32" i="6"/>
  <c r="O33" i="6"/>
  <c r="P32" i="6"/>
  <c r="A34" i="6"/>
  <c r="V33" i="6" s="1"/>
  <c r="U33" i="6" s="1"/>
  <c r="B35" i="6"/>
  <c r="S34" i="6" l="1"/>
  <c r="T33" i="6"/>
  <c r="Q34" i="6"/>
  <c r="R33" i="6"/>
  <c r="O34" i="6"/>
  <c r="P33" i="6"/>
  <c r="A35" i="6"/>
  <c r="V34" i="6" s="1"/>
  <c r="U34" i="6" s="1"/>
  <c r="B36" i="6"/>
  <c r="S35" i="6" l="1"/>
  <c r="T34" i="6"/>
  <c r="Q35" i="6"/>
  <c r="R34" i="6"/>
  <c r="O35" i="6"/>
  <c r="P34" i="6"/>
  <c r="A36" i="6"/>
  <c r="V35" i="6" s="1"/>
  <c r="U35" i="6" s="1"/>
  <c r="B37" i="6"/>
  <c r="S36" i="6" l="1"/>
  <c r="T35" i="6"/>
  <c r="Q36" i="6"/>
  <c r="R35" i="6"/>
  <c r="O36" i="6"/>
  <c r="P35" i="6"/>
  <c r="A37" i="6"/>
  <c r="B38" i="6"/>
  <c r="S37" i="6" l="1"/>
  <c r="T36" i="6"/>
  <c r="Q37" i="6"/>
  <c r="R36" i="6"/>
  <c r="O37" i="6"/>
  <c r="P36" i="6"/>
  <c r="A38" i="6"/>
  <c r="V37" i="6" s="1"/>
  <c r="U37" i="6" s="1"/>
  <c r="B39" i="6"/>
  <c r="S38" i="6" l="1"/>
  <c r="T37" i="6"/>
  <c r="Q38" i="6"/>
  <c r="R37" i="6"/>
  <c r="O38" i="6"/>
  <c r="P37" i="6"/>
  <c r="A39" i="6"/>
  <c r="V38" i="6" s="1"/>
  <c r="U38" i="6" s="1"/>
  <c r="B40" i="6"/>
  <c r="S39" i="6" l="1"/>
  <c r="T38" i="6"/>
  <c r="Q39" i="6"/>
  <c r="R38" i="6"/>
  <c r="O39" i="6"/>
  <c r="P38" i="6"/>
  <c r="A40" i="6"/>
  <c r="V39" i="6" s="1"/>
  <c r="U39" i="6" s="1"/>
  <c r="B41" i="6"/>
  <c r="S40" i="6" l="1"/>
  <c r="T39" i="6"/>
  <c r="Q40" i="6"/>
  <c r="R39" i="6"/>
  <c r="O40" i="6"/>
  <c r="P39" i="6"/>
  <c r="A41" i="6"/>
  <c r="V40" i="6" s="1"/>
  <c r="B42" i="6"/>
  <c r="S41" i="6" l="1"/>
  <c r="T40" i="6"/>
  <c r="Q41" i="6"/>
  <c r="R40" i="6"/>
  <c r="O41" i="6"/>
  <c r="P40" i="6"/>
  <c r="A42" i="6"/>
  <c r="V41" i="6" s="1"/>
  <c r="U41" i="6" s="1"/>
  <c r="S42" i="6" l="1"/>
  <c r="T42" i="6" s="1"/>
  <c r="T41" i="6"/>
  <c r="Q42" i="6"/>
  <c r="R42" i="6" s="1"/>
  <c r="R41" i="6"/>
  <c r="O42" i="6"/>
  <c r="P42" i="6" s="1"/>
  <c r="P41" i="6"/>
  <c r="A3" i="17"/>
  <c r="A4" i="17" s="1"/>
  <c r="A505" i="66"/>
  <c r="A504" i="66"/>
  <c r="A516" i="66" l="1"/>
  <c r="A517" i="66"/>
  <c r="A5" i="17"/>
  <c r="A503" i="66"/>
  <c r="A502" i="66"/>
  <c r="A501" i="66"/>
  <c r="A500" i="66"/>
  <c r="A499" i="66"/>
  <c r="A498" i="66"/>
  <c r="A497" i="66"/>
  <c r="A496" i="66"/>
  <c r="A495" i="66"/>
  <c r="A507" i="66" l="1"/>
  <c r="A511" i="66"/>
  <c r="A509" i="66"/>
  <c r="A513" i="66"/>
  <c r="A515" i="66"/>
  <c r="A508" i="66"/>
  <c r="A510" i="66"/>
  <c r="A512" i="66"/>
  <c r="A514" i="66"/>
  <c r="A6" i="17"/>
  <c r="A7" i="17" s="1"/>
  <c r="A494" i="66"/>
  <c r="F493" i="66"/>
  <c r="F492" i="66"/>
  <c r="F491" i="66"/>
  <c r="F490" i="66"/>
  <c r="F489" i="66"/>
  <c r="F488" i="66"/>
  <c r="F487" i="66"/>
  <c r="F486" i="66"/>
  <c r="F485" i="66"/>
  <c r="F484" i="66"/>
  <c r="F483" i="66"/>
  <c r="F482" i="66"/>
  <c r="A506" i="66" l="1"/>
  <c r="A8" i="17"/>
  <c r="A9" i="17" s="1"/>
  <c r="A10" i="17" l="1"/>
  <c r="A11" i="17" s="1"/>
  <c r="A12" i="17" l="1"/>
  <c r="A13" i="17" s="1"/>
  <c r="D193" i="66"/>
  <c r="D192" i="66"/>
  <c r="D191" i="66"/>
  <c r="D190" i="66"/>
  <c r="D189" i="66"/>
  <c r="D188" i="66"/>
  <c r="D187" i="66"/>
  <c r="D186" i="66"/>
  <c r="D185" i="66"/>
  <c r="D184" i="66"/>
  <c r="D183" i="66"/>
  <c r="D182" i="66"/>
  <c r="D181" i="66"/>
  <c r="D180" i="66"/>
  <c r="D179" i="66"/>
  <c r="D178" i="66"/>
  <c r="D177" i="66"/>
  <c r="D176" i="66"/>
  <c r="D175" i="66"/>
  <c r="D174" i="66"/>
  <c r="D173" i="66"/>
  <c r="D172" i="66"/>
  <c r="D171" i="66"/>
  <c r="D170" i="66"/>
  <c r="O181" i="66"/>
  <c r="O193" i="66" s="1"/>
  <c r="O205" i="66" s="1"/>
  <c r="O217" i="66" s="1"/>
  <c r="O229" i="66" s="1"/>
  <c r="O241" i="66" s="1"/>
  <c r="O253" i="66" s="1"/>
  <c r="O265" i="66" s="1"/>
  <c r="O277" i="66" s="1"/>
  <c r="O289" i="66" s="1"/>
  <c r="O301" i="66" s="1"/>
  <c r="O313" i="66" s="1"/>
  <c r="O325" i="66" s="1"/>
  <c r="O337" i="66" s="1"/>
  <c r="O349" i="66" s="1"/>
  <c r="O361" i="66" s="1"/>
  <c r="O373" i="66" s="1"/>
  <c r="O385" i="66" s="1"/>
  <c r="O397" i="66" s="1"/>
  <c r="O409" i="66" s="1"/>
  <c r="O421" i="66" s="1"/>
  <c r="O433" i="66" s="1"/>
  <c r="O445" i="66" s="1"/>
  <c r="O457" i="66" s="1"/>
  <c r="O469" i="66" s="1"/>
  <c r="O481" i="66" s="1"/>
  <c r="O493" i="66" s="1"/>
  <c r="O505" i="66" s="1"/>
  <c r="O517" i="66" s="1"/>
  <c r="N181" i="66"/>
  <c r="N193" i="66" s="1"/>
  <c r="N205" i="66" s="1"/>
  <c r="N217" i="66" s="1"/>
  <c r="N229" i="66" s="1"/>
  <c r="N241" i="66" s="1"/>
  <c r="N253" i="66" s="1"/>
  <c r="N265" i="66" s="1"/>
  <c r="N277" i="66" s="1"/>
  <c r="N289" i="66" s="1"/>
  <c r="N301" i="66" s="1"/>
  <c r="N313" i="66" s="1"/>
  <c r="N325" i="66" s="1"/>
  <c r="N337" i="66" s="1"/>
  <c r="N349" i="66" s="1"/>
  <c r="N361" i="66" s="1"/>
  <c r="N373" i="66" s="1"/>
  <c r="N385" i="66" s="1"/>
  <c r="N397" i="66" s="1"/>
  <c r="N409" i="66" s="1"/>
  <c r="N421" i="66" s="1"/>
  <c r="N433" i="66" s="1"/>
  <c r="N445" i="66" s="1"/>
  <c r="N457" i="66" s="1"/>
  <c r="N469" i="66" s="1"/>
  <c r="N481" i="66" s="1"/>
  <c r="N493" i="66" s="1"/>
  <c r="N505" i="66" s="1"/>
  <c r="N517" i="66" s="1"/>
  <c r="D169" i="66"/>
  <c r="O180" i="66"/>
  <c r="O192" i="66" s="1"/>
  <c r="O204" i="66" s="1"/>
  <c r="O216" i="66" s="1"/>
  <c r="O228" i="66" s="1"/>
  <c r="O240" i="66" s="1"/>
  <c r="O252" i="66" s="1"/>
  <c r="O264" i="66" s="1"/>
  <c r="O276" i="66" s="1"/>
  <c r="O288" i="66" s="1"/>
  <c r="O300" i="66" s="1"/>
  <c r="O312" i="66" s="1"/>
  <c r="O324" i="66" s="1"/>
  <c r="O336" i="66" s="1"/>
  <c r="O348" i="66" s="1"/>
  <c r="O360" i="66" s="1"/>
  <c r="O372" i="66" s="1"/>
  <c r="O384" i="66" s="1"/>
  <c r="O396" i="66" s="1"/>
  <c r="O408" i="66" s="1"/>
  <c r="O420" i="66" s="1"/>
  <c r="O432" i="66" s="1"/>
  <c r="O444" i="66" s="1"/>
  <c r="O456" i="66" s="1"/>
  <c r="O468" i="66" s="1"/>
  <c r="O480" i="66" s="1"/>
  <c r="O492" i="66" s="1"/>
  <c r="O504" i="66" s="1"/>
  <c r="O516" i="66" s="1"/>
  <c r="N180" i="66"/>
  <c r="N192" i="66" s="1"/>
  <c r="N204" i="66" s="1"/>
  <c r="N216" i="66" s="1"/>
  <c r="N228" i="66" s="1"/>
  <c r="N240" i="66" s="1"/>
  <c r="N252" i="66" s="1"/>
  <c r="N264" i="66" s="1"/>
  <c r="N276" i="66" s="1"/>
  <c r="N288" i="66" s="1"/>
  <c r="N300" i="66" s="1"/>
  <c r="N312" i="66" s="1"/>
  <c r="N324" i="66" s="1"/>
  <c r="N336" i="66" s="1"/>
  <c r="N348" i="66" s="1"/>
  <c r="N360" i="66" s="1"/>
  <c r="N372" i="66" s="1"/>
  <c r="N384" i="66" s="1"/>
  <c r="N396" i="66" s="1"/>
  <c r="N408" i="66" s="1"/>
  <c r="N420" i="66" s="1"/>
  <c r="N432" i="66" s="1"/>
  <c r="N444" i="66" s="1"/>
  <c r="N456" i="66" s="1"/>
  <c r="N468" i="66" s="1"/>
  <c r="N480" i="66" s="1"/>
  <c r="N492" i="66" s="1"/>
  <c r="N504" i="66" s="1"/>
  <c r="N516" i="66" s="1"/>
  <c r="D168" i="66"/>
  <c r="O179" i="66"/>
  <c r="O191" i="66" s="1"/>
  <c r="O203" i="66" s="1"/>
  <c r="O215" i="66" s="1"/>
  <c r="O227" i="66" s="1"/>
  <c r="O239" i="66" s="1"/>
  <c r="O251" i="66" s="1"/>
  <c r="O263" i="66" s="1"/>
  <c r="O275" i="66" s="1"/>
  <c r="O287" i="66" s="1"/>
  <c r="O299" i="66" s="1"/>
  <c r="O311" i="66" s="1"/>
  <c r="O323" i="66" s="1"/>
  <c r="O335" i="66" s="1"/>
  <c r="O347" i="66" s="1"/>
  <c r="O359" i="66" s="1"/>
  <c r="O371" i="66" s="1"/>
  <c r="O383" i="66" s="1"/>
  <c r="O395" i="66" s="1"/>
  <c r="O407" i="66" s="1"/>
  <c r="O419" i="66" s="1"/>
  <c r="O431" i="66" s="1"/>
  <c r="O443" i="66" s="1"/>
  <c r="O455" i="66" s="1"/>
  <c r="O467" i="66" s="1"/>
  <c r="O479" i="66" s="1"/>
  <c r="O491" i="66" s="1"/>
  <c r="O503" i="66" s="1"/>
  <c r="O515" i="66" s="1"/>
  <c r="N179" i="66"/>
  <c r="N191" i="66" s="1"/>
  <c r="N203" i="66" s="1"/>
  <c r="N215" i="66" s="1"/>
  <c r="N227" i="66" s="1"/>
  <c r="N239" i="66" s="1"/>
  <c r="N251" i="66" s="1"/>
  <c r="N263" i="66" s="1"/>
  <c r="N275" i="66" s="1"/>
  <c r="N287" i="66" s="1"/>
  <c r="N299" i="66" s="1"/>
  <c r="N311" i="66" s="1"/>
  <c r="N323" i="66" s="1"/>
  <c r="N335" i="66" s="1"/>
  <c r="N347" i="66" s="1"/>
  <c r="N359" i="66" s="1"/>
  <c r="N371" i="66" s="1"/>
  <c r="N383" i="66" s="1"/>
  <c r="N395" i="66" s="1"/>
  <c r="N407" i="66" s="1"/>
  <c r="N419" i="66" s="1"/>
  <c r="N431" i="66" s="1"/>
  <c r="N443" i="66" s="1"/>
  <c r="N455" i="66" s="1"/>
  <c r="N467" i="66" s="1"/>
  <c r="N479" i="66" s="1"/>
  <c r="N491" i="66" s="1"/>
  <c r="N503" i="66" s="1"/>
  <c r="N515" i="66" s="1"/>
  <c r="D167" i="66"/>
  <c r="O178" i="66"/>
  <c r="O190" i="66" s="1"/>
  <c r="O202" i="66" s="1"/>
  <c r="O214" i="66" s="1"/>
  <c r="O226" i="66" s="1"/>
  <c r="O238" i="66" s="1"/>
  <c r="O250" i="66" s="1"/>
  <c r="O262" i="66" s="1"/>
  <c r="O274" i="66" s="1"/>
  <c r="O286" i="66" s="1"/>
  <c r="O298" i="66" s="1"/>
  <c r="O310" i="66" s="1"/>
  <c r="O322" i="66" s="1"/>
  <c r="O334" i="66" s="1"/>
  <c r="O346" i="66" s="1"/>
  <c r="O358" i="66" s="1"/>
  <c r="O370" i="66" s="1"/>
  <c r="O382" i="66" s="1"/>
  <c r="O394" i="66" s="1"/>
  <c r="O406" i="66" s="1"/>
  <c r="O418" i="66" s="1"/>
  <c r="O430" i="66" s="1"/>
  <c r="O442" i="66" s="1"/>
  <c r="O454" i="66" s="1"/>
  <c r="O466" i="66" s="1"/>
  <c r="O478" i="66" s="1"/>
  <c r="O490" i="66" s="1"/>
  <c r="O502" i="66" s="1"/>
  <c r="O514" i="66" s="1"/>
  <c r="N178" i="66"/>
  <c r="N190" i="66" s="1"/>
  <c r="N202" i="66" s="1"/>
  <c r="N214" i="66" s="1"/>
  <c r="N226" i="66" s="1"/>
  <c r="N238" i="66" s="1"/>
  <c r="N250" i="66" s="1"/>
  <c r="N262" i="66" s="1"/>
  <c r="N274" i="66" s="1"/>
  <c r="N286" i="66" s="1"/>
  <c r="N298" i="66" s="1"/>
  <c r="N310" i="66" s="1"/>
  <c r="N322" i="66" s="1"/>
  <c r="N334" i="66" s="1"/>
  <c r="N346" i="66" s="1"/>
  <c r="N358" i="66" s="1"/>
  <c r="N370" i="66" s="1"/>
  <c r="N382" i="66" s="1"/>
  <c r="N394" i="66" s="1"/>
  <c r="N406" i="66" s="1"/>
  <c r="N418" i="66" s="1"/>
  <c r="N430" i="66" s="1"/>
  <c r="N442" i="66" s="1"/>
  <c r="N454" i="66" s="1"/>
  <c r="N466" i="66" s="1"/>
  <c r="N478" i="66" s="1"/>
  <c r="N490" i="66" s="1"/>
  <c r="N502" i="66" s="1"/>
  <c r="N514" i="66" s="1"/>
  <c r="D166" i="66"/>
  <c r="O177" i="66"/>
  <c r="O189" i="66" s="1"/>
  <c r="O201" i="66" s="1"/>
  <c r="O213" i="66" s="1"/>
  <c r="O225" i="66" s="1"/>
  <c r="O237" i="66" s="1"/>
  <c r="O249" i="66" s="1"/>
  <c r="O261" i="66" s="1"/>
  <c r="O273" i="66" s="1"/>
  <c r="O285" i="66" s="1"/>
  <c r="O297" i="66" s="1"/>
  <c r="O309" i="66" s="1"/>
  <c r="O321" i="66" s="1"/>
  <c r="O333" i="66" s="1"/>
  <c r="O345" i="66" s="1"/>
  <c r="O357" i="66" s="1"/>
  <c r="O369" i="66" s="1"/>
  <c r="O381" i="66" s="1"/>
  <c r="O393" i="66" s="1"/>
  <c r="O405" i="66" s="1"/>
  <c r="O417" i="66" s="1"/>
  <c r="O429" i="66" s="1"/>
  <c r="O441" i="66" s="1"/>
  <c r="O453" i="66" s="1"/>
  <c r="O465" i="66" s="1"/>
  <c r="O477" i="66" s="1"/>
  <c r="O489" i="66" s="1"/>
  <c r="O501" i="66" s="1"/>
  <c r="O513" i="66" s="1"/>
  <c r="N177" i="66"/>
  <c r="N189" i="66" s="1"/>
  <c r="N201" i="66" s="1"/>
  <c r="N213" i="66" s="1"/>
  <c r="N225" i="66" s="1"/>
  <c r="N237" i="66" s="1"/>
  <c r="N249" i="66" s="1"/>
  <c r="N261" i="66" s="1"/>
  <c r="N273" i="66" s="1"/>
  <c r="N285" i="66" s="1"/>
  <c r="N297" i="66" s="1"/>
  <c r="N309" i="66" s="1"/>
  <c r="N321" i="66" s="1"/>
  <c r="N333" i="66" s="1"/>
  <c r="N345" i="66" s="1"/>
  <c r="N357" i="66" s="1"/>
  <c r="N369" i="66" s="1"/>
  <c r="N381" i="66" s="1"/>
  <c r="N393" i="66" s="1"/>
  <c r="N405" i="66" s="1"/>
  <c r="N417" i="66" s="1"/>
  <c r="N429" i="66" s="1"/>
  <c r="N441" i="66" s="1"/>
  <c r="N453" i="66" s="1"/>
  <c r="N465" i="66" s="1"/>
  <c r="N477" i="66" s="1"/>
  <c r="N489" i="66" s="1"/>
  <c r="N501" i="66" s="1"/>
  <c r="N513" i="66" s="1"/>
  <c r="D165" i="66"/>
  <c r="O176" i="66"/>
  <c r="O188" i="66" s="1"/>
  <c r="O200" i="66" s="1"/>
  <c r="O212" i="66" s="1"/>
  <c r="O224" i="66" s="1"/>
  <c r="O236" i="66" s="1"/>
  <c r="O248" i="66" s="1"/>
  <c r="O260" i="66" s="1"/>
  <c r="O272" i="66" s="1"/>
  <c r="O284" i="66" s="1"/>
  <c r="O296" i="66" s="1"/>
  <c r="O308" i="66" s="1"/>
  <c r="O320" i="66" s="1"/>
  <c r="O332" i="66" s="1"/>
  <c r="O344" i="66" s="1"/>
  <c r="O356" i="66" s="1"/>
  <c r="O368" i="66" s="1"/>
  <c r="O380" i="66" s="1"/>
  <c r="O392" i="66" s="1"/>
  <c r="O404" i="66" s="1"/>
  <c r="O416" i="66" s="1"/>
  <c r="O428" i="66" s="1"/>
  <c r="O440" i="66" s="1"/>
  <c r="O452" i="66" s="1"/>
  <c r="O464" i="66" s="1"/>
  <c r="O476" i="66" s="1"/>
  <c r="O488" i="66" s="1"/>
  <c r="O500" i="66" s="1"/>
  <c r="O512" i="66" s="1"/>
  <c r="N176" i="66"/>
  <c r="N188" i="66" s="1"/>
  <c r="N200" i="66" s="1"/>
  <c r="N212" i="66" s="1"/>
  <c r="N224" i="66" s="1"/>
  <c r="N236" i="66" s="1"/>
  <c r="N248" i="66" s="1"/>
  <c r="N260" i="66" s="1"/>
  <c r="N272" i="66" s="1"/>
  <c r="N284" i="66" s="1"/>
  <c r="N296" i="66" s="1"/>
  <c r="N308" i="66" s="1"/>
  <c r="N320" i="66" s="1"/>
  <c r="N332" i="66" s="1"/>
  <c r="N344" i="66" s="1"/>
  <c r="N356" i="66" s="1"/>
  <c r="N368" i="66" s="1"/>
  <c r="N380" i="66" s="1"/>
  <c r="N392" i="66" s="1"/>
  <c r="N404" i="66" s="1"/>
  <c r="N416" i="66" s="1"/>
  <c r="N428" i="66" s="1"/>
  <c r="N440" i="66" s="1"/>
  <c r="N452" i="66" s="1"/>
  <c r="N464" i="66" s="1"/>
  <c r="N476" i="66" s="1"/>
  <c r="N488" i="66" s="1"/>
  <c r="N500" i="66" s="1"/>
  <c r="N512" i="66" s="1"/>
  <c r="D164" i="66"/>
  <c r="O175" i="66"/>
  <c r="O187" i="66" s="1"/>
  <c r="O199" i="66" s="1"/>
  <c r="O211" i="66" s="1"/>
  <c r="O223" i="66" s="1"/>
  <c r="O235" i="66" s="1"/>
  <c r="O247" i="66" s="1"/>
  <c r="O259" i="66" s="1"/>
  <c r="O271" i="66" s="1"/>
  <c r="O283" i="66" s="1"/>
  <c r="O295" i="66" s="1"/>
  <c r="O307" i="66" s="1"/>
  <c r="O319" i="66" s="1"/>
  <c r="O331" i="66" s="1"/>
  <c r="O343" i="66" s="1"/>
  <c r="O355" i="66" s="1"/>
  <c r="O367" i="66" s="1"/>
  <c r="O379" i="66" s="1"/>
  <c r="O391" i="66" s="1"/>
  <c r="O403" i="66" s="1"/>
  <c r="O415" i="66" s="1"/>
  <c r="O427" i="66" s="1"/>
  <c r="O439" i="66" s="1"/>
  <c r="O451" i="66" s="1"/>
  <c r="O463" i="66" s="1"/>
  <c r="O475" i="66" s="1"/>
  <c r="O487" i="66" s="1"/>
  <c r="O499" i="66" s="1"/>
  <c r="O511" i="66" s="1"/>
  <c r="N175" i="66"/>
  <c r="N187" i="66" s="1"/>
  <c r="N199" i="66" s="1"/>
  <c r="N211" i="66" s="1"/>
  <c r="N223" i="66" s="1"/>
  <c r="N235" i="66" s="1"/>
  <c r="N247" i="66" s="1"/>
  <c r="N259" i="66" s="1"/>
  <c r="N271" i="66" s="1"/>
  <c r="N283" i="66" s="1"/>
  <c r="N295" i="66" s="1"/>
  <c r="N307" i="66" s="1"/>
  <c r="N319" i="66" s="1"/>
  <c r="N331" i="66" s="1"/>
  <c r="N343" i="66" s="1"/>
  <c r="N355" i="66" s="1"/>
  <c r="N367" i="66" s="1"/>
  <c r="N379" i="66" s="1"/>
  <c r="N391" i="66" s="1"/>
  <c r="N403" i="66" s="1"/>
  <c r="N415" i="66" s="1"/>
  <c r="N427" i="66" s="1"/>
  <c r="N439" i="66" s="1"/>
  <c r="N451" i="66" s="1"/>
  <c r="N463" i="66" s="1"/>
  <c r="N475" i="66" s="1"/>
  <c r="N487" i="66" s="1"/>
  <c r="N499" i="66" s="1"/>
  <c r="N511" i="66" s="1"/>
  <c r="D163" i="66"/>
  <c r="O174" i="66"/>
  <c r="O186" i="66" s="1"/>
  <c r="O198" i="66" s="1"/>
  <c r="O210" i="66" s="1"/>
  <c r="O222" i="66" s="1"/>
  <c r="O234" i="66" s="1"/>
  <c r="O246" i="66" s="1"/>
  <c r="O258" i="66" s="1"/>
  <c r="O270" i="66" s="1"/>
  <c r="O282" i="66" s="1"/>
  <c r="O294" i="66" s="1"/>
  <c r="O306" i="66" s="1"/>
  <c r="O318" i="66" s="1"/>
  <c r="O330" i="66" s="1"/>
  <c r="O342" i="66" s="1"/>
  <c r="O354" i="66" s="1"/>
  <c r="O366" i="66" s="1"/>
  <c r="O378" i="66" s="1"/>
  <c r="O390" i="66" s="1"/>
  <c r="O402" i="66" s="1"/>
  <c r="O414" i="66" s="1"/>
  <c r="O426" i="66" s="1"/>
  <c r="O438" i="66" s="1"/>
  <c r="O450" i="66" s="1"/>
  <c r="O462" i="66" s="1"/>
  <c r="O474" i="66" s="1"/>
  <c r="O486" i="66" s="1"/>
  <c r="O498" i="66" s="1"/>
  <c r="O510" i="66" s="1"/>
  <c r="N174" i="66"/>
  <c r="N186" i="66" s="1"/>
  <c r="N198" i="66" s="1"/>
  <c r="N210" i="66" s="1"/>
  <c r="N222" i="66" s="1"/>
  <c r="N234" i="66" s="1"/>
  <c r="N246" i="66" s="1"/>
  <c r="N258" i="66" s="1"/>
  <c r="N270" i="66" s="1"/>
  <c r="N282" i="66" s="1"/>
  <c r="N294" i="66" s="1"/>
  <c r="N306" i="66" s="1"/>
  <c r="N318" i="66" s="1"/>
  <c r="N330" i="66" s="1"/>
  <c r="N342" i="66" s="1"/>
  <c r="N354" i="66" s="1"/>
  <c r="N366" i="66" s="1"/>
  <c r="N378" i="66" s="1"/>
  <c r="N390" i="66" s="1"/>
  <c r="N402" i="66" s="1"/>
  <c r="N414" i="66" s="1"/>
  <c r="N426" i="66" s="1"/>
  <c r="N438" i="66" s="1"/>
  <c r="N450" i="66" s="1"/>
  <c r="N462" i="66" s="1"/>
  <c r="N474" i="66" s="1"/>
  <c r="N486" i="66" s="1"/>
  <c r="N498" i="66" s="1"/>
  <c r="N510" i="66" s="1"/>
  <c r="D162" i="66"/>
  <c r="O173" i="66"/>
  <c r="O185" i="66" s="1"/>
  <c r="O197" i="66" s="1"/>
  <c r="O209" i="66" s="1"/>
  <c r="O221" i="66" s="1"/>
  <c r="O233" i="66" s="1"/>
  <c r="O245" i="66" s="1"/>
  <c r="O257" i="66" s="1"/>
  <c r="O269" i="66" s="1"/>
  <c r="O281" i="66" s="1"/>
  <c r="O293" i="66" s="1"/>
  <c r="O305" i="66" s="1"/>
  <c r="O317" i="66" s="1"/>
  <c r="O329" i="66" s="1"/>
  <c r="O341" i="66" s="1"/>
  <c r="O353" i="66" s="1"/>
  <c r="O365" i="66" s="1"/>
  <c r="O377" i="66" s="1"/>
  <c r="O389" i="66" s="1"/>
  <c r="O401" i="66" s="1"/>
  <c r="O413" i="66" s="1"/>
  <c r="O425" i="66" s="1"/>
  <c r="O437" i="66" s="1"/>
  <c r="O449" i="66" s="1"/>
  <c r="O461" i="66" s="1"/>
  <c r="O473" i="66" s="1"/>
  <c r="O485" i="66" s="1"/>
  <c r="O497" i="66" s="1"/>
  <c r="O509" i="66" s="1"/>
  <c r="N173" i="66"/>
  <c r="N185" i="66" s="1"/>
  <c r="N197" i="66" s="1"/>
  <c r="N209" i="66" s="1"/>
  <c r="N221" i="66" s="1"/>
  <c r="N233" i="66" s="1"/>
  <c r="N245" i="66" s="1"/>
  <c r="N257" i="66" s="1"/>
  <c r="N269" i="66" s="1"/>
  <c r="N281" i="66" s="1"/>
  <c r="N293" i="66" s="1"/>
  <c r="N305" i="66" s="1"/>
  <c r="N317" i="66" s="1"/>
  <c r="N329" i="66" s="1"/>
  <c r="N341" i="66" s="1"/>
  <c r="N353" i="66" s="1"/>
  <c r="N365" i="66" s="1"/>
  <c r="N377" i="66" s="1"/>
  <c r="N389" i="66" s="1"/>
  <c r="N401" i="66" s="1"/>
  <c r="N413" i="66" s="1"/>
  <c r="N425" i="66" s="1"/>
  <c r="N437" i="66" s="1"/>
  <c r="N449" i="66" s="1"/>
  <c r="N461" i="66" s="1"/>
  <c r="N473" i="66" s="1"/>
  <c r="N485" i="66" s="1"/>
  <c r="N497" i="66" s="1"/>
  <c r="N509" i="66" s="1"/>
  <c r="D161" i="66"/>
  <c r="O172" i="66"/>
  <c r="O184" i="66" s="1"/>
  <c r="O196" i="66" s="1"/>
  <c r="O208" i="66" s="1"/>
  <c r="O220" i="66" s="1"/>
  <c r="O232" i="66" s="1"/>
  <c r="O244" i="66" s="1"/>
  <c r="O256" i="66" s="1"/>
  <c r="O268" i="66" s="1"/>
  <c r="O280" i="66" s="1"/>
  <c r="O292" i="66" s="1"/>
  <c r="O304" i="66" s="1"/>
  <c r="O316" i="66" s="1"/>
  <c r="O328" i="66" s="1"/>
  <c r="O340" i="66" s="1"/>
  <c r="O352" i="66" s="1"/>
  <c r="O364" i="66" s="1"/>
  <c r="O376" i="66" s="1"/>
  <c r="O388" i="66" s="1"/>
  <c r="O400" i="66" s="1"/>
  <c r="O412" i="66" s="1"/>
  <c r="O424" i="66" s="1"/>
  <c r="O436" i="66" s="1"/>
  <c r="O448" i="66" s="1"/>
  <c r="O460" i="66" s="1"/>
  <c r="O472" i="66" s="1"/>
  <c r="O484" i="66" s="1"/>
  <c r="O496" i="66" s="1"/>
  <c r="O508" i="66" s="1"/>
  <c r="N172" i="66"/>
  <c r="N184" i="66" s="1"/>
  <c r="N196" i="66" s="1"/>
  <c r="N208" i="66" s="1"/>
  <c r="N220" i="66" s="1"/>
  <c r="N232" i="66" s="1"/>
  <c r="N244" i="66" s="1"/>
  <c r="N256" i="66" s="1"/>
  <c r="N268" i="66" s="1"/>
  <c r="N280" i="66" s="1"/>
  <c r="N292" i="66" s="1"/>
  <c r="N304" i="66" s="1"/>
  <c r="N316" i="66" s="1"/>
  <c r="N328" i="66" s="1"/>
  <c r="N340" i="66" s="1"/>
  <c r="N352" i="66" s="1"/>
  <c r="N364" i="66" s="1"/>
  <c r="N376" i="66" s="1"/>
  <c r="N388" i="66" s="1"/>
  <c r="N400" i="66" s="1"/>
  <c r="N412" i="66" s="1"/>
  <c r="N424" i="66" s="1"/>
  <c r="N436" i="66" s="1"/>
  <c r="N448" i="66" s="1"/>
  <c r="N460" i="66" s="1"/>
  <c r="N472" i="66" s="1"/>
  <c r="N484" i="66" s="1"/>
  <c r="N496" i="66" s="1"/>
  <c r="N508" i="66" s="1"/>
  <c r="D160" i="66"/>
  <c r="O171" i="66"/>
  <c r="O183" i="66" s="1"/>
  <c r="O195" i="66" s="1"/>
  <c r="O207" i="66" s="1"/>
  <c r="O219" i="66" s="1"/>
  <c r="O231" i="66" s="1"/>
  <c r="O243" i="66" s="1"/>
  <c r="O255" i="66" s="1"/>
  <c r="O267" i="66" s="1"/>
  <c r="O279" i="66" s="1"/>
  <c r="O291" i="66" s="1"/>
  <c r="O303" i="66" s="1"/>
  <c r="O315" i="66" s="1"/>
  <c r="O327" i="66" s="1"/>
  <c r="O339" i="66" s="1"/>
  <c r="O351" i="66" s="1"/>
  <c r="O363" i="66" s="1"/>
  <c r="O375" i="66" s="1"/>
  <c r="O387" i="66" s="1"/>
  <c r="O399" i="66" s="1"/>
  <c r="O411" i="66" s="1"/>
  <c r="O423" i="66" s="1"/>
  <c r="O435" i="66" s="1"/>
  <c r="O447" i="66" s="1"/>
  <c r="O459" i="66" s="1"/>
  <c r="O471" i="66" s="1"/>
  <c r="O483" i="66" s="1"/>
  <c r="O495" i="66" s="1"/>
  <c r="O507" i="66" s="1"/>
  <c r="D205" i="66" l="1"/>
  <c r="D199" i="66"/>
  <c r="D201" i="66"/>
  <c r="D194" i="66"/>
  <c r="D198" i="66"/>
  <c r="D204" i="66"/>
  <c r="D195" i="66"/>
  <c r="D197" i="66"/>
  <c r="D203" i="66"/>
  <c r="D196" i="66"/>
  <c r="D200" i="66"/>
  <c r="D202" i="66"/>
  <c r="A14" i="17"/>
  <c r="A15" i="17" s="1"/>
  <c r="N171" i="66"/>
  <c r="N183" i="66" s="1"/>
  <c r="N195" i="66" s="1"/>
  <c r="N207" i="66" s="1"/>
  <c r="N219" i="66" s="1"/>
  <c r="N231" i="66" s="1"/>
  <c r="N243" i="66" s="1"/>
  <c r="N255" i="66" s="1"/>
  <c r="N267" i="66" s="1"/>
  <c r="N279" i="66" s="1"/>
  <c r="N291" i="66" s="1"/>
  <c r="N303" i="66" s="1"/>
  <c r="N315" i="66" s="1"/>
  <c r="N327" i="66" s="1"/>
  <c r="N339" i="66" s="1"/>
  <c r="N351" i="66" s="1"/>
  <c r="N363" i="66" s="1"/>
  <c r="N375" i="66" s="1"/>
  <c r="N387" i="66" s="1"/>
  <c r="N399" i="66" s="1"/>
  <c r="N411" i="66" s="1"/>
  <c r="N423" i="66" s="1"/>
  <c r="N435" i="66" s="1"/>
  <c r="N447" i="66" s="1"/>
  <c r="N459" i="66" s="1"/>
  <c r="N471" i="66" s="1"/>
  <c r="N483" i="66" s="1"/>
  <c r="N495" i="66" s="1"/>
  <c r="N507" i="66" s="1"/>
  <c r="D159" i="66"/>
  <c r="O170" i="66"/>
  <c r="O182" i="66" s="1"/>
  <c r="O194" i="66" s="1"/>
  <c r="O206" i="66" s="1"/>
  <c r="O218" i="66" s="1"/>
  <c r="O230" i="66" s="1"/>
  <c r="O242" i="66" s="1"/>
  <c r="O254" i="66" s="1"/>
  <c r="O266" i="66" s="1"/>
  <c r="O278" i="66" s="1"/>
  <c r="O290" i="66" s="1"/>
  <c r="O302" i="66" s="1"/>
  <c r="O314" i="66" s="1"/>
  <c r="O326" i="66" s="1"/>
  <c r="O338" i="66" s="1"/>
  <c r="O350" i="66" s="1"/>
  <c r="O362" i="66" s="1"/>
  <c r="O374" i="66" s="1"/>
  <c r="O386" i="66" s="1"/>
  <c r="O398" i="66" s="1"/>
  <c r="O410" i="66" s="1"/>
  <c r="O422" i="66" s="1"/>
  <c r="O434" i="66" s="1"/>
  <c r="O446" i="66" s="1"/>
  <c r="O458" i="66" s="1"/>
  <c r="O470" i="66" s="1"/>
  <c r="O482" i="66" s="1"/>
  <c r="O494" i="66" s="1"/>
  <c r="O506" i="66" s="1"/>
  <c r="N170" i="66"/>
  <c r="N182" i="66" s="1"/>
  <c r="N194" i="66" s="1"/>
  <c r="N206" i="66" s="1"/>
  <c r="N218" i="66" s="1"/>
  <c r="N230" i="66" s="1"/>
  <c r="N242" i="66" s="1"/>
  <c r="N254" i="66" s="1"/>
  <c r="N266" i="66" s="1"/>
  <c r="N278" i="66" s="1"/>
  <c r="N290" i="66" s="1"/>
  <c r="N302" i="66" s="1"/>
  <c r="N314" i="66" s="1"/>
  <c r="N326" i="66" s="1"/>
  <c r="N338" i="66" s="1"/>
  <c r="N350" i="66" s="1"/>
  <c r="N362" i="66" s="1"/>
  <c r="N374" i="66" s="1"/>
  <c r="N386" i="66" s="1"/>
  <c r="N398" i="66" s="1"/>
  <c r="N410" i="66" s="1"/>
  <c r="N422" i="66" s="1"/>
  <c r="N434" i="66" s="1"/>
  <c r="N446" i="66" s="1"/>
  <c r="N458" i="66" s="1"/>
  <c r="N470" i="66" s="1"/>
  <c r="N482" i="66" s="1"/>
  <c r="N494" i="66" s="1"/>
  <c r="N506" i="66" s="1"/>
  <c r="D158" i="66"/>
  <c r="D157" i="66"/>
  <c r="D156" i="66"/>
  <c r="D155" i="66"/>
  <c r="D154" i="66"/>
  <c r="D153" i="66"/>
  <c r="D152" i="66"/>
  <c r="D151" i="66"/>
  <c r="D150" i="66"/>
  <c r="D149" i="66"/>
  <c r="D148" i="66"/>
  <c r="D147" i="66"/>
  <c r="D146" i="66"/>
  <c r="D145" i="66"/>
  <c r="D144" i="66"/>
  <c r="D143" i="66"/>
  <c r="D142" i="66"/>
  <c r="D141" i="66"/>
  <c r="D140" i="66"/>
  <c r="D139" i="66"/>
  <c r="D138" i="66"/>
  <c r="D137" i="66"/>
  <c r="D136" i="66"/>
  <c r="D135" i="66"/>
  <c r="D134" i="66"/>
  <c r="D214" i="66" l="1"/>
  <c r="D208" i="66"/>
  <c r="D209" i="66"/>
  <c r="D216" i="66"/>
  <c r="D206" i="66"/>
  <c r="D211" i="66"/>
  <c r="D212" i="66"/>
  <c r="D215" i="66"/>
  <c r="D207" i="66"/>
  <c r="D210" i="66"/>
  <c r="D213" i="66"/>
  <c r="D217" i="66"/>
  <c r="A16" i="17"/>
  <c r="A17" i="17" s="1"/>
  <c r="A18" i="17" s="1"/>
  <c r="U32" i="66"/>
  <c r="D229" i="66" l="1"/>
  <c r="D222" i="66"/>
  <c r="D227" i="66"/>
  <c r="D223" i="66"/>
  <c r="D228" i="66"/>
  <c r="D220" i="66"/>
  <c r="D225" i="66"/>
  <c r="D219" i="66"/>
  <c r="D224" i="66"/>
  <c r="D218" i="66"/>
  <c r="D221" i="66"/>
  <c r="D226" i="66"/>
  <c r="A19" i="17"/>
  <c r="D231" i="66" l="1"/>
  <c r="D232" i="66"/>
  <c r="D235" i="66"/>
  <c r="D234" i="66"/>
  <c r="D238" i="66"/>
  <c r="D230" i="66"/>
  <c r="D233" i="66"/>
  <c r="D236" i="66"/>
  <c r="D237" i="66"/>
  <c r="D240" i="66"/>
  <c r="D239" i="66"/>
  <c r="D241" i="66"/>
  <c r="A20" i="17"/>
  <c r="A21" i="17" s="1"/>
  <c r="D248" i="66" l="1"/>
  <c r="D242" i="66"/>
  <c r="D246" i="66"/>
  <c r="D244" i="66"/>
  <c r="D253" i="66"/>
  <c r="D252" i="66"/>
  <c r="D251" i="66"/>
  <c r="D249" i="66"/>
  <c r="D245" i="66"/>
  <c r="D250" i="66"/>
  <c r="D247" i="66"/>
  <c r="D243" i="66"/>
  <c r="A22" i="17"/>
  <c r="A23" i="17" s="1"/>
  <c r="D255" i="66" l="1"/>
  <c r="D264" i="66"/>
  <c r="D256" i="66"/>
  <c r="D254" i="66"/>
  <c r="D261" i="66"/>
  <c r="D262" i="66"/>
  <c r="D259" i="66"/>
  <c r="D257" i="66"/>
  <c r="D263" i="66"/>
  <c r="D265" i="66"/>
  <c r="D258" i="66"/>
  <c r="D260" i="66"/>
  <c r="A24" i="17"/>
  <c r="A25" i="17" s="1"/>
  <c r="D272" i="66" l="1"/>
  <c r="D274" i="66"/>
  <c r="D266" i="66"/>
  <c r="D276" i="66"/>
  <c r="D277" i="66"/>
  <c r="D269" i="66"/>
  <c r="D270" i="66"/>
  <c r="D275" i="66"/>
  <c r="D271" i="66"/>
  <c r="D273" i="66"/>
  <c r="D268" i="66"/>
  <c r="D267" i="66"/>
  <c r="A26" i="17"/>
  <c r="A27" i="17" s="1"/>
  <c r="D279" i="66" l="1"/>
  <c r="D285" i="66"/>
  <c r="D287" i="66"/>
  <c r="D281" i="66"/>
  <c r="D288" i="66"/>
  <c r="D286" i="66"/>
  <c r="D280" i="66"/>
  <c r="D283" i="66"/>
  <c r="D282" i="66"/>
  <c r="D289" i="66"/>
  <c r="D278" i="66"/>
  <c r="D284" i="66"/>
  <c r="A28" i="17"/>
  <c r="A29" i="17" s="1"/>
  <c r="A30" i="17" s="1"/>
  <c r="T2" i="66"/>
  <c r="T3" i="66" s="1"/>
  <c r="D296" i="66" l="1"/>
  <c r="D301" i="66"/>
  <c r="D295" i="66"/>
  <c r="D298" i="66"/>
  <c r="D293" i="66"/>
  <c r="D297" i="66"/>
  <c r="D290" i="66"/>
  <c r="D294" i="66"/>
  <c r="D292" i="66"/>
  <c r="D300" i="66"/>
  <c r="D299" i="66"/>
  <c r="D291" i="66"/>
  <c r="A31" i="17"/>
  <c r="T4" i="66"/>
  <c r="U3" i="66"/>
  <c r="A505" i="67"/>
  <c r="A504" i="67"/>
  <c r="A503" i="67"/>
  <c r="A502" i="67"/>
  <c r="A501" i="67"/>
  <c r="A500" i="67"/>
  <c r="A499" i="67"/>
  <c r="A498" i="67"/>
  <c r="A497" i="67"/>
  <c r="A496" i="67"/>
  <c r="A495" i="67"/>
  <c r="C499" i="67" l="1"/>
  <c r="C501" i="67"/>
  <c r="C505" i="67"/>
  <c r="C497" i="67"/>
  <c r="C496" i="67"/>
  <c r="C500" i="67"/>
  <c r="C502" i="67"/>
  <c r="C504" i="67"/>
  <c r="A507" i="67"/>
  <c r="A510" i="67"/>
  <c r="A515" i="67"/>
  <c r="C495" i="67"/>
  <c r="C498" i="67"/>
  <c r="C503" i="67"/>
  <c r="A508" i="67"/>
  <c r="A509" i="67"/>
  <c r="A511" i="67"/>
  <c r="A512" i="67"/>
  <c r="A513" i="67"/>
  <c r="A514" i="67"/>
  <c r="A516" i="67"/>
  <c r="A517" i="67"/>
  <c r="D303" i="66"/>
  <c r="D305" i="66"/>
  <c r="D307" i="66"/>
  <c r="D308" i="66"/>
  <c r="D306" i="66"/>
  <c r="D312" i="66"/>
  <c r="D311" i="66"/>
  <c r="D304" i="66"/>
  <c r="D302" i="66"/>
  <c r="D309" i="66"/>
  <c r="D310" i="66"/>
  <c r="D313" i="66"/>
  <c r="A32" i="17"/>
  <c r="A33" i="17" s="1"/>
  <c r="T5" i="66"/>
  <c r="U4" i="66"/>
  <c r="A494" i="67"/>
  <c r="C493" i="67"/>
  <c r="C492" i="67"/>
  <c r="C491" i="67"/>
  <c r="C490" i="67"/>
  <c r="C489" i="67"/>
  <c r="C488" i="67"/>
  <c r="C487" i="67"/>
  <c r="C486" i="67"/>
  <c r="C485" i="67"/>
  <c r="C484" i="67"/>
  <c r="C483" i="67"/>
  <c r="C482" i="67"/>
  <c r="C481" i="67"/>
  <c r="C480" i="67"/>
  <c r="C479" i="67"/>
  <c r="C478" i="67"/>
  <c r="C477" i="67"/>
  <c r="C476" i="67"/>
  <c r="C475" i="67"/>
  <c r="C474" i="67"/>
  <c r="C473" i="67"/>
  <c r="C472" i="67"/>
  <c r="C471" i="67"/>
  <c r="C470" i="67"/>
  <c r="C469" i="67"/>
  <c r="C468" i="67"/>
  <c r="C467" i="67"/>
  <c r="C466" i="67"/>
  <c r="C465" i="67"/>
  <c r="C464" i="67"/>
  <c r="C463" i="67"/>
  <c r="C462" i="67"/>
  <c r="C461" i="67"/>
  <c r="C460" i="67"/>
  <c r="C459" i="67"/>
  <c r="C458" i="67"/>
  <c r="C457" i="67"/>
  <c r="C456" i="67"/>
  <c r="C455" i="67"/>
  <c r="C454" i="67"/>
  <c r="C453" i="67"/>
  <c r="C452" i="67"/>
  <c r="C451" i="67"/>
  <c r="C450" i="67"/>
  <c r="C449" i="67"/>
  <c r="C448" i="67"/>
  <c r="C447" i="67"/>
  <c r="C446" i="67"/>
  <c r="C445" i="67"/>
  <c r="C444" i="67"/>
  <c r="C443" i="67"/>
  <c r="C442" i="67"/>
  <c r="C441" i="67"/>
  <c r="C440" i="67"/>
  <c r="C439" i="67"/>
  <c r="C438" i="67"/>
  <c r="C437" i="67"/>
  <c r="C436" i="67"/>
  <c r="C435" i="67"/>
  <c r="C434" i="67"/>
  <c r="C433" i="67"/>
  <c r="C432" i="67"/>
  <c r="C431" i="67"/>
  <c r="C430" i="67"/>
  <c r="C429" i="67"/>
  <c r="C428" i="67"/>
  <c r="C427" i="67"/>
  <c r="C426" i="67"/>
  <c r="C425" i="67"/>
  <c r="C424" i="67"/>
  <c r="C423" i="67"/>
  <c r="C422" i="67"/>
  <c r="C421" i="67"/>
  <c r="C420" i="67"/>
  <c r="C419" i="67"/>
  <c r="C418" i="67"/>
  <c r="C417" i="67"/>
  <c r="C416" i="67"/>
  <c r="C415" i="67"/>
  <c r="C414" i="67"/>
  <c r="C413" i="67"/>
  <c r="C412" i="67"/>
  <c r="C411" i="67"/>
  <c r="C410" i="67"/>
  <c r="C409" i="67"/>
  <c r="C408" i="67"/>
  <c r="C407" i="67"/>
  <c r="C406" i="67"/>
  <c r="C405" i="67"/>
  <c r="C404" i="67"/>
  <c r="C403" i="67"/>
  <c r="C402" i="67"/>
  <c r="C401" i="67"/>
  <c r="C400" i="67"/>
  <c r="C399" i="67"/>
  <c r="C398" i="67"/>
  <c r="C397" i="67"/>
  <c r="C396" i="67"/>
  <c r="C395" i="67"/>
  <c r="C394" i="67"/>
  <c r="C393" i="67"/>
  <c r="C392" i="67"/>
  <c r="C391" i="67"/>
  <c r="C390" i="67"/>
  <c r="C389" i="67"/>
  <c r="C388" i="67"/>
  <c r="C387" i="67"/>
  <c r="C386" i="67"/>
  <c r="C385" i="67"/>
  <c r="C384" i="67"/>
  <c r="C383" i="67"/>
  <c r="C382" i="67"/>
  <c r="C381" i="67"/>
  <c r="C380" i="67"/>
  <c r="C379" i="67"/>
  <c r="C378" i="67"/>
  <c r="C377" i="67"/>
  <c r="C376" i="67"/>
  <c r="C375" i="67"/>
  <c r="C374" i="67"/>
  <c r="C373" i="67"/>
  <c r="C372" i="67"/>
  <c r="C371" i="67"/>
  <c r="C370" i="67"/>
  <c r="C369" i="67"/>
  <c r="C368" i="67"/>
  <c r="C367" i="67"/>
  <c r="C366" i="67"/>
  <c r="C365" i="67"/>
  <c r="C364" i="67"/>
  <c r="C363" i="67"/>
  <c r="C362" i="67"/>
  <c r="C361" i="67"/>
  <c r="C360" i="67"/>
  <c r="C359" i="67"/>
  <c r="C358" i="67"/>
  <c r="C357" i="67"/>
  <c r="C356" i="67"/>
  <c r="C355" i="67"/>
  <c r="C354" i="67"/>
  <c r="C353" i="67"/>
  <c r="C352" i="67"/>
  <c r="C351" i="67"/>
  <c r="C350" i="67"/>
  <c r="C349" i="67"/>
  <c r="C348" i="67"/>
  <c r="C347" i="67"/>
  <c r="C346" i="67"/>
  <c r="C345" i="67"/>
  <c r="C344" i="67"/>
  <c r="C343" i="67"/>
  <c r="C342" i="67"/>
  <c r="C341" i="67"/>
  <c r="C340" i="67"/>
  <c r="C339" i="67"/>
  <c r="C338" i="67"/>
  <c r="C337" i="67"/>
  <c r="C336" i="67"/>
  <c r="C335" i="67"/>
  <c r="C334" i="67"/>
  <c r="C333" i="67"/>
  <c r="C332" i="67"/>
  <c r="C331" i="67"/>
  <c r="C330" i="67"/>
  <c r="C329" i="67"/>
  <c r="C328" i="67"/>
  <c r="C327" i="67"/>
  <c r="C326" i="67"/>
  <c r="C325" i="67"/>
  <c r="C324" i="67"/>
  <c r="C323" i="67"/>
  <c r="C322" i="67"/>
  <c r="C321" i="67"/>
  <c r="C320" i="67"/>
  <c r="C319" i="67"/>
  <c r="C318" i="67"/>
  <c r="C317" i="67"/>
  <c r="C316" i="67"/>
  <c r="C315" i="67"/>
  <c r="C314" i="67"/>
  <c r="C313" i="67"/>
  <c r="C312" i="67"/>
  <c r="C311" i="67"/>
  <c r="C310" i="67"/>
  <c r="C309" i="67"/>
  <c r="C308" i="67"/>
  <c r="C307" i="67"/>
  <c r="C306" i="67"/>
  <c r="C305" i="67"/>
  <c r="C304" i="67"/>
  <c r="C303" i="67"/>
  <c r="C302" i="67"/>
  <c r="C301" i="67"/>
  <c r="C300" i="67"/>
  <c r="C299" i="67"/>
  <c r="C298" i="67"/>
  <c r="C297" i="67"/>
  <c r="C296" i="67"/>
  <c r="C295" i="67"/>
  <c r="C294" i="67"/>
  <c r="C293" i="67"/>
  <c r="C292" i="67"/>
  <c r="C291" i="67"/>
  <c r="C290" i="67"/>
  <c r="C289" i="67"/>
  <c r="C288" i="67"/>
  <c r="C287" i="67"/>
  <c r="C286" i="67"/>
  <c r="C285" i="67"/>
  <c r="C284" i="67"/>
  <c r="C283" i="67"/>
  <c r="C282" i="67"/>
  <c r="C281" i="67"/>
  <c r="C280" i="67"/>
  <c r="C279" i="67"/>
  <c r="C278" i="67"/>
  <c r="C277" i="67"/>
  <c r="C276" i="67"/>
  <c r="C275" i="67"/>
  <c r="C274" i="67"/>
  <c r="C273" i="67"/>
  <c r="C272" i="67"/>
  <c r="C271" i="67"/>
  <c r="C270" i="67"/>
  <c r="C269" i="67"/>
  <c r="C268" i="67"/>
  <c r="C267" i="67"/>
  <c r="C266" i="67"/>
  <c r="C265" i="67"/>
  <c r="C264" i="67"/>
  <c r="C263" i="67"/>
  <c r="C262" i="67"/>
  <c r="C261" i="67"/>
  <c r="C260" i="67"/>
  <c r="C259" i="67"/>
  <c r="C258" i="67"/>
  <c r="C257" i="67"/>
  <c r="C256" i="67"/>
  <c r="C255" i="67"/>
  <c r="C254" i="67"/>
  <c r="C253" i="67"/>
  <c r="C252" i="67"/>
  <c r="C251" i="67"/>
  <c r="C250" i="67"/>
  <c r="C249" i="67"/>
  <c r="C248" i="67"/>
  <c r="C247" i="67"/>
  <c r="C246" i="67"/>
  <c r="C245" i="67"/>
  <c r="C244" i="67"/>
  <c r="C243" i="67"/>
  <c r="C242" i="67"/>
  <c r="C241" i="67"/>
  <c r="C240" i="67"/>
  <c r="C239" i="67"/>
  <c r="C238" i="67"/>
  <c r="C237" i="67"/>
  <c r="C236" i="67"/>
  <c r="C235" i="67"/>
  <c r="C234" i="67"/>
  <c r="C233" i="67"/>
  <c r="C232" i="67"/>
  <c r="C231" i="67"/>
  <c r="C230" i="67"/>
  <c r="C229" i="67"/>
  <c r="C228" i="67"/>
  <c r="C227" i="67"/>
  <c r="C226" i="67"/>
  <c r="C225" i="67"/>
  <c r="C224" i="67"/>
  <c r="C223" i="67"/>
  <c r="C222" i="67"/>
  <c r="C221" i="67"/>
  <c r="C220" i="67"/>
  <c r="C219" i="67"/>
  <c r="C218" i="67"/>
  <c r="C217" i="67"/>
  <c r="C216" i="67"/>
  <c r="C215" i="67"/>
  <c r="C214" i="67"/>
  <c r="C213" i="67"/>
  <c r="C212" i="67"/>
  <c r="C211" i="67"/>
  <c r="C210" i="67"/>
  <c r="C209" i="67"/>
  <c r="C208" i="67"/>
  <c r="C207" i="67"/>
  <c r="C206" i="67"/>
  <c r="C205" i="67"/>
  <c r="C204" i="67"/>
  <c r="C203" i="67"/>
  <c r="C202" i="67"/>
  <c r="C201" i="67"/>
  <c r="C200" i="67"/>
  <c r="C199" i="67"/>
  <c r="C198" i="67"/>
  <c r="C197" i="67"/>
  <c r="C196" i="67"/>
  <c r="C195" i="67"/>
  <c r="C194" i="67"/>
  <c r="C193" i="67"/>
  <c r="C192" i="67"/>
  <c r="C191" i="67"/>
  <c r="C190" i="67"/>
  <c r="C189" i="67"/>
  <c r="C188" i="67"/>
  <c r="C187" i="67"/>
  <c r="C186" i="67"/>
  <c r="C185" i="67"/>
  <c r="C184" i="67"/>
  <c r="C183" i="67"/>
  <c r="C182" i="67"/>
  <c r="C181" i="67"/>
  <c r="C180" i="67"/>
  <c r="C179" i="67"/>
  <c r="C178" i="67"/>
  <c r="C177" i="67"/>
  <c r="C176" i="67"/>
  <c r="C175" i="67"/>
  <c r="C174" i="67"/>
  <c r="C173" i="67"/>
  <c r="C172" i="67"/>
  <c r="C171" i="67"/>
  <c r="C170" i="67"/>
  <c r="T169" i="67"/>
  <c r="T173" i="67" s="1"/>
  <c r="R169" i="67"/>
  <c r="C169" i="67"/>
  <c r="T168" i="67"/>
  <c r="T172" i="67" s="1"/>
  <c r="R168" i="67"/>
  <c r="R173" i="67" s="1"/>
  <c r="C494" i="67" l="1"/>
  <c r="C515" i="67"/>
  <c r="C510" i="67"/>
  <c r="C507" i="67"/>
  <c r="A506" i="67"/>
  <c r="C517" i="67"/>
  <c r="C516" i="67"/>
  <c r="C514" i="67"/>
  <c r="C513" i="67"/>
  <c r="C512" i="67"/>
  <c r="C511" i="67"/>
  <c r="C509" i="67"/>
  <c r="C508" i="67"/>
  <c r="D325" i="66"/>
  <c r="D321" i="66"/>
  <c r="D316" i="66"/>
  <c r="D324" i="66"/>
  <c r="D320" i="66"/>
  <c r="D317" i="66"/>
  <c r="D322" i="66"/>
  <c r="D314" i="66"/>
  <c r="D323" i="66"/>
  <c r="D318" i="66"/>
  <c r="D319" i="66"/>
  <c r="D315" i="66"/>
  <c r="A34" i="17"/>
  <c r="A35" i="17" s="1"/>
  <c r="T6" i="66"/>
  <c r="U5" i="66"/>
  <c r="C168" i="67"/>
  <c r="T167" i="67"/>
  <c r="T171" i="67" s="1"/>
  <c r="R167" i="67"/>
  <c r="R172" i="67" s="1"/>
  <c r="P178" i="67"/>
  <c r="P179" i="67" s="1"/>
  <c r="C167" i="67"/>
  <c r="T166" i="67"/>
  <c r="T170" i="67" s="1"/>
  <c r="R166" i="67"/>
  <c r="R171" i="67" s="1"/>
  <c r="C166" i="67"/>
  <c r="Z165" i="67"/>
  <c r="Y165" i="67"/>
  <c r="V165" i="67"/>
  <c r="V166" i="67" s="1"/>
  <c r="V167" i="67" s="1"/>
  <c r="V168" i="67" s="1"/>
  <c r="V169" i="67" s="1"/>
  <c r="V170" i="67" s="1"/>
  <c r="V171" i="67" s="1"/>
  <c r="V172" i="67" s="1"/>
  <c r="V173" i="67" s="1"/>
  <c r="C165" i="67"/>
  <c r="Z164" i="67"/>
  <c r="Y164" i="67"/>
  <c r="V164" i="67"/>
  <c r="C506" i="67" l="1"/>
  <c r="D327" i="66"/>
  <c r="D330" i="66"/>
  <c r="D326" i="66"/>
  <c r="D329" i="66"/>
  <c r="D336" i="66"/>
  <c r="D333" i="66"/>
  <c r="D331" i="66"/>
  <c r="D335" i="66"/>
  <c r="D334" i="66"/>
  <c r="D332" i="66"/>
  <c r="D328" i="66"/>
  <c r="D337" i="66"/>
  <c r="A36" i="17"/>
  <c r="A37" i="17" s="1"/>
  <c r="T7" i="66"/>
  <c r="U6" i="66"/>
  <c r="C164" i="67"/>
  <c r="Z163" i="67"/>
  <c r="Y163" i="67"/>
  <c r="V163" i="67"/>
  <c r="C163" i="67"/>
  <c r="Z162" i="67"/>
  <c r="Y162" i="67"/>
  <c r="V162" i="67"/>
  <c r="C162" i="67"/>
  <c r="Z161" i="67"/>
  <c r="Y161" i="67"/>
  <c r="V161" i="67"/>
  <c r="D349" i="66" l="1"/>
  <c r="D345" i="66"/>
  <c r="D341" i="66"/>
  <c r="D342" i="66"/>
  <c r="D347" i="66"/>
  <c r="D344" i="66"/>
  <c r="D340" i="66"/>
  <c r="D346" i="66"/>
  <c r="D343" i="66"/>
  <c r="D348" i="66"/>
  <c r="D338" i="66"/>
  <c r="D339" i="66"/>
  <c r="A38" i="17"/>
  <c r="A39" i="17" s="1"/>
  <c r="T8" i="66"/>
  <c r="U7" i="66"/>
  <c r="C161" i="67"/>
  <c r="Z160" i="67"/>
  <c r="Y160" i="67"/>
  <c r="V160" i="67"/>
  <c r="C160" i="67"/>
  <c r="Z159" i="67"/>
  <c r="Y159" i="67"/>
  <c r="V159" i="67"/>
  <c r="C159" i="67"/>
  <c r="Z158" i="67"/>
  <c r="Y158" i="67"/>
  <c r="V158" i="67"/>
  <c r="C158" i="67"/>
  <c r="Z157" i="67"/>
  <c r="Y157" i="67"/>
  <c r="V157" i="67"/>
  <c r="C157" i="67"/>
  <c r="Z156" i="67"/>
  <c r="Y156" i="67"/>
  <c r="V156" i="67"/>
  <c r="C156" i="67"/>
  <c r="Z155" i="67"/>
  <c r="Y155" i="67"/>
  <c r="V155" i="67"/>
  <c r="C155" i="67"/>
  <c r="Z154" i="67"/>
  <c r="Y154" i="67"/>
  <c r="V154" i="67"/>
  <c r="C154" i="67"/>
  <c r="Z153" i="67"/>
  <c r="Y153" i="67"/>
  <c r="V153" i="67"/>
  <c r="C153" i="67"/>
  <c r="Z152" i="67"/>
  <c r="Y152" i="67"/>
  <c r="V152" i="67"/>
  <c r="C152" i="67"/>
  <c r="Z151" i="67"/>
  <c r="Y151" i="67"/>
  <c r="V151" i="67"/>
  <c r="D351" i="66" l="1"/>
  <c r="D360" i="66"/>
  <c r="D358" i="66"/>
  <c r="D356" i="66"/>
  <c r="D354" i="66"/>
  <c r="D357" i="66"/>
  <c r="D350" i="66"/>
  <c r="D355" i="66"/>
  <c r="D352" i="66"/>
  <c r="D359" i="66"/>
  <c r="D353" i="66"/>
  <c r="D361" i="66"/>
  <c r="A40" i="17"/>
  <c r="A41" i="17" s="1"/>
  <c r="T9" i="66"/>
  <c r="U8" i="66"/>
  <c r="C151" i="67"/>
  <c r="Z150" i="67"/>
  <c r="Y150" i="67"/>
  <c r="V150" i="67"/>
  <c r="C150" i="67"/>
  <c r="Z149" i="67"/>
  <c r="Y149" i="67"/>
  <c r="V149" i="67"/>
  <c r="C149" i="67"/>
  <c r="Z148" i="67"/>
  <c r="Y148" i="67"/>
  <c r="V148" i="67"/>
  <c r="C148" i="67"/>
  <c r="Z147" i="67"/>
  <c r="Y147" i="67"/>
  <c r="V147" i="67"/>
  <c r="C147" i="67"/>
  <c r="Z146" i="67"/>
  <c r="Y146" i="67"/>
  <c r="V146" i="67"/>
  <c r="C146" i="67"/>
  <c r="Z145" i="67"/>
  <c r="Y145" i="67"/>
  <c r="V145" i="67"/>
  <c r="C145" i="67"/>
  <c r="Z144" i="67"/>
  <c r="Y144" i="67"/>
  <c r="V144" i="67"/>
  <c r="D371" i="66" l="1"/>
  <c r="D367" i="66"/>
  <c r="D369" i="66"/>
  <c r="D368" i="66"/>
  <c r="D372" i="66"/>
  <c r="D373" i="66"/>
  <c r="D365" i="66"/>
  <c r="D364" i="66"/>
  <c r="D362" i="66"/>
  <c r="D366" i="66"/>
  <c r="D370" i="66"/>
  <c r="D363" i="66"/>
  <c r="A42" i="17"/>
  <c r="A43" i="17" s="1"/>
  <c r="T10" i="66"/>
  <c r="U9" i="66"/>
  <c r="C144" i="67"/>
  <c r="Z143" i="67"/>
  <c r="Y143" i="67"/>
  <c r="V143" i="67"/>
  <c r="D375" i="66" l="1"/>
  <c r="D385" i="66"/>
  <c r="D380" i="66"/>
  <c r="D379" i="66"/>
  <c r="D376" i="66"/>
  <c r="D378" i="66"/>
  <c r="D382" i="66"/>
  <c r="D374" i="66"/>
  <c r="D377" i="66"/>
  <c r="D384" i="66"/>
  <c r="D381" i="66"/>
  <c r="D383" i="66"/>
  <c r="A44" i="17"/>
  <c r="T11" i="66"/>
  <c r="U10" i="66"/>
  <c r="C143" i="67"/>
  <c r="Z142" i="67"/>
  <c r="Y142" i="67"/>
  <c r="V142" i="67"/>
  <c r="C142" i="67"/>
  <c r="Z141" i="67"/>
  <c r="Y141" i="67"/>
  <c r="V141" i="67"/>
  <c r="C141" i="67"/>
  <c r="Z140" i="67"/>
  <c r="Y140" i="67"/>
  <c r="V140" i="67"/>
  <c r="D396" i="66" l="1"/>
  <c r="D386" i="66"/>
  <c r="D390" i="66"/>
  <c r="D391" i="66"/>
  <c r="D397" i="66"/>
  <c r="D395" i="66"/>
  <c r="D393" i="66"/>
  <c r="D389" i="66"/>
  <c r="D394" i="66"/>
  <c r="D388" i="66"/>
  <c r="D392" i="66"/>
  <c r="D387" i="66"/>
  <c r="T12" i="66"/>
  <c r="U11" i="66"/>
  <c r="C140" i="67"/>
  <c r="Z139" i="67"/>
  <c r="Y139" i="67"/>
  <c r="V139" i="67"/>
  <c r="C139" i="67"/>
  <c r="Z138" i="67"/>
  <c r="Y138" i="67"/>
  <c r="V138" i="67"/>
  <c r="C138" i="67"/>
  <c r="Z137" i="67"/>
  <c r="Y137" i="67"/>
  <c r="V137" i="67"/>
  <c r="C137" i="67"/>
  <c r="Z136" i="67"/>
  <c r="Y136" i="67"/>
  <c r="V136" i="67"/>
  <c r="C136" i="67"/>
  <c r="Z135" i="67"/>
  <c r="Y135" i="67"/>
  <c r="V135" i="67"/>
  <c r="D399" i="66" l="1"/>
  <c r="D400" i="66"/>
  <c r="D401" i="66"/>
  <c r="D407" i="66"/>
  <c r="D403" i="66"/>
  <c r="D398" i="66"/>
  <c r="D404" i="66"/>
  <c r="D406" i="66"/>
  <c r="D405" i="66"/>
  <c r="D409" i="66"/>
  <c r="D402" i="66"/>
  <c r="D408" i="66"/>
  <c r="T13" i="66"/>
  <c r="U12" i="66"/>
  <c r="C135" i="67"/>
  <c r="Z134" i="67"/>
  <c r="Y134" i="67"/>
  <c r="V134" i="67"/>
  <c r="C134" i="67"/>
  <c r="Z133" i="67"/>
  <c r="Y133" i="67"/>
  <c r="V133" i="67"/>
  <c r="C133" i="67"/>
  <c r="Z132" i="67"/>
  <c r="Y132" i="67"/>
  <c r="V132" i="67"/>
  <c r="D421" i="66" l="1"/>
  <c r="D410" i="66"/>
  <c r="D419" i="66"/>
  <c r="D412" i="66"/>
  <c r="D418" i="66"/>
  <c r="D420" i="66"/>
  <c r="D414" i="66"/>
  <c r="D417" i="66"/>
  <c r="D416" i="66"/>
  <c r="D415" i="66"/>
  <c r="D413" i="66"/>
  <c r="D411" i="66"/>
  <c r="T14" i="66"/>
  <c r="U13" i="66"/>
  <c r="C132" i="67"/>
  <c r="Z131" i="67"/>
  <c r="Y131" i="67"/>
  <c r="V131" i="67"/>
  <c r="C131" i="67"/>
  <c r="Z130" i="67"/>
  <c r="Y130" i="67"/>
  <c r="V130" i="67"/>
  <c r="C130" i="67"/>
  <c r="Z129" i="67"/>
  <c r="Y129" i="67"/>
  <c r="V129" i="67"/>
  <c r="C129" i="67"/>
  <c r="Z128" i="67"/>
  <c r="Y128" i="67"/>
  <c r="V128" i="67"/>
  <c r="C128" i="67"/>
  <c r="Z127" i="67"/>
  <c r="Y127" i="67"/>
  <c r="V127" i="67"/>
  <c r="D427" i="66" l="1"/>
  <c r="D429" i="66"/>
  <c r="D432" i="66"/>
  <c r="D424" i="66"/>
  <c r="D422" i="66"/>
  <c r="D423" i="66"/>
  <c r="D425" i="66"/>
  <c r="D428" i="66"/>
  <c r="D426" i="66"/>
  <c r="D430" i="66"/>
  <c r="D431" i="66"/>
  <c r="D433" i="66"/>
  <c r="T15" i="66"/>
  <c r="U14" i="66"/>
  <c r="C127" i="67"/>
  <c r="Z126" i="67"/>
  <c r="Y126" i="67"/>
  <c r="V126" i="67"/>
  <c r="C126" i="67"/>
  <c r="Z125" i="67"/>
  <c r="Y125" i="67"/>
  <c r="V125" i="67"/>
  <c r="C125" i="67"/>
  <c r="Z124" i="67"/>
  <c r="Y124" i="67"/>
  <c r="V124" i="67"/>
  <c r="D442" i="66" l="1"/>
  <c r="D435" i="66"/>
  <c r="D436" i="66"/>
  <c r="D441" i="66"/>
  <c r="D440" i="66"/>
  <c r="D445" i="66"/>
  <c r="D443" i="66"/>
  <c r="D438" i="66"/>
  <c r="D437" i="66"/>
  <c r="D434" i="66"/>
  <c r="D444" i="66"/>
  <c r="D439" i="66"/>
  <c r="T16" i="66"/>
  <c r="U15" i="66"/>
  <c r="C124" i="67"/>
  <c r="Z123" i="67"/>
  <c r="Y123" i="67"/>
  <c r="V123" i="67"/>
  <c r="C123" i="67"/>
  <c r="Z122" i="67"/>
  <c r="Y122" i="67"/>
  <c r="V122" i="67"/>
  <c r="D451" i="66" l="1"/>
  <c r="D450" i="66"/>
  <c r="D457" i="66"/>
  <c r="D453" i="66"/>
  <c r="D447" i="66"/>
  <c r="D446" i="66"/>
  <c r="D456" i="66"/>
  <c r="D449" i="66"/>
  <c r="D455" i="66"/>
  <c r="D452" i="66"/>
  <c r="D448" i="66"/>
  <c r="D454" i="66"/>
  <c r="T17" i="66"/>
  <c r="U16" i="66"/>
  <c r="C122" i="67"/>
  <c r="Z121" i="67"/>
  <c r="Y121" i="67"/>
  <c r="V121" i="67"/>
  <c r="C121" i="67"/>
  <c r="Z120" i="67"/>
  <c r="Y120" i="67"/>
  <c r="V120" i="67"/>
  <c r="C120" i="67"/>
  <c r="Z119" i="67"/>
  <c r="Y119" i="67"/>
  <c r="V119" i="67"/>
  <c r="D466" i="66" l="1"/>
  <c r="D461" i="66"/>
  <c r="D458" i="66"/>
  <c r="D465" i="66"/>
  <c r="D462" i="66"/>
  <c r="D464" i="66"/>
  <c r="D460" i="66"/>
  <c r="D467" i="66"/>
  <c r="D468" i="66"/>
  <c r="D459" i="66"/>
  <c r="D469" i="66"/>
  <c r="D463" i="66"/>
  <c r="T18" i="66"/>
  <c r="U17" i="66"/>
  <c r="D475" i="66" l="1"/>
  <c r="D479" i="66"/>
  <c r="D476" i="66"/>
  <c r="D477" i="66"/>
  <c r="D473" i="66"/>
  <c r="D471" i="66"/>
  <c r="D481" i="66"/>
  <c r="D480" i="66"/>
  <c r="D472" i="66"/>
  <c r="D474" i="66"/>
  <c r="D470" i="66"/>
  <c r="D478" i="66"/>
  <c r="T19" i="66"/>
  <c r="U18" i="66"/>
  <c r="C119" i="67"/>
  <c r="Z118" i="67"/>
  <c r="Y118" i="67"/>
  <c r="V118" i="67"/>
  <c r="C118" i="67"/>
  <c r="Z117" i="67"/>
  <c r="Y117" i="67"/>
  <c r="V117" i="67"/>
  <c r="C117" i="67"/>
  <c r="Z116" i="67"/>
  <c r="Y116" i="67"/>
  <c r="V116" i="67"/>
  <c r="D490" i="66" l="1"/>
  <c r="D483" i="66"/>
  <c r="D489" i="66"/>
  <c r="D491" i="66"/>
  <c r="D492" i="66"/>
  <c r="D486" i="66"/>
  <c r="D482" i="66"/>
  <c r="D484" i="66"/>
  <c r="D493" i="66"/>
  <c r="D485" i="66"/>
  <c r="D488" i="66"/>
  <c r="D487" i="66"/>
  <c r="T20" i="66"/>
  <c r="U19" i="66"/>
  <c r="C116" i="67"/>
  <c r="Z115" i="67"/>
  <c r="Y115" i="67"/>
  <c r="V115" i="67"/>
  <c r="C115" i="67"/>
  <c r="Z114" i="67"/>
  <c r="Y114" i="67"/>
  <c r="V114" i="67"/>
  <c r="C114" i="67"/>
  <c r="Z113" i="67"/>
  <c r="Y113" i="67"/>
  <c r="V113" i="67"/>
  <c r="C113" i="67"/>
  <c r="Z112" i="67"/>
  <c r="Y112" i="67"/>
  <c r="V112" i="67"/>
  <c r="C112" i="67"/>
  <c r="Z111" i="67"/>
  <c r="Y111" i="67"/>
  <c r="V111" i="67"/>
  <c r="D499" i="66" l="1"/>
  <c r="D497" i="66"/>
  <c r="D496" i="66"/>
  <c r="D498" i="66"/>
  <c r="D503" i="66"/>
  <c r="D495" i="66"/>
  <c r="D500" i="66"/>
  <c r="D505" i="66"/>
  <c r="D494" i="66"/>
  <c r="D504" i="66"/>
  <c r="D501" i="66"/>
  <c r="D502" i="66"/>
  <c r="T21" i="66"/>
  <c r="U20" i="66"/>
  <c r="C111" i="67"/>
  <c r="Z110" i="67"/>
  <c r="Y110" i="67"/>
  <c r="V110" i="67"/>
  <c r="C110" i="67"/>
  <c r="Z109" i="67"/>
  <c r="Y109" i="67"/>
  <c r="V109" i="67"/>
  <c r="C109" i="67"/>
  <c r="Z108" i="67"/>
  <c r="Y108" i="67"/>
  <c r="V108" i="67"/>
  <c r="T22" i="66" l="1"/>
  <c r="U21" i="66"/>
  <c r="C108" i="67"/>
  <c r="Z107" i="67"/>
  <c r="Y107" i="67"/>
  <c r="V107" i="67"/>
  <c r="C107" i="67"/>
  <c r="Z106" i="67"/>
  <c r="Y106" i="67"/>
  <c r="V106" i="67"/>
  <c r="C106" i="67"/>
  <c r="Z105" i="67"/>
  <c r="Y105" i="67"/>
  <c r="V105" i="67"/>
  <c r="C105" i="67"/>
  <c r="Z104" i="67"/>
  <c r="Y104" i="67"/>
  <c r="V104" i="67"/>
  <c r="C104" i="67"/>
  <c r="Z103" i="67"/>
  <c r="Y103" i="67"/>
  <c r="V103" i="67"/>
  <c r="T23" i="66" l="1"/>
  <c r="U22" i="66"/>
  <c r="C103" i="67"/>
  <c r="Z102" i="67"/>
  <c r="Y102" i="67"/>
  <c r="V102" i="67"/>
  <c r="C102" i="67"/>
  <c r="Z101" i="67"/>
  <c r="Y101" i="67"/>
  <c r="V101" i="67"/>
  <c r="C101" i="67"/>
  <c r="Z100" i="67"/>
  <c r="Y100" i="67"/>
  <c r="V100" i="67"/>
  <c r="T24" i="66" l="1"/>
  <c r="U23" i="66"/>
  <c r="C100" i="67"/>
  <c r="Z99" i="67"/>
  <c r="Y99" i="67"/>
  <c r="V99" i="67"/>
  <c r="C99" i="67"/>
  <c r="Z98" i="67"/>
  <c r="Y98" i="67"/>
  <c r="V98" i="67"/>
  <c r="C98" i="67"/>
  <c r="Z97" i="67"/>
  <c r="Y97" i="67"/>
  <c r="V97" i="67"/>
  <c r="C97" i="67"/>
  <c r="Z96" i="67"/>
  <c r="Y96" i="67"/>
  <c r="V96" i="67"/>
  <c r="C96" i="67"/>
  <c r="Z95" i="67"/>
  <c r="Y95" i="67"/>
  <c r="V95" i="67"/>
  <c r="T25" i="66" l="1"/>
  <c r="U24" i="66"/>
  <c r="C95" i="67"/>
  <c r="Z94" i="67"/>
  <c r="Y94" i="67"/>
  <c r="V94" i="67"/>
  <c r="C94" i="67"/>
  <c r="Z93" i="67"/>
  <c r="Y93" i="67"/>
  <c r="V93" i="67"/>
  <c r="C93" i="67"/>
  <c r="Z92" i="67"/>
  <c r="Y92" i="67"/>
  <c r="V92" i="67"/>
  <c r="T26" i="66" l="1"/>
  <c r="U25" i="66"/>
  <c r="C92" i="67"/>
  <c r="Z91" i="67"/>
  <c r="Y91" i="67"/>
  <c r="V91" i="67"/>
  <c r="C91" i="67"/>
  <c r="Z90" i="67"/>
  <c r="Y90" i="67"/>
  <c r="V90" i="67"/>
  <c r="C90" i="67"/>
  <c r="Z89" i="67"/>
  <c r="Y89" i="67"/>
  <c r="V89" i="67"/>
  <c r="C89" i="67"/>
  <c r="Z88" i="67"/>
  <c r="Y88" i="67"/>
  <c r="V88" i="67"/>
  <c r="C88" i="67"/>
  <c r="Z87" i="67"/>
  <c r="Y87" i="67"/>
  <c r="V87" i="67"/>
  <c r="T27" i="66" l="1"/>
  <c r="U26" i="66"/>
  <c r="C87" i="67"/>
  <c r="Z86" i="67"/>
  <c r="Y86" i="67"/>
  <c r="V86" i="67"/>
  <c r="C86" i="67"/>
  <c r="Z85" i="67"/>
  <c r="Y85" i="67"/>
  <c r="V85" i="67"/>
  <c r="C85" i="67"/>
  <c r="Z84" i="67"/>
  <c r="Y84" i="67"/>
  <c r="V84" i="67"/>
  <c r="T28" i="66" l="1"/>
  <c r="U27" i="66"/>
  <c r="C84" i="67"/>
  <c r="Z83" i="67"/>
  <c r="Y83" i="67"/>
  <c r="V83" i="67"/>
  <c r="C83" i="67"/>
  <c r="Z82" i="67"/>
  <c r="Y82" i="67"/>
  <c r="V82" i="67"/>
  <c r="C82" i="67"/>
  <c r="Z81" i="67"/>
  <c r="Y81" i="67"/>
  <c r="V81" i="67"/>
  <c r="C81" i="67"/>
  <c r="Z80" i="67"/>
  <c r="Y80" i="67"/>
  <c r="V80" i="67"/>
  <c r="C80" i="67"/>
  <c r="Z79" i="67"/>
  <c r="Y79" i="67"/>
  <c r="V79" i="67"/>
  <c r="T29" i="66" l="1"/>
  <c r="U28" i="66"/>
  <c r="C79" i="67"/>
  <c r="Z78" i="67"/>
  <c r="Y78" i="67"/>
  <c r="V78" i="67"/>
  <c r="C78" i="67"/>
  <c r="Z77" i="67"/>
  <c r="Y77" i="67"/>
  <c r="V77" i="67"/>
  <c r="C77" i="67"/>
  <c r="Z76" i="67"/>
  <c r="Y76" i="67"/>
  <c r="V76" i="67"/>
  <c r="T30" i="66" l="1"/>
  <c r="U29" i="66"/>
  <c r="C76" i="67"/>
  <c r="Z75" i="67"/>
  <c r="Y75" i="67"/>
  <c r="V75" i="67"/>
  <c r="C75" i="67"/>
  <c r="Z74" i="67"/>
  <c r="Y74" i="67"/>
  <c r="V74" i="67"/>
  <c r="C74" i="67"/>
  <c r="Z73" i="67"/>
  <c r="Y73" i="67"/>
  <c r="V73" i="67"/>
  <c r="C73" i="67"/>
  <c r="Z72" i="67"/>
  <c r="Y72" i="67"/>
  <c r="V72" i="67"/>
  <c r="C72" i="67"/>
  <c r="Z71" i="67"/>
  <c r="Y71" i="67"/>
  <c r="V71" i="67"/>
  <c r="T31" i="66" l="1"/>
  <c r="U30" i="66"/>
  <c r="C71" i="67"/>
  <c r="Z70" i="67"/>
  <c r="Y70" i="67"/>
  <c r="V70" i="67"/>
  <c r="C70" i="67"/>
  <c r="Z69" i="67"/>
  <c r="Y69" i="67"/>
  <c r="V69" i="67"/>
  <c r="C69" i="67"/>
  <c r="Z68" i="67"/>
  <c r="Y68" i="67"/>
  <c r="V68" i="67"/>
  <c r="C68" i="67"/>
  <c r="Z67" i="67"/>
  <c r="Y67" i="67"/>
  <c r="V67" i="67"/>
  <c r="C67" i="67"/>
  <c r="Z66" i="67"/>
  <c r="Y66" i="67"/>
  <c r="V66" i="67"/>
  <c r="C66" i="67"/>
  <c r="Z65" i="67"/>
  <c r="Y65" i="67"/>
  <c r="V65" i="67"/>
  <c r="C65" i="67"/>
  <c r="Z64" i="67"/>
  <c r="Y64" i="67"/>
  <c r="V64" i="67"/>
  <c r="C64" i="67"/>
  <c r="Z63" i="67"/>
  <c r="Y63" i="67"/>
  <c r="V63" i="67"/>
  <c r="C63" i="67"/>
  <c r="Z62" i="67"/>
  <c r="Y62" i="67"/>
  <c r="V62" i="67"/>
  <c r="C62" i="67"/>
  <c r="Z61" i="67"/>
  <c r="Y61" i="67"/>
  <c r="V61" i="67"/>
  <c r="C61" i="67"/>
  <c r="Z60" i="67"/>
  <c r="Y60" i="67"/>
  <c r="V60" i="67"/>
  <c r="C60" i="67"/>
  <c r="Z59" i="67"/>
  <c r="Y59" i="67"/>
  <c r="V59" i="67"/>
  <c r="C59" i="67"/>
  <c r="Z58" i="67"/>
  <c r="Y58" i="67"/>
  <c r="V58" i="67"/>
  <c r="C58" i="67"/>
  <c r="Z57" i="67"/>
  <c r="Y57" i="67"/>
  <c r="V57" i="67"/>
  <c r="C57" i="67"/>
  <c r="Z56" i="67"/>
  <c r="Y56" i="67"/>
  <c r="V56" i="67"/>
  <c r="C56" i="67"/>
  <c r="Z55" i="67"/>
  <c r="Y55" i="67"/>
  <c r="V55" i="67"/>
  <c r="C55" i="67"/>
  <c r="Z54" i="67"/>
  <c r="Y54" i="67"/>
  <c r="V54" i="67"/>
  <c r="C54" i="67"/>
  <c r="Z53" i="67"/>
  <c r="Y53" i="67"/>
  <c r="V53" i="67"/>
  <c r="C53" i="67"/>
  <c r="Z52" i="67"/>
  <c r="Y52" i="67"/>
  <c r="V52" i="67"/>
  <c r="C52" i="67"/>
  <c r="Z51" i="67"/>
  <c r="Y51" i="67"/>
  <c r="V51" i="67"/>
  <c r="C51" i="67"/>
  <c r="Z50" i="67"/>
  <c r="Y50" i="67"/>
  <c r="V50" i="67"/>
  <c r="C50" i="67"/>
  <c r="Z49" i="67"/>
  <c r="Y49" i="67"/>
  <c r="V49" i="67"/>
  <c r="C49" i="67"/>
  <c r="Z48" i="67"/>
  <c r="Y48" i="67"/>
  <c r="V48" i="67"/>
  <c r="C48" i="67"/>
  <c r="Z47" i="67"/>
  <c r="Y47" i="67"/>
  <c r="V47" i="67"/>
  <c r="C47" i="67"/>
  <c r="Z46" i="67"/>
  <c r="Y46" i="67"/>
  <c r="V46" i="67"/>
  <c r="C46" i="67"/>
  <c r="Z45" i="67"/>
  <c r="Y45" i="67"/>
  <c r="V45" i="67"/>
  <c r="C45" i="67"/>
  <c r="Z44" i="67"/>
  <c r="Y44" i="67"/>
  <c r="V44" i="67"/>
  <c r="C44" i="67"/>
  <c r="Z43" i="67"/>
  <c r="Y43" i="67"/>
  <c r="V43" i="67"/>
  <c r="C43" i="67"/>
  <c r="Z42" i="67"/>
  <c r="Y42" i="67"/>
  <c r="V42" i="67"/>
  <c r="C42" i="67"/>
  <c r="Z41" i="67"/>
  <c r="Y41" i="67"/>
  <c r="V41" i="67"/>
  <c r="C41" i="67"/>
  <c r="Z40" i="67"/>
  <c r="Y40" i="67"/>
  <c r="V40" i="67"/>
  <c r="C40" i="67"/>
  <c r="Z39" i="67"/>
  <c r="Y39" i="67"/>
  <c r="V39" i="67"/>
  <c r="C39" i="67"/>
  <c r="Z38" i="67"/>
  <c r="Y38" i="67"/>
  <c r="V38" i="67"/>
  <c r="C38" i="67"/>
  <c r="Z37" i="67"/>
  <c r="Y37" i="67"/>
  <c r="V37" i="67"/>
  <c r="C37" i="67"/>
  <c r="Z36" i="67"/>
  <c r="Y36" i="67"/>
  <c r="V36" i="67"/>
  <c r="C36" i="67"/>
  <c r="Z35" i="67"/>
  <c r="Y35" i="67"/>
  <c r="V35" i="67"/>
  <c r="C35" i="67"/>
  <c r="Z34" i="67"/>
  <c r="Y34" i="67"/>
  <c r="V34" i="67"/>
  <c r="C34" i="67"/>
  <c r="Z33" i="67"/>
  <c r="Y33" i="67"/>
  <c r="V33" i="67"/>
  <c r="C33" i="67"/>
  <c r="Z32" i="67"/>
  <c r="Y32" i="67"/>
  <c r="V32" i="67"/>
  <c r="C32" i="67"/>
  <c r="Z31" i="67"/>
  <c r="Y31" i="67"/>
  <c r="V31" i="67"/>
  <c r="C31" i="67"/>
  <c r="Z30" i="67"/>
  <c r="Y30" i="67"/>
  <c r="V30" i="67"/>
  <c r="C30" i="67"/>
  <c r="Z29" i="67"/>
  <c r="Y29" i="67"/>
  <c r="V29" i="67"/>
  <c r="C29" i="67"/>
  <c r="Z28" i="67"/>
  <c r="Y28" i="67"/>
  <c r="V28" i="67"/>
  <c r="C28" i="67"/>
  <c r="Z27" i="67"/>
  <c r="Y27" i="67"/>
  <c r="V27" i="67"/>
  <c r="C27" i="67"/>
  <c r="Z26" i="67"/>
  <c r="Y26" i="67"/>
  <c r="V26" i="67"/>
  <c r="C26" i="67"/>
  <c r="Z25" i="67"/>
  <c r="Y25" i="67"/>
  <c r="V25" i="67"/>
  <c r="D25" i="67"/>
  <c r="C25" i="67"/>
  <c r="Z24" i="67"/>
  <c r="Y24" i="67"/>
  <c r="V24" i="67"/>
  <c r="D24" i="67"/>
  <c r="C24" i="67"/>
  <c r="Z23" i="67"/>
  <c r="Y23" i="67"/>
  <c r="V23" i="67"/>
  <c r="D23" i="67"/>
  <c r="C23" i="67"/>
  <c r="Z22" i="67"/>
  <c r="Y22" i="67"/>
  <c r="V22" i="67"/>
  <c r="D22" i="67"/>
  <c r="C22" i="67"/>
  <c r="Z21" i="67"/>
  <c r="Y21" i="67"/>
  <c r="V21" i="67"/>
  <c r="D21" i="67"/>
  <c r="C21" i="67"/>
  <c r="Z20" i="67"/>
  <c r="Y20" i="67"/>
  <c r="V20" i="67"/>
  <c r="D20" i="67"/>
  <c r="C20" i="67"/>
  <c r="Z19" i="67"/>
  <c r="Y19" i="67"/>
  <c r="V19" i="67"/>
  <c r="D19" i="67"/>
  <c r="C19" i="67"/>
  <c r="Z18" i="67"/>
  <c r="Y18" i="67"/>
  <c r="V18" i="67"/>
  <c r="D18" i="67"/>
  <c r="C18" i="67"/>
  <c r="Z17" i="67"/>
  <c r="Y17" i="67"/>
  <c r="V17" i="67"/>
  <c r="D17" i="67"/>
  <c r="C17" i="67"/>
  <c r="Z16" i="67"/>
  <c r="Y16" i="67"/>
  <c r="V16" i="67"/>
  <c r="D16" i="67"/>
  <c r="C16" i="67"/>
  <c r="Z15" i="67"/>
  <c r="Y15" i="67"/>
  <c r="V15" i="67"/>
  <c r="D15" i="67"/>
  <c r="C15" i="67"/>
  <c r="Z14" i="67"/>
  <c r="Y14" i="67"/>
  <c r="V14" i="67"/>
  <c r="D14" i="67"/>
  <c r="C14" i="67"/>
  <c r="Z13" i="67"/>
  <c r="Y13" i="67"/>
  <c r="V13" i="67"/>
  <c r="C13" i="67"/>
  <c r="Z12" i="67"/>
  <c r="Y12" i="67"/>
  <c r="V12" i="67"/>
  <c r="C12" i="67"/>
  <c r="Z11" i="67"/>
  <c r="Y11" i="67"/>
  <c r="V11" i="67"/>
  <c r="C11" i="67"/>
  <c r="Z10" i="67"/>
  <c r="Y10" i="67"/>
  <c r="V10" i="67"/>
  <c r="C10" i="67"/>
  <c r="Z9" i="67"/>
  <c r="Y9" i="67"/>
  <c r="V9" i="67"/>
  <c r="N9" i="67"/>
  <c r="M9" i="67"/>
  <c r="M13" i="67" s="1"/>
  <c r="C9" i="67"/>
  <c r="Z8" i="67"/>
  <c r="Y8" i="67"/>
  <c r="V8" i="67"/>
  <c r="N8" i="67"/>
  <c r="M8" i="67"/>
  <c r="C8" i="67"/>
  <c r="Z7" i="67"/>
  <c r="Y7" i="67"/>
  <c r="V7" i="67"/>
  <c r="N7" i="67"/>
  <c r="M7" i="67"/>
  <c r="M11" i="67" s="1"/>
  <c r="C7" i="67"/>
  <c r="Z6" i="67"/>
  <c r="Y6" i="67"/>
  <c r="V6" i="67"/>
  <c r="N6" i="67"/>
  <c r="M6" i="67"/>
  <c r="C6" i="67"/>
  <c r="Z5" i="67"/>
  <c r="Y5" i="67"/>
  <c r="V5" i="67"/>
  <c r="O5" i="67"/>
  <c r="C5" i="67"/>
  <c r="Z4" i="67"/>
  <c r="Y4" i="67"/>
  <c r="V4" i="67"/>
  <c r="O4" i="67"/>
  <c r="C4" i="67"/>
  <c r="Z3" i="67"/>
  <c r="Y3" i="67"/>
  <c r="V3" i="67"/>
  <c r="O3" i="67"/>
  <c r="C3" i="67"/>
  <c r="Z2" i="67"/>
  <c r="Y2" i="67"/>
  <c r="V2" i="67"/>
  <c r="O2" i="67"/>
  <c r="C2" i="67"/>
  <c r="F3" i="67" l="1"/>
  <c r="L3" i="66" s="1"/>
  <c r="F5" i="67"/>
  <c r="L5" i="66" s="1"/>
  <c r="F7" i="67"/>
  <c r="L7" i="66" s="1"/>
  <c r="F9" i="67"/>
  <c r="L9" i="66" s="1"/>
  <c r="F11" i="67"/>
  <c r="L11" i="66" s="1"/>
  <c r="F13" i="67"/>
  <c r="L13" i="66" s="1"/>
  <c r="F4" i="67"/>
  <c r="L4" i="66" s="1"/>
  <c r="F6" i="67"/>
  <c r="L6" i="66" s="1"/>
  <c r="F8" i="67"/>
  <c r="L8" i="66" s="1"/>
  <c r="F10" i="67"/>
  <c r="L10" i="66" s="1"/>
  <c r="F12" i="67"/>
  <c r="L12" i="66" s="1"/>
  <c r="F2" i="67"/>
  <c r="L2" i="66" s="1"/>
  <c r="O6" i="67"/>
  <c r="F15" i="67" s="1"/>
  <c r="L15" i="66" s="1"/>
  <c r="O8" i="67"/>
  <c r="F14" i="67"/>
  <c r="L14" i="66" s="1"/>
  <c r="F16" i="67"/>
  <c r="L16" i="66" s="1"/>
  <c r="M12" i="67"/>
  <c r="D29" i="67"/>
  <c r="D41" i="67" s="1"/>
  <c r="D31" i="67"/>
  <c r="D26" i="67"/>
  <c r="G14" i="67"/>
  <c r="H14" i="66" s="1"/>
  <c r="E14" i="67"/>
  <c r="M14" i="66" s="1"/>
  <c r="I14" i="67"/>
  <c r="J14" i="66" s="1"/>
  <c r="R14" i="66" s="1"/>
  <c r="G16" i="67"/>
  <c r="H16" i="66" s="1"/>
  <c r="E16" i="67"/>
  <c r="M16" i="66" s="1"/>
  <c r="I16" i="67"/>
  <c r="J16" i="66" s="1"/>
  <c r="R16" i="66" s="1"/>
  <c r="G3" i="67"/>
  <c r="H3" i="66" s="1"/>
  <c r="G5" i="67"/>
  <c r="H5" i="66" s="1"/>
  <c r="G7" i="67"/>
  <c r="H7" i="66" s="1"/>
  <c r="G9" i="67"/>
  <c r="H9" i="66" s="1"/>
  <c r="G11" i="67"/>
  <c r="H11" i="66" s="1"/>
  <c r="G13" i="67"/>
  <c r="H13" i="66" s="1"/>
  <c r="G4" i="67"/>
  <c r="H4" i="66" s="1"/>
  <c r="G6" i="67"/>
  <c r="H6" i="66" s="1"/>
  <c r="G8" i="67"/>
  <c r="H8" i="66" s="1"/>
  <c r="G10" i="67"/>
  <c r="H10" i="66" s="1"/>
  <c r="G12" i="67"/>
  <c r="H12" i="66" s="1"/>
  <c r="G2" i="67"/>
  <c r="H2" i="66" s="1"/>
  <c r="E3" i="67"/>
  <c r="M3" i="66" s="1"/>
  <c r="E5" i="67"/>
  <c r="M5" i="66" s="1"/>
  <c r="E7" i="67"/>
  <c r="M7" i="66" s="1"/>
  <c r="E9" i="67"/>
  <c r="M9" i="66" s="1"/>
  <c r="E11" i="67"/>
  <c r="M11" i="66" s="1"/>
  <c r="E13" i="67"/>
  <c r="M13" i="66" s="1"/>
  <c r="E4" i="67"/>
  <c r="M4" i="66" s="1"/>
  <c r="E6" i="67"/>
  <c r="M6" i="66" s="1"/>
  <c r="E8" i="67"/>
  <c r="M8" i="66" s="1"/>
  <c r="E10" i="67"/>
  <c r="M10" i="66" s="1"/>
  <c r="E12" i="67"/>
  <c r="M12" i="66" s="1"/>
  <c r="I3" i="67"/>
  <c r="J3" i="66" s="1"/>
  <c r="R3" i="66" s="1"/>
  <c r="I5" i="67"/>
  <c r="J5" i="66" s="1"/>
  <c r="R5" i="66" s="1"/>
  <c r="I7" i="67"/>
  <c r="J7" i="66" s="1"/>
  <c r="R7" i="66" s="1"/>
  <c r="I9" i="67"/>
  <c r="J9" i="66" s="1"/>
  <c r="R9" i="66" s="1"/>
  <c r="I11" i="67"/>
  <c r="J11" i="66" s="1"/>
  <c r="R11" i="66" s="1"/>
  <c r="I13" i="67"/>
  <c r="J13" i="66" s="1"/>
  <c r="R13" i="66" s="1"/>
  <c r="I4" i="67"/>
  <c r="J4" i="66" s="1"/>
  <c r="R4" i="66" s="1"/>
  <c r="I6" i="67"/>
  <c r="J6" i="66" s="1"/>
  <c r="R6" i="66" s="1"/>
  <c r="I8" i="67"/>
  <c r="J8" i="66" s="1"/>
  <c r="R8" i="66" s="1"/>
  <c r="I10" i="67"/>
  <c r="J10" i="66" s="1"/>
  <c r="R10" i="66" s="1"/>
  <c r="I12" i="67"/>
  <c r="J12" i="66" s="1"/>
  <c r="R12" i="66" s="1"/>
  <c r="E2" i="67"/>
  <c r="M2" i="66" s="1"/>
  <c r="I2" i="67"/>
  <c r="J2" i="66" s="1"/>
  <c r="R2" i="66" s="1"/>
  <c r="G15" i="67"/>
  <c r="H15" i="66" s="1"/>
  <c r="E15" i="67"/>
  <c r="M15" i="66" s="1"/>
  <c r="I15" i="67"/>
  <c r="J15" i="66" s="1"/>
  <c r="R15" i="66" s="1"/>
  <c r="D37" i="67"/>
  <c r="M15" i="67"/>
  <c r="M17" i="67"/>
  <c r="O7" i="67"/>
  <c r="G17" i="67" s="1"/>
  <c r="H17" i="66" s="1"/>
  <c r="O9" i="67"/>
  <c r="M16" i="67"/>
  <c r="D27" i="67"/>
  <c r="D33" i="67"/>
  <c r="D35" i="67"/>
  <c r="D47" i="67" s="1"/>
  <c r="D59" i="67" s="1"/>
  <c r="U2" i="66"/>
  <c r="T32" i="66"/>
  <c r="U31" i="66"/>
  <c r="D30" i="67"/>
  <c r="D32" i="67"/>
  <c r="D45" i="67"/>
  <c r="D49" i="67"/>
  <c r="D28" i="67"/>
  <c r="D34" i="67"/>
  <c r="D36" i="67"/>
  <c r="D39" i="67"/>
  <c r="D51" i="67" s="1"/>
  <c r="D63" i="67" s="1"/>
  <c r="D43" i="67"/>
  <c r="BO8" i="44"/>
  <c r="BO12" i="44"/>
  <c r="BO13" i="44"/>
  <c r="BO14" i="44"/>
  <c r="BO16" i="44"/>
  <c r="BO19" i="44"/>
  <c r="BO23" i="44"/>
  <c r="BO24" i="44"/>
  <c r="C3" i="20"/>
  <c r="D3" i="20"/>
  <c r="D4" i="20" s="1"/>
  <c r="D5" i="20" s="1"/>
  <c r="D6" i="20" s="1"/>
  <c r="D7" i="20" s="1"/>
  <c r="D8" i="20" s="1"/>
  <c r="D9" i="20" s="1"/>
  <c r="D10" i="20" s="1"/>
  <c r="D11" i="20" s="1"/>
  <c r="E3" i="20"/>
  <c r="E4" i="20" s="1"/>
  <c r="E5" i="20" s="1"/>
  <c r="E6" i="20" s="1"/>
  <c r="E7" i="20" s="1"/>
  <c r="E8" i="20" s="1"/>
  <c r="E9" i="20" s="1"/>
  <c r="E10" i="20" s="1"/>
  <c r="E11" i="20" s="1"/>
  <c r="V3" i="20"/>
  <c r="V4" i="20" s="1"/>
  <c r="V5" i="20" s="1"/>
  <c r="V6" i="20" s="1"/>
  <c r="V7" i="20" s="1"/>
  <c r="V8" i="20" s="1"/>
  <c r="V9" i="20" s="1"/>
  <c r="V10" i="20" s="1"/>
  <c r="V11" i="20" s="1"/>
  <c r="F3" i="20"/>
  <c r="F4" i="20" s="1"/>
  <c r="G3" i="20"/>
  <c r="G4" i="20" s="1"/>
  <c r="H3" i="20"/>
  <c r="H4" i="20" s="1"/>
  <c r="I3" i="20"/>
  <c r="I4" i="20" s="1"/>
  <c r="J3" i="20"/>
  <c r="J4" i="20" s="1"/>
  <c r="J5" i="20" s="1"/>
  <c r="J6" i="20" s="1"/>
  <c r="J7" i="20" s="1"/>
  <c r="J8" i="20" s="1"/>
  <c r="J9" i="20" s="1"/>
  <c r="J10" i="20" s="1"/>
  <c r="J11" i="20" s="1"/>
  <c r="K3" i="20"/>
  <c r="K4" i="20" s="1"/>
  <c r="L3" i="20"/>
  <c r="L4" i="20" s="1"/>
  <c r="M3" i="20"/>
  <c r="M4" i="20" s="1"/>
  <c r="N3" i="20"/>
  <c r="N4" i="20" s="1"/>
  <c r="O3" i="20"/>
  <c r="O4" i="20" s="1"/>
  <c r="O5" i="20" s="1"/>
  <c r="O6" i="20" s="1"/>
  <c r="O7" i="20" s="1"/>
  <c r="O8" i="20" s="1"/>
  <c r="O9" i="20" s="1"/>
  <c r="O10" i="20" s="1"/>
  <c r="O11" i="20" s="1"/>
  <c r="Q3" i="20"/>
  <c r="S3" i="20"/>
  <c r="S4" i="20" s="1"/>
  <c r="S5" i="20" s="1"/>
  <c r="S6" i="20" s="1"/>
  <c r="S7" i="20" s="1"/>
  <c r="S8" i="20" s="1"/>
  <c r="S9" i="20" s="1"/>
  <c r="S10" i="20" s="1"/>
  <c r="S11" i="20" s="1"/>
  <c r="U3" i="20"/>
  <c r="W3" i="20"/>
  <c r="W4" i="20" s="1"/>
  <c r="W5" i="20" s="1"/>
  <c r="W6" i="20" s="1"/>
  <c r="W7" i="20" s="1"/>
  <c r="W8" i="20" s="1"/>
  <c r="W9" i="20" s="1"/>
  <c r="W10" i="20" s="1"/>
  <c r="W11" i="20" s="1"/>
  <c r="C4" i="20"/>
  <c r="C5" i="20" s="1"/>
  <c r="C6" i="20" s="1"/>
  <c r="C7" i="20" s="1"/>
  <c r="C8" i="20" s="1"/>
  <c r="C9" i="20" s="1"/>
  <c r="C10" i="20" s="1"/>
  <c r="C11" i="20" s="1"/>
  <c r="Q4" i="20"/>
  <c r="U4" i="20"/>
  <c r="U5" i="20" s="1"/>
  <c r="U6" i="20" s="1"/>
  <c r="U7" i="20" s="1"/>
  <c r="U8" i="20" s="1"/>
  <c r="U9" i="20" s="1"/>
  <c r="U10" i="20" s="1"/>
  <c r="U11" i="20" s="1"/>
  <c r="F5" i="20"/>
  <c r="F6" i="20" s="1"/>
  <c r="F7" i="20" s="1"/>
  <c r="F8" i="20" s="1"/>
  <c r="F9" i="20" s="1"/>
  <c r="F10" i="20" s="1"/>
  <c r="F11" i="20" s="1"/>
  <c r="G5" i="20"/>
  <c r="H5" i="20"/>
  <c r="H6" i="20" s="1"/>
  <c r="H7" i="20" s="1"/>
  <c r="H8" i="20" s="1"/>
  <c r="H9" i="20" s="1"/>
  <c r="H10" i="20" s="1"/>
  <c r="H11" i="20" s="1"/>
  <c r="I5" i="20"/>
  <c r="K5" i="20"/>
  <c r="K6" i="20" s="1"/>
  <c r="K7" i="20" s="1"/>
  <c r="K8" i="20" s="1"/>
  <c r="K9" i="20" s="1"/>
  <c r="K10" i="20" s="1"/>
  <c r="K11" i="20" s="1"/>
  <c r="L5" i="20"/>
  <c r="M5" i="20"/>
  <c r="M6" i="20" s="1"/>
  <c r="M7" i="20" s="1"/>
  <c r="M8" i="20" s="1"/>
  <c r="M9" i="20" s="1"/>
  <c r="M10" i="20" s="1"/>
  <c r="M11" i="20" s="1"/>
  <c r="N5" i="20"/>
  <c r="N6" i="20" s="1"/>
  <c r="N7" i="20" s="1"/>
  <c r="N8" i="20" s="1"/>
  <c r="N9" i="20" s="1"/>
  <c r="N10" i="20" s="1"/>
  <c r="N11" i="20" s="1"/>
  <c r="Q5" i="20"/>
  <c r="Q6" i="20" s="1"/>
  <c r="Q7" i="20" s="1"/>
  <c r="Q8" i="20" s="1"/>
  <c r="Q9" i="20" s="1"/>
  <c r="Q10" i="20" s="1"/>
  <c r="Q11" i="20" s="1"/>
  <c r="G6" i="20"/>
  <c r="G7" i="20" s="1"/>
  <c r="G8" i="20" s="1"/>
  <c r="G9" i="20" s="1"/>
  <c r="G10" i="20" s="1"/>
  <c r="G11" i="20" s="1"/>
  <c r="I6" i="20"/>
  <c r="I7" i="20" s="1"/>
  <c r="I8" i="20" s="1"/>
  <c r="I9" i="20" s="1"/>
  <c r="I10" i="20" s="1"/>
  <c r="I11" i="20" s="1"/>
  <c r="L6" i="20"/>
  <c r="L7" i="20" s="1"/>
  <c r="L8" i="20" s="1"/>
  <c r="L9" i="20" s="1"/>
  <c r="L10" i="20" s="1"/>
  <c r="L11" i="20" s="1"/>
  <c r="V19" i="20"/>
  <c r="O19" i="20"/>
  <c r="Q19" i="20"/>
  <c r="S19" i="20"/>
  <c r="U19" i="20"/>
  <c r="W19" i="20"/>
  <c r="BD15" i="44"/>
  <c r="V21" i="6" s="1"/>
  <c r="V21" i="20"/>
  <c r="O21" i="20"/>
  <c r="Q21" i="20"/>
  <c r="S21" i="20"/>
  <c r="U21" i="6"/>
  <c r="U21" i="20"/>
  <c r="V24" i="20"/>
  <c r="O24" i="20"/>
  <c r="Q24" i="20"/>
  <c r="S24" i="20"/>
  <c r="U24" i="20"/>
  <c r="V25" i="20"/>
  <c r="O25" i="20"/>
  <c r="Q25" i="20"/>
  <c r="S25" i="20"/>
  <c r="U25" i="20"/>
  <c r="V26" i="20"/>
  <c r="O26" i="20"/>
  <c r="Q26" i="20"/>
  <c r="S26" i="20"/>
  <c r="U26" i="20"/>
  <c r="AA21" i="44"/>
  <c r="AB21" i="44" s="1"/>
  <c r="C27" i="6" s="1"/>
  <c r="V27" i="20"/>
  <c r="O27" i="20"/>
  <c r="Q27" i="20"/>
  <c r="S27" i="20"/>
  <c r="U27" i="20"/>
  <c r="V28" i="20"/>
  <c r="O28" i="20"/>
  <c r="Q28" i="20"/>
  <c r="S28" i="20"/>
  <c r="U28" i="20"/>
  <c r="V29" i="20"/>
  <c r="O29" i="20"/>
  <c r="Q29" i="20"/>
  <c r="S29" i="20"/>
  <c r="U29" i="20"/>
  <c r="V30" i="20"/>
  <c r="O30" i="20"/>
  <c r="Q30" i="20"/>
  <c r="S30" i="20"/>
  <c r="U30" i="20"/>
  <c r="V31" i="20"/>
  <c r="O31" i="20"/>
  <c r="Q31" i="20"/>
  <c r="S31" i="20"/>
  <c r="U31" i="20"/>
  <c r="V32" i="20"/>
  <c r="AI25" i="44"/>
  <c r="AJ25" i="44" s="1"/>
  <c r="F31" i="6" s="1"/>
  <c r="O32" i="20"/>
  <c r="Q32" i="20"/>
  <c r="S32" i="20"/>
  <c r="U32" i="20"/>
  <c r="V33" i="20"/>
  <c r="O33" i="20"/>
  <c r="Q33" i="20"/>
  <c r="S33" i="20"/>
  <c r="U33" i="20"/>
  <c r="V34" i="20"/>
  <c r="O34" i="20"/>
  <c r="Q34" i="20"/>
  <c r="S34" i="20"/>
  <c r="U34" i="20"/>
  <c r="V35" i="20"/>
  <c r="AK29" i="44"/>
  <c r="AL29" i="44" s="1"/>
  <c r="G35" i="6" s="1"/>
  <c r="BD30" i="44"/>
  <c r="V36" i="6" s="1"/>
  <c r="V36" i="20"/>
  <c r="O35" i="20"/>
  <c r="Q35" i="20"/>
  <c r="S35" i="20"/>
  <c r="U35" i="20"/>
  <c r="O36" i="20"/>
  <c r="Q36" i="20"/>
  <c r="S36" i="20"/>
  <c r="U36" i="6"/>
  <c r="U36" i="20"/>
  <c r="V37" i="20"/>
  <c r="U37" i="20"/>
  <c r="V38" i="20"/>
  <c r="U38" i="20"/>
  <c r="AR32" i="44"/>
  <c r="AS32" i="44" s="1"/>
  <c r="J38" i="6" s="1"/>
  <c r="V39" i="20"/>
  <c r="U39" i="20"/>
  <c r="V40" i="20"/>
  <c r="O40" i="20"/>
  <c r="Q40" i="20"/>
  <c r="S40" i="20"/>
  <c r="U40" i="20"/>
  <c r="V41" i="20"/>
  <c r="O41" i="20"/>
  <c r="Q41" i="20"/>
  <c r="S41" i="20"/>
  <c r="U41" i="20"/>
  <c r="Y37" i="44"/>
  <c r="Z37" i="44" s="1"/>
  <c r="Y38" i="44" s="1"/>
  <c r="U42" i="6"/>
  <c r="U42" i="20"/>
  <c r="V42" i="6"/>
  <c r="V42" i="20"/>
  <c r="AA37" i="44"/>
  <c r="AB37" i="44" s="1"/>
  <c r="AA38" i="44" s="1"/>
  <c r="AE37" i="44"/>
  <c r="AF37" i="44" s="1"/>
  <c r="E43" i="6" s="1"/>
  <c r="BD37" i="44"/>
  <c r="V43" i="6" s="1"/>
  <c r="AT37" i="44"/>
  <c r="AU37" i="44" s="1"/>
  <c r="K43" i="6" s="1"/>
  <c r="AX37" i="44"/>
  <c r="M43" i="6" s="1"/>
  <c r="AZ37" i="44"/>
  <c r="BA37" i="44" s="1"/>
  <c r="N43" i="6" s="1"/>
  <c r="AP37" i="44"/>
  <c r="AQ37" i="44" s="1"/>
  <c r="O43" i="6" s="1"/>
  <c r="P43" i="6" s="1"/>
  <c r="AN37" i="44"/>
  <c r="AO37" i="44" s="1"/>
  <c r="Q43" i="6" s="1"/>
  <c r="R43" i="6" s="1"/>
  <c r="AV37" i="44"/>
  <c r="AW37" i="44" s="1"/>
  <c r="S43" i="6" s="1"/>
  <c r="T43" i="6" s="1"/>
  <c r="BB37" i="44"/>
  <c r="BC37" i="44" s="1"/>
  <c r="AI37" i="44"/>
  <c r="AJ37" i="44" s="1"/>
  <c r="AI38" i="44" s="1"/>
  <c r="AJ38" i="44" s="1"/>
  <c r="AK37" i="44"/>
  <c r="AL37" i="44" s="1"/>
  <c r="AK38" i="44" s="1"/>
  <c r="AR37" i="44"/>
  <c r="AS37" i="44" s="1"/>
  <c r="AR38" i="44" s="1"/>
  <c r="A45" i="17"/>
  <c r="A46" i="17" s="1"/>
  <c r="A47" i="17" s="1"/>
  <c r="A48" i="17" s="1"/>
  <c r="A49" i="17" s="1"/>
  <c r="A50" i="17" s="1"/>
  <c r="A44" i="22"/>
  <c r="A45" i="22" s="1"/>
  <c r="A46" i="22" s="1"/>
  <c r="A47" i="22" s="1"/>
  <c r="A48" i="22" s="1"/>
  <c r="A43" i="6"/>
  <c r="A44" i="6"/>
  <c r="A45" i="6" s="1"/>
  <c r="A46" i="6" s="1"/>
  <c r="A47" i="6" s="1"/>
  <c r="A48" i="6" s="1"/>
  <c r="A49" i="6" s="1"/>
  <c r="A50" i="6" s="1"/>
  <c r="X44" i="6"/>
  <c r="X45" i="6" s="1"/>
  <c r="W44" i="6"/>
  <c r="W45" i="6" s="1"/>
  <c r="W46" i="6" s="1"/>
  <c r="W47" i="6" s="1"/>
  <c r="W48" i="6" s="1"/>
  <c r="W49" i="6" s="1"/>
  <c r="W50" i="6" s="1"/>
  <c r="BH26" i="44"/>
  <c r="BN6" i="44"/>
  <c r="BO6" i="44" s="1"/>
  <c r="BN9" i="44"/>
  <c r="BO9" i="44" s="1"/>
  <c r="BN7" i="44"/>
  <c r="BO7" i="44" s="1"/>
  <c r="BN11" i="44"/>
  <c r="BO11" i="44" s="1"/>
  <c r="BE16" i="44"/>
  <c r="BE15" i="44"/>
  <c r="BN17" i="44"/>
  <c r="BO17" i="44" s="1"/>
  <c r="BH17" i="44"/>
  <c r="BE31" i="44"/>
  <c r="BE30" i="44"/>
  <c r="AM37" i="44"/>
  <c r="AM38" i="44" s="1"/>
  <c r="AC37" i="44"/>
  <c r="D43" i="6" s="1"/>
  <c r="AG37" i="44"/>
  <c r="AH37" i="44" s="1"/>
  <c r="AG38" i="44" s="1"/>
  <c r="AH38" i="44" s="1"/>
  <c r="BG37" i="44"/>
  <c r="BG38" i="44" s="1"/>
  <c r="BG39" i="44" s="1"/>
  <c r="BG40" i="44" s="1"/>
  <c r="BG41" i="44" s="1"/>
  <c r="BG42" i="44" s="1"/>
  <c r="BG43" i="44" s="1"/>
  <c r="BG44" i="44" s="1"/>
  <c r="BF37" i="44"/>
  <c r="BF38" i="44" s="1"/>
  <c r="BF39" i="44" s="1"/>
  <c r="BF40" i="44" s="1"/>
  <c r="BF41" i="44" s="1"/>
  <c r="BF42" i="44" s="1"/>
  <c r="BF43" i="44" s="1"/>
  <c r="BF44" i="44" s="1"/>
  <c r="BH37" i="44"/>
  <c r="BE37" i="44" l="1"/>
  <c r="BD38" i="44" s="1"/>
  <c r="AJ26" i="44"/>
  <c r="AL30" i="44"/>
  <c r="F32" i="6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AB22" i="44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AL38" i="44"/>
  <c r="AK39" i="44" s="1"/>
  <c r="AL39" i="44" s="1"/>
  <c r="AK40" i="44" s="1"/>
  <c r="D57" i="67"/>
  <c r="F25" i="67"/>
  <c r="L25" i="66" s="1"/>
  <c r="F21" i="67"/>
  <c r="L21" i="66" s="1"/>
  <c r="F17" i="67"/>
  <c r="L17" i="66" s="1"/>
  <c r="F22" i="67"/>
  <c r="L22" i="66" s="1"/>
  <c r="F18" i="67"/>
  <c r="L18" i="66" s="1"/>
  <c r="F23" i="67"/>
  <c r="L23" i="66" s="1"/>
  <c r="F19" i="67"/>
  <c r="L19" i="66" s="1"/>
  <c r="F24" i="67"/>
  <c r="L24" i="66" s="1"/>
  <c r="F20" i="67"/>
  <c r="L20" i="66" s="1"/>
  <c r="D69" i="67"/>
  <c r="D71" i="67"/>
  <c r="D53" i="67"/>
  <c r="I25" i="67"/>
  <c r="J25" i="66" s="1"/>
  <c r="R25" i="66" s="1"/>
  <c r="I21" i="67"/>
  <c r="J21" i="66" s="1"/>
  <c r="R21" i="66" s="1"/>
  <c r="G21" i="67"/>
  <c r="H21" i="66" s="1"/>
  <c r="I24" i="67"/>
  <c r="J24" i="66" s="1"/>
  <c r="R24" i="66" s="1"/>
  <c r="E22" i="67"/>
  <c r="M22" i="66" s="1"/>
  <c r="I20" i="67"/>
  <c r="J20" i="66" s="1"/>
  <c r="R20" i="66" s="1"/>
  <c r="E18" i="67"/>
  <c r="M18" i="66" s="1"/>
  <c r="D61" i="67"/>
  <c r="D55" i="67"/>
  <c r="D44" i="67"/>
  <c r="D42" i="67"/>
  <c r="D38" i="67"/>
  <c r="E25" i="67"/>
  <c r="M25" i="66" s="1"/>
  <c r="E21" i="67"/>
  <c r="M21" i="66" s="1"/>
  <c r="E24" i="67"/>
  <c r="M24" i="66" s="1"/>
  <c r="I22" i="67"/>
  <c r="J22" i="66" s="1"/>
  <c r="R22" i="66" s="1"/>
  <c r="G22" i="67"/>
  <c r="H22" i="66" s="1"/>
  <c r="E20" i="67"/>
  <c r="M20" i="66" s="1"/>
  <c r="I18" i="67"/>
  <c r="J18" i="66" s="1"/>
  <c r="R18" i="66" s="1"/>
  <c r="G18" i="67"/>
  <c r="H18" i="66" s="1"/>
  <c r="I23" i="67"/>
  <c r="J23" i="66" s="1"/>
  <c r="R23" i="66" s="1"/>
  <c r="G23" i="67"/>
  <c r="H23" i="66" s="1"/>
  <c r="E19" i="67"/>
  <c r="M19" i="66" s="1"/>
  <c r="E17" i="67"/>
  <c r="M17" i="66" s="1"/>
  <c r="D48" i="67"/>
  <c r="G25" i="67"/>
  <c r="H25" i="66" s="1"/>
  <c r="G24" i="67"/>
  <c r="H24" i="66" s="1"/>
  <c r="G20" i="67"/>
  <c r="H20" i="66" s="1"/>
  <c r="E23" i="67"/>
  <c r="M23" i="66" s="1"/>
  <c r="I19" i="67"/>
  <c r="J19" i="66" s="1"/>
  <c r="R19" i="66" s="1"/>
  <c r="G19" i="67"/>
  <c r="H19" i="66" s="1"/>
  <c r="I17" i="67"/>
  <c r="J17" i="66" s="1"/>
  <c r="R17" i="66" s="1"/>
  <c r="AD37" i="44"/>
  <c r="AE38" i="44"/>
  <c r="AZ38" i="44"/>
  <c r="AY37" i="44"/>
  <c r="AX38" i="44" s="1"/>
  <c r="G36" i="6"/>
  <c r="G37" i="6" s="1"/>
  <c r="G38" i="6" s="1"/>
  <c r="G39" i="6" s="1"/>
  <c r="G40" i="6" s="1"/>
  <c r="G41" i="6" s="1"/>
  <c r="G42" i="6" s="1"/>
  <c r="G43" i="6" s="1"/>
  <c r="G44" i="6" s="1"/>
  <c r="A49" i="22"/>
  <c r="AS38" i="44"/>
  <c r="AR39" i="44" s="1"/>
  <c r="X46" i="6"/>
  <c r="AG39" i="44"/>
  <c r="AC38" i="44"/>
  <c r="AV38" i="44"/>
  <c r="AN38" i="44"/>
  <c r="AP38" i="44"/>
  <c r="AB38" i="44"/>
  <c r="AA39" i="44" s="1"/>
  <c r="Z38" i="44"/>
  <c r="Y39" i="44" s="1"/>
  <c r="D83" i="67"/>
  <c r="D65" i="67"/>
  <c r="D60" i="67"/>
  <c r="D54" i="67"/>
  <c r="AI39" i="44"/>
  <c r="U43" i="6"/>
  <c r="BB38" i="44"/>
  <c r="D81" i="67"/>
  <c r="D67" i="67"/>
  <c r="AT38" i="44"/>
  <c r="AS33" i="44"/>
  <c r="J39" i="6" s="1"/>
  <c r="J40" i="6" s="1"/>
  <c r="J41" i="6" s="1"/>
  <c r="J42" i="6" s="1"/>
  <c r="J43" i="6" s="1"/>
  <c r="D73" i="67"/>
  <c r="D46" i="67"/>
  <c r="D75" i="67"/>
  <c r="D40" i="67"/>
  <c r="M21" i="67"/>
  <c r="M19" i="67"/>
  <c r="D50" i="67"/>
  <c r="M20" i="67"/>
  <c r="V44" i="6" l="1"/>
  <c r="BE38" i="44"/>
  <c r="BD39" i="44" s="1"/>
  <c r="J44" i="6"/>
  <c r="AL40" i="44"/>
  <c r="AK41" i="44" s="1"/>
  <c r="AL41" i="44" s="1"/>
  <c r="G45" i="6"/>
  <c r="D56" i="67"/>
  <c r="AY38" i="44"/>
  <c r="AX39" i="44" s="1"/>
  <c r="BH38" i="44"/>
  <c r="M44" i="6"/>
  <c r="AF38" i="44"/>
  <c r="E44" i="6" s="1"/>
  <c r="BA38" i="44"/>
  <c r="N44" i="6" s="1"/>
  <c r="AB39" i="44"/>
  <c r="AA40" i="44" s="1"/>
  <c r="AS39" i="44"/>
  <c r="AR40" i="44" s="1"/>
  <c r="M24" i="67"/>
  <c r="D52" i="67"/>
  <c r="D79" i="67"/>
  <c r="U44" i="6"/>
  <c r="BC38" i="44"/>
  <c r="BB39" i="44" s="1"/>
  <c r="AJ39" i="44"/>
  <c r="AI40" i="44" s="1"/>
  <c r="D66" i="67"/>
  <c r="D77" i="67"/>
  <c r="AO38" i="44"/>
  <c r="Q44" i="6" s="1"/>
  <c r="R44" i="6" s="1"/>
  <c r="AH39" i="44"/>
  <c r="AG40" i="44" s="1"/>
  <c r="AM39" i="44"/>
  <c r="D62" i="67"/>
  <c r="M23" i="67"/>
  <c r="M25" i="67"/>
  <c r="D87" i="67"/>
  <c r="D58" i="67"/>
  <c r="D85" i="67"/>
  <c r="AU38" i="44"/>
  <c r="K44" i="6" s="1"/>
  <c r="D93" i="67"/>
  <c r="D72" i="67"/>
  <c r="D95" i="67"/>
  <c r="Z39" i="44"/>
  <c r="Y40" i="44" s="1"/>
  <c r="AQ38" i="44"/>
  <c r="O44" i="6" s="1"/>
  <c r="P44" i="6" s="1"/>
  <c r="AW38" i="44"/>
  <c r="S44" i="6" s="1"/>
  <c r="T44" i="6" s="1"/>
  <c r="D44" i="6"/>
  <c r="AD38" i="44"/>
  <c r="AC39" i="44" s="1"/>
  <c r="X47" i="6"/>
  <c r="G46" i="6" l="1"/>
  <c r="BE39" i="44"/>
  <c r="V45" i="6"/>
  <c r="BD40" i="44"/>
  <c r="F45" i="6"/>
  <c r="AE39" i="44"/>
  <c r="AF39" i="44" s="1"/>
  <c r="E45" i="6" s="1"/>
  <c r="G47" i="6"/>
  <c r="AZ39" i="44"/>
  <c r="AV39" i="44"/>
  <c r="AP39" i="44"/>
  <c r="AQ39" i="44" s="1"/>
  <c r="O45" i="6" s="1"/>
  <c r="P45" i="6" s="1"/>
  <c r="D68" i="67"/>
  <c r="AT39" i="44"/>
  <c r="J45" i="6"/>
  <c r="BA39" i="44"/>
  <c r="N45" i="6" s="1"/>
  <c r="M45" i="6"/>
  <c r="BH39" i="44"/>
  <c r="AY39" i="44"/>
  <c r="AX40" i="44" s="1"/>
  <c r="AH40" i="44"/>
  <c r="AG41" i="44" s="1"/>
  <c r="AS40" i="44"/>
  <c r="AR41" i="44" s="1"/>
  <c r="AD39" i="44"/>
  <c r="AC40" i="44" s="1"/>
  <c r="D45" i="6"/>
  <c r="D84" i="67"/>
  <c r="D105" i="67"/>
  <c r="D70" i="67"/>
  <c r="M29" i="67"/>
  <c r="M27" i="67"/>
  <c r="D74" i="67"/>
  <c r="AN39" i="44"/>
  <c r="AM40" i="44" s="1"/>
  <c r="D78" i="67"/>
  <c r="D91" i="67"/>
  <c r="D64" i="67"/>
  <c r="X48" i="6"/>
  <c r="AK42" i="44"/>
  <c r="AW39" i="44"/>
  <c r="S45" i="6" s="1"/>
  <c r="T45" i="6" s="1"/>
  <c r="Z40" i="44"/>
  <c r="Y41" i="44" s="1"/>
  <c r="D107" i="67"/>
  <c r="AU39" i="44"/>
  <c r="K45" i="6" s="1"/>
  <c r="D97" i="67"/>
  <c r="D99" i="67"/>
  <c r="D89" i="67"/>
  <c r="AJ40" i="44"/>
  <c r="F46" i="6" s="1"/>
  <c r="U45" i="6"/>
  <c r="BC39" i="44"/>
  <c r="BB40" i="44" s="1"/>
  <c r="M28" i="67"/>
  <c r="J46" i="6"/>
  <c r="AB40" i="44"/>
  <c r="AA41" i="44" s="1"/>
  <c r="V46" i="6" l="1"/>
  <c r="BE40" i="44"/>
  <c r="BD41" i="44" s="1"/>
  <c r="AZ40" i="44"/>
  <c r="BA40" i="44" s="1"/>
  <c r="AZ41" i="44" s="1"/>
  <c r="BA41" i="44" s="1"/>
  <c r="AZ42" i="44" s="1"/>
  <c r="AI41" i="44"/>
  <c r="AE40" i="44"/>
  <c r="AF40" i="44" s="1"/>
  <c r="AE41" i="44" s="1"/>
  <c r="AF41" i="44" s="1"/>
  <c r="AE42" i="44" s="1"/>
  <c r="AF42" i="44" s="1"/>
  <c r="AE43" i="44" s="1"/>
  <c r="AT40" i="44"/>
  <c r="AU40" i="44" s="1"/>
  <c r="K46" i="6" s="1"/>
  <c r="D80" i="67"/>
  <c r="M46" i="6"/>
  <c r="AY40" i="44"/>
  <c r="AX41" i="44" s="1"/>
  <c r="BH40" i="44"/>
  <c r="AP40" i="44"/>
  <c r="AV40" i="44"/>
  <c r="AB41" i="44"/>
  <c r="AA42" i="44" s="1"/>
  <c r="U46" i="6"/>
  <c r="BC40" i="44"/>
  <c r="BB41" i="44" s="1"/>
  <c r="BA42" i="44"/>
  <c r="AZ43" i="44" s="1"/>
  <c r="AH41" i="44"/>
  <c r="AG42" i="44" s="1"/>
  <c r="Z41" i="44"/>
  <c r="Y42" i="44" s="1"/>
  <c r="AS41" i="44"/>
  <c r="AR42" i="44" s="1"/>
  <c r="AJ41" i="44"/>
  <c r="F47" i="6" s="1"/>
  <c r="D101" i="67"/>
  <c r="D109" i="67"/>
  <c r="AL42" i="44"/>
  <c r="G48" i="6" s="1"/>
  <c r="X49" i="6"/>
  <c r="X50" i="6" s="1"/>
  <c r="D76" i="67"/>
  <c r="D90" i="67"/>
  <c r="AO39" i="44"/>
  <c r="Q45" i="6" s="1"/>
  <c r="R45" i="6" s="1"/>
  <c r="D82" i="67"/>
  <c r="D117" i="67"/>
  <c r="M32" i="67"/>
  <c r="D111" i="67"/>
  <c r="D119" i="67"/>
  <c r="AQ40" i="44"/>
  <c r="O46" i="6" s="1"/>
  <c r="P46" i="6" s="1"/>
  <c r="AW40" i="44"/>
  <c r="S46" i="6" s="1"/>
  <c r="T46" i="6" s="1"/>
  <c r="D103" i="67"/>
  <c r="D86" i="67"/>
  <c r="M31" i="67"/>
  <c r="M33" i="67"/>
  <c r="D96" i="67"/>
  <c r="AD40" i="44"/>
  <c r="AC41" i="44" s="1"/>
  <c r="D46" i="6"/>
  <c r="J47" i="6" l="1"/>
  <c r="BE41" i="44"/>
  <c r="BD42" i="44" s="1"/>
  <c r="V47" i="6"/>
  <c r="N46" i="6"/>
  <c r="N47" i="6" s="1"/>
  <c r="N48" i="6" s="1"/>
  <c r="E46" i="6"/>
  <c r="E47" i="6" s="1"/>
  <c r="E48" i="6" s="1"/>
  <c r="AF43" i="44"/>
  <c r="AE44" i="44" s="1"/>
  <c r="AF44" i="44" s="1"/>
  <c r="BA43" i="44"/>
  <c r="AZ44" i="44" s="1"/>
  <c r="BA44" i="44" s="1"/>
  <c r="D92" i="67"/>
  <c r="AT41" i="44"/>
  <c r="AU41" i="44" s="1"/>
  <c r="K47" i="6" s="1"/>
  <c r="BH41" i="44"/>
  <c r="AY41" i="44"/>
  <c r="AX42" i="44" s="1"/>
  <c r="M47" i="6"/>
  <c r="U47" i="6"/>
  <c r="BC41" i="44"/>
  <c r="BB42" i="44" s="1"/>
  <c r="D47" i="6"/>
  <c r="AD41" i="44"/>
  <c r="AC42" i="44" s="1"/>
  <c r="Z42" i="44"/>
  <c r="B43" i="6" s="1"/>
  <c r="D108" i="67"/>
  <c r="M37" i="67"/>
  <c r="D115" i="67"/>
  <c r="AV41" i="44"/>
  <c r="AP41" i="44"/>
  <c r="D131" i="67"/>
  <c r="D94" i="67"/>
  <c r="AN40" i="44"/>
  <c r="AK43" i="44"/>
  <c r="D121" i="67"/>
  <c r="D113" i="67"/>
  <c r="AI42" i="44"/>
  <c r="M35" i="67"/>
  <c r="D98" i="67"/>
  <c r="D123" i="67"/>
  <c r="M36" i="67"/>
  <c r="D129" i="67"/>
  <c r="D102" i="67"/>
  <c r="D88" i="67"/>
  <c r="AS42" i="44"/>
  <c r="J48" i="6" s="1"/>
  <c r="AH42" i="44"/>
  <c r="AG43" i="44" s="1"/>
  <c r="AB42" i="44"/>
  <c r="C43" i="6" s="1"/>
  <c r="N49" i="6" l="1"/>
  <c r="E49" i="6"/>
  <c r="E50" i="6" s="1"/>
  <c r="N50" i="6"/>
  <c r="V48" i="6"/>
  <c r="BE42" i="44"/>
  <c r="BD43" i="44" s="1"/>
  <c r="AA43" i="44"/>
  <c r="AB43" i="44" s="1"/>
  <c r="Y43" i="44"/>
  <c r="AH43" i="44"/>
  <c r="AG44" i="44" s="1"/>
  <c r="AH44" i="44" s="1"/>
  <c r="AL43" i="44"/>
  <c r="G49" i="6" s="1"/>
  <c r="D104" i="67"/>
  <c r="AY42" i="44"/>
  <c r="AX43" i="44" s="1"/>
  <c r="M48" i="6"/>
  <c r="BH42" i="44"/>
  <c r="AT42" i="44"/>
  <c r="AU42" i="44" s="1"/>
  <c r="K48" i="6" s="1"/>
  <c r="BC42" i="44"/>
  <c r="BB43" i="44" s="1"/>
  <c r="U48" i="6"/>
  <c r="AR43" i="44"/>
  <c r="D114" i="67"/>
  <c r="D141" i="67"/>
  <c r="AJ42" i="44"/>
  <c r="F48" i="6" s="1"/>
  <c r="D133" i="67"/>
  <c r="D106" i="67"/>
  <c r="D143" i="67"/>
  <c r="AW41" i="44"/>
  <c r="S47" i="6" s="1"/>
  <c r="T47" i="6" s="1"/>
  <c r="D120" i="67"/>
  <c r="D100" i="67"/>
  <c r="M40" i="67"/>
  <c r="D135" i="67"/>
  <c r="D110" i="67"/>
  <c r="M39" i="67"/>
  <c r="D125" i="67"/>
  <c r="AO40" i="44"/>
  <c r="Q46" i="6" s="1"/>
  <c r="R46" i="6" s="1"/>
  <c r="AM41" i="44"/>
  <c r="AQ41" i="44"/>
  <c r="O47" i="6" s="1"/>
  <c r="P47" i="6" s="1"/>
  <c r="D127" i="67"/>
  <c r="AD42" i="44"/>
  <c r="D48" i="6"/>
  <c r="AC43" i="44"/>
  <c r="AT43" i="44" l="1"/>
  <c r="BE43" i="44"/>
  <c r="BD44" i="44" s="1"/>
  <c r="V49" i="6"/>
  <c r="AA44" i="44"/>
  <c r="AB44" i="44" s="1"/>
  <c r="C44" i="6"/>
  <c r="C45" i="6" s="1"/>
  <c r="C46" i="6" s="1"/>
  <c r="C47" i="6" s="1"/>
  <c r="C48" i="6" s="1"/>
  <c r="C49" i="6" s="1"/>
  <c r="C50" i="6" s="1"/>
  <c r="AK44" i="44"/>
  <c r="AL44" i="44" s="1"/>
  <c r="G50" i="6" s="1"/>
  <c r="AU43" i="44"/>
  <c r="AT44" i="44" s="1"/>
  <c r="AU44" i="44" s="1"/>
  <c r="AP42" i="44"/>
  <c r="AV42" i="44"/>
  <c r="AW42" i="44" s="1"/>
  <c r="AV43" i="44" s="1"/>
  <c r="AS43" i="44"/>
  <c r="J49" i="6" s="1"/>
  <c r="Z43" i="44"/>
  <c r="B44" i="6" s="1"/>
  <c r="B45" i="6" s="1"/>
  <c r="B46" i="6" s="1"/>
  <c r="B47" i="6" s="1"/>
  <c r="B48" i="6" s="1"/>
  <c r="B49" i="6" s="1"/>
  <c r="B50" i="6" s="1"/>
  <c r="D116" i="67"/>
  <c r="AN41" i="44"/>
  <c r="AM42" i="44" s="1"/>
  <c r="M49" i="6"/>
  <c r="BH43" i="44"/>
  <c r="AY43" i="44"/>
  <c r="AX44" i="44" s="1"/>
  <c r="D139" i="67"/>
  <c r="D137" i="67"/>
  <c r="D147" i="67"/>
  <c r="M44" i="67"/>
  <c r="D132" i="67"/>
  <c r="D155" i="67"/>
  <c r="D145" i="67"/>
  <c r="D126" i="67"/>
  <c r="AD43" i="44"/>
  <c r="AC44" i="44" s="1"/>
  <c r="D49" i="6"/>
  <c r="AQ42" i="44"/>
  <c r="O48" i="6" s="1"/>
  <c r="P48" i="6" s="1"/>
  <c r="M43" i="67"/>
  <c r="D122" i="67"/>
  <c r="D112" i="67"/>
  <c r="D118" i="67"/>
  <c r="AI43" i="44"/>
  <c r="D153" i="67"/>
  <c r="U49" i="6"/>
  <c r="BC43" i="44"/>
  <c r="BB44" i="44" s="1"/>
  <c r="AO41" i="44" l="1"/>
  <c r="V50" i="6"/>
  <c r="BE44" i="44"/>
  <c r="K49" i="6"/>
  <c r="S48" i="6"/>
  <c r="T48" i="6" s="1"/>
  <c r="Y44" i="44"/>
  <c r="Z44" i="44" s="1"/>
  <c r="AR44" i="44"/>
  <c r="AS44" i="44" s="1"/>
  <c r="J50" i="6" s="1"/>
  <c r="AY44" i="44"/>
  <c r="M50" i="6"/>
  <c r="BH44" i="44"/>
  <c r="BC44" i="44"/>
  <c r="U50" i="6"/>
  <c r="AD44" i="44"/>
  <c r="D50" i="6"/>
  <c r="AJ43" i="44"/>
  <c r="F49" i="6" s="1"/>
  <c r="F50" i="6" s="1"/>
  <c r="AW43" i="44"/>
  <c r="AV44" i="44" s="1"/>
  <c r="AW44" i="44" s="1"/>
  <c r="K50" i="6"/>
  <c r="AP43" i="44"/>
  <c r="D128" i="67"/>
  <c r="D165" i="67"/>
  <c r="D130" i="67"/>
  <c r="D124" i="67"/>
  <c r="D138" i="67"/>
  <c r="D157" i="67"/>
  <c r="D144" i="67"/>
  <c r="M48" i="67"/>
  <c r="D159" i="67"/>
  <c r="D134" i="67"/>
  <c r="M47" i="67"/>
  <c r="D167" i="67"/>
  <c r="D149" i="67"/>
  <c r="D151" i="67"/>
  <c r="S49" i="6" l="1"/>
  <c r="AN42" i="44"/>
  <c r="Q47" i="6"/>
  <c r="R47" i="6" s="1"/>
  <c r="AI44" i="44"/>
  <c r="AJ44" i="44" s="1"/>
  <c r="AQ43" i="44"/>
  <c r="O49" i="6" s="1"/>
  <c r="P49" i="6" s="1"/>
  <c r="D140" i="67"/>
  <c r="D163" i="67"/>
  <c r="D146" i="67"/>
  <c r="D156" i="67"/>
  <c r="D150" i="67"/>
  <c r="D136" i="67"/>
  <c r="D177" i="67"/>
  <c r="D161" i="67"/>
  <c r="D179" i="67"/>
  <c r="M51" i="67"/>
  <c r="D171" i="67"/>
  <c r="M52" i="67"/>
  <c r="D169" i="67"/>
  <c r="D142" i="67"/>
  <c r="S50" i="6" l="1"/>
  <c r="T50" i="6" s="1"/>
  <c r="T49" i="6"/>
  <c r="AO42" i="44"/>
  <c r="AN43" i="44" s="1"/>
  <c r="AO43" i="44" s="1"/>
  <c r="AN44" i="44" s="1"/>
  <c r="AO44" i="44" s="1"/>
  <c r="AM43" i="44"/>
  <c r="AP44" i="44"/>
  <c r="AQ44" i="44" s="1"/>
  <c r="O50" i="6" s="1"/>
  <c r="P50" i="6" s="1"/>
  <c r="D152" i="67"/>
  <c r="D154" i="67"/>
  <c r="D183" i="67"/>
  <c r="D191" i="67"/>
  <c r="D173" i="67"/>
  <c r="D189" i="67"/>
  <c r="D148" i="67"/>
  <c r="D168" i="67"/>
  <c r="D181" i="67"/>
  <c r="M56" i="67"/>
  <c r="M55" i="67"/>
  <c r="D162" i="67"/>
  <c r="D158" i="67"/>
  <c r="D175" i="67"/>
  <c r="AM44" i="44" l="1"/>
  <c r="Q48" i="6"/>
  <c r="D164" i="67"/>
  <c r="D187" i="67"/>
  <c r="D174" i="67"/>
  <c r="M59" i="67"/>
  <c r="M60" i="67"/>
  <c r="D160" i="67"/>
  <c r="D185" i="67"/>
  <c r="D195" i="67"/>
  <c r="D170" i="67"/>
  <c r="D193" i="67"/>
  <c r="D180" i="67"/>
  <c r="D201" i="67"/>
  <c r="D203" i="67"/>
  <c r="D166" i="67"/>
  <c r="Q49" i="6" l="1"/>
  <c r="R48" i="6"/>
  <c r="D176" i="67"/>
  <c r="D178" i="67"/>
  <c r="D213" i="67"/>
  <c r="D205" i="67"/>
  <c r="D207" i="67"/>
  <c r="D172" i="67"/>
  <c r="D186" i="67"/>
  <c r="D215" i="67"/>
  <c r="D192" i="67"/>
  <c r="D182" i="67"/>
  <c r="D197" i="67"/>
  <c r="M64" i="67"/>
  <c r="M63" i="67"/>
  <c r="D199" i="67"/>
  <c r="Q50" i="6" l="1"/>
  <c r="R50" i="6" s="1"/>
  <c r="R49" i="6"/>
  <c r="D188" i="67"/>
  <c r="D211" i="67"/>
  <c r="M67" i="67"/>
  <c r="D209" i="67"/>
  <c r="D204" i="67"/>
  <c r="D198" i="67"/>
  <c r="D219" i="67"/>
  <c r="D225" i="67"/>
  <c r="M68" i="67"/>
  <c r="D194" i="67"/>
  <c r="D227" i="67"/>
  <c r="D184" i="67"/>
  <c r="D217" i="67"/>
  <c r="D190" i="67"/>
  <c r="D200" i="67" l="1"/>
  <c r="D202" i="67"/>
  <c r="D196" i="67"/>
  <c r="D206" i="67"/>
  <c r="D237" i="67"/>
  <c r="D210" i="67"/>
  <c r="D221" i="67"/>
  <c r="M71" i="67"/>
  <c r="D229" i="67"/>
  <c r="D239" i="67"/>
  <c r="M72" i="67"/>
  <c r="D231" i="67"/>
  <c r="D216" i="67"/>
  <c r="D223" i="67"/>
  <c r="D212" i="67" l="1"/>
  <c r="D235" i="67"/>
  <c r="D243" i="67"/>
  <c r="D251" i="67"/>
  <c r="D233" i="67"/>
  <c r="D249" i="67"/>
  <c r="D208" i="67"/>
  <c r="D228" i="67"/>
  <c r="D241" i="67"/>
  <c r="D222" i="67"/>
  <c r="D218" i="67"/>
  <c r="D214" i="67"/>
  <c r="D224" i="67" l="1"/>
  <c r="D226" i="67"/>
  <c r="D234" i="67"/>
  <c r="D253" i="67"/>
  <c r="D240" i="67"/>
  <c r="D261" i="67"/>
  <c r="D263" i="67"/>
  <c r="D255" i="67"/>
  <c r="D230" i="67"/>
  <c r="D220" i="67"/>
  <c r="D245" i="67"/>
  <c r="D247" i="67"/>
  <c r="D236" i="67" l="1"/>
  <c r="D259" i="67"/>
  <c r="D232" i="67"/>
  <c r="D242" i="67"/>
  <c r="D275" i="67"/>
  <c r="D252" i="67"/>
  <c r="D246" i="67"/>
  <c r="D257" i="67"/>
  <c r="D267" i="67"/>
  <c r="D273" i="67"/>
  <c r="D265" i="67"/>
  <c r="D238" i="67"/>
  <c r="D248" i="67" l="1"/>
  <c r="D250" i="67"/>
  <c r="D285" i="67"/>
  <c r="D258" i="67"/>
  <c r="D287" i="67"/>
  <c r="D244" i="67"/>
  <c r="D277" i="67"/>
  <c r="D279" i="67"/>
  <c r="D269" i="67"/>
  <c r="D264" i="67"/>
  <c r="D254" i="67"/>
  <c r="D271" i="67"/>
  <c r="D260" i="67" l="1"/>
  <c r="D283" i="67"/>
  <c r="D276" i="67"/>
  <c r="D291" i="67"/>
  <c r="D256" i="67"/>
  <c r="D270" i="67"/>
  <c r="D297" i="67"/>
  <c r="D266" i="67"/>
  <c r="D281" i="67"/>
  <c r="D289" i="67"/>
  <c r="D299" i="67"/>
  <c r="D262" i="67"/>
  <c r="D272" i="67" l="1"/>
  <c r="D274" i="67"/>
  <c r="D311" i="67"/>
  <c r="D293" i="67"/>
  <c r="D309" i="67"/>
  <c r="D268" i="67"/>
  <c r="D288" i="67"/>
  <c r="D301" i="67"/>
  <c r="D278" i="67"/>
  <c r="D282" i="67"/>
  <c r="D303" i="67"/>
  <c r="D295" i="67"/>
  <c r="D284" i="67" l="1"/>
  <c r="D307" i="67"/>
  <c r="D294" i="67"/>
  <c r="D313" i="67"/>
  <c r="D300" i="67"/>
  <c r="D321" i="67"/>
  <c r="D323" i="67"/>
  <c r="D315" i="67"/>
  <c r="D290" i="67"/>
  <c r="D280" i="67"/>
  <c r="D305" i="67"/>
  <c r="D286" i="67"/>
  <c r="D296" i="67" l="1"/>
  <c r="D298" i="67"/>
  <c r="D292" i="67"/>
  <c r="D302" i="67"/>
  <c r="D335" i="67"/>
  <c r="D312" i="67"/>
  <c r="D306" i="67"/>
  <c r="D317" i="67"/>
  <c r="D327" i="67"/>
  <c r="D333" i="67"/>
  <c r="D325" i="67"/>
  <c r="D319" i="67"/>
  <c r="D308" i="67" l="1"/>
  <c r="D331" i="67"/>
  <c r="D345" i="67"/>
  <c r="D318" i="67"/>
  <c r="D347" i="67"/>
  <c r="D304" i="67"/>
  <c r="D337" i="67"/>
  <c r="D339" i="67"/>
  <c r="D329" i="67"/>
  <c r="D324" i="67"/>
  <c r="D314" i="67"/>
  <c r="D310" i="67"/>
  <c r="D320" i="67" l="1"/>
  <c r="D322" i="67"/>
  <c r="D336" i="67"/>
  <c r="D351" i="67"/>
  <c r="D316" i="67"/>
  <c r="D330" i="67"/>
  <c r="D357" i="67"/>
  <c r="D326" i="67"/>
  <c r="D341" i="67"/>
  <c r="D349" i="67"/>
  <c r="D359" i="67"/>
  <c r="D343" i="67"/>
  <c r="D332" i="67" l="1"/>
  <c r="D355" i="67"/>
  <c r="D371" i="67"/>
  <c r="D353" i="67"/>
  <c r="D369" i="67"/>
  <c r="D328" i="67"/>
  <c r="D348" i="67"/>
  <c r="D361" i="67"/>
  <c r="D338" i="67"/>
  <c r="D342" i="67"/>
  <c r="D363" i="67"/>
  <c r="D334" i="67"/>
  <c r="D344" i="67" l="1"/>
  <c r="D346" i="67"/>
  <c r="D354" i="67"/>
  <c r="D373" i="67"/>
  <c r="D360" i="67"/>
  <c r="D381" i="67"/>
  <c r="D383" i="67"/>
  <c r="D375" i="67"/>
  <c r="D350" i="67"/>
  <c r="D340" i="67"/>
  <c r="D365" i="67"/>
  <c r="D367" i="67"/>
  <c r="D356" i="67" l="1"/>
  <c r="D379" i="67"/>
  <c r="D352" i="67"/>
  <c r="D362" i="67"/>
  <c r="D395" i="67"/>
  <c r="D372" i="67"/>
  <c r="D366" i="67"/>
  <c r="D377" i="67"/>
  <c r="D387" i="67"/>
  <c r="D393" i="67"/>
  <c r="D385" i="67"/>
  <c r="D358" i="67"/>
  <c r="D368" i="67" l="1"/>
  <c r="D370" i="67"/>
  <c r="D405" i="67"/>
  <c r="D378" i="67"/>
  <c r="D407" i="67"/>
  <c r="D364" i="67"/>
  <c r="D397" i="67"/>
  <c r="D399" i="67"/>
  <c r="D389" i="67"/>
  <c r="D384" i="67"/>
  <c r="D374" i="67"/>
  <c r="D391" i="67"/>
  <c r="D380" i="67" l="1"/>
  <c r="D403" i="67"/>
  <c r="D396" i="67"/>
  <c r="D411" i="67"/>
  <c r="D376" i="67"/>
  <c r="D390" i="67"/>
  <c r="D417" i="67"/>
  <c r="D386" i="67"/>
  <c r="D401" i="67"/>
  <c r="D409" i="67"/>
  <c r="D419" i="67"/>
  <c r="D382" i="67"/>
  <c r="D392" i="67" l="1"/>
  <c r="D394" i="67"/>
  <c r="D431" i="67"/>
  <c r="D413" i="67"/>
  <c r="D429" i="67"/>
  <c r="D388" i="67"/>
  <c r="D408" i="67"/>
  <c r="D421" i="67"/>
  <c r="D398" i="67"/>
  <c r="D402" i="67"/>
  <c r="D423" i="67"/>
  <c r="D415" i="67"/>
  <c r="D404" i="67" l="1"/>
  <c r="D414" i="67"/>
  <c r="D433" i="67"/>
  <c r="D420" i="67"/>
  <c r="D441" i="67"/>
  <c r="D443" i="67"/>
  <c r="D427" i="67"/>
  <c r="D435" i="67"/>
  <c r="D410" i="67"/>
  <c r="D400" i="67"/>
  <c r="D425" i="67"/>
  <c r="D406" i="67"/>
  <c r="D416" i="67" l="1"/>
  <c r="D418" i="67"/>
  <c r="D412" i="67"/>
  <c r="D422" i="67"/>
  <c r="D439" i="67"/>
  <c r="D453" i="67"/>
  <c r="D445" i="67"/>
  <c r="D437" i="67"/>
  <c r="D447" i="67"/>
  <c r="D455" i="67"/>
  <c r="D432" i="67"/>
  <c r="D426" i="67"/>
  <c r="D428" i="67" l="1"/>
  <c r="D438" i="67"/>
  <c r="D467" i="67"/>
  <c r="D457" i="67"/>
  <c r="D451" i="67"/>
  <c r="D424" i="67"/>
  <c r="D444" i="67"/>
  <c r="D459" i="67"/>
  <c r="D449" i="67"/>
  <c r="D465" i="67"/>
  <c r="D434" i="67"/>
  <c r="D430" i="67"/>
  <c r="D440" i="67" l="1"/>
  <c r="D442" i="67"/>
  <c r="D477" i="67"/>
  <c r="D471" i="67"/>
  <c r="D436" i="67"/>
  <c r="D469" i="67"/>
  <c r="D479" i="67"/>
  <c r="D446" i="67"/>
  <c r="D461" i="67"/>
  <c r="D456" i="67"/>
  <c r="D463" i="67"/>
  <c r="D450" i="67"/>
  <c r="D452" i="67" l="1"/>
  <c r="D462" i="67"/>
  <c r="D475" i="67"/>
  <c r="D473" i="67"/>
  <c r="D491" i="67"/>
  <c r="D448" i="67"/>
  <c r="D489" i="67"/>
  <c r="D468" i="67"/>
  <c r="D458" i="67"/>
  <c r="D481" i="67"/>
  <c r="D483" i="67"/>
  <c r="D454" i="67"/>
  <c r="D464" i="67" l="1"/>
  <c r="D466" i="67"/>
  <c r="D493" i="67"/>
  <c r="D480" i="67"/>
  <c r="D501" i="67"/>
  <c r="D503" i="67"/>
  <c r="D487" i="67"/>
  <c r="D495" i="67"/>
  <c r="D470" i="67"/>
  <c r="D460" i="67"/>
  <c r="D485" i="67"/>
  <c r="D474" i="67"/>
  <c r="D507" i="67" l="1"/>
  <c r="D515" i="67"/>
  <c r="D513" i="67"/>
  <c r="D476" i="67"/>
  <c r="D486" i="67"/>
  <c r="D472" i="67"/>
  <c r="D482" i="67"/>
  <c r="D499" i="67"/>
  <c r="D505" i="67"/>
  <c r="D497" i="67"/>
  <c r="D492" i="67"/>
  <c r="D478" i="67"/>
  <c r="D509" i="67" l="1"/>
  <c r="D511" i="67"/>
  <c r="D488" i="67"/>
  <c r="D517" i="67"/>
  <c r="D490" i="67"/>
  <c r="D484" i="67"/>
  <c r="D504" i="67"/>
  <c r="D494" i="67"/>
  <c r="D498" i="67"/>
  <c r="D510" i="67" l="1"/>
  <c r="D516" i="67"/>
  <c r="D506" i="67"/>
  <c r="D500" i="67"/>
  <c r="D496" i="67"/>
  <c r="D502" i="67"/>
  <c r="D508" i="67" l="1"/>
  <c r="D512" i="67"/>
  <c r="D514" i="67"/>
  <c r="BG125" i="44"/>
  <c r="BG126" i="44" s="1"/>
  <c r="V36" i="44"/>
  <c r="X44" i="20" s="1"/>
  <c r="Z44" i="22" s="1"/>
  <c r="M10" i="67"/>
  <c r="N10" i="67"/>
  <c r="N11" i="67"/>
  <c r="O11" i="67" s="1"/>
  <c r="N12" i="67"/>
  <c r="O12" i="67" s="1"/>
  <c r="N13" i="67"/>
  <c r="O13" i="67" s="1"/>
  <c r="M14" i="67"/>
  <c r="M18" i="67" s="1"/>
  <c r="M41" i="67"/>
  <c r="M45" i="67" s="1"/>
  <c r="M49" i="67" s="1"/>
  <c r="M53" i="67" s="1"/>
  <c r="M57" i="67" s="1"/>
  <c r="M61" i="67" s="1"/>
  <c r="M65" i="67" s="1"/>
  <c r="M69" i="67" s="1"/>
  <c r="M73" i="67" s="1"/>
  <c r="M77" i="67" s="1"/>
  <c r="M81" i="67" s="1"/>
  <c r="M85" i="67" s="1"/>
  <c r="M89" i="67" s="1"/>
  <c r="M93" i="67" s="1"/>
  <c r="M97" i="67" s="1"/>
  <c r="M101" i="67" s="1"/>
  <c r="M105" i="67" s="1"/>
  <c r="M109" i="67" s="1"/>
  <c r="M113" i="67" s="1"/>
  <c r="M117" i="67" s="1"/>
  <c r="M121" i="67" s="1"/>
  <c r="M125" i="67" s="1"/>
  <c r="M129" i="67" s="1"/>
  <c r="M133" i="67" s="1"/>
  <c r="M137" i="67" s="1"/>
  <c r="M141" i="67" s="1"/>
  <c r="M145" i="67" s="1"/>
  <c r="M149" i="67" s="1"/>
  <c r="M153" i="67" s="1"/>
  <c r="M157" i="67" s="1"/>
  <c r="M161" i="67" s="1"/>
  <c r="M165" i="67" s="1"/>
  <c r="M169" i="67" s="1"/>
  <c r="M173" i="67" s="1"/>
  <c r="M75" i="67"/>
  <c r="M79" i="67" s="1"/>
  <c r="M83" i="67" s="1"/>
  <c r="M87" i="67" s="1"/>
  <c r="M91" i="67" s="1"/>
  <c r="M95" i="67" s="1"/>
  <c r="M99" i="67" s="1"/>
  <c r="M103" i="67" s="1"/>
  <c r="M107" i="67" s="1"/>
  <c r="M111" i="67" s="1"/>
  <c r="M115" i="67" s="1"/>
  <c r="M119" i="67" s="1"/>
  <c r="M123" i="67" s="1"/>
  <c r="M127" i="67" s="1"/>
  <c r="M131" i="67" s="1"/>
  <c r="M135" i="67" s="1"/>
  <c r="M139" i="67" s="1"/>
  <c r="M143" i="67" s="1"/>
  <c r="M147" i="67" s="1"/>
  <c r="M151" i="67" s="1"/>
  <c r="M155" i="67" s="1"/>
  <c r="M159" i="67" s="1"/>
  <c r="M163" i="67" s="1"/>
  <c r="M167" i="67" s="1"/>
  <c r="M171" i="67" s="1"/>
  <c r="M76" i="67"/>
  <c r="M80" i="67"/>
  <c r="M84" i="67" s="1"/>
  <c r="M88" i="67" s="1"/>
  <c r="M92" i="67" s="1"/>
  <c r="M96" i="67" s="1"/>
  <c r="M100" i="67" s="1"/>
  <c r="M104" i="67" s="1"/>
  <c r="M108" i="67" s="1"/>
  <c r="M112" i="67" s="1"/>
  <c r="M116" i="67" s="1"/>
  <c r="M120" i="67" s="1"/>
  <c r="M124" i="67" s="1"/>
  <c r="M128" i="67" s="1"/>
  <c r="M132" i="67" s="1"/>
  <c r="M136" i="67" s="1"/>
  <c r="M140" i="67" s="1"/>
  <c r="M144" i="67" s="1"/>
  <c r="M148" i="67" s="1"/>
  <c r="M152" i="67" s="1"/>
  <c r="M156" i="67" s="1"/>
  <c r="M160" i="67" s="1"/>
  <c r="M164" i="67" s="1"/>
  <c r="M168" i="67" s="1"/>
  <c r="M172" i="67" s="1"/>
  <c r="F496" i="66"/>
  <c r="F508" i="66" s="1"/>
  <c r="F502" i="66"/>
  <c r="F514" i="66" s="1"/>
  <c r="F504" i="66"/>
  <c r="F516" i="66" s="1"/>
  <c r="F498" i="66"/>
  <c r="F510" i="66" s="1"/>
  <c r="F494" i="66"/>
  <c r="F506" i="66" s="1"/>
  <c r="F505" i="66"/>
  <c r="F517" i="66" s="1"/>
  <c r="F499" i="66"/>
  <c r="F511" i="66" s="1"/>
  <c r="F497" i="66"/>
  <c r="F509" i="66" s="1"/>
  <c r="F503" i="66"/>
  <c r="F515" i="66" s="1"/>
  <c r="F501" i="66"/>
  <c r="F513" i="66" s="1"/>
  <c r="F495" i="66"/>
  <c r="F507" i="66" s="1"/>
  <c r="F500" i="66"/>
  <c r="F512" i="66" s="1"/>
  <c r="BN5" i="44"/>
  <c r="BO5" i="44" s="1"/>
  <c r="BF125" i="44"/>
  <c r="BF126" i="44" s="1"/>
  <c r="Z11" i="6"/>
  <c r="Z12" i="6"/>
  <c r="AB12" i="6" s="1"/>
  <c r="B12" i="6" s="1"/>
  <c r="B37" i="44"/>
  <c r="B38" i="44" s="1"/>
  <c r="AC12" i="6"/>
  <c r="C12" i="6" s="1"/>
  <c r="AE125" i="44"/>
  <c r="AE126" i="44" s="1"/>
  <c r="BD125" i="44"/>
  <c r="BD126" i="44" s="1"/>
  <c r="V12" i="6"/>
  <c r="G36" i="44"/>
  <c r="G37" i="44" s="1"/>
  <c r="G38" i="44" s="1"/>
  <c r="E36" i="44"/>
  <c r="E37" i="44" s="1"/>
  <c r="F36" i="44"/>
  <c r="F37" i="44" s="1"/>
  <c r="H36" i="44"/>
  <c r="H37" i="44" s="1"/>
  <c r="I47" i="64"/>
  <c r="K47" i="64" s="1"/>
  <c r="L47" i="64" s="1"/>
  <c r="I36" i="44"/>
  <c r="I37" i="44" s="1"/>
  <c r="AT125" i="44"/>
  <c r="AT126" i="44" s="1"/>
  <c r="J36" i="44"/>
  <c r="J37" i="44" s="1"/>
  <c r="J38" i="44" s="1"/>
  <c r="K36" i="44"/>
  <c r="K37" i="44" s="1"/>
  <c r="AP125" i="44"/>
  <c r="AP126" i="44" s="1"/>
  <c r="AN125" i="44"/>
  <c r="AN126" i="44" s="1"/>
  <c r="AV125" i="44"/>
  <c r="AV126" i="44" s="1"/>
  <c r="BB125" i="44"/>
  <c r="BB126" i="44" s="1"/>
  <c r="I46" i="64"/>
  <c r="K46" i="64"/>
  <c r="L46" i="64" s="1"/>
  <c r="C45" i="20"/>
  <c r="J44" i="20"/>
  <c r="L36" i="44"/>
  <c r="K44" i="20" s="1"/>
  <c r="L44" i="20"/>
  <c r="M44" i="20" s="1"/>
  <c r="N44" i="20"/>
  <c r="M36" i="44"/>
  <c r="O44" i="20" s="1"/>
  <c r="O36" i="44"/>
  <c r="Q44" i="20" s="1"/>
  <c r="Q36" i="44"/>
  <c r="S44" i="20" s="1"/>
  <c r="S36" i="44"/>
  <c r="U44" i="20" s="1"/>
  <c r="U36" i="44"/>
  <c r="W44" i="20" s="1"/>
  <c r="D36" i="44"/>
  <c r="E44" i="20" s="1"/>
  <c r="T36" i="44"/>
  <c r="V44" i="20" s="1"/>
  <c r="F45" i="20"/>
  <c r="F44" i="20"/>
  <c r="G44" i="20"/>
  <c r="H44" i="20"/>
  <c r="I44" i="20"/>
  <c r="AN16" i="6"/>
  <c r="AP16" i="6"/>
  <c r="AR15" i="6"/>
  <c r="AR16" i="6" s="1"/>
  <c r="N16" i="6" s="1"/>
  <c r="AT15" i="6"/>
  <c r="AT16" i="6" s="1"/>
  <c r="O16" i="6" s="1"/>
  <c r="P16" i="6" s="1"/>
  <c r="AV15" i="6"/>
  <c r="AV16" i="6" s="1"/>
  <c r="Q16" i="6" s="1"/>
  <c r="R16" i="6" s="1"/>
  <c r="AX15" i="6"/>
  <c r="AX16" i="6" s="1"/>
  <c r="S16" i="6" s="1"/>
  <c r="U16" i="6"/>
  <c r="O15" i="6"/>
  <c r="P15" i="6" s="1"/>
  <c r="S15" i="6"/>
  <c r="U15" i="6"/>
  <c r="U13" i="6"/>
  <c r="Z15" i="6"/>
  <c r="Z16" i="6" s="1"/>
  <c r="AB16" i="6" s="1"/>
  <c r="B16" i="6" s="1"/>
  <c r="V16" i="6"/>
  <c r="AB15" i="6"/>
  <c r="B15" i="6" s="1"/>
  <c r="V15" i="6"/>
  <c r="Z13" i="6"/>
  <c r="AB13" i="6" s="1"/>
  <c r="B13" i="6" s="1"/>
  <c r="V13" i="6"/>
  <c r="AB11" i="6"/>
  <c r="B11" i="6" s="1"/>
  <c r="AC11" i="6"/>
  <c r="C11" i="6" s="1"/>
  <c r="V3" i="6"/>
  <c r="V4" i="6" s="1"/>
  <c r="V5" i="6" s="1"/>
  <c r="AJ7" i="6"/>
  <c r="AJ8" i="6" s="1"/>
  <c r="Z5" i="6"/>
  <c r="Z6" i="6" s="1"/>
  <c r="AF9" i="6"/>
  <c r="AF10" i="6" s="1"/>
  <c r="AF11" i="6" s="1"/>
  <c r="C37" i="44"/>
  <c r="D45" i="20" s="1"/>
  <c r="A45" i="20"/>
  <c r="A46" i="20" s="1"/>
  <c r="A47" i="20" s="1"/>
  <c r="A48" i="20" s="1"/>
  <c r="A49" i="20" s="1"/>
  <c r="A50" i="20" s="1"/>
  <c r="A37" i="44"/>
  <c r="A38" i="44" s="1"/>
  <c r="A39" i="44" s="1"/>
  <c r="A40" i="44" s="1"/>
  <c r="A41" i="44" s="1"/>
  <c r="C38" i="44"/>
  <c r="C39" i="44" s="1"/>
  <c r="D46" i="20"/>
  <c r="AC125" i="44"/>
  <c r="AC126" i="44" s="1"/>
  <c r="AC127" i="44" s="1"/>
  <c r="AC128" i="44" s="1"/>
  <c r="AC129" i="44" s="1"/>
  <c r="AC130" i="44" s="1"/>
  <c r="AC131" i="44" s="1"/>
  <c r="AA125" i="44"/>
  <c r="AA126" i="44" s="1"/>
  <c r="AA127" i="44" s="1"/>
  <c r="AA128" i="44" s="1"/>
  <c r="AA129" i="44" s="1"/>
  <c r="AA130" i="44" s="1"/>
  <c r="AA131" i="44" s="1"/>
  <c r="Y125" i="44"/>
  <c r="Y126" i="44" s="1"/>
  <c r="Y127" i="44" s="1"/>
  <c r="Y128" i="44" s="1"/>
  <c r="Y129" i="44" s="1"/>
  <c r="Y130" i="44" s="1"/>
  <c r="Y131" i="44" s="1"/>
  <c r="AR125" i="44"/>
  <c r="AR126" i="44" s="1"/>
  <c r="AR127" i="44" s="1"/>
  <c r="AR128" i="44" s="1"/>
  <c r="AR129" i="44" s="1"/>
  <c r="AR130" i="44" s="1"/>
  <c r="AR131" i="44" s="1"/>
  <c r="AM125" i="44"/>
  <c r="AK125" i="44"/>
  <c r="AI125" i="44"/>
  <c r="AI126" i="44" s="1"/>
  <c r="AI127" i="44" s="1"/>
  <c r="AI128" i="44" s="1"/>
  <c r="AI129" i="44" s="1"/>
  <c r="AI130" i="44" s="1"/>
  <c r="AI131" i="44" s="1"/>
  <c r="AG125" i="44"/>
  <c r="AG126" i="44" s="1"/>
  <c r="AG127" i="44" s="1"/>
  <c r="AG128" i="44" s="1"/>
  <c r="AG129" i="44" s="1"/>
  <c r="AG130" i="44" s="1"/>
  <c r="AG131" i="44" s="1"/>
  <c r="AZ125" i="44"/>
  <c r="AX125" i="44"/>
  <c r="AZ126" i="44"/>
  <c r="AX126" i="44"/>
  <c r="AX127" i="44" s="1"/>
  <c r="AX128" i="44" s="1"/>
  <c r="AX129" i="44" s="1"/>
  <c r="AX130" i="44" s="1"/>
  <c r="AX131" i="44" s="1"/>
  <c r="AM126" i="44"/>
  <c r="AK126" i="44"/>
  <c r="AZ127" i="44"/>
  <c r="AZ128" i="44" s="1"/>
  <c r="AZ129" i="44" s="1"/>
  <c r="AZ130" i="44" s="1"/>
  <c r="AZ131" i="44" s="1"/>
  <c r="AM127" i="44"/>
  <c r="AM128" i="44"/>
  <c r="AM129" i="44"/>
  <c r="AK127" i="44"/>
  <c r="AK128" i="44"/>
  <c r="AK129" i="44"/>
  <c r="AM130" i="44"/>
  <c r="AK130" i="44"/>
  <c r="CC87" i="44"/>
  <c r="CC88" i="44"/>
  <c r="CC89" i="44"/>
  <c r="CC90" i="44"/>
  <c r="CC91" i="44"/>
  <c r="CC92" i="44"/>
  <c r="CC93" i="44"/>
  <c r="CC94" i="44"/>
  <c r="CC95" i="44"/>
  <c r="CC96" i="44"/>
  <c r="CC97" i="44"/>
  <c r="CC98" i="44"/>
  <c r="CC99" i="44"/>
  <c r="CC100" i="44"/>
  <c r="CC101" i="44"/>
  <c r="CC102" i="44"/>
  <c r="CC103" i="44"/>
  <c r="CC104" i="44"/>
  <c r="CC105" i="44"/>
  <c r="CC106" i="44"/>
  <c r="CC107" i="44"/>
  <c r="CC108" i="44"/>
  <c r="CC109" i="44"/>
  <c r="CC110" i="44"/>
  <c r="CC111" i="44"/>
  <c r="CC112" i="44"/>
  <c r="CC113" i="44"/>
  <c r="CC114" i="44"/>
  <c r="CC115" i="44"/>
  <c r="CC116" i="44"/>
  <c r="BG127" i="44" l="1"/>
  <c r="V37" i="44"/>
  <c r="X45" i="20" s="1"/>
  <c r="Z45" i="22" s="1"/>
  <c r="BF127" i="44"/>
  <c r="U37" i="44"/>
  <c r="W45" i="20" s="1"/>
  <c r="BD127" i="44"/>
  <c r="T37" i="44"/>
  <c r="V45" i="20" s="1"/>
  <c r="S37" i="44"/>
  <c r="U45" i="20" s="1"/>
  <c r="BB127" i="44"/>
  <c r="AC15" i="6"/>
  <c r="C15" i="6" s="1"/>
  <c r="AC13" i="6"/>
  <c r="C13" i="6" s="1"/>
  <c r="Q15" i="6"/>
  <c r="R15" i="6" s="1"/>
  <c r="N15" i="6"/>
  <c r="K16" i="6"/>
  <c r="AC5" i="6"/>
  <c r="C5" i="6" s="1"/>
  <c r="AJ9" i="6"/>
  <c r="I9" i="6" s="1"/>
  <c r="I8" i="6"/>
  <c r="Z7" i="6"/>
  <c r="AC6" i="6"/>
  <c r="C6" i="6" s="1"/>
  <c r="AB5" i="6"/>
  <c r="B5" i="6" s="1"/>
  <c r="I7" i="6"/>
  <c r="AC16" i="6"/>
  <c r="C16" i="6" s="1"/>
  <c r="Q37" i="44"/>
  <c r="S45" i="20" s="1"/>
  <c r="AV127" i="44"/>
  <c r="AN127" i="44"/>
  <c r="O37" i="44"/>
  <c r="Q45" i="20" s="1"/>
  <c r="AP127" i="44"/>
  <c r="M37" i="44"/>
  <c r="O45" i="20" s="1"/>
  <c r="AT127" i="44"/>
  <c r="L37" i="44"/>
  <c r="K45" i="20" s="1"/>
  <c r="L45" i="20"/>
  <c r="M45" i="20" s="1"/>
  <c r="I38" i="44"/>
  <c r="J45" i="20"/>
  <c r="F38" i="44"/>
  <c r="H45" i="20"/>
  <c r="H38" i="44"/>
  <c r="I45" i="20"/>
  <c r="E38" i="44"/>
  <c r="G45" i="20"/>
  <c r="D47" i="20"/>
  <c r="C40" i="44"/>
  <c r="D48" i="20" s="1"/>
  <c r="D37" i="44"/>
  <c r="E45" i="20" s="1"/>
  <c r="AE127" i="44"/>
  <c r="P46" i="64"/>
  <c r="R46" i="64" s="1"/>
  <c r="O46" i="64"/>
  <c r="Q46" i="64" s="1"/>
  <c r="P47" i="64"/>
  <c r="R47" i="64" s="1"/>
  <c r="O47" i="64"/>
  <c r="Q47" i="64" s="1"/>
  <c r="I48" i="64"/>
  <c r="K48" i="64" s="1"/>
  <c r="L48" i="64" s="1"/>
  <c r="O10" i="67"/>
  <c r="F35" i="67"/>
  <c r="L35" i="66" s="1"/>
  <c r="F37" i="67"/>
  <c r="L37" i="66" s="1"/>
  <c r="F29" i="67"/>
  <c r="L29" i="66" s="1"/>
  <c r="F28" i="67"/>
  <c r="L28" i="66" s="1"/>
  <c r="F32" i="67"/>
  <c r="L32" i="66" s="1"/>
  <c r="F31" i="67"/>
  <c r="L31" i="66" s="1"/>
  <c r="F34" i="67"/>
  <c r="L34" i="66" s="1"/>
  <c r="F30" i="67"/>
  <c r="L30" i="66" s="1"/>
  <c r="F27" i="67"/>
  <c r="L27" i="66" s="1"/>
  <c r="F26" i="67"/>
  <c r="L26" i="66" s="1"/>
  <c r="F36" i="67"/>
  <c r="L36" i="66" s="1"/>
  <c r="F33" i="67"/>
  <c r="L33" i="66" s="1"/>
  <c r="M22" i="67"/>
  <c r="G28" i="67"/>
  <c r="H28" i="66" s="1"/>
  <c r="I28" i="67"/>
  <c r="J28" i="66" s="1"/>
  <c r="R28" i="66" s="1"/>
  <c r="G32" i="67"/>
  <c r="H32" i="66" s="1"/>
  <c r="I32" i="67"/>
  <c r="J32" i="66" s="1"/>
  <c r="R32" i="66" s="1"/>
  <c r="E33" i="67"/>
  <c r="M33" i="66" s="1"/>
  <c r="E26" i="67"/>
  <c r="M26" i="66" s="1"/>
  <c r="G34" i="67"/>
  <c r="H34" i="66" s="1"/>
  <c r="I34" i="67"/>
  <c r="J34" i="66" s="1"/>
  <c r="R34" i="66" s="1"/>
  <c r="G30" i="67"/>
  <c r="H30" i="66" s="1"/>
  <c r="I30" i="67"/>
  <c r="J30" i="66" s="1"/>
  <c r="R30" i="66" s="1"/>
  <c r="E35" i="67"/>
  <c r="M35" i="66" s="1"/>
  <c r="G27" i="67"/>
  <c r="H27" i="66" s="1"/>
  <c r="I27" i="67"/>
  <c r="J27" i="66" s="1"/>
  <c r="R27" i="66" s="1"/>
  <c r="E37" i="67"/>
  <c r="M37" i="66" s="1"/>
  <c r="G31" i="67"/>
  <c r="H31" i="66" s="1"/>
  <c r="I31" i="67"/>
  <c r="J31" i="66" s="1"/>
  <c r="R31" i="66" s="1"/>
  <c r="G29" i="67"/>
  <c r="H29" i="66" s="1"/>
  <c r="I29" i="67"/>
  <c r="J29" i="66" s="1"/>
  <c r="R29" i="66" s="1"/>
  <c r="G36" i="67"/>
  <c r="H36" i="66" s="1"/>
  <c r="I36" i="67"/>
  <c r="J36" i="66" s="1"/>
  <c r="R36" i="66" s="1"/>
  <c r="E28" i="67"/>
  <c r="M28" i="66" s="1"/>
  <c r="E32" i="67"/>
  <c r="M32" i="66" s="1"/>
  <c r="G33" i="67"/>
  <c r="H33" i="66" s="1"/>
  <c r="I33" i="67"/>
  <c r="J33" i="66" s="1"/>
  <c r="R33" i="66" s="1"/>
  <c r="G26" i="67"/>
  <c r="H26" i="66" s="1"/>
  <c r="I26" i="67"/>
  <c r="J26" i="66" s="1"/>
  <c r="R26" i="66" s="1"/>
  <c r="E34" i="67"/>
  <c r="M34" i="66" s="1"/>
  <c r="E30" i="67"/>
  <c r="M30" i="66" s="1"/>
  <c r="G35" i="67"/>
  <c r="H35" i="66" s="1"/>
  <c r="I35" i="67"/>
  <c r="J35" i="66" s="1"/>
  <c r="R35" i="66" s="1"/>
  <c r="E27" i="67"/>
  <c r="M27" i="66" s="1"/>
  <c r="G37" i="67"/>
  <c r="H37" i="66" s="1"/>
  <c r="I37" i="67"/>
  <c r="J37" i="66" s="1"/>
  <c r="R37" i="66" s="1"/>
  <c r="E31" i="67"/>
  <c r="M31" i="66" s="1"/>
  <c r="E29" i="67"/>
  <c r="M29" i="66" s="1"/>
  <c r="E36" i="67"/>
  <c r="M36" i="66" s="1"/>
  <c r="N17" i="67"/>
  <c r="N16" i="67"/>
  <c r="N15" i="67"/>
  <c r="N14" i="67"/>
  <c r="C41" i="44"/>
  <c r="K38" i="44"/>
  <c r="N45" i="20"/>
  <c r="I39" i="44"/>
  <c r="J46" i="20"/>
  <c r="H39" i="44"/>
  <c r="I46" i="20"/>
  <c r="F39" i="44"/>
  <c r="H46" i="20"/>
  <c r="E39" i="44"/>
  <c r="G46" i="20"/>
  <c r="G39" i="44"/>
  <c r="F46" i="20"/>
  <c r="B39" i="44"/>
  <c r="C46" i="20"/>
  <c r="J39" i="44"/>
  <c r="L46" i="20"/>
  <c r="M46" i="20" s="1"/>
  <c r="BO26" i="44"/>
  <c r="BO28" i="44" s="1"/>
  <c r="BP5" i="44" s="1"/>
  <c r="AB7" i="6"/>
  <c r="B7" i="6" s="1"/>
  <c r="Z8" i="6"/>
  <c r="AC7" i="6"/>
  <c r="C7" i="6" s="1"/>
  <c r="V6" i="6"/>
  <c r="AB6" i="6"/>
  <c r="B6" i="6" s="1"/>
  <c r="BG128" i="44" l="1"/>
  <c r="V38" i="44"/>
  <c r="X46" i="20" s="1"/>
  <c r="Z46" i="22" s="1"/>
  <c r="BF128" i="44"/>
  <c r="U38" i="44"/>
  <c r="W46" i="20" s="1"/>
  <c r="BD128" i="44"/>
  <c r="T38" i="44"/>
  <c r="V46" i="20" s="1"/>
  <c r="BB128" i="44"/>
  <c r="S38" i="44"/>
  <c r="U46" i="20" s="1"/>
  <c r="AV128" i="44"/>
  <c r="Q38" i="44"/>
  <c r="S46" i="20" s="1"/>
  <c r="AN128" i="44"/>
  <c r="O38" i="44"/>
  <c r="Q46" i="20" s="1"/>
  <c r="AP128" i="44"/>
  <c r="M38" i="44"/>
  <c r="O46" i="20" s="1"/>
  <c r="AT128" i="44"/>
  <c r="L38" i="44"/>
  <c r="K46" i="20" s="1"/>
  <c r="D49" i="20"/>
  <c r="C42" i="44"/>
  <c r="D50" i="20" s="1"/>
  <c r="AE128" i="44"/>
  <c r="D38" i="44"/>
  <c r="E46" i="20" s="1"/>
  <c r="I50" i="64"/>
  <c r="K50" i="64" s="1"/>
  <c r="L50" i="64" s="1"/>
  <c r="I49" i="64"/>
  <c r="K49" i="64" s="1"/>
  <c r="L49" i="64" s="1"/>
  <c r="P48" i="64"/>
  <c r="R48" i="64" s="1"/>
  <c r="O48" i="64"/>
  <c r="Q48" i="64" s="1"/>
  <c r="O15" i="67"/>
  <c r="N19" i="67"/>
  <c r="O17" i="67"/>
  <c r="N21" i="67"/>
  <c r="O14" i="67"/>
  <c r="N18" i="67"/>
  <c r="O16" i="67"/>
  <c r="N20" i="67"/>
  <c r="M26" i="67"/>
  <c r="B54" i="20"/>
  <c r="BP8" i="44"/>
  <c r="E54" i="20" s="1"/>
  <c r="BP9" i="44"/>
  <c r="F54" i="20" s="1"/>
  <c r="BP10" i="44"/>
  <c r="G54" i="20" s="1"/>
  <c r="BP6" i="44"/>
  <c r="C54" i="20" s="1"/>
  <c r="BP7" i="44"/>
  <c r="D54" i="20" s="1"/>
  <c r="BP22" i="44"/>
  <c r="V54" i="20" s="1"/>
  <c r="BP14" i="44"/>
  <c r="K54" i="20" s="1"/>
  <c r="BP17" i="44"/>
  <c r="N54" i="20" s="1"/>
  <c r="BP15" i="44"/>
  <c r="L54" i="20" s="1"/>
  <c r="BP11" i="44"/>
  <c r="H54" i="20" s="1"/>
  <c r="BP12" i="44"/>
  <c r="I54" i="20" s="1"/>
  <c r="BP13" i="44"/>
  <c r="J54" i="20" s="1"/>
  <c r="BP16" i="44"/>
  <c r="M54" i="20" s="1"/>
  <c r="BP18" i="44"/>
  <c r="O54" i="20" s="1"/>
  <c r="BP19" i="44"/>
  <c r="Q54" i="20" s="1"/>
  <c r="BP20" i="44"/>
  <c r="S54" i="20" s="1"/>
  <c r="BP21" i="44"/>
  <c r="U54" i="20" s="1"/>
  <c r="BP23" i="44"/>
  <c r="W54" i="20" s="1"/>
  <c r="BP24" i="44"/>
  <c r="L47" i="20"/>
  <c r="M47" i="20" s="1"/>
  <c r="J40" i="44"/>
  <c r="L48" i="20" s="1"/>
  <c r="M48" i="20" s="1"/>
  <c r="C47" i="20"/>
  <c r="B40" i="44"/>
  <c r="C48" i="20" s="1"/>
  <c r="G40" i="44"/>
  <c r="F48" i="20" s="1"/>
  <c r="F47" i="20"/>
  <c r="E40" i="44"/>
  <c r="G48" i="20" s="1"/>
  <c r="G47" i="20"/>
  <c r="F40" i="44"/>
  <c r="H48" i="20" s="1"/>
  <c r="H47" i="20"/>
  <c r="H40" i="44"/>
  <c r="I48" i="20" s="1"/>
  <c r="I47" i="20"/>
  <c r="I40" i="44"/>
  <c r="J48" i="20" s="1"/>
  <c r="J47" i="20"/>
  <c r="N46" i="20"/>
  <c r="K39" i="44"/>
  <c r="Z9" i="6"/>
  <c r="AB8" i="6"/>
  <c r="B8" i="6" s="1"/>
  <c r="AC8" i="6"/>
  <c r="C8" i="6" s="1"/>
  <c r="V7" i="6"/>
  <c r="X6" i="22"/>
  <c r="E8" i="22" l="1"/>
  <c r="BG129" i="44"/>
  <c r="V39" i="44"/>
  <c r="X47" i="20" s="1"/>
  <c r="Z47" i="22" s="1"/>
  <c r="U39" i="44"/>
  <c r="W47" i="20" s="1"/>
  <c r="BF129" i="44"/>
  <c r="BD129" i="44"/>
  <c r="T39" i="44"/>
  <c r="V47" i="20" s="1"/>
  <c r="S39" i="44"/>
  <c r="U47" i="20" s="1"/>
  <c r="BB129" i="44"/>
  <c r="T54" i="20"/>
  <c r="P54" i="20"/>
  <c r="R15" i="22" s="1"/>
  <c r="D6" i="22"/>
  <c r="R54" i="20"/>
  <c r="T50" i="22" s="1"/>
  <c r="T24" i="22"/>
  <c r="T20" i="22"/>
  <c r="T33" i="22"/>
  <c r="T25" i="22"/>
  <c r="Q39" i="44"/>
  <c r="S47" i="20" s="1"/>
  <c r="U47" i="22" s="1"/>
  <c r="AV129" i="44"/>
  <c r="AN129" i="44"/>
  <c r="O39" i="44"/>
  <c r="Q47" i="20" s="1"/>
  <c r="R17" i="22"/>
  <c r="R19" i="22"/>
  <c r="R21" i="22"/>
  <c r="R29" i="22"/>
  <c r="R33" i="22"/>
  <c r="R37" i="22"/>
  <c r="R43" i="22"/>
  <c r="R49" i="22"/>
  <c r="R14" i="22"/>
  <c r="R22" i="22"/>
  <c r="R24" i="22"/>
  <c r="R28" i="22"/>
  <c r="R36" i="22"/>
  <c r="R38" i="22"/>
  <c r="R44" i="22"/>
  <c r="R48" i="22"/>
  <c r="AP129" i="44"/>
  <c r="M39" i="44"/>
  <c r="O47" i="20" s="1"/>
  <c r="AT129" i="44"/>
  <c r="L39" i="44"/>
  <c r="K47" i="20" s="1"/>
  <c r="D8" i="22"/>
  <c r="O47" i="22"/>
  <c r="D39" i="44"/>
  <c r="E47" i="20" s="1"/>
  <c r="AE129" i="44"/>
  <c r="O49" i="64"/>
  <c r="Q49" i="64" s="1"/>
  <c r="P49" i="64"/>
  <c r="R49" i="64" s="1"/>
  <c r="D7" i="22"/>
  <c r="P50" i="64"/>
  <c r="R50" i="64" s="1"/>
  <c r="O50" i="64"/>
  <c r="Q50" i="64" s="1"/>
  <c r="F49" i="67"/>
  <c r="L49" i="66" s="1"/>
  <c r="F41" i="67"/>
  <c r="L41" i="66" s="1"/>
  <c r="F43" i="67"/>
  <c r="L43" i="66" s="1"/>
  <c r="F40" i="67"/>
  <c r="L40" i="66" s="1"/>
  <c r="F42" i="67"/>
  <c r="L42" i="66" s="1"/>
  <c r="F44" i="67"/>
  <c r="L44" i="66" s="1"/>
  <c r="F48" i="67"/>
  <c r="L48" i="66" s="1"/>
  <c r="F39" i="67"/>
  <c r="L39" i="66" s="1"/>
  <c r="F45" i="67"/>
  <c r="L45" i="66" s="1"/>
  <c r="F47" i="67"/>
  <c r="L47" i="66" s="1"/>
  <c r="F46" i="67"/>
  <c r="L46" i="66" s="1"/>
  <c r="F38" i="67"/>
  <c r="L38" i="66" s="1"/>
  <c r="O20" i="67"/>
  <c r="N24" i="67"/>
  <c r="N22" i="67"/>
  <c r="O18" i="67"/>
  <c r="I51" i="67" s="1"/>
  <c r="J51" i="66" s="1"/>
  <c r="R51" i="66" s="1"/>
  <c r="O21" i="67"/>
  <c r="N25" i="67"/>
  <c r="O19" i="67"/>
  <c r="N23" i="67"/>
  <c r="M30" i="67"/>
  <c r="E41" i="67"/>
  <c r="M41" i="66" s="1"/>
  <c r="G43" i="67"/>
  <c r="H43" i="66" s="1"/>
  <c r="E39" i="67"/>
  <c r="M39" i="66" s="1"/>
  <c r="G57" i="67"/>
  <c r="H57" i="66" s="1"/>
  <c r="G41" i="67"/>
  <c r="H41" i="66" s="1"/>
  <c r="I49" i="67"/>
  <c r="J49" i="66" s="1"/>
  <c r="R49" i="66" s="1"/>
  <c r="E43" i="67"/>
  <c r="M43" i="66" s="1"/>
  <c r="I39" i="67"/>
  <c r="J39" i="66" s="1"/>
  <c r="R39" i="66" s="1"/>
  <c r="G47" i="67"/>
  <c r="H47" i="66" s="1"/>
  <c r="G45" i="67"/>
  <c r="H45" i="66" s="1"/>
  <c r="G54" i="67"/>
  <c r="H54" i="66" s="1"/>
  <c r="I40" i="67"/>
  <c r="J40" i="66" s="1"/>
  <c r="R40" i="66" s="1"/>
  <c r="E60" i="67"/>
  <c r="M60" i="66" s="1"/>
  <c r="G38" i="67"/>
  <c r="H38" i="66" s="1"/>
  <c r="E42" i="67"/>
  <c r="M42" i="66" s="1"/>
  <c r="I55" i="67"/>
  <c r="J55" i="66" s="1"/>
  <c r="R55" i="66" s="1"/>
  <c r="E61" i="67"/>
  <c r="M61" i="66" s="1"/>
  <c r="I53" i="67"/>
  <c r="J53" i="66" s="1"/>
  <c r="R53" i="66" s="1"/>
  <c r="E50" i="67"/>
  <c r="M50" i="66" s="1"/>
  <c r="E54" i="67"/>
  <c r="M54" i="66" s="1"/>
  <c r="G46" i="67"/>
  <c r="H46" i="66" s="1"/>
  <c r="I60" i="67"/>
  <c r="J60" i="66" s="1"/>
  <c r="R60" i="66" s="1"/>
  <c r="G48" i="67"/>
  <c r="H48" i="66" s="1"/>
  <c r="E38" i="67"/>
  <c r="M38" i="66" s="1"/>
  <c r="I42" i="67"/>
  <c r="J42" i="66" s="1"/>
  <c r="R42" i="66" s="1"/>
  <c r="G44" i="67"/>
  <c r="H44" i="66" s="1"/>
  <c r="G61" i="67"/>
  <c r="H61" i="66" s="1"/>
  <c r="E53" i="67"/>
  <c r="M53" i="66" s="1"/>
  <c r="E58" i="67"/>
  <c r="M58" i="66" s="1"/>
  <c r="E52" i="67"/>
  <c r="M52" i="66" s="1"/>
  <c r="I58" i="67"/>
  <c r="J58" i="66" s="1"/>
  <c r="R58" i="66" s="1"/>
  <c r="I52" i="67"/>
  <c r="J52" i="66" s="1"/>
  <c r="R52" i="66" s="1"/>
  <c r="G56" i="67"/>
  <c r="H56" i="66" s="1"/>
  <c r="E59" i="67"/>
  <c r="M59" i="66" s="1"/>
  <c r="E49" i="67"/>
  <c r="M49" i="66" s="1"/>
  <c r="I43" i="67"/>
  <c r="J43" i="66" s="1"/>
  <c r="R43" i="66" s="1"/>
  <c r="E47" i="67"/>
  <c r="M47" i="66" s="1"/>
  <c r="G51" i="67"/>
  <c r="H51" i="66" s="1"/>
  <c r="E45" i="67"/>
  <c r="M45" i="66" s="1"/>
  <c r="I57" i="67"/>
  <c r="J57" i="66" s="1"/>
  <c r="R57" i="66" s="1"/>
  <c r="I59" i="67"/>
  <c r="J59" i="66" s="1"/>
  <c r="R59" i="66" s="1"/>
  <c r="I41" i="67"/>
  <c r="J41" i="66" s="1"/>
  <c r="R41" i="66" s="1"/>
  <c r="G49" i="67"/>
  <c r="H49" i="66" s="1"/>
  <c r="G39" i="67"/>
  <c r="H39" i="66" s="1"/>
  <c r="I47" i="67"/>
  <c r="J47" i="66" s="1"/>
  <c r="R47" i="66" s="1"/>
  <c r="I45" i="67"/>
  <c r="J45" i="66" s="1"/>
  <c r="R45" i="66" s="1"/>
  <c r="I50" i="67"/>
  <c r="J50" i="66" s="1"/>
  <c r="R50" i="66" s="1"/>
  <c r="I54" i="67"/>
  <c r="J54" i="66" s="1"/>
  <c r="R54" i="66" s="1"/>
  <c r="G40" i="67"/>
  <c r="H40" i="66" s="1"/>
  <c r="E46" i="67"/>
  <c r="M46" i="66" s="1"/>
  <c r="E48" i="67"/>
  <c r="M48" i="66" s="1"/>
  <c r="I38" i="67"/>
  <c r="J38" i="66" s="1"/>
  <c r="R38" i="66" s="1"/>
  <c r="G55" i="67"/>
  <c r="H55" i="66" s="1"/>
  <c r="E44" i="67"/>
  <c r="M44" i="66" s="1"/>
  <c r="G53" i="67"/>
  <c r="H53" i="66" s="1"/>
  <c r="E40" i="67"/>
  <c r="M40" i="66" s="1"/>
  <c r="I46" i="67"/>
  <c r="J46" i="66" s="1"/>
  <c r="R46" i="66" s="1"/>
  <c r="G60" i="67"/>
  <c r="H60" i="66" s="1"/>
  <c r="I48" i="67"/>
  <c r="J48" i="66" s="1"/>
  <c r="R48" i="66" s="1"/>
  <c r="G42" i="67"/>
  <c r="H42" i="66" s="1"/>
  <c r="E55" i="67"/>
  <c r="M55" i="66" s="1"/>
  <c r="I44" i="67"/>
  <c r="J44" i="66" s="1"/>
  <c r="R44" i="66" s="1"/>
  <c r="I61" i="67"/>
  <c r="J61" i="66" s="1"/>
  <c r="R61" i="66" s="1"/>
  <c r="E56" i="67"/>
  <c r="M56" i="66" s="1"/>
  <c r="G58" i="67"/>
  <c r="H58" i="66" s="1"/>
  <c r="G52" i="67"/>
  <c r="H52" i="66" s="1"/>
  <c r="I56" i="67"/>
  <c r="J56" i="66" s="1"/>
  <c r="R56" i="66" s="1"/>
  <c r="I41" i="44"/>
  <c r="H41" i="44"/>
  <c r="F41" i="44"/>
  <c r="E41" i="44"/>
  <c r="I48" i="22"/>
  <c r="G41" i="44"/>
  <c r="H48" i="22"/>
  <c r="Y47" i="22"/>
  <c r="Y46" i="22"/>
  <c r="Y45" i="22"/>
  <c r="Y44" i="22"/>
  <c r="Y43" i="22"/>
  <c r="Y40" i="22"/>
  <c r="Y39" i="22"/>
  <c r="Y42" i="22"/>
  <c r="Y41" i="22"/>
  <c r="Y38" i="22"/>
  <c r="Y36" i="22"/>
  <c r="Y32" i="22"/>
  <c r="Y27" i="22"/>
  <c r="Y26" i="22"/>
  <c r="Y37" i="22"/>
  <c r="Y35" i="22"/>
  <c r="Y34" i="22"/>
  <c r="Y33" i="22"/>
  <c r="Y31" i="22"/>
  <c r="Y30" i="22"/>
  <c r="Y29" i="22"/>
  <c r="Y28" i="22"/>
  <c r="Y24" i="22"/>
  <c r="Y23" i="22"/>
  <c r="Y22" i="22"/>
  <c r="Y18" i="22"/>
  <c r="Y17" i="22"/>
  <c r="Y25" i="22"/>
  <c r="Y21" i="22"/>
  <c r="Y19" i="22"/>
  <c r="Y16" i="22"/>
  <c r="Y15" i="22"/>
  <c r="Y12" i="22"/>
  <c r="Y10" i="22"/>
  <c r="Y8" i="22"/>
  <c r="Y6" i="22"/>
  <c r="Y14" i="22"/>
  <c r="Y13" i="22"/>
  <c r="Y11" i="22"/>
  <c r="Y9" i="22"/>
  <c r="Y7" i="22"/>
  <c r="Y5" i="22"/>
  <c r="Y4" i="22"/>
  <c r="Y3" i="22"/>
  <c r="Y2" i="22"/>
  <c r="Y20" i="22"/>
  <c r="U43" i="22"/>
  <c r="U40" i="22"/>
  <c r="U39" i="22"/>
  <c r="U42" i="22"/>
  <c r="U41" i="22"/>
  <c r="U38" i="22"/>
  <c r="U37" i="22"/>
  <c r="U36" i="22"/>
  <c r="U32" i="22"/>
  <c r="U27" i="22"/>
  <c r="U26" i="22"/>
  <c r="U35" i="22"/>
  <c r="U34" i="22"/>
  <c r="U33" i="22"/>
  <c r="U31" i="22"/>
  <c r="U30" i="22"/>
  <c r="U29" i="22"/>
  <c r="U28" i="22"/>
  <c r="U24" i="22"/>
  <c r="U23" i="22"/>
  <c r="U22" i="22"/>
  <c r="U18" i="22"/>
  <c r="U17" i="22"/>
  <c r="U25" i="22"/>
  <c r="U21" i="22"/>
  <c r="U19" i="22"/>
  <c r="U13" i="22"/>
  <c r="U12" i="22"/>
  <c r="V12" i="22" s="1"/>
  <c r="U10" i="22"/>
  <c r="V10" i="22" s="1"/>
  <c r="U8" i="22"/>
  <c r="V8" i="22" s="1"/>
  <c r="U6" i="22"/>
  <c r="V6" i="22" s="1"/>
  <c r="U14" i="22"/>
  <c r="U11" i="22"/>
  <c r="V11" i="22" s="1"/>
  <c r="U9" i="22"/>
  <c r="V9" i="22" s="1"/>
  <c r="U7" i="22"/>
  <c r="V7" i="22" s="1"/>
  <c r="U5" i="22"/>
  <c r="V5" i="22" s="1"/>
  <c r="U4" i="22"/>
  <c r="V4" i="22" s="1"/>
  <c r="U3" i="22"/>
  <c r="V3" i="22" s="1"/>
  <c r="U2" i="22"/>
  <c r="V2" i="22" s="1"/>
  <c r="U20" i="22"/>
  <c r="U46" i="22"/>
  <c r="U15" i="22"/>
  <c r="U16" i="22"/>
  <c r="U44" i="22"/>
  <c r="U45" i="22"/>
  <c r="Q47" i="22"/>
  <c r="Q43" i="22"/>
  <c r="Q40" i="22"/>
  <c r="Q39" i="22"/>
  <c r="Q42" i="22"/>
  <c r="Q41" i="22"/>
  <c r="Q38" i="22"/>
  <c r="Q37" i="22"/>
  <c r="Q36" i="22"/>
  <c r="Q32" i="22"/>
  <c r="Q27" i="22"/>
  <c r="Q26" i="22"/>
  <c r="Q35" i="22"/>
  <c r="Q34" i="22"/>
  <c r="Q33" i="22"/>
  <c r="Q31" i="22"/>
  <c r="Q30" i="22"/>
  <c r="Q29" i="22"/>
  <c r="Q28" i="22"/>
  <c r="Q24" i="22"/>
  <c r="Q23" i="22"/>
  <c r="Q22" i="22"/>
  <c r="Q18" i="22"/>
  <c r="Q17" i="22"/>
  <c r="Q25" i="22"/>
  <c r="Q21" i="22"/>
  <c r="Q19" i="22"/>
  <c r="Q13" i="22"/>
  <c r="Q12" i="22"/>
  <c r="R12" i="22" s="1"/>
  <c r="Q10" i="22"/>
  <c r="R10" i="22" s="1"/>
  <c r="Q8" i="22"/>
  <c r="R8" i="22" s="1"/>
  <c r="Q6" i="22"/>
  <c r="R6" i="22" s="1"/>
  <c r="Q14" i="22"/>
  <c r="Q11" i="22"/>
  <c r="R11" i="22" s="1"/>
  <c r="Q9" i="22"/>
  <c r="R9" i="22" s="1"/>
  <c r="Q7" i="22"/>
  <c r="R7" i="22" s="1"/>
  <c r="Q5" i="22"/>
  <c r="R5" i="22" s="1"/>
  <c r="Q4" i="22"/>
  <c r="R4" i="22" s="1"/>
  <c r="Q3" i="22"/>
  <c r="R3" i="22" s="1"/>
  <c r="Q2" i="22"/>
  <c r="R2" i="22" s="1"/>
  <c r="Q20" i="22"/>
  <c r="Q15" i="22"/>
  <c r="Q16" i="22"/>
  <c r="Q44" i="22"/>
  <c r="Q45" i="22"/>
  <c r="Q46" i="22"/>
  <c r="L48" i="22"/>
  <c r="L46" i="22"/>
  <c r="L45" i="22"/>
  <c r="L43" i="22"/>
  <c r="L41" i="22"/>
  <c r="L37" i="22"/>
  <c r="L44" i="22"/>
  <c r="L42" i="22"/>
  <c r="L40" i="22"/>
  <c r="L39" i="22"/>
  <c r="L38" i="22"/>
  <c r="L35" i="22"/>
  <c r="L34" i="22"/>
  <c r="L32" i="22"/>
  <c r="L31" i="22"/>
  <c r="L30" i="22"/>
  <c r="L29" i="22"/>
  <c r="L28" i="22"/>
  <c r="L27" i="22"/>
  <c r="L24" i="22"/>
  <c r="L23" i="22"/>
  <c r="L22" i="22"/>
  <c r="L19" i="22"/>
  <c r="L17" i="22"/>
  <c r="F17" i="17" s="1"/>
  <c r="L25" i="22"/>
  <c r="L36" i="22"/>
  <c r="L33" i="22"/>
  <c r="L26" i="22"/>
  <c r="L21" i="22"/>
  <c r="L18" i="22"/>
  <c r="F18" i="17" s="1"/>
  <c r="L16" i="22"/>
  <c r="F16" i="17" s="1"/>
  <c r="L13" i="22"/>
  <c r="F13" i="17" s="1"/>
  <c r="L9" i="22"/>
  <c r="F9" i="17" s="1"/>
  <c r="L11" i="22"/>
  <c r="F11" i="17" s="1"/>
  <c r="L14" i="22"/>
  <c r="F14" i="17" s="1"/>
  <c r="L8" i="22"/>
  <c r="F8" i="17" s="1"/>
  <c r="L7" i="22"/>
  <c r="F7" i="17" s="1"/>
  <c r="L4" i="22"/>
  <c r="F4" i="17" s="1"/>
  <c r="L3" i="22"/>
  <c r="F3" i="17" s="1"/>
  <c r="L5" i="22"/>
  <c r="F5" i="17" s="1"/>
  <c r="L20" i="22"/>
  <c r="L15" i="22"/>
  <c r="F15" i="17" s="1"/>
  <c r="L12" i="22"/>
  <c r="F12" i="17" s="1"/>
  <c r="L10" i="22"/>
  <c r="F10" i="17" s="1"/>
  <c r="L6" i="22"/>
  <c r="F6" i="17" s="1"/>
  <c r="L2" i="22"/>
  <c r="F2" i="17" s="1"/>
  <c r="L47" i="22"/>
  <c r="J48" i="22"/>
  <c r="J47" i="22"/>
  <c r="J43" i="22"/>
  <c r="J42" i="22"/>
  <c r="J41" i="22"/>
  <c r="J39" i="22"/>
  <c r="J44" i="22"/>
  <c r="J40" i="22"/>
  <c r="J35" i="22"/>
  <c r="J32" i="22"/>
  <c r="J29" i="22"/>
  <c r="J28" i="22"/>
  <c r="J23" i="22"/>
  <c r="J22" i="22"/>
  <c r="J19" i="22"/>
  <c r="J18" i="22"/>
  <c r="J25" i="22"/>
  <c r="J37" i="22"/>
  <c r="J36" i="22"/>
  <c r="J34" i="22"/>
  <c r="J31" i="22"/>
  <c r="J30" i="22"/>
  <c r="J27" i="22"/>
  <c r="J26" i="22"/>
  <c r="J21" i="22"/>
  <c r="J6" i="22"/>
  <c r="J24" i="22"/>
  <c r="J20" i="22"/>
  <c r="J17" i="22"/>
  <c r="J16" i="22"/>
  <c r="J15" i="22"/>
  <c r="J10" i="22"/>
  <c r="J11" i="22"/>
  <c r="J13" i="22"/>
  <c r="J14" i="22"/>
  <c r="J9" i="22"/>
  <c r="J8" i="22"/>
  <c r="J7" i="22"/>
  <c r="J5" i="22"/>
  <c r="J4" i="22"/>
  <c r="J3" i="22"/>
  <c r="J38" i="22"/>
  <c r="J33" i="22"/>
  <c r="J12" i="22"/>
  <c r="J2" i="22"/>
  <c r="J45" i="22"/>
  <c r="P46" i="22"/>
  <c r="P45" i="22"/>
  <c r="P44" i="22"/>
  <c r="P42" i="22"/>
  <c r="P41" i="22"/>
  <c r="P38" i="22"/>
  <c r="P37" i="22"/>
  <c r="P43" i="22"/>
  <c r="P40" i="22"/>
  <c r="P39" i="22"/>
  <c r="P35" i="22"/>
  <c r="P34" i="22"/>
  <c r="P33" i="22"/>
  <c r="P31" i="22"/>
  <c r="P30" i="22"/>
  <c r="P29" i="22"/>
  <c r="P28" i="22"/>
  <c r="P24" i="22"/>
  <c r="P23" i="22"/>
  <c r="P22" i="22"/>
  <c r="P18" i="22"/>
  <c r="P17" i="22"/>
  <c r="P25" i="22"/>
  <c r="P36" i="22"/>
  <c r="P32" i="22"/>
  <c r="P27" i="22"/>
  <c r="P26" i="22"/>
  <c r="P14" i="22"/>
  <c r="P11" i="22"/>
  <c r="P9" i="22"/>
  <c r="P7" i="22"/>
  <c r="P5" i="22"/>
  <c r="P4" i="22"/>
  <c r="P3" i="22"/>
  <c r="P2" i="22"/>
  <c r="P21" i="22"/>
  <c r="P19" i="22"/>
  <c r="P13" i="22"/>
  <c r="P12" i="22"/>
  <c r="P10" i="22"/>
  <c r="P8" i="22"/>
  <c r="P6" i="22"/>
  <c r="P20" i="22"/>
  <c r="P15" i="22"/>
  <c r="P16" i="22"/>
  <c r="X47" i="22"/>
  <c r="X46" i="22"/>
  <c r="X2" i="22"/>
  <c r="X45" i="22"/>
  <c r="X43" i="22"/>
  <c r="X42" i="22"/>
  <c r="X41" i="22"/>
  <c r="X39" i="22"/>
  <c r="X44" i="22"/>
  <c r="X40" i="22"/>
  <c r="X38" i="22"/>
  <c r="X37" i="22"/>
  <c r="X36" i="22"/>
  <c r="X34" i="22"/>
  <c r="X32" i="22"/>
  <c r="X31" i="22"/>
  <c r="X30" i="22"/>
  <c r="X22" i="22"/>
  <c r="X28" i="22"/>
  <c r="X24" i="22"/>
  <c r="X35" i="22"/>
  <c r="X33" i="22"/>
  <c r="X29" i="22"/>
  <c r="X21" i="22"/>
  <c r="X27" i="22"/>
  <c r="X26" i="22"/>
  <c r="X23" i="22"/>
  <c r="X20" i="22"/>
  <c r="X18" i="22"/>
  <c r="X17" i="22"/>
  <c r="X12" i="22"/>
  <c r="X14" i="22"/>
  <c r="X4" i="22"/>
  <c r="X25" i="22"/>
  <c r="X19" i="22"/>
  <c r="X16" i="22"/>
  <c r="X13" i="22"/>
  <c r="X3" i="22"/>
  <c r="X15" i="22"/>
  <c r="X5" i="22"/>
  <c r="E2" i="22"/>
  <c r="E47" i="22"/>
  <c r="E46" i="22"/>
  <c r="E44" i="22"/>
  <c r="E43" i="22"/>
  <c r="E42" i="22"/>
  <c r="E41" i="22"/>
  <c r="E40" i="22"/>
  <c r="E45" i="22"/>
  <c r="E39" i="22"/>
  <c r="E38" i="22"/>
  <c r="E35" i="22"/>
  <c r="E33" i="22"/>
  <c r="E31" i="22"/>
  <c r="E30" i="22"/>
  <c r="E29" i="22"/>
  <c r="E21" i="22"/>
  <c r="E27" i="22"/>
  <c r="E26" i="22"/>
  <c r="E23" i="22"/>
  <c r="E37" i="22"/>
  <c r="E36" i="22"/>
  <c r="E34" i="22"/>
  <c r="E32" i="22"/>
  <c r="E22" i="22"/>
  <c r="E28" i="22"/>
  <c r="E24" i="22"/>
  <c r="E25" i="22"/>
  <c r="E19" i="22"/>
  <c r="E4" i="22"/>
  <c r="E20" i="22"/>
  <c r="E18" i="22"/>
  <c r="E17" i="22"/>
  <c r="E16" i="22"/>
  <c r="E15" i="22"/>
  <c r="E13" i="22"/>
  <c r="E12" i="22"/>
  <c r="E11" i="22"/>
  <c r="E14" i="22"/>
  <c r="E10" i="22"/>
  <c r="E3" i="22"/>
  <c r="E6" i="22"/>
  <c r="E5" i="22"/>
  <c r="H3" i="22"/>
  <c r="H47" i="22"/>
  <c r="H2" i="22"/>
  <c r="H6" i="22"/>
  <c r="H43" i="22"/>
  <c r="H42" i="22"/>
  <c r="H41" i="22"/>
  <c r="H39" i="22"/>
  <c r="H4" i="22"/>
  <c r="H7" i="22"/>
  <c r="H5" i="22"/>
  <c r="H44" i="22"/>
  <c r="H40" i="22"/>
  <c r="H35" i="22"/>
  <c r="H32" i="22"/>
  <c r="H29" i="22"/>
  <c r="H28" i="22"/>
  <c r="H23" i="22"/>
  <c r="H22" i="22"/>
  <c r="H19" i="22"/>
  <c r="H18" i="22"/>
  <c r="H25" i="22"/>
  <c r="H37" i="22"/>
  <c r="H36" i="22"/>
  <c r="H34" i="22"/>
  <c r="H31" i="22"/>
  <c r="H30" i="22"/>
  <c r="H27" i="22"/>
  <c r="H26" i="22"/>
  <c r="H21" i="22"/>
  <c r="H24" i="22"/>
  <c r="H20" i="22"/>
  <c r="H17" i="22"/>
  <c r="H16" i="22"/>
  <c r="H15" i="22"/>
  <c r="H10" i="22"/>
  <c r="H11" i="22"/>
  <c r="H13" i="22"/>
  <c r="H14" i="22"/>
  <c r="H9" i="22"/>
  <c r="H8" i="22"/>
  <c r="H38" i="22"/>
  <c r="H33" i="22"/>
  <c r="H12" i="22"/>
  <c r="H45" i="22"/>
  <c r="J46" i="22"/>
  <c r="H46" i="22"/>
  <c r="BP26" i="44"/>
  <c r="K40" i="44"/>
  <c r="N48" i="20" s="1"/>
  <c r="N47" i="20"/>
  <c r="P47" i="22" s="1"/>
  <c r="B41" i="44"/>
  <c r="E48" i="22"/>
  <c r="O48" i="22"/>
  <c r="J41" i="44"/>
  <c r="W47" i="22"/>
  <c r="W46" i="22"/>
  <c r="W45" i="22"/>
  <c r="W44" i="22"/>
  <c r="W42" i="22"/>
  <c r="W41" i="22"/>
  <c r="W38" i="22"/>
  <c r="W37" i="22"/>
  <c r="W43" i="22"/>
  <c r="W40" i="22"/>
  <c r="W39" i="22"/>
  <c r="W35" i="22"/>
  <c r="W34" i="22"/>
  <c r="W33" i="22"/>
  <c r="W31" i="22"/>
  <c r="W30" i="22"/>
  <c r="W29" i="22"/>
  <c r="W28" i="22"/>
  <c r="W24" i="22"/>
  <c r="W23" i="22"/>
  <c r="W22" i="22"/>
  <c r="W18" i="22"/>
  <c r="W17" i="22"/>
  <c r="W25" i="22"/>
  <c r="W36" i="22"/>
  <c r="W32" i="22"/>
  <c r="W27" i="22"/>
  <c r="W26" i="22"/>
  <c r="W14" i="22"/>
  <c r="W13" i="22"/>
  <c r="W11" i="22"/>
  <c r="W9" i="22"/>
  <c r="W7" i="22"/>
  <c r="W5" i="22"/>
  <c r="W4" i="22"/>
  <c r="W3" i="22"/>
  <c r="W2" i="22"/>
  <c r="W21" i="22"/>
  <c r="W19" i="22"/>
  <c r="W12" i="22"/>
  <c r="W10" i="22"/>
  <c r="W8" i="22"/>
  <c r="W6" i="22"/>
  <c r="W20" i="22"/>
  <c r="W15" i="22"/>
  <c r="W16" i="22"/>
  <c r="S46" i="22"/>
  <c r="S45" i="22"/>
  <c r="S47" i="22"/>
  <c r="S42" i="22"/>
  <c r="S41" i="22"/>
  <c r="S38" i="22"/>
  <c r="S37" i="22"/>
  <c r="S44" i="22"/>
  <c r="S43" i="22"/>
  <c r="S40" i="22"/>
  <c r="S39" i="22"/>
  <c r="S35" i="22"/>
  <c r="S34" i="22"/>
  <c r="S33" i="22"/>
  <c r="S31" i="22"/>
  <c r="S30" i="22"/>
  <c r="S29" i="22"/>
  <c r="S28" i="22"/>
  <c r="S24" i="22"/>
  <c r="S23" i="22"/>
  <c r="S22" i="22"/>
  <c r="S18" i="22"/>
  <c r="S17" i="22"/>
  <c r="S25" i="22"/>
  <c r="S36" i="22"/>
  <c r="S32" i="22"/>
  <c r="S27" i="22"/>
  <c r="S26" i="22"/>
  <c r="S14" i="22"/>
  <c r="S11" i="22"/>
  <c r="T11" i="22" s="1"/>
  <c r="S9" i="22"/>
  <c r="T9" i="22" s="1"/>
  <c r="S7" i="22"/>
  <c r="T7" i="22" s="1"/>
  <c r="S5" i="22"/>
  <c r="T5" i="22" s="1"/>
  <c r="S4" i="22"/>
  <c r="T4" i="22" s="1"/>
  <c r="S3" i="22"/>
  <c r="T3" i="22" s="1"/>
  <c r="S2" i="22"/>
  <c r="T2" i="22" s="1"/>
  <c r="S21" i="22"/>
  <c r="S19" i="22"/>
  <c r="S13" i="22"/>
  <c r="S12" i="22"/>
  <c r="T12" i="22" s="1"/>
  <c r="S10" i="22"/>
  <c r="T10" i="22" s="1"/>
  <c r="S8" i="22"/>
  <c r="T8" i="22" s="1"/>
  <c r="S6" i="22"/>
  <c r="T6" i="22" s="1"/>
  <c r="S20" i="22"/>
  <c r="S16" i="22"/>
  <c r="S15" i="22"/>
  <c r="O43" i="22"/>
  <c r="O40" i="22"/>
  <c r="O39" i="22"/>
  <c r="O42" i="22"/>
  <c r="O41" i="22"/>
  <c r="O38" i="22"/>
  <c r="O37" i="22"/>
  <c r="O36" i="22"/>
  <c r="O32" i="22"/>
  <c r="O27" i="22"/>
  <c r="O26" i="22"/>
  <c r="O35" i="22"/>
  <c r="O34" i="22"/>
  <c r="O33" i="22"/>
  <c r="O31" i="22"/>
  <c r="O30" i="22"/>
  <c r="O29" i="22"/>
  <c r="O28" i="22"/>
  <c r="O24" i="22"/>
  <c r="O23" i="22"/>
  <c r="O22" i="22"/>
  <c r="O18" i="22"/>
  <c r="O17" i="22"/>
  <c r="O25" i="22"/>
  <c r="O21" i="22"/>
  <c r="O19" i="22"/>
  <c r="O16" i="22"/>
  <c r="O15" i="22"/>
  <c r="O13" i="22"/>
  <c r="O12" i="22"/>
  <c r="O10" i="22"/>
  <c r="O8" i="22"/>
  <c r="O6" i="22"/>
  <c r="O14" i="22"/>
  <c r="O11" i="22"/>
  <c r="O9" i="22"/>
  <c r="O7" i="22"/>
  <c r="O5" i="22"/>
  <c r="O4" i="22"/>
  <c r="O3" i="22"/>
  <c r="O2" i="22"/>
  <c r="O20" i="22"/>
  <c r="O44" i="22"/>
  <c r="O45" i="22"/>
  <c r="K48" i="22"/>
  <c r="K47" i="22"/>
  <c r="K2" i="22"/>
  <c r="K40" i="22"/>
  <c r="K44" i="22"/>
  <c r="K43" i="22"/>
  <c r="K42" i="22"/>
  <c r="K41" i="22"/>
  <c r="K39" i="22"/>
  <c r="K37" i="22"/>
  <c r="K36" i="22"/>
  <c r="K34" i="22"/>
  <c r="K31" i="22"/>
  <c r="K30" i="22"/>
  <c r="K27" i="22"/>
  <c r="K26" i="22"/>
  <c r="K35" i="22"/>
  <c r="K32" i="22"/>
  <c r="K29" i="22"/>
  <c r="K28" i="22"/>
  <c r="K23" i="22"/>
  <c r="K22" i="22"/>
  <c r="K19" i="22"/>
  <c r="K18" i="22"/>
  <c r="K25" i="22"/>
  <c r="K24" i="22"/>
  <c r="K20" i="22"/>
  <c r="K17" i="22"/>
  <c r="K16" i="22"/>
  <c r="K15" i="22"/>
  <c r="K10" i="22"/>
  <c r="K11" i="22"/>
  <c r="K13" i="22"/>
  <c r="K14" i="22"/>
  <c r="K5" i="22"/>
  <c r="K4" i="22"/>
  <c r="K3" i="22"/>
  <c r="K38" i="22"/>
  <c r="K33" i="22"/>
  <c r="K21" i="22"/>
  <c r="K7" i="22"/>
  <c r="K6" i="22"/>
  <c r="K12" i="22"/>
  <c r="K9" i="22"/>
  <c r="K8" i="22"/>
  <c r="K45" i="22"/>
  <c r="N42" i="22"/>
  <c r="N41" i="22"/>
  <c r="N38" i="22"/>
  <c r="N37" i="22"/>
  <c r="N40" i="22"/>
  <c r="N39" i="22"/>
  <c r="N35" i="22"/>
  <c r="N34" i="22"/>
  <c r="N33" i="22"/>
  <c r="N31" i="22"/>
  <c r="N30" i="22"/>
  <c r="N29" i="22"/>
  <c r="N28" i="22"/>
  <c r="N24" i="22"/>
  <c r="N23" i="22"/>
  <c r="N22" i="22"/>
  <c r="N18" i="22"/>
  <c r="N17" i="22"/>
  <c r="N25" i="22"/>
  <c r="N36" i="22"/>
  <c r="N32" i="22"/>
  <c r="N27" i="22"/>
  <c r="N26" i="22"/>
  <c r="N14" i="22"/>
  <c r="N11" i="22"/>
  <c r="N9" i="22"/>
  <c r="N7" i="22"/>
  <c r="N5" i="22"/>
  <c r="N4" i="22"/>
  <c r="N3" i="22"/>
  <c r="N2" i="22"/>
  <c r="N21" i="22"/>
  <c r="N19" i="22"/>
  <c r="N16" i="22"/>
  <c r="N15" i="22"/>
  <c r="N13" i="22"/>
  <c r="N12" i="22"/>
  <c r="N10" i="22"/>
  <c r="N8" i="22"/>
  <c r="N6" i="22"/>
  <c r="N20" i="22"/>
  <c r="M42" i="22"/>
  <c r="M40" i="22"/>
  <c r="M39" i="22"/>
  <c r="M43" i="22"/>
  <c r="M41" i="22"/>
  <c r="M38" i="22"/>
  <c r="M37" i="22"/>
  <c r="M36" i="22"/>
  <c r="M32" i="22"/>
  <c r="M27" i="22"/>
  <c r="M26" i="22"/>
  <c r="M35" i="22"/>
  <c r="M34" i="22"/>
  <c r="M33" i="22"/>
  <c r="M31" i="22"/>
  <c r="M30" i="22"/>
  <c r="M29" i="22"/>
  <c r="M28" i="22"/>
  <c r="M24" i="22"/>
  <c r="M23" i="22"/>
  <c r="M22" i="22"/>
  <c r="M18" i="22"/>
  <c r="M17" i="22"/>
  <c r="M25" i="22"/>
  <c r="M21" i="22"/>
  <c r="M19" i="22"/>
  <c r="M16" i="22"/>
  <c r="M15" i="22"/>
  <c r="M13" i="22"/>
  <c r="M12" i="22"/>
  <c r="M10" i="22"/>
  <c r="M8" i="22"/>
  <c r="M6" i="22"/>
  <c r="M14" i="22"/>
  <c r="M11" i="22"/>
  <c r="M9" i="22"/>
  <c r="M7" i="22"/>
  <c r="M5" i="22"/>
  <c r="M4" i="22"/>
  <c r="M3" i="22"/>
  <c r="M2" i="22"/>
  <c r="M20" i="22"/>
  <c r="M44" i="22"/>
  <c r="M47" i="22"/>
  <c r="M46" i="22"/>
  <c r="M45" i="22"/>
  <c r="F42" i="22"/>
  <c r="F2" i="22"/>
  <c r="F39" i="22"/>
  <c r="F38" i="22"/>
  <c r="F41" i="22"/>
  <c r="F40" i="22"/>
  <c r="F37" i="22"/>
  <c r="F36" i="22"/>
  <c r="F34" i="22"/>
  <c r="F32" i="22"/>
  <c r="F22" i="22"/>
  <c r="F28" i="22"/>
  <c r="F24" i="22"/>
  <c r="F35" i="22"/>
  <c r="F33" i="22"/>
  <c r="F31" i="22"/>
  <c r="F30" i="22"/>
  <c r="F29" i="22"/>
  <c r="F21" i="22"/>
  <c r="F27" i="22"/>
  <c r="F26" i="22"/>
  <c r="F23" i="22"/>
  <c r="F20" i="22"/>
  <c r="F18" i="22"/>
  <c r="F17" i="22"/>
  <c r="F16" i="22"/>
  <c r="F15" i="22"/>
  <c r="F13" i="22"/>
  <c r="F12" i="22"/>
  <c r="F11" i="22"/>
  <c r="F14" i="22"/>
  <c r="F10" i="22"/>
  <c r="F9" i="22"/>
  <c r="F8" i="22"/>
  <c r="F7" i="22"/>
  <c r="F5" i="22"/>
  <c r="F3" i="22"/>
  <c r="F25" i="22"/>
  <c r="F19" i="22"/>
  <c r="F6" i="22"/>
  <c r="F4" i="22"/>
  <c r="I3" i="22"/>
  <c r="I47" i="22"/>
  <c r="I2" i="22"/>
  <c r="I4" i="22"/>
  <c r="I7" i="22"/>
  <c r="I5" i="22"/>
  <c r="I40" i="22"/>
  <c r="I6" i="22"/>
  <c r="I44" i="22"/>
  <c r="I43" i="22"/>
  <c r="I42" i="22"/>
  <c r="I41" i="22"/>
  <c r="I39" i="22"/>
  <c r="I37" i="22"/>
  <c r="I36" i="22"/>
  <c r="I34" i="22"/>
  <c r="I31" i="22"/>
  <c r="I30" i="22"/>
  <c r="I27" i="22"/>
  <c r="I26" i="22"/>
  <c r="I35" i="22"/>
  <c r="I32" i="22"/>
  <c r="I29" i="22"/>
  <c r="I28" i="22"/>
  <c r="I23" i="22"/>
  <c r="I22" i="22"/>
  <c r="I19" i="22"/>
  <c r="I18" i="22"/>
  <c r="I25" i="22"/>
  <c r="I24" i="22"/>
  <c r="I20" i="22"/>
  <c r="I17" i="22"/>
  <c r="I16" i="22"/>
  <c r="I15" i="22"/>
  <c r="I10" i="22"/>
  <c r="I11" i="22"/>
  <c r="I13" i="22"/>
  <c r="I14" i="22"/>
  <c r="I9" i="22"/>
  <c r="I8" i="22"/>
  <c r="I38" i="22"/>
  <c r="I33" i="22"/>
  <c r="I21" i="22"/>
  <c r="I12" i="22"/>
  <c r="I45" i="22"/>
  <c r="G3" i="22"/>
  <c r="G2" i="22"/>
  <c r="C2" i="22" s="1"/>
  <c r="G4" i="22"/>
  <c r="G7" i="22"/>
  <c r="G5" i="22"/>
  <c r="G41" i="22"/>
  <c r="G40" i="22"/>
  <c r="G6" i="22"/>
  <c r="G43" i="22"/>
  <c r="G42" i="22"/>
  <c r="G39" i="22"/>
  <c r="G35" i="22"/>
  <c r="G33" i="22"/>
  <c r="G31" i="22"/>
  <c r="G30" i="22"/>
  <c r="G29" i="22"/>
  <c r="G21" i="22"/>
  <c r="G27" i="22"/>
  <c r="G26" i="22"/>
  <c r="G23" i="22"/>
  <c r="G38" i="22"/>
  <c r="G37" i="22"/>
  <c r="G36" i="22"/>
  <c r="G34" i="22"/>
  <c r="G32" i="22"/>
  <c r="G22" i="22"/>
  <c r="G28" i="22"/>
  <c r="G24" i="22"/>
  <c r="G25" i="22"/>
  <c r="G19" i="22"/>
  <c r="G20" i="22"/>
  <c r="G18" i="22"/>
  <c r="G17" i="22"/>
  <c r="G16" i="22"/>
  <c r="G15" i="22"/>
  <c r="G13" i="22"/>
  <c r="G12" i="22"/>
  <c r="G11" i="22"/>
  <c r="G14" i="22"/>
  <c r="G10" i="22"/>
  <c r="G9" i="22"/>
  <c r="G8" i="22"/>
  <c r="G46" i="22"/>
  <c r="G45" i="22"/>
  <c r="G44" i="22"/>
  <c r="G47" i="22"/>
  <c r="K46" i="22"/>
  <c r="I46" i="22"/>
  <c r="O46" i="22"/>
  <c r="E7" i="22"/>
  <c r="D49" i="22"/>
  <c r="D2" i="22"/>
  <c r="D47" i="22"/>
  <c r="D46" i="22"/>
  <c r="D39" i="22"/>
  <c r="D38" i="22"/>
  <c r="D45" i="22"/>
  <c r="D44" i="22"/>
  <c r="D48" i="22"/>
  <c r="D43" i="22"/>
  <c r="D42" i="22"/>
  <c r="D41" i="22"/>
  <c r="D40" i="22"/>
  <c r="D37" i="22"/>
  <c r="D36" i="22"/>
  <c r="D34" i="22"/>
  <c r="D32" i="22"/>
  <c r="D22" i="22"/>
  <c r="D28" i="22"/>
  <c r="D24" i="22"/>
  <c r="D35" i="22"/>
  <c r="D33" i="22"/>
  <c r="D31" i="22"/>
  <c r="D30" i="22"/>
  <c r="D29" i="22"/>
  <c r="D21" i="22"/>
  <c r="D27" i="22"/>
  <c r="D26" i="22"/>
  <c r="D23" i="22"/>
  <c r="D20" i="22"/>
  <c r="D18" i="22"/>
  <c r="D17" i="22"/>
  <c r="D16" i="22"/>
  <c r="D15" i="22"/>
  <c r="D13" i="22"/>
  <c r="D12" i="22"/>
  <c r="D11" i="22"/>
  <c r="D14" i="22"/>
  <c r="D10" i="22"/>
  <c r="D3" i="22"/>
  <c r="D25" i="22"/>
  <c r="D19" i="22"/>
  <c r="D4" i="22"/>
  <c r="D5" i="22"/>
  <c r="V8" i="6"/>
  <c r="X7" i="22"/>
  <c r="AC9" i="6"/>
  <c r="C9" i="6" s="1"/>
  <c r="E9" i="22" s="1"/>
  <c r="AB9" i="6"/>
  <c r="B9" i="6" s="1"/>
  <c r="D9" i="22" s="1"/>
  <c r="R46" i="22" l="1"/>
  <c r="R32" i="22"/>
  <c r="R16" i="22"/>
  <c r="R41" i="22"/>
  <c r="R27" i="22"/>
  <c r="T13" i="22"/>
  <c r="T41" i="22"/>
  <c r="T28" i="22"/>
  <c r="G5" i="17"/>
  <c r="T17" i="22"/>
  <c r="T45" i="22"/>
  <c r="T40" i="22"/>
  <c r="T44" i="22"/>
  <c r="R40" i="22"/>
  <c r="R30" i="22"/>
  <c r="R20" i="22"/>
  <c r="R45" i="22"/>
  <c r="R35" i="22"/>
  <c r="R25" i="22"/>
  <c r="R13" i="22"/>
  <c r="T29" i="22"/>
  <c r="T49" i="22"/>
  <c r="T36" i="22"/>
  <c r="G18" i="17"/>
  <c r="R50" i="22"/>
  <c r="R42" i="22"/>
  <c r="R34" i="22"/>
  <c r="R26" i="22"/>
  <c r="R18" i="22"/>
  <c r="R47" i="22"/>
  <c r="R39" i="22"/>
  <c r="R31" i="22"/>
  <c r="R23" i="22"/>
  <c r="T21" i="22"/>
  <c r="T37" i="22"/>
  <c r="T16" i="22"/>
  <c r="T32" i="22"/>
  <c r="T48" i="22"/>
  <c r="H11" i="17"/>
  <c r="I11" i="17" s="1"/>
  <c r="H10" i="17"/>
  <c r="T15" i="22"/>
  <c r="T19" i="22"/>
  <c r="T23" i="22"/>
  <c r="T27" i="22"/>
  <c r="T31" i="22"/>
  <c r="T35" i="22"/>
  <c r="T39" i="22"/>
  <c r="T43" i="22"/>
  <c r="T47" i="22"/>
  <c r="T14" i="22"/>
  <c r="T18" i="22"/>
  <c r="T22" i="22"/>
  <c r="T26" i="22"/>
  <c r="T30" i="22"/>
  <c r="T34" i="22"/>
  <c r="T38" i="22"/>
  <c r="T42" i="22"/>
  <c r="T46" i="22"/>
  <c r="H9" i="17"/>
  <c r="H8" i="17"/>
  <c r="H12" i="17"/>
  <c r="BG130" i="44"/>
  <c r="V40" i="44"/>
  <c r="X48" i="20" s="1"/>
  <c r="Z48" i="22" s="1"/>
  <c r="BF130" i="44"/>
  <c r="U40" i="44"/>
  <c r="W48" i="20" s="1"/>
  <c r="BD130" i="44"/>
  <c r="T40" i="44"/>
  <c r="V48" i="20" s="1"/>
  <c r="S40" i="44"/>
  <c r="U48" i="20" s="1"/>
  <c r="BB130" i="44"/>
  <c r="V14" i="22"/>
  <c r="V16" i="22"/>
  <c r="V18" i="22"/>
  <c r="V20" i="22"/>
  <c r="V22" i="22"/>
  <c r="V24" i="22"/>
  <c r="V26" i="22"/>
  <c r="V28" i="22"/>
  <c r="V30" i="22"/>
  <c r="V32" i="22"/>
  <c r="AB32" i="22" s="1"/>
  <c r="V34" i="22"/>
  <c r="V36" i="22"/>
  <c r="V38" i="22"/>
  <c r="V40" i="22"/>
  <c r="AB40" i="22" s="1"/>
  <c r="V42" i="22"/>
  <c r="V44" i="22"/>
  <c r="V46" i="22"/>
  <c r="V48" i="22"/>
  <c r="V50" i="22"/>
  <c r="V15" i="22"/>
  <c r="V17" i="22"/>
  <c r="H17" i="17" s="1"/>
  <c r="V19" i="22"/>
  <c r="V21" i="22"/>
  <c r="V23" i="22"/>
  <c r="V25" i="22"/>
  <c r="V27" i="22"/>
  <c r="V29" i="22"/>
  <c r="H29" i="17" s="1"/>
  <c r="V31" i="22"/>
  <c r="V33" i="22"/>
  <c r="V35" i="22"/>
  <c r="V37" i="22"/>
  <c r="H37" i="17" s="1"/>
  <c r="V39" i="22"/>
  <c r="V41" i="22"/>
  <c r="H41" i="17" s="1"/>
  <c r="V43" i="22"/>
  <c r="V45" i="22"/>
  <c r="V47" i="22"/>
  <c r="V49" i="22"/>
  <c r="V13" i="22"/>
  <c r="H21" i="17"/>
  <c r="H42" i="17"/>
  <c r="H2" i="17"/>
  <c r="H4" i="17"/>
  <c r="H7" i="17"/>
  <c r="H6" i="17"/>
  <c r="H3" i="17"/>
  <c r="H5" i="17"/>
  <c r="Q40" i="44"/>
  <c r="S48" i="20" s="1"/>
  <c r="U48" i="22" s="1"/>
  <c r="AV130" i="44"/>
  <c r="C3" i="22"/>
  <c r="AN130" i="44"/>
  <c r="O40" i="44"/>
  <c r="Q48" i="20" s="1"/>
  <c r="S48" i="22" s="1"/>
  <c r="AP130" i="44"/>
  <c r="M40" i="44"/>
  <c r="O48" i="20" s="1"/>
  <c r="Q48" i="22" s="1"/>
  <c r="AT130" i="44"/>
  <c r="L40" i="44"/>
  <c r="K48" i="20" s="1"/>
  <c r="M48" i="22" s="1"/>
  <c r="L49" i="20"/>
  <c r="M49" i="20" s="1"/>
  <c r="O49" i="22" s="1"/>
  <c r="J42" i="44"/>
  <c r="L50" i="20" s="1"/>
  <c r="M50" i="20" s="1"/>
  <c r="O50" i="22" s="1"/>
  <c r="J49" i="20"/>
  <c r="L49" i="22" s="1"/>
  <c r="F49" i="17" s="1"/>
  <c r="I42" i="44"/>
  <c r="J50" i="20" s="1"/>
  <c r="L50" i="22" s="1"/>
  <c r="H49" i="20"/>
  <c r="J49" i="22" s="1"/>
  <c r="F42" i="44"/>
  <c r="H50" i="20" s="1"/>
  <c r="I49" i="20"/>
  <c r="K49" i="22" s="1"/>
  <c r="H42" i="44"/>
  <c r="I50" i="20" s="1"/>
  <c r="K50" i="22" s="1"/>
  <c r="G49" i="20"/>
  <c r="I49" i="22" s="1"/>
  <c r="E42" i="44"/>
  <c r="G50" i="20" s="1"/>
  <c r="I50" i="22" s="1"/>
  <c r="F49" i="20"/>
  <c r="H49" i="22" s="1"/>
  <c r="G42" i="44"/>
  <c r="F50" i="20" s="1"/>
  <c r="C49" i="20"/>
  <c r="E49" i="22" s="1"/>
  <c r="B42" i="44"/>
  <c r="C50" i="20" s="1"/>
  <c r="E50" i="22" s="1"/>
  <c r="B8" i="22"/>
  <c r="B10" i="22"/>
  <c r="B11" i="22"/>
  <c r="D12" i="17"/>
  <c r="G12" i="17"/>
  <c r="C7" i="22"/>
  <c r="G10" i="17"/>
  <c r="G15" i="17"/>
  <c r="G4" i="17"/>
  <c r="G8" i="17"/>
  <c r="AE130" i="44"/>
  <c r="D40" i="44"/>
  <c r="E48" i="20" s="1"/>
  <c r="G48" i="22" s="1"/>
  <c r="B7" i="17"/>
  <c r="B5" i="22"/>
  <c r="B7" i="22"/>
  <c r="C6" i="22"/>
  <c r="C5" i="22"/>
  <c r="C4" i="22"/>
  <c r="D10" i="17"/>
  <c r="D16" i="17"/>
  <c r="H50" i="22"/>
  <c r="J50" i="22"/>
  <c r="B6" i="22"/>
  <c r="D50" i="22"/>
  <c r="G50" i="67"/>
  <c r="H50" i="66" s="1"/>
  <c r="E51" i="67"/>
  <c r="M51" i="66" s="1"/>
  <c r="G59" i="67"/>
  <c r="H59" i="66" s="1"/>
  <c r="E57" i="67"/>
  <c r="M57" i="66" s="1"/>
  <c r="F59" i="67"/>
  <c r="L59" i="66" s="1"/>
  <c r="F54" i="67"/>
  <c r="L54" i="66" s="1"/>
  <c r="F58" i="67"/>
  <c r="L58" i="66" s="1"/>
  <c r="F53" i="67"/>
  <c r="L53" i="66" s="1"/>
  <c r="F60" i="67"/>
  <c r="L60" i="66" s="1"/>
  <c r="F61" i="67"/>
  <c r="L61" i="66" s="1"/>
  <c r="F57" i="67"/>
  <c r="L57" i="66" s="1"/>
  <c r="F56" i="67"/>
  <c r="L56" i="66" s="1"/>
  <c r="F51" i="67"/>
  <c r="L51" i="66" s="1"/>
  <c r="F50" i="67"/>
  <c r="L50" i="66" s="1"/>
  <c r="F55" i="67"/>
  <c r="L55" i="66" s="1"/>
  <c r="F52" i="67"/>
  <c r="L52" i="66" s="1"/>
  <c r="M34" i="67"/>
  <c r="O23" i="67"/>
  <c r="N27" i="67"/>
  <c r="O25" i="67"/>
  <c r="N29" i="67"/>
  <c r="O24" i="67"/>
  <c r="N28" i="67"/>
  <c r="N26" i="67"/>
  <c r="O22" i="67"/>
  <c r="G17" i="17"/>
  <c r="B4" i="22"/>
  <c r="B4" i="17"/>
  <c r="B13" i="22"/>
  <c r="AB13" i="22"/>
  <c r="B18" i="17"/>
  <c r="B18" i="22"/>
  <c r="AB18" i="22"/>
  <c r="B27" i="17"/>
  <c r="AB27" i="22"/>
  <c r="B27" i="22"/>
  <c r="B31" i="22"/>
  <c r="B31" i="17"/>
  <c r="AB31" i="22"/>
  <c r="B35" i="22"/>
  <c r="B35" i="17"/>
  <c r="AB35" i="22"/>
  <c r="B28" i="17"/>
  <c r="B28" i="22"/>
  <c r="AB28" i="22"/>
  <c r="B32" i="22"/>
  <c r="B32" i="17"/>
  <c r="B36" i="17"/>
  <c r="AB36" i="22"/>
  <c r="B40" i="17"/>
  <c r="B40" i="22"/>
  <c r="B42" i="22"/>
  <c r="B42" i="17"/>
  <c r="B39" i="17"/>
  <c r="B39" i="22"/>
  <c r="AB39" i="22"/>
  <c r="D24" i="17"/>
  <c r="D37" i="17"/>
  <c r="N43" i="22"/>
  <c r="D5" i="17"/>
  <c r="C45" i="22"/>
  <c r="D45" i="17"/>
  <c r="D33" i="17"/>
  <c r="C33" i="22"/>
  <c r="C8" i="22"/>
  <c r="D8" i="17"/>
  <c r="C14" i="22"/>
  <c r="D14" i="17"/>
  <c r="C11" i="22"/>
  <c r="D11" i="17"/>
  <c r="E11" i="17" s="1"/>
  <c r="D15" i="17"/>
  <c r="C15" i="22"/>
  <c r="D17" i="17"/>
  <c r="C17" i="22"/>
  <c r="C24" i="22"/>
  <c r="D26" i="17"/>
  <c r="C26" i="22"/>
  <c r="D30" i="17"/>
  <c r="C30" i="22"/>
  <c r="C34" i="22"/>
  <c r="D34" i="17"/>
  <c r="C37" i="22"/>
  <c r="D18" i="17"/>
  <c r="C18" i="22"/>
  <c r="D22" i="17"/>
  <c r="C22" i="22"/>
  <c r="D28" i="17"/>
  <c r="C28" i="22"/>
  <c r="C32" i="22"/>
  <c r="D32" i="17"/>
  <c r="C40" i="22"/>
  <c r="D41" i="17"/>
  <c r="C41" i="22"/>
  <c r="D43" i="17"/>
  <c r="C43" i="22"/>
  <c r="D2" i="17"/>
  <c r="B17" i="22"/>
  <c r="B26" i="22"/>
  <c r="B5" i="17"/>
  <c r="G11" i="17"/>
  <c r="G13" i="17"/>
  <c r="F26" i="17"/>
  <c r="F36" i="17"/>
  <c r="F22" i="17"/>
  <c r="F24" i="17"/>
  <c r="F28" i="17"/>
  <c r="F30" i="17"/>
  <c r="F32" i="17"/>
  <c r="F35" i="17"/>
  <c r="F39" i="17"/>
  <c r="F42" i="17"/>
  <c r="F37" i="17"/>
  <c r="F43" i="17"/>
  <c r="F46" i="17"/>
  <c r="C48" i="22"/>
  <c r="D48" i="17"/>
  <c r="B25" i="17"/>
  <c r="B25" i="22"/>
  <c r="AB25" i="22"/>
  <c r="B16" i="22"/>
  <c r="AB16" i="22"/>
  <c r="B23" i="17"/>
  <c r="B23" i="22"/>
  <c r="AB23" i="22"/>
  <c r="AB29" i="22"/>
  <c r="B29" i="17"/>
  <c r="B19" i="17"/>
  <c r="B19" i="22"/>
  <c r="AB19" i="22"/>
  <c r="AG23" i="22" s="1"/>
  <c r="B3" i="22"/>
  <c r="B3" i="17"/>
  <c r="B14" i="17"/>
  <c r="B14" i="22"/>
  <c r="AB14" i="22"/>
  <c r="B12" i="17"/>
  <c r="B12" i="22"/>
  <c r="AB12" i="22"/>
  <c r="B15" i="22"/>
  <c r="AB15" i="22"/>
  <c r="B17" i="17"/>
  <c r="AB17" i="22"/>
  <c r="B20" i="17"/>
  <c r="B20" i="22"/>
  <c r="AB20" i="22"/>
  <c r="AD20" i="22"/>
  <c r="B26" i="17"/>
  <c r="AB26" i="22"/>
  <c r="B21" i="17"/>
  <c r="B21" i="22"/>
  <c r="AB21" i="22"/>
  <c r="B30" i="22"/>
  <c r="B30" i="17"/>
  <c r="AB30" i="22"/>
  <c r="B33" i="22"/>
  <c r="AB33" i="22"/>
  <c r="B33" i="17"/>
  <c r="AD33" i="22"/>
  <c r="B24" i="17"/>
  <c r="C24" i="17" s="1"/>
  <c r="B24" i="22"/>
  <c r="AB24" i="22"/>
  <c r="AD24" i="22"/>
  <c r="B22" i="17"/>
  <c r="B22" i="22"/>
  <c r="AB22" i="22"/>
  <c r="AD22" i="22"/>
  <c r="B34" i="22"/>
  <c r="B34" i="17"/>
  <c r="AB34" i="22"/>
  <c r="AD34" i="22"/>
  <c r="B37" i="17"/>
  <c r="B37" i="22"/>
  <c r="AB37" i="22"/>
  <c r="AD37" i="22"/>
  <c r="B41" i="22"/>
  <c r="B41" i="17"/>
  <c r="AB41" i="22"/>
  <c r="AD41" i="22"/>
  <c r="B38" i="22"/>
  <c r="B38" i="17"/>
  <c r="AB38" i="22"/>
  <c r="B2" i="17"/>
  <c r="B2" i="22"/>
  <c r="D38" i="17"/>
  <c r="D19" i="17"/>
  <c r="D23" i="17"/>
  <c r="D29" i="17"/>
  <c r="D27" i="17"/>
  <c r="D31" i="17"/>
  <c r="D40" i="17"/>
  <c r="F43" i="22"/>
  <c r="B43" i="17" s="1"/>
  <c r="I10" i="17"/>
  <c r="AN41" i="22"/>
  <c r="D4" i="17"/>
  <c r="P48" i="22"/>
  <c r="K41" i="44"/>
  <c r="C46" i="22"/>
  <c r="D46" i="17"/>
  <c r="C12" i="22"/>
  <c r="C38" i="22"/>
  <c r="D9" i="17"/>
  <c r="C9" i="22"/>
  <c r="C13" i="22"/>
  <c r="D13" i="17"/>
  <c r="C10" i="22"/>
  <c r="C16" i="22"/>
  <c r="D20" i="17"/>
  <c r="C20" i="22"/>
  <c r="D21" i="17"/>
  <c r="C21" i="22"/>
  <c r="C27" i="22"/>
  <c r="C31" i="22"/>
  <c r="D36" i="17"/>
  <c r="C36" i="22"/>
  <c r="D25" i="17"/>
  <c r="C25" i="22"/>
  <c r="C19" i="22"/>
  <c r="C23" i="22"/>
  <c r="C29" i="22"/>
  <c r="D35" i="17"/>
  <c r="C35" i="22"/>
  <c r="C44" i="22"/>
  <c r="D44" i="17"/>
  <c r="D7" i="17"/>
  <c r="C39" i="22"/>
  <c r="D39" i="17"/>
  <c r="D42" i="17"/>
  <c r="C42" i="22"/>
  <c r="D6" i="17"/>
  <c r="C47" i="22"/>
  <c r="D47" i="17"/>
  <c r="D3" i="17"/>
  <c r="B6" i="17"/>
  <c r="B13" i="17"/>
  <c r="B16" i="17"/>
  <c r="B36" i="22"/>
  <c r="B29" i="22"/>
  <c r="B15" i="17"/>
  <c r="F47" i="17"/>
  <c r="G6" i="17"/>
  <c r="F20" i="17"/>
  <c r="G3" i="17"/>
  <c r="G7" i="17"/>
  <c r="G14" i="17"/>
  <c r="G9" i="17"/>
  <c r="G16" i="17"/>
  <c r="F21" i="17"/>
  <c r="F33" i="17"/>
  <c r="F25" i="17"/>
  <c r="F19" i="17"/>
  <c r="G19" i="17" s="1"/>
  <c r="F23" i="17"/>
  <c r="G23" i="17" s="1"/>
  <c r="F27" i="17"/>
  <c r="F29" i="17"/>
  <c r="G29" i="17" s="1"/>
  <c r="F31" i="17"/>
  <c r="F34" i="17"/>
  <c r="F38" i="17"/>
  <c r="F40" i="17"/>
  <c r="G40" i="17" s="1"/>
  <c r="F44" i="17"/>
  <c r="F41" i="17"/>
  <c r="F45" i="17"/>
  <c r="F48" i="17"/>
  <c r="B9" i="22"/>
  <c r="V9" i="6"/>
  <c r="X8" i="22"/>
  <c r="H34" i="17" l="1"/>
  <c r="C22" i="17"/>
  <c r="I6" i="17"/>
  <c r="AE50" i="22"/>
  <c r="AI50" i="22"/>
  <c r="AO50" i="22"/>
  <c r="AB42" i="22"/>
  <c r="I9" i="17"/>
  <c r="H22" i="17"/>
  <c r="AJ50" i="22"/>
  <c r="AH50" i="22"/>
  <c r="AK50" i="22"/>
  <c r="F50" i="17"/>
  <c r="AL50" i="22"/>
  <c r="AD50" i="22"/>
  <c r="G41" i="17"/>
  <c r="AS19" i="22"/>
  <c r="AK32" i="22"/>
  <c r="AI46" i="22"/>
  <c r="H43" i="17"/>
  <c r="C36" i="17"/>
  <c r="H26" i="17"/>
  <c r="C30" i="17"/>
  <c r="I8" i="17"/>
  <c r="E34" i="17"/>
  <c r="G45" i="17"/>
  <c r="E3" i="17"/>
  <c r="AV24" i="22"/>
  <c r="AQ19" i="22"/>
  <c r="G31" i="17"/>
  <c r="AJ36" i="22"/>
  <c r="H32" i="17"/>
  <c r="J32" i="17" s="1"/>
  <c r="H24" i="17"/>
  <c r="H16" i="17"/>
  <c r="AV39" i="22"/>
  <c r="AS36" i="22"/>
  <c r="AQ36" i="22"/>
  <c r="AU19" i="22"/>
  <c r="BG131" i="44"/>
  <c r="V42" i="44" s="1"/>
  <c r="X50" i="20" s="1"/>
  <c r="Z50" i="22" s="1"/>
  <c r="AW50" i="22" s="1"/>
  <c r="V41" i="44"/>
  <c r="X49" i="20" s="1"/>
  <c r="Z49" i="22" s="1"/>
  <c r="Y48" i="22"/>
  <c r="AV48" i="22" s="1"/>
  <c r="BF131" i="44"/>
  <c r="U42" i="44" s="1"/>
  <c r="W50" i="20" s="1"/>
  <c r="U41" i="44"/>
  <c r="W49" i="20" s="1"/>
  <c r="AV37" i="22"/>
  <c r="AS43" i="22"/>
  <c r="AS30" i="22"/>
  <c r="AQ43" i="22"/>
  <c r="AQ30" i="22"/>
  <c r="G25" i="17"/>
  <c r="AP36" i="22"/>
  <c r="E35" i="17"/>
  <c r="AT36" i="22"/>
  <c r="X48" i="22"/>
  <c r="AU48" i="22" s="1"/>
  <c r="G48" i="17"/>
  <c r="AL20" i="22"/>
  <c r="AJ43" i="22"/>
  <c r="AP41" i="22"/>
  <c r="AU36" i="22"/>
  <c r="AE29" i="22"/>
  <c r="AE27" i="22"/>
  <c r="AE25" i="22"/>
  <c r="C13" i="17"/>
  <c r="AH39" i="22"/>
  <c r="AH44" i="22"/>
  <c r="AH31" i="22"/>
  <c r="AH27" i="22"/>
  <c r="AH21" i="22"/>
  <c r="AO34" i="22"/>
  <c r="AF19" i="22"/>
  <c r="AI39" i="22"/>
  <c r="E23" i="17"/>
  <c r="AI38" i="22"/>
  <c r="AI21" i="22"/>
  <c r="BD131" i="44"/>
  <c r="T42" i="44" s="1"/>
  <c r="V50" i="20" s="1"/>
  <c r="T41" i="44"/>
  <c r="V49" i="20" s="1"/>
  <c r="BB131" i="44"/>
  <c r="S42" i="44" s="1"/>
  <c r="U50" i="20" s="1"/>
  <c r="S41" i="44"/>
  <c r="U49" i="20" s="1"/>
  <c r="H39" i="17"/>
  <c r="J39" i="17" s="1"/>
  <c r="H31" i="17"/>
  <c r="W48" i="22"/>
  <c r="AT48" i="22" s="1"/>
  <c r="H40" i="17"/>
  <c r="I41" i="17" s="1"/>
  <c r="H38" i="17"/>
  <c r="H27" i="17"/>
  <c r="J27" i="17" s="1"/>
  <c r="H33" i="17"/>
  <c r="I34" i="17" s="1"/>
  <c r="H28" i="17"/>
  <c r="I29" i="17" s="1"/>
  <c r="H18" i="17"/>
  <c r="I18" i="17" s="1"/>
  <c r="H19" i="17"/>
  <c r="J19" i="17" s="1"/>
  <c r="H14" i="17"/>
  <c r="J14" i="17" s="1"/>
  <c r="H13" i="17"/>
  <c r="I13" i="17" s="1"/>
  <c r="H36" i="17"/>
  <c r="J36" i="17" s="1"/>
  <c r="H35" i="17"/>
  <c r="I35" i="17" s="1"/>
  <c r="H30" i="17"/>
  <c r="J30" i="17" s="1"/>
  <c r="H23" i="17"/>
  <c r="H25" i="17"/>
  <c r="J25" i="17" s="1"/>
  <c r="H15" i="17"/>
  <c r="H20" i="17"/>
  <c r="I21" i="17" s="1"/>
  <c r="AV44" i="22"/>
  <c r="AV36" i="22"/>
  <c r="AV31" i="22"/>
  <c r="AV21" i="22"/>
  <c r="AS42" i="22"/>
  <c r="AS35" i="22"/>
  <c r="AS23" i="22"/>
  <c r="AS44" i="22"/>
  <c r="AQ42" i="22"/>
  <c r="AQ35" i="22"/>
  <c r="AQ23" i="22"/>
  <c r="AQ45" i="22"/>
  <c r="AJ29" i="22"/>
  <c r="AJ24" i="22"/>
  <c r="AP31" i="22"/>
  <c r="AU43" i="22"/>
  <c r="AU35" i="22"/>
  <c r="AE40" i="22"/>
  <c r="AT37" i="22"/>
  <c r="AR27" i="22"/>
  <c r="AK47" i="22"/>
  <c r="AN36" i="22"/>
  <c r="AM44" i="22"/>
  <c r="AF34" i="22"/>
  <c r="G34" i="17"/>
  <c r="AV131" i="44"/>
  <c r="Q42" i="44" s="1"/>
  <c r="S50" i="20" s="1"/>
  <c r="U50" i="22" s="1"/>
  <c r="AS50" i="22" s="1"/>
  <c r="Q41" i="44"/>
  <c r="S49" i="20" s="1"/>
  <c r="U49" i="22" s="1"/>
  <c r="AS49" i="22" s="1"/>
  <c r="AN131" i="44"/>
  <c r="O42" i="44" s="1"/>
  <c r="Q50" i="20" s="1"/>
  <c r="S50" i="22" s="1"/>
  <c r="AR50" i="22" s="1"/>
  <c r="O41" i="44"/>
  <c r="Q49" i="20" s="1"/>
  <c r="S49" i="22" s="1"/>
  <c r="AR49" i="22" s="1"/>
  <c r="AP131" i="44"/>
  <c r="M42" i="44" s="1"/>
  <c r="O50" i="20" s="1"/>
  <c r="Q50" i="22" s="1"/>
  <c r="AQ50" i="22" s="1"/>
  <c r="M41" i="44"/>
  <c r="O49" i="20" s="1"/>
  <c r="Q49" i="22" s="1"/>
  <c r="AQ49" i="22" s="1"/>
  <c r="AT131" i="44"/>
  <c r="L42" i="44" s="1"/>
  <c r="K50" i="20" s="1"/>
  <c r="M50" i="22" s="1"/>
  <c r="AM50" i="22" s="1"/>
  <c r="L41" i="44"/>
  <c r="K49" i="20" s="1"/>
  <c r="M49" i="22" s="1"/>
  <c r="AM49" i="22" s="1"/>
  <c r="N49" i="20"/>
  <c r="P49" i="22" s="1"/>
  <c r="AP49" i="22" s="1"/>
  <c r="K42" i="44"/>
  <c r="N50" i="20" s="1"/>
  <c r="P50" i="22" s="1"/>
  <c r="AP50" i="22" s="1"/>
  <c r="I3" i="17"/>
  <c r="G50" i="17"/>
  <c r="G38" i="17"/>
  <c r="G27" i="17"/>
  <c r="G33" i="17"/>
  <c r="G47" i="17"/>
  <c r="I7" i="17"/>
  <c r="AD44" i="22"/>
  <c r="AD38" i="22"/>
  <c r="AG45" i="22"/>
  <c r="AG34" i="22"/>
  <c r="AG29" i="22"/>
  <c r="AG40" i="22"/>
  <c r="AI20" i="22"/>
  <c r="AI35" i="22"/>
  <c r="AI27" i="22"/>
  <c r="AI31" i="22"/>
  <c r="AI44" i="22"/>
  <c r="AI40" i="22"/>
  <c r="AF26" i="22"/>
  <c r="AF24" i="22"/>
  <c r="AF41" i="22"/>
  <c r="AM45" i="22"/>
  <c r="AM21" i="22"/>
  <c r="AN21" i="22"/>
  <c r="AN24" i="22"/>
  <c r="AN39" i="22"/>
  <c r="AK21" i="22"/>
  <c r="AK22" i="22"/>
  <c r="AK30" i="22"/>
  <c r="AK43" i="22"/>
  <c r="AO44" i="22"/>
  <c r="AO29" i="22"/>
  <c r="AO32" i="22"/>
  <c r="AO43" i="22"/>
  <c r="AR22" i="22"/>
  <c r="AR34" i="22"/>
  <c r="AR38" i="22"/>
  <c r="AT19" i="22"/>
  <c r="AT24" i="22"/>
  <c r="AT39" i="22"/>
  <c r="AT44" i="22"/>
  <c r="AH46" i="22"/>
  <c r="AH25" i="22"/>
  <c r="AH19" i="22"/>
  <c r="AH23" i="22"/>
  <c r="AH29" i="22"/>
  <c r="AE28" i="22"/>
  <c r="AE23" i="22"/>
  <c r="AE31" i="22"/>
  <c r="AE39" i="22"/>
  <c r="AE42" i="22"/>
  <c r="AE47" i="22"/>
  <c r="AU23" i="22"/>
  <c r="AU29" i="22"/>
  <c r="AU28" i="22"/>
  <c r="AU32" i="22"/>
  <c r="AU38" i="22"/>
  <c r="AU41" i="22"/>
  <c r="AU47" i="22"/>
  <c r="AP27" i="22"/>
  <c r="AP22" i="22"/>
  <c r="AP29" i="22"/>
  <c r="AP34" i="22"/>
  <c r="AP37" i="22"/>
  <c r="AP44" i="22"/>
  <c r="AJ33" i="22"/>
  <c r="AJ21" i="22"/>
  <c r="AJ31" i="22"/>
  <c r="AJ25" i="22"/>
  <c r="AJ23" i="22"/>
  <c r="AJ35" i="22"/>
  <c r="AJ41" i="22"/>
  <c r="AJ49" i="22"/>
  <c r="AL47" i="22"/>
  <c r="AL21" i="22"/>
  <c r="AL33" i="22"/>
  <c r="AL25" i="22"/>
  <c r="AL19" i="22"/>
  <c r="AV46" i="22"/>
  <c r="AV41" i="22"/>
  <c r="AV27" i="22"/>
  <c r="AV34" i="22"/>
  <c r="AV29" i="22"/>
  <c r="AV22" i="22"/>
  <c r="AS47" i="22"/>
  <c r="AS39" i="22"/>
  <c r="AS38" i="22"/>
  <c r="AS27" i="22"/>
  <c r="AS33" i="22"/>
  <c r="AS28" i="22"/>
  <c r="AS25" i="22"/>
  <c r="AS20" i="22"/>
  <c r="AQ47" i="22"/>
  <c r="AQ39" i="22"/>
  <c r="AQ38" i="22"/>
  <c r="AQ27" i="22"/>
  <c r="AQ33" i="22"/>
  <c r="AQ28" i="22"/>
  <c r="AQ25" i="22"/>
  <c r="AQ20" i="22"/>
  <c r="AL48" i="22"/>
  <c r="AL45" i="22"/>
  <c r="AL41" i="22"/>
  <c r="AL44" i="22"/>
  <c r="AL40" i="22"/>
  <c r="AL38" i="22"/>
  <c r="AL34" i="22"/>
  <c r="AL31" i="22"/>
  <c r="AL29" i="22"/>
  <c r="AL27" i="22"/>
  <c r="AL23" i="22"/>
  <c r="AJ44" i="22"/>
  <c r="AJ19" i="22"/>
  <c r="AJ27" i="22"/>
  <c r="AP46" i="22"/>
  <c r="AP39" i="22"/>
  <c r="AP24" i="22"/>
  <c r="AP21" i="22"/>
  <c r="AU44" i="22"/>
  <c r="AU30" i="22"/>
  <c r="AU27" i="22"/>
  <c r="AE44" i="22"/>
  <c r="AE35" i="22"/>
  <c r="AE36" i="22"/>
  <c r="AE32" i="22"/>
  <c r="AT31" i="22"/>
  <c r="AR45" i="22"/>
  <c r="AR29" i="22"/>
  <c r="AO41" i="22"/>
  <c r="AO22" i="22"/>
  <c r="AK37" i="22"/>
  <c r="AN31" i="22"/>
  <c r="C43" i="17"/>
  <c r="AF30" i="22"/>
  <c r="AG35" i="22"/>
  <c r="AG24" i="22"/>
  <c r="D49" i="17"/>
  <c r="C49" i="22"/>
  <c r="C6" i="17"/>
  <c r="E6" i="17"/>
  <c r="AP48" i="22"/>
  <c r="E38" i="17"/>
  <c r="C37" i="17"/>
  <c r="C33" i="17"/>
  <c r="C26" i="17"/>
  <c r="C29" i="17"/>
  <c r="E49" i="17"/>
  <c r="E17" i="17"/>
  <c r="C15" i="17"/>
  <c r="E13" i="17"/>
  <c r="E19" i="17"/>
  <c r="C5" i="17"/>
  <c r="I17" i="17"/>
  <c r="I5" i="17"/>
  <c r="I4" i="17"/>
  <c r="AP47" i="22"/>
  <c r="AD43" i="22"/>
  <c r="AD46" i="22"/>
  <c r="AG47" i="22"/>
  <c r="AG19" i="22"/>
  <c r="AG22" i="22"/>
  <c r="AG37" i="22"/>
  <c r="AG27" i="22"/>
  <c r="AG31" i="22"/>
  <c r="AG42" i="22"/>
  <c r="AI45" i="22"/>
  <c r="AI25" i="22"/>
  <c r="AI19" i="22"/>
  <c r="AI23" i="22"/>
  <c r="AI29" i="22"/>
  <c r="AI36" i="22"/>
  <c r="AI42" i="22"/>
  <c r="AI49" i="22"/>
  <c r="AF20" i="22"/>
  <c r="AF21" i="22"/>
  <c r="AF33" i="22"/>
  <c r="AF22" i="22"/>
  <c r="AF37" i="22"/>
  <c r="AF39" i="22"/>
  <c r="AF42" i="22"/>
  <c r="AM46" i="22"/>
  <c r="AM22" i="22"/>
  <c r="AM24" i="22"/>
  <c r="AM29" i="22"/>
  <c r="AM31" i="22"/>
  <c r="AM34" i="22"/>
  <c r="AM26" i="22"/>
  <c r="AM32" i="22"/>
  <c r="AM37" i="22"/>
  <c r="AM41" i="22"/>
  <c r="AM39" i="22"/>
  <c r="AM42" i="22"/>
  <c r="AN27" i="22"/>
  <c r="AN22" i="22"/>
  <c r="AN29" i="22"/>
  <c r="AN34" i="22"/>
  <c r="AN37" i="22"/>
  <c r="AK45" i="22"/>
  <c r="AK38" i="22"/>
  <c r="AK24" i="22"/>
  <c r="AK28" i="22"/>
  <c r="AK26" i="22"/>
  <c r="AK34" i="22"/>
  <c r="AK41" i="22"/>
  <c r="AK40" i="22"/>
  <c r="AK48" i="22"/>
  <c r="AO21" i="22"/>
  <c r="AO24" i="22"/>
  <c r="AO31" i="22"/>
  <c r="AO26" i="22"/>
  <c r="AO37" i="22"/>
  <c r="AO39" i="22"/>
  <c r="AR21" i="22"/>
  <c r="AR36" i="22"/>
  <c r="AR24" i="22"/>
  <c r="AR31" i="22"/>
  <c r="AR39" i="22"/>
  <c r="AR44" i="22"/>
  <c r="AR42" i="22"/>
  <c r="AR48" i="22"/>
  <c r="AT27" i="22"/>
  <c r="AT22" i="22"/>
  <c r="AT29" i="22"/>
  <c r="AT34" i="22"/>
  <c r="AT41" i="22"/>
  <c r="AT46" i="22"/>
  <c r="AO48" i="22"/>
  <c r="AH20" i="22"/>
  <c r="AH36" i="22"/>
  <c r="AH35" i="22"/>
  <c r="AH42" i="22"/>
  <c r="AH47" i="22"/>
  <c r="E42" i="17"/>
  <c r="E44" i="17"/>
  <c r="E20" i="17"/>
  <c r="E31" i="17"/>
  <c r="AE131" i="44"/>
  <c r="D42" i="44" s="1"/>
  <c r="E50" i="20" s="1"/>
  <c r="G50" i="22" s="1"/>
  <c r="AG50" i="22" s="1"/>
  <c r="D41" i="44"/>
  <c r="E49" i="20" s="1"/>
  <c r="G49" i="22" s="1"/>
  <c r="AG49" i="22" s="1"/>
  <c r="E16" i="17"/>
  <c r="E48" i="17"/>
  <c r="C41" i="17"/>
  <c r="C19" i="17"/>
  <c r="I12" i="17"/>
  <c r="G21" i="17"/>
  <c r="C38" i="17"/>
  <c r="C34" i="17"/>
  <c r="AD30" i="22"/>
  <c r="AD21" i="22"/>
  <c r="AD26" i="22"/>
  <c r="C20" i="17"/>
  <c r="G37" i="17"/>
  <c r="C32" i="17"/>
  <c r="C28" i="17"/>
  <c r="C50" i="22"/>
  <c r="D50" i="17"/>
  <c r="E50" i="17" s="1"/>
  <c r="E63" i="67"/>
  <c r="M63" i="66" s="1"/>
  <c r="I73" i="67"/>
  <c r="J73" i="66" s="1"/>
  <c r="R73" i="66" s="1"/>
  <c r="E65" i="67"/>
  <c r="M65" i="66" s="1"/>
  <c r="G69" i="67"/>
  <c r="H69" i="66" s="1"/>
  <c r="G72" i="67"/>
  <c r="H72" i="66" s="1"/>
  <c r="I62" i="67"/>
  <c r="J62" i="66" s="1"/>
  <c r="R62" i="66" s="1"/>
  <c r="G64" i="67"/>
  <c r="H64" i="66" s="1"/>
  <c r="G73" i="67"/>
  <c r="H73" i="66" s="1"/>
  <c r="E71" i="67"/>
  <c r="M71" i="66" s="1"/>
  <c r="I67" i="67"/>
  <c r="J67" i="66" s="1"/>
  <c r="R67" i="66" s="1"/>
  <c r="E69" i="67"/>
  <c r="M69" i="66" s="1"/>
  <c r="G62" i="67"/>
  <c r="H62" i="66" s="1"/>
  <c r="I66" i="67"/>
  <c r="J66" i="66" s="1"/>
  <c r="R66" i="66" s="1"/>
  <c r="E64" i="67"/>
  <c r="M64" i="66" s="1"/>
  <c r="I70" i="67"/>
  <c r="J70" i="66" s="1"/>
  <c r="R70" i="66" s="1"/>
  <c r="I68" i="67"/>
  <c r="J68" i="66" s="1"/>
  <c r="R68" i="66" s="1"/>
  <c r="G63" i="67"/>
  <c r="H63" i="66" s="1"/>
  <c r="G67" i="67"/>
  <c r="H67" i="66" s="1"/>
  <c r="I65" i="67"/>
  <c r="J65" i="66" s="1"/>
  <c r="R65" i="66" s="1"/>
  <c r="I71" i="67"/>
  <c r="J71" i="66" s="1"/>
  <c r="R71" i="66" s="1"/>
  <c r="E72" i="67"/>
  <c r="M72" i="66" s="1"/>
  <c r="G66" i="67"/>
  <c r="H66" i="66" s="1"/>
  <c r="G70" i="67"/>
  <c r="H70" i="66" s="1"/>
  <c r="G68" i="67"/>
  <c r="H68" i="66" s="1"/>
  <c r="I63" i="67"/>
  <c r="J63" i="66" s="1"/>
  <c r="R63" i="66" s="1"/>
  <c r="E67" i="67"/>
  <c r="M67" i="66" s="1"/>
  <c r="I69" i="67"/>
  <c r="J69" i="66" s="1"/>
  <c r="R69" i="66" s="1"/>
  <c r="E73" i="67"/>
  <c r="M73" i="66" s="1"/>
  <c r="G65" i="67"/>
  <c r="H65" i="66" s="1"/>
  <c r="G71" i="67"/>
  <c r="H71" i="66" s="1"/>
  <c r="I72" i="67"/>
  <c r="J72" i="66" s="1"/>
  <c r="R72" i="66" s="1"/>
  <c r="E66" i="67"/>
  <c r="M66" i="66" s="1"/>
  <c r="E62" i="67"/>
  <c r="M62" i="66" s="1"/>
  <c r="E70" i="67"/>
  <c r="M70" i="66" s="1"/>
  <c r="E68" i="67"/>
  <c r="M68" i="66" s="1"/>
  <c r="I64" i="67"/>
  <c r="J64" i="66" s="1"/>
  <c r="R64" i="66" s="1"/>
  <c r="O28" i="67"/>
  <c r="N32" i="67"/>
  <c r="O29" i="67"/>
  <c r="N33" i="67"/>
  <c r="O27" i="67"/>
  <c r="N31" i="67"/>
  <c r="N30" i="67"/>
  <c r="O26" i="67"/>
  <c r="I83" i="67" s="1"/>
  <c r="J83" i="66" s="1"/>
  <c r="R83" i="66" s="1"/>
  <c r="M38" i="67"/>
  <c r="E18" i="17"/>
  <c r="G49" i="17"/>
  <c r="G20" i="17"/>
  <c r="C16" i="17"/>
  <c r="E40" i="17"/>
  <c r="E39" i="17"/>
  <c r="E7" i="17"/>
  <c r="E36" i="17"/>
  <c r="E10" i="17"/>
  <c r="E9" i="17"/>
  <c r="E47" i="17"/>
  <c r="E46" i="17"/>
  <c r="E28" i="17"/>
  <c r="E27" i="17"/>
  <c r="J38" i="17"/>
  <c r="J42" i="17"/>
  <c r="J34" i="17"/>
  <c r="J3" i="17"/>
  <c r="J41" i="17"/>
  <c r="J26" i="17"/>
  <c r="J37" i="17"/>
  <c r="J28" i="17"/>
  <c r="J12" i="17"/>
  <c r="J11" i="17"/>
  <c r="J16" i="17"/>
  <c r="J9" i="17"/>
  <c r="J22" i="17"/>
  <c r="J6" i="17"/>
  <c r="J7" i="17"/>
  <c r="J17" i="17"/>
  <c r="J2" i="17"/>
  <c r="J23" i="17"/>
  <c r="J5" i="17"/>
  <c r="J8" i="17"/>
  <c r="J21" i="17"/>
  <c r="J4" i="17"/>
  <c r="J18" i="17"/>
  <c r="J29" i="17"/>
  <c r="J40" i="17"/>
  <c r="J10" i="17"/>
  <c r="J33" i="17"/>
  <c r="J13" i="17"/>
  <c r="J24" i="17"/>
  <c r="B43" i="22"/>
  <c r="C21" i="17"/>
  <c r="C3" i="17"/>
  <c r="AD19" i="22"/>
  <c r="AD29" i="22"/>
  <c r="C23" i="17"/>
  <c r="C25" i="17"/>
  <c r="AH48" i="22"/>
  <c r="AV45" i="22"/>
  <c r="AV40" i="22"/>
  <c r="AV38" i="22"/>
  <c r="AV26" i="22"/>
  <c r="AV33" i="22"/>
  <c r="AV28" i="22"/>
  <c r="AV25" i="22"/>
  <c r="AV20" i="22"/>
  <c r="AS40" i="22"/>
  <c r="AS41" i="22"/>
  <c r="AS32" i="22"/>
  <c r="AS34" i="22"/>
  <c r="AS29" i="22"/>
  <c r="AS22" i="22"/>
  <c r="AS46" i="22"/>
  <c r="AQ48" i="22"/>
  <c r="AQ37" i="22"/>
  <c r="AQ26" i="22"/>
  <c r="AQ31" i="22"/>
  <c r="AQ24" i="22"/>
  <c r="AQ21" i="22"/>
  <c r="AQ46" i="22"/>
  <c r="G46" i="17"/>
  <c r="G44" i="17"/>
  <c r="G43" i="17"/>
  <c r="G42" i="17"/>
  <c r="G39" i="17"/>
  <c r="G35" i="17"/>
  <c r="G32" i="17"/>
  <c r="G30" i="17"/>
  <c r="G28" i="17"/>
  <c r="G24" i="17"/>
  <c r="G22" i="17"/>
  <c r="G36" i="17"/>
  <c r="G26" i="17"/>
  <c r="AJ47" i="22"/>
  <c r="AJ39" i="22"/>
  <c r="AJ32" i="22"/>
  <c r="AJ22" i="22"/>
  <c r="AJ34" i="22"/>
  <c r="AJ26" i="22"/>
  <c r="AJ38" i="22"/>
  <c r="AP45" i="22"/>
  <c r="AP38" i="22"/>
  <c r="AP40" i="22"/>
  <c r="AP33" i="22"/>
  <c r="AP28" i="22"/>
  <c r="AP25" i="22"/>
  <c r="AP26" i="22"/>
  <c r="AP20" i="22"/>
  <c r="AU45" i="22"/>
  <c r="AU39" i="22"/>
  <c r="AU37" i="22"/>
  <c r="AU31" i="22"/>
  <c r="AU24" i="22"/>
  <c r="AU21" i="22"/>
  <c r="AU20" i="22"/>
  <c r="AE46" i="22"/>
  <c r="AE45" i="22"/>
  <c r="AE33" i="22"/>
  <c r="AE21" i="22"/>
  <c r="AE34" i="22"/>
  <c r="AE24" i="22"/>
  <c r="AE20" i="22"/>
  <c r="AH49" i="22"/>
  <c r="AH43" i="22"/>
  <c r="E43" i="17"/>
  <c r="AH40" i="22"/>
  <c r="AH32" i="22"/>
  <c r="AH22" i="22"/>
  <c r="AH30" i="22"/>
  <c r="AH24" i="22"/>
  <c r="E15" i="17"/>
  <c r="E14" i="17"/>
  <c r="E8" i="17"/>
  <c r="AH33" i="22"/>
  <c r="E33" i="17"/>
  <c r="E45" i="17"/>
  <c r="AJ46" i="22"/>
  <c r="AO49" i="22"/>
  <c r="AT45" i="22"/>
  <c r="AT38" i="22"/>
  <c r="AT40" i="22"/>
  <c r="AT33" i="22"/>
  <c r="AT28" i="22"/>
  <c r="AT25" i="22"/>
  <c r="AT26" i="22"/>
  <c r="AT20" i="22"/>
  <c r="AR47" i="22"/>
  <c r="AR37" i="22"/>
  <c r="AR40" i="22"/>
  <c r="AR33" i="22"/>
  <c r="AR28" i="22"/>
  <c r="AR25" i="22"/>
  <c r="AR26" i="22"/>
  <c r="AR20" i="22"/>
  <c r="AO42" i="22"/>
  <c r="AO36" i="22"/>
  <c r="AO35" i="22"/>
  <c r="AO30" i="22"/>
  <c r="AO23" i="22"/>
  <c r="AO19" i="22"/>
  <c r="AO45" i="22"/>
  <c r="AK44" i="22"/>
  <c r="AK39" i="22"/>
  <c r="AK31" i="22"/>
  <c r="AK35" i="22"/>
  <c r="AK23" i="22"/>
  <c r="AK25" i="22"/>
  <c r="E5" i="17"/>
  <c r="AN42" i="22"/>
  <c r="AN38" i="22"/>
  <c r="AN35" i="22"/>
  <c r="AN30" i="22"/>
  <c r="AN23" i="22"/>
  <c r="AN32" i="22"/>
  <c r="AN19" i="22"/>
  <c r="AM40" i="22"/>
  <c r="AM43" i="22"/>
  <c r="AM38" i="22"/>
  <c r="AM36" i="22"/>
  <c r="AM27" i="22"/>
  <c r="AM35" i="22"/>
  <c r="AM33" i="22"/>
  <c r="AM30" i="22"/>
  <c r="AM28" i="22"/>
  <c r="AM23" i="22"/>
  <c r="AM25" i="22"/>
  <c r="AM19" i="22"/>
  <c r="AF40" i="22"/>
  <c r="AF32" i="22"/>
  <c r="AF35" i="22"/>
  <c r="AF29" i="22"/>
  <c r="AF23" i="22"/>
  <c r="AI47" i="22"/>
  <c r="AI41" i="22"/>
  <c r="E37" i="17"/>
  <c r="AI30" i="22"/>
  <c r="AI32" i="22"/>
  <c r="AI22" i="22"/>
  <c r="E24" i="17"/>
  <c r="E12" i="17"/>
  <c r="AG41" i="22"/>
  <c r="AG43" i="22"/>
  <c r="AG33" i="22"/>
  <c r="AG21" i="22"/>
  <c r="AG38" i="22"/>
  <c r="AG32" i="22"/>
  <c r="AG25" i="22"/>
  <c r="AG46" i="22"/>
  <c r="AK46" i="22"/>
  <c r="AD49" i="22"/>
  <c r="AD39" i="22"/>
  <c r="AD45" i="22"/>
  <c r="AD48" i="22"/>
  <c r="C40" i="17"/>
  <c r="AD32" i="22"/>
  <c r="AD28" i="22"/>
  <c r="AD35" i="22"/>
  <c r="C35" i="17"/>
  <c r="AD31" i="22"/>
  <c r="C31" i="17"/>
  <c r="AD27" i="22"/>
  <c r="C18" i="17"/>
  <c r="E26" i="17"/>
  <c r="E25" i="17"/>
  <c r="E22" i="17"/>
  <c r="E21" i="17"/>
  <c r="E4" i="17"/>
  <c r="I42" i="17"/>
  <c r="I39" i="17"/>
  <c r="I38" i="17"/>
  <c r="I24" i="17"/>
  <c r="I22" i="17"/>
  <c r="F44" i="22"/>
  <c r="AF43" i="22"/>
  <c r="E30" i="17"/>
  <c r="E29" i="17"/>
  <c r="AB43" i="22"/>
  <c r="C17" i="17"/>
  <c r="C14" i="17"/>
  <c r="AH38" i="22"/>
  <c r="AW21" i="22"/>
  <c r="AW23" i="22"/>
  <c r="AW25" i="22"/>
  <c r="AW27" i="22"/>
  <c r="AW28" i="22"/>
  <c r="AW30" i="22"/>
  <c r="AW32" i="22"/>
  <c r="AW34" i="22"/>
  <c r="AW35" i="22"/>
  <c r="AW36" i="22"/>
  <c r="AW37" i="22"/>
  <c r="AW38" i="22"/>
  <c r="AW39" i="22"/>
  <c r="AW40" i="22"/>
  <c r="AW41" i="22"/>
  <c r="AW42" i="22"/>
  <c r="AW43" i="22"/>
  <c r="AW44" i="22"/>
  <c r="AW45" i="22"/>
  <c r="AW46" i="22"/>
  <c r="AW47" i="22"/>
  <c r="AW20" i="22"/>
  <c r="AW22" i="22"/>
  <c r="AW24" i="22"/>
  <c r="AW26" i="22"/>
  <c r="AW29" i="22"/>
  <c r="AW31" i="22"/>
  <c r="AW33" i="22"/>
  <c r="AO47" i="22"/>
  <c r="AW48" i="22"/>
  <c r="AW19" i="22"/>
  <c r="AD23" i="22"/>
  <c r="AD25" i="22"/>
  <c r="AL49" i="22"/>
  <c r="AI48" i="22"/>
  <c r="AV47" i="22"/>
  <c r="AV43" i="22"/>
  <c r="AV42" i="22"/>
  <c r="AV32" i="22"/>
  <c r="AV35" i="22"/>
  <c r="AV30" i="22"/>
  <c r="AV23" i="22"/>
  <c r="AV19" i="22"/>
  <c r="AS48" i="22"/>
  <c r="AS37" i="22"/>
  <c r="AS26" i="22"/>
  <c r="AS31" i="22"/>
  <c r="AS24" i="22"/>
  <c r="AS21" i="22"/>
  <c r="AS45" i="22"/>
  <c r="AQ40" i="22"/>
  <c r="AQ41" i="22"/>
  <c r="AQ32" i="22"/>
  <c r="AQ34" i="22"/>
  <c r="AQ29" i="22"/>
  <c r="AQ22" i="22"/>
  <c r="AQ44" i="22"/>
  <c r="AL46" i="22"/>
  <c r="AL43" i="22"/>
  <c r="AL37" i="22"/>
  <c r="AL42" i="22"/>
  <c r="AL39" i="22"/>
  <c r="AL35" i="22"/>
  <c r="AL32" i="22"/>
  <c r="AL30" i="22"/>
  <c r="AL28" i="22"/>
  <c r="AL24" i="22"/>
  <c r="AL22" i="22"/>
  <c r="AL36" i="22"/>
  <c r="AL26" i="22"/>
  <c r="AJ48" i="22"/>
  <c r="AJ42" i="22"/>
  <c r="AJ40" i="22"/>
  <c r="AJ28" i="22"/>
  <c r="AJ37" i="22"/>
  <c r="AJ30" i="22"/>
  <c r="AJ20" i="22"/>
  <c r="AJ45" i="22"/>
  <c r="AP42" i="22"/>
  <c r="AP43" i="22"/>
  <c r="AP35" i="22"/>
  <c r="AP30" i="22"/>
  <c r="AP23" i="22"/>
  <c r="AP32" i="22"/>
  <c r="AP19" i="22"/>
  <c r="AU46" i="22"/>
  <c r="AU42" i="22"/>
  <c r="AU40" i="22"/>
  <c r="AU34" i="22"/>
  <c r="AU22" i="22"/>
  <c r="AU33" i="22"/>
  <c r="AU26" i="22"/>
  <c r="AU25" i="22"/>
  <c r="AE43" i="22"/>
  <c r="AE41" i="22"/>
  <c r="AE38" i="22"/>
  <c r="AE30" i="22"/>
  <c r="AE26" i="22"/>
  <c r="AE37" i="22"/>
  <c r="AE22" i="22"/>
  <c r="AE19" i="22"/>
  <c r="AH41" i="22"/>
  <c r="E41" i="17"/>
  <c r="E32" i="17"/>
  <c r="AH28" i="22"/>
  <c r="AH37" i="22"/>
  <c r="AH34" i="22"/>
  <c r="AH26" i="22"/>
  <c r="AH45" i="22"/>
  <c r="AE48" i="22"/>
  <c r="AT47" i="22"/>
  <c r="AT42" i="22"/>
  <c r="AT43" i="22"/>
  <c r="AT35" i="22"/>
  <c r="AT30" i="22"/>
  <c r="AT23" i="22"/>
  <c r="AT32" i="22"/>
  <c r="AT21" i="22"/>
  <c r="AR46" i="22"/>
  <c r="AR41" i="22"/>
  <c r="AR43" i="22"/>
  <c r="AR35" i="22"/>
  <c r="AR30" i="22"/>
  <c r="AR23" i="22"/>
  <c r="AR32" i="22"/>
  <c r="AR19" i="22"/>
  <c r="AO40" i="22"/>
  <c r="AO38" i="22"/>
  <c r="AO27" i="22"/>
  <c r="AO33" i="22"/>
  <c r="AO28" i="22"/>
  <c r="AO25" i="22"/>
  <c r="AO20" i="22"/>
  <c r="AK49" i="22"/>
  <c r="AK42" i="22"/>
  <c r="AK36" i="22"/>
  <c r="AK27" i="22"/>
  <c r="AK29" i="22"/>
  <c r="AK19" i="22"/>
  <c r="AK20" i="22"/>
  <c r="AK33" i="22"/>
  <c r="N44" i="22"/>
  <c r="H44" i="17" s="1"/>
  <c r="AN43" i="22"/>
  <c r="AN40" i="22"/>
  <c r="AN33" i="22"/>
  <c r="AN28" i="22"/>
  <c r="AN25" i="22"/>
  <c r="AN26" i="22"/>
  <c r="AN20" i="22"/>
  <c r="I40" i="17"/>
  <c r="I33" i="17"/>
  <c r="I23" i="17"/>
  <c r="AM20" i="22"/>
  <c r="AM47" i="22"/>
  <c r="AM48" i="22"/>
  <c r="AF38" i="22"/>
  <c r="AF36" i="22"/>
  <c r="AF28" i="22"/>
  <c r="AF31" i="22"/>
  <c r="AF27" i="22"/>
  <c r="AF25" i="22"/>
  <c r="AI43" i="22"/>
  <c r="AI37" i="22"/>
  <c r="AI34" i="22"/>
  <c r="AI26" i="22"/>
  <c r="AI28" i="22"/>
  <c r="AI24" i="22"/>
  <c r="AI33" i="22"/>
  <c r="AG48" i="22"/>
  <c r="AG39" i="22"/>
  <c r="AG30" i="22"/>
  <c r="AG26" i="22"/>
  <c r="AG36" i="22"/>
  <c r="AG28" i="22"/>
  <c r="AG20" i="22"/>
  <c r="AG44" i="22"/>
  <c r="AO46" i="22"/>
  <c r="AD47" i="22"/>
  <c r="C39" i="17"/>
  <c r="AD42" i="22"/>
  <c r="C42" i="17"/>
  <c r="AD40" i="22"/>
  <c r="AD36" i="22"/>
  <c r="C27" i="17"/>
  <c r="C4" i="17"/>
  <c r="C7" i="17"/>
  <c r="AE49" i="22"/>
  <c r="V10" i="6"/>
  <c r="X9" i="22"/>
  <c r="AB8" i="22"/>
  <c r="B8" i="17"/>
  <c r="C8" i="17" s="1"/>
  <c r="I15" i="17" l="1"/>
  <c r="I32" i="17"/>
  <c r="I30" i="17"/>
  <c r="J31" i="17"/>
  <c r="I20" i="17"/>
  <c r="K4" i="17"/>
  <c r="I19" i="17"/>
  <c r="J35" i="17"/>
  <c r="K35" i="17" s="1"/>
  <c r="K7" i="17"/>
  <c r="K17" i="17"/>
  <c r="I14" i="17"/>
  <c r="J15" i="17"/>
  <c r="K15" i="17" s="1"/>
  <c r="I16" i="17"/>
  <c r="I27" i="17"/>
  <c r="K8" i="17"/>
  <c r="I25" i="17"/>
  <c r="I28" i="17"/>
  <c r="I31" i="17"/>
  <c r="I36" i="17"/>
  <c r="I26" i="17"/>
  <c r="I37" i="17"/>
  <c r="J20" i="17"/>
  <c r="K20" i="17" s="1"/>
  <c r="K26" i="17"/>
  <c r="AW49" i="22"/>
  <c r="Y49" i="22"/>
  <c r="AV49" i="22" s="1"/>
  <c r="Y50" i="22"/>
  <c r="AV50" i="22" s="1"/>
  <c r="X49" i="22"/>
  <c r="AU49" i="22" s="1"/>
  <c r="X50" i="22"/>
  <c r="AU50" i="22" s="1"/>
  <c r="W49" i="22"/>
  <c r="AT49" i="22" s="1"/>
  <c r="W50" i="22"/>
  <c r="AT50" i="22" s="1"/>
  <c r="K24" i="17"/>
  <c r="K29" i="17"/>
  <c r="K39" i="17"/>
  <c r="K38" i="17"/>
  <c r="K13" i="17"/>
  <c r="K27" i="17"/>
  <c r="K31" i="17"/>
  <c r="K23" i="17"/>
  <c r="E76" i="67"/>
  <c r="M76" i="66" s="1"/>
  <c r="E74" i="67"/>
  <c r="M74" i="66" s="1"/>
  <c r="N34" i="67"/>
  <c r="O30" i="67"/>
  <c r="E85" i="67"/>
  <c r="M85" i="66" s="1"/>
  <c r="G84" i="67"/>
  <c r="H84" i="66" s="1"/>
  <c r="E78" i="67"/>
  <c r="M78" i="66" s="1"/>
  <c r="I82" i="67"/>
  <c r="J82" i="66" s="1"/>
  <c r="R82" i="66" s="1"/>
  <c r="G80" i="67"/>
  <c r="H80" i="66" s="1"/>
  <c r="E88" i="67"/>
  <c r="M88" i="66" s="1"/>
  <c r="G82" i="67"/>
  <c r="H82" i="66" s="1"/>
  <c r="E80" i="67"/>
  <c r="M80" i="66" s="1"/>
  <c r="I78" i="67"/>
  <c r="J78" i="66" s="1"/>
  <c r="R78" i="66" s="1"/>
  <c r="E77" i="67"/>
  <c r="M77" i="66" s="1"/>
  <c r="E83" i="67"/>
  <c r="M83" i="66" s="1"/>
  <c r="I81" i="67"/>
  <c r="J81" i="66" s="1"/>
  <c r="R81" i="66" s="1"/>
  <c r="M42" i="67"/>
  <c r="O31" i="67"/>
  <c r="N35" i="67"/>
  <c r="O33" i="67"/>
  <c r="N37" i="67"/>
  <c r="O32" i="67"/>
  <c r="G94" i="67" s="1"/>
  <c r="H94" i="66" s="1"/>
  <c r="N36" i="67"/>
  <c r="E92" i="67"/>
  <c r="M92" i="66" s="1"/>
  <c r="I90" i="67"/>
  <c r="J90" i="66" s="1"/>
  <c r="R90" i="66" s="1"/>
  <c r="E96" i="67"/>
  <c r="M96" i="66" s="1"/>
  <c r="I89" i="67"/>
  <c r="J89" i="66" s="1"/>
  <c r="R89" i="66" s="1"/>
  <c r="I93" i="67"/>
  <c r="J93" i="66" s="1"/>
  <c r="R93" i="66" s="1"/>
  <c r="I85" i="67"/>
  <c r="J85" i="66" s="1"/>
  <c r="R85" i="66" s="1"/>
  <c r="G92" i="67"/>
  <c r="H92" i="66" s="1"/>
  <c r="I94" i="67"/>
  <c r="J94" i="66" s="1"/>
  <c r="R94" i="66" s="1"/>
  <c r="E86" i="67"/>
  <c r="M86" i="66" s="1"/>
  <c r="E89" i="67"/>
  <c r="M89" i="66" s="1"/>
  <c r="E97" i="67"/>
  <c r="M97" i="66" s="1"/>
  <c r="E87" i="67"/>
  <c r="M87" i="66" s="1"/>
  <c r="G79" i="67"/>
  <c r="H79" i="66" s="1"/>
  <c r="E81" i="67"/>
  <c r="M81" i="66" s="1"/>
  <c r="I92" i="67"/>
  <c r="J92" i="66" s="1"/>
  <c r="R92" i="66" s="1"/>
  <c r="E94" i="67"/>
  <c r="M94" i="66" s="1"/>
  <c r="G88" i="67"/>
  <c r="H88" i="66" s="1"/>
  <c r="G86" i="67"/>
  <c r="H86" i="66" s="1"/>
  <c r="G97" i="67"/>
  <c r="H97" i="66" s="1"/>
  <c r="G91" i="67"/>
  <c r="H91" i="66" s="1"/>
  <c r="E95" i="67"/>
  <c r="M95" i="66" s="1"/>
  <c r="G77" i="67"/>
  <c r="H77" i="66" s="1"/>
  <c r="I79" i="67"/>
  <c r="J79" i="66" s="1"/>
  <c r="R79" i="66" s="1"/>
  <c r="G75" i="67"/>
  <c r="H75" i="66" s="1"/>
  <c r="G83" i="67"/>
  <c r="H83" i="66" s="1"/>
  <c r="I88" i="67"/>
  <c r="J88" i="66" s="1"/>
  <c r="R88" i="66" s="1"/>
  <c r="I86" i="67"/>
  <c r="J86" i="66" s="1"/>
  <c r="R86" i="66" s="1"/>
  <c r="I97" i="67"/>
  <c r="J97" i="66" s="1"/>
  <c r="R97" i="66" s="1"/>
  <c r="G78" i="67"/>
  <c r="H78" i="66" s="1"/>
  <c r="I91" i="67"/>
  <c r="J91" i="66" s="1"/>
  <c r="R91" i="66" s="1"/>
  <c r="I87" i="67"/>
  <c r="J87" i="66" s="1"/>
  <c r="R87" i="66" s="1"/>
  <c r="E79" i="67"/>
  <c r="M79" i="66" s="1"/>
  <c r="G85" i="67"/>
  <c r="H85" i="66" s="1"/>
  <c r="G81" i="67"/>
  <c r="H81" i="66" s="1"/>
  <c r="I95" i="67"/>
  <c r="J95" i="66" s="1"/>
  <c r="R95" i="66" s="1"/>
  <c r="E75" i="67"/>
  <c r="M75" i="66" s="1"/>
  <c r="I80" i="67"/>
  <c r="J80" i="66" s="1"/>
  <c r="R80" i="66" s="1"/>
  <c r="E82" i="67"/>
  <c r="M82" i="66" s="1"/>
  <c r="G76" i="67"/>
  <c r="H76" i="66" s="1"/>
  <c r="E90" i="67"/>
  <c r="M90" i="66" s="1"/>
  <c r="G96" i="67"/>
  <c r="H96" i="66" s="1"/>
  <c r="G74" i="67"/>
  <c r="H74" i="66" s="1"/>
  <c r="I84" i="67"/>
  <c r="J84" i="66" s="1"/>
  <c r="R84" i="66" s="1"/>
  <c r="G87" i="67"/>
  <c r="H87" i="66" s="1"/>
  <c r="E93" i="67"/>
  <c r="M93" i="66" s="1"/>
  <c r="G90" i="67"/>
  <c r="H90" i="66" s="1"/>
  <c r="I76" i="67"/>
  <c r="J76" i="66" s="1"/>
  <c r="R76" i="66" s="1"/>
  <c r="I96" i="67"/>
  <c r="J96" i="66" s="1"/>
  <c r="R96" i="66" s="1"/>
  <c r="I74" i="67"/>
  <c r="J74" i="66" s="1"/>
  <c r="R74" i="66" s="1"/>
  <c r="E84" i="67"/>
  <c r="M84" i="66" s="1"/>
  <c r="G89" i="67"/>
  <c r="H89" i="66" s="1"/>
  <c r="G93" i="67"/>
  <c r="H93" i="66" s="1"/>
  <c r="I77" i="67"/>
  <c r="J77" i="66" s="1"/>
  <c r="R77" i="66" s="1"/>
  <c r="I75" i="67"/>
  <c r="J75" i="66" s="1"/>
  <c r="R75" i="66" s="1"/>
  <c r="K42" i="17"/>
  <c r="K6" i="17"/>
  <c r="I43" i="17"/>
  <c r="N45" i="22"/>
  <c r="H45" i="17" s="1"/>
  <c r="AN44" i="22"/>
  <c r="K34" i="17"/>
  <c r="K33" i="17"/>
  <c r="K41" i="17"/>
  <c r="K40" i="17"/>
  <c r="K19" i="17"/>
  <c r="K18" i="17"/>
  <c r="K16" i="17"/>
  <c r="K5" i="17"/>
  <c r="K30" i="17"/>
  <c r="K14" i="17"/>
  <c r="K22" i="17"/>
  <c r="K12" i="17"/>
  <c r="K32" i="17"/>
  <c r="F45" i="22"/>
  <c r="AF44" i="22"/>
  <c r="B44" i="17"/>
  <c r="C44" i="17" s="1"/>
  <c r="B44" i="22"/>
  <c r="AB44" i="22"/>
  <c r="K11" i="17"/>
  <c r="K10" i="17"/>
  <c r="K37" i="17"/>
  <c r="J43" i="17"/>
  <c r="K9" i="17"/>
  <c r="K28" i="17"/>
  <c r="K3" i="17"/>
  <c r="K25" i="17"/>
  <c r="B9" i="17"/>
  <c r="C9" i="17" s="1"/>
  <c r="AB9" i="22"/>
  <c r="V11" i="6"/>
  <c r="X10" i="22"/>
  <c r="K36" i="17" l="1"/>
  <c r="K21" i="17"/>
  <c r="X11" i="22"/>
  <c r="B11" i="17" s="1"/>
  <c r="O36" i="67"/>
  <c r="N40" i="67"/>
  <c r="O37" i="67"/>
  <c r="N41" i="67"/>
  <c r="O35" i="67"/>
  <c r="N39" i="67"/>
  <c r="M46" i="67"/>
  <c r="N38" i="67"/>
  <c r="O34" i="67"/>
  <c r="K43" i="17"/>
  <c r="F46" i="22"/>
  <c r="AF45" i="22"/>
  <c r="B45" i="22"/>
  <c r="B45" i="17"/>
  <c r="C45" i="17" s="1"/>
  <c r="AB45" i="22"/>
  <c r="I44" i="17"/>
  <c r="J44" i="17"/>
  <c r="K44" i="17" s="1"/>
  <c r="N46" i="22"/>
  <c r="H46" i="17" s="1"/>
  <c r="AN45" i="22"/>
  <c r="AB10" i="22"/>
  <c r="B10" i="17"/>
  <c r="C10" i="17" s="1"/>
  <c r="AB11" i="22" l="1"/>
  <c r="N42" i="67"/>
  <c r="O38" i="67"/>
  <c r="M50" i="67"/>
  <c r="N43" i="67"/>
  <c r="O39" i="67"/>
  <c r="O41" i="67"/>
  <c r="N45" i="67"/>
  <c r="N44" i="67"/>
  <c r="O40" i="67"/>
  <c r="I45" i="17"/>
  <c r="J45" i="17"/>
  <c r="N47" i="22"/>
  <c r="H47" i="17" s="1"/>
  <c r="AN46" i="22"/>
  <c r="B46" i="17"/>
  <c r="C46" i="17" s="1"/>
  <c r="F47" i="22"/>
  <c r="AF46" i="22"/>
  <c r="AB46" i="22"/>
  <c r="B46" i="22"/>
  <c r="C12" i="17"/>
  <c r="C11" i="17"/>
  <c r="N47" i="67" l="1"/>
  <c r="O43" i="67"/>
  <c r="O45" i="67"/>
  <c r="N49" i="67"/>
  <c r="M54" i="67"/>
  <c r="N48" i="67"/>
  <c r="O44" i="67"/>
  <c r="N46" i="67"/>
  <c r="O42" i="67"/>
  <c r="AF47" i="22"/>
  <c r="F48" i="22"/>
  <c r="B47" i="17"/>
  <c r="C47" i="17" s="1"/>
  <c r="AB47" i="22"/>
  <c r="B47" i="22"/>
  <c r="I46" i="17"/>
  <c r="J46" i="17"/>
  <c r="K46" i="17" s="1"/>
  <c r="N48" i="22"/>
  <c r="H48" i="17" s="1"/>
  <c r="AN47" i="22"/>
  <c r="K45" i="17"/>
  <c r="N52" i="67" l="1"/>
  <c r="O48" i="67"/>
  <c r="M58" i="67"/>
  <c r="O49" i="67"/>
  <c r="N53" i="67"/>
  <c r="N50" i="67"/>
  <c r="O46" i="67"/>
  <c r="N51" i="67"/>
  <c r="O47" i="67"/>
  <c r="B48" i="22"/>
  <c r="F49" i="22"/>
  <c r="B48" i="17"/>
  <c r="C48" i="17" s="1"/>
  <c r="AF48" i="22"/>
  <c r="AB48" i="22"/>
  <c r="I47" i="17"/>
  <c r="J47" i="17"/>
  <c r="K47" i="17" s="1"/>
  <c r="N49" i="22"/>
  <c r="H49" i="17" s="1"/>
  <c r="AN48" i="22"/>
  <c r="N50" i="22" l="1"/>
  <c r="J49" i="17"/>
  <c r="F50" i="22"/>
  <c r="AF50" i="22" s="1"/>
  <c r="B49" i="17"/>
  <c r="C49" i="17" s="1"/>
  <c r="N55" i="67"/>
  <c r="O51" i="67"/>
  <c r="N54" i="67"/>
  <c r="O50" i="67"/>
  <c r="O53" i="67"/>
  <c r="N57" i="67"/>
  <c r="M62" i="67"/>
  <c r="N56" i="67"/>
  <c r="O52" i="67"/>
  <c r="B49" i="22"/>
  <c r="AB49" i="22"/>
  <c r="AF49" i="22"/>
  <c r="I48" i="17"/>
  <c r="J48" i="17"/>
  <c r="AN49" i="22"/>
  <c r="H50" i="17" l="1"/>
  <c r="AN50" i="22"/>
  <c r="B50" i="17"/>
  <c r="C50" i="17" s="1"/>
  <c r="AB50" i="22"/>
  <c r="B50" i="22"/>
  <c r="I50" i="17"/>
  <c r="J50" i="17"/>
  <c r="K50" i="17" s="1"/>
  <c r="I49" i="17"/>
  <c r="N60" i="67"/>
  <c r="O56" i="67"/>
  <c r="M66" i="67"/>
  <c r="O57" i="67"/>
  <c r="N61" i="67"/>
  <c r="N58" i="67"/>
  <c r="O54" i="67"/>
  <c r="N59" i="67"/>
  <c r="O55" i="67"/>
  <c r="K48" i="17"/>
  <c r="K49" i="17"/>
  <c r="O61" i="67" l="1"/>
  <c r="N65" i="67"/>
  <c r="M70" i="67"/>
  <c r="N63" i="67"/>
  <c r="O59" i="67"/>
  <c r="N62" i="67"/>
  <c r="O58" i="67"/>
  <c r="N64" i="67"/>
  <c r="O60" i="67"/>
  <c r="N68" i="67" l="1"/>
  <c r="O64" i="67"/>
  <c r="M74" i="67"/>
  <c r="O65" i="67"/>
  <c r="N69" i="67"/>
  <c r="N66" i="67"/>
  <c r="O62" i="67"/>
  <c r="N67" i="67"/>
  <c r="O63" i="67"/>
  <c r="N71" i="67" l="1"/>
  <c r="O67" i="67"/>
  <c r="N70" i="67"/>
  <c r="O66" i="67"/>
  <c r="O69" i="67"/>
  <c r="N73" i="67"/>
  <c r="M78" i="67"/>
  <c r="N72" i="67"/>
  <c r="O68" i="67"/>
  <c r="M82" i="67" l="1"/>
  <c r="O73" i="67"/>
  <c r="N77" i="67"/>
  <c r="N76" i="67"/>
  <c r="O72" i="67"/>
  <c r="N74" i="67"/>
  <c r="O70" i="67"/>
  <c r="O71" i="67"/>
  <c r="N75" i="67"/>
  <c r="N80" i="67" l="1"/>
  <c r="O76" i="67"/>
  <c r="O75" i="67"/>
  <c r="N79" i="67"/>
  <c r="O77" i="67"/>
  <c r="N81" i="67"/>
  <c r="M86" i="67"/>
  <c r="N78" i="67"/>
  <c r="O74" i="67"/>
  <c r="M90" i="67" l="1"/>
  <c r="O81" i="67"/>
  <c r="N85" i="67"/>
  <c r="O79" i="67"/>
  <c r="N83" i="67"/>
  <c r="N82" i="67"/>
  <c r="O78" i="67"/>
  <c r="N84" i="67"/>
  <c r="O80" i="67"/>
  <c r="O83" i="67" l="1"/>
  <c r="N87" i="67"/>
  <c r="O85" i="67"/>
  <c r="N89" i="67"/>
  <c r="M94" i="67"/>
  <c r="N88" i="67"/>
  <c r="O84" i="67"/>
  <c r="N86" i="67"/>
  <c r="O82" i="67"/>
  <c r="N92" i="67" l="1"/>
  <c r="O88" i="67"/>
  <c r="M98" i="67"/>
  <c r="O89" i="67"/>
  <c r="N93" i="67"/>
  <c r="O87" i="67"/>
  <c r="N91" i="67"/>
  <c r="N90" i="67"/>
  <c r="O86" i="67"/>
  <c r="O91" i="67" l="1"/>
  <c r="N95" i="67"/>
  <c r="O93" i="67"/>
  <c r="N97" i="67"/>
  <c r="M102" i="67"/>
  <c r="N94" i="67"/>
  <c r="O90" i="67"/>
  <c r="N96" i="67"/>
  <c r="O92" i="67"/>
  <c r="N98" i="67" l="1"/>
  <c r="O94" i="67"/>
  <c r="M106" i="67"/>
  <c r="O97" i="67"/>
  <c r="N101" i="67"/>
  <c r="O95" i="67"/>
  <c r="N99" i="67"/>
  <c r="N100" i="67"/>
  <c r="O96" i="67"/>
  <c r="N104" i="67" l="1"/>
  <c r="O100" i="67"/>
  <c r="O99" i="67"/>
  <c r="N103" i="67"/>
  <c r="O101" i="67"/>
  <c r="N105" i="67"/>
  <c r="M110" i="67"/>
  <c r="N102" i="67"/>
  <c r="O98" i="67"/>
  <c r="N106" i="67" l="1"/>
  <c r="O102" i="67"/>
  <c r="M114" i="67"/>
  <c r="O105" i="67"/>
  <c r="N109" i="67"/>
  <c r="O103" i="67"/>
  <c r="N107" i="67"/>
  <c r="N108" i="67"/>
  <c r="O104" i="67"/>
  <c r="O107" i="67" l="1"/>
  <c r="N111" i="67"/>
  <c r="O109" i="67"/>
  <c r="N113" i="67"/>
  <c r="M118" i="67"/>
  <c r="N112" i="67"/>
  <c r="O108" i="67"/>
  <c r="N110" i="67"/>
  <c r="O106" i="67"/>
  <c r="N116" i="67" l="1"/>
  <c r="O112" i="67"/>
  <c r="M122" i="67"/>
  <c r="O113" i="67"/>
  <c r="N117" i="67"/>
  <c r="O111" i="67"/>
  <c r="N115" i="67"/>
  <c r="N114" i="67"/>
  <c r="O110" i="67"/>
  <c r="O115" i="67" l="1"/>
  <c r="N119" i="67"/>
  <c r="O117" i="67"/>
  <c r="N121" i="67"/>
  <c r="M126" i="67"/>
  <c r="N118" i="67"/>
  <c r="O114" i="67"/>
  <c r="N120" i="67"/>
  <c r="O116" i="67"/>
  <c r="N122" i="67" l="1"/>
  <c r="O118" i="67"/>
  <c r="M130" i="67"/>
  <c r="O121" i="67"/>
  <c r="N125" i="67"/>
  <c r="O119" i="67"/>
  <c r="N123" i="67"/>
  <c r="N124" i="67"/>
  <c r="O120" i="67"/>
  <c r="N128" i="67" l="1"/>
  <c r="O124" i="67"/>
  <c r="O123" i="67"/>
  <c r="N127" i="67"/>
  <c r="O125" i="67"/>
  <c r="N129" i="67"/>
  <c r="M134" i="67"/>
  <c r="N126" i="67"/>
  <c r="O122" i="67"/>
  <c r="N130" i="67" l="1"/>
  <c r="O126" i="67"/>
  <c r="M138" i="67"/>
  <c r="O129" i="67"/>
  <c r="N133" i="67"/>
  <c r="O127" i="67"/>
  <c r="N131" i="67"/>
  <c r="N132" i="67"/>
  <c r="O128" i="67"/>
  <c r="N136" i="67" l="1"/>
  <c r="O132" i="67"/>
  <c r="O131" i="67"/>
  <c r="N135" i="67"/>
  <c r="O133" i="67"/>
  <c r="N137" i="67"/>
  <c r="M142" i="67"/>
  <c r="N134" i="67"/>
  <c r="O130" i="67"/>
  <c r="N138" i="67" l="1"/>
  <c r="O134" i="67"/>
  <c r="M146" i="67"/>
  <c r="O137" i="67"/>
  <c r="N141" i="67"/>
  <c r="O135" i="67"/>
  <c r="N139" i="67"/>
  <c r="N140" i="67"/>
  <c r="O136" i="67"/>
  <c r="N144" i="67" l="1"/>
  <c r="O140" i="67"/>
  <c r="O139" i="67"/>
  <c r="N143" i="67"/>
  <c r="O141" i="67"/>
  <c r="N145" i="67"/>
  <c r="M150" i="67"/>
  <c r="N142" i="67"/>
  <c r="O138" i="67"/>
  <c r="N146" i="67" l="1"/>
  <c r="O142" i="67"/>
  <c r="M154" i="67"/>
  <c r="O145" i="67"/>
  <c r="N149" i="67"/>
  <c r="O143" i="67"/>
  <c r="N147" i="67"/>
  <c r="N148" i="67"/>
  <c r="O144" i="67"/>
  <c r="N152" i="67" l="1"/>
  <c r="O148" i="67"/>
  <c r="O147" i="67"/>
  <c r="N151" i="67"/>
  <c r="O149" i="67"/>
  <c r="N153" i="67"/>
  <c r="M158" i="67"/>
  <c r="N150" i="67"/>
  <c r="O146" i="67"/>
  <c r="N154" i="67" l="1"/>
  <c r="O150" i="67"/>
  <c r="M162" i="67"/>
  <c r="O153" i="67"/>
  <c r="N157" i="67"/>
  <c r="O151" i="67"/>
  <c r="N155" i="67"/>
  <c r="N156" i="67"/>
  <c r="O152" i="67"/>
  <c r="O155" i="67" l="1"/>
  <c r="N159" i="67"/>
  <c r="O157" i="67"/>
  <c r="N161" i="67"/>
  <c r="M166" i="67"/>
  <c r="N160" i="67"/>
  <c r="O156" i="67"/>
  <c r="N158" i="67"/>
  <c r="O154" i="67"/>
  <c r="M170" i="67" l="1"/>
  <c r="O161" i="67"/>
  <c r="N165" i="67"/>
  <c r="O159" i="67"/>
  <c r="N163" i="67"/>
  <c r="N162" i="67"/>
  <c r="O158" i="67"/>
  <c r="N164" i="67"/>
  <c r="O160" i="67"/>
  <c r="N168" i="67" l="1"/>
  <c r="O164" i="67"/>
  <c r="O163" i="67"/>
  <c r="N167" i="67"/>
  <c r="O165" i="67"/>
  <c r="N169" i="67"/>
  <c r="N166" i="67"/>
  <c r="O162" i="67"/>
  <c r="N170" i="67" l="1"/>
  <c r="O170" i="67" s="1"/>
  <c r="O166" i="67"/>
  <c r="N173" i="67"/>
  <c r="O173" i="67" s="1"/>
  <c r="O169" i="67"/>
  <c r="N171" i="67"/>
  <c r="O171" i="67" s="1"/>
  <c r="O167" i="67"/>
  <c r="N172" i="67"/>
  <c r="O172" i="67" s="1"/>
  <c r="O168" i="67"/>
  <c r="F515" i="67" l="1"/>
  <c r="L515" i="66" s="1"/>
  <c r="F498" i="67"/>
  <c r="L498" i="66" s="1"/>
  <c r="F509" i="67"/>
  <c r="L509" i="66" s="1"/>
  <c r="F511" i="67"/>
  <c r="L511" i="66" s="1"/>
  <c r="F516" i="67"/>
  <c r="L516" i="66" s="1"/>
  <c r="F506" i="67"/>
  <c r="L506" i="66" s="1"/>
  <c r="F510" i="67"/>
  <c r="L510" i="66" s="1"/>
  <c r="F495" i="67"/>
  <c r="L495" i="66" s="1"/>
  <c r="F503" i="67"/>
  <c r="L503" i="66" s="1"/>
  <c r="F513" i="67"/>
  <c r="L513" i="66" s="1"/>
  <c r="F507" i="67"/>
  <c r="L507" i="66" s="1"/>
  <c r="F517" i="67"/>
  <c r="L517" i="66" s="1"/>
  <c r="F501" i="67"/>
  <c r="L501" i="66" s="1"/>
  <c r="F505" i="67"/>
  <c r="L505" i="66" s="1"/>
  <c r="F512" i="67"/>
  <c r="L512" i="66" s="1"/>
  <c r="F514" i="67"/>
  <c r="L514" i="66" s="1"/>
  <c r="F496" i="67"/>
  <c r="L496" i="66" s="1"/>
  <c r="F497" i="67"/>
  <c r="L497" i="66" s="1"/>
  <c r="F494" i="67"/>
  <c r="L494" i="66" s="1"/>
  <c r="F508" i="67"/>
  <c r="L508" i="66" s="1"/>
  <c r="F499" i="67"/>
  <c r="L499" i="66" s="1"/>
  <c r="F504" i="67"/>
  <c r="L504" i="66" s="1"/>
  <c r="F502" i="67"/>
  <c r="L502" i="66" s="1"/>
  <c r="F500" i="67"/>
  <c r="L500" i="66" s="1"/>
  <c r="F460" i="67"/>
  <c r="L460" i="66" s="1"/>
  <c r="F472" i="67"/>
  <c r="L472" i="66" s="1"/>
  <c r="F485" i="67"/>
  <c r="L485" i="66" s="1"/>
  <c r="F475" i="67"/>
  <c r="L475" i="66" s="1"/>
  <c r="F461" i="67"/>
  <c r="L461" i="66" s="1"/>
  <c r="F446" i="67"/>
  <c r="L446" i="66" s="1"/>
  <c r="F467" i="67"/>
  <c r="L467" i="66" s="1"/>
  <c r="F437" i="67"/>
  <c r="L437" i="66" s="1"/>
  <c r="F445" i="67"/>
  <c r="L445" i="66" s="1"/>
  <c r="F433" i="67"/>
  <c r="L433" i="66" s="1"/>
  <c r="F398" i="67"/>
  <c r="L398" i="66" s="1"/>
  <c r="F421" i="67"/>
  <c r="L421" i="66" s="1"/>
  <c r="F396" i="67"/>
  <c r="L396" i="66" s="1"/>
  <c r="F389" i="67"/>
  <c r="L389" i="66" s="1"/>
  <c r="F399" i="67"/>
  <c r="L399" i="66" s="1"/>
  <c r="F362" i="67"/>
  <c r="L362" i="66" s="1"/>
  <c r="F369" i="67"/>
  <c r="L369" i="66" s="1"/>
  <c r="F349" i="67"/>
  <c r="L349" i="66" s="1"/>
  <c r="F318" i="67"/>
  <c r="L318" i="66" s="1"/>
  <c r="F300" i="67"/>
  <c r="L300" i="66" s="1"/>
  <c r="F282" i="67"/>
  <c r="L282" i="66" s="1"/>
  <c r="F291" i="67"/>
  <c r="L291" i="66" s="1"/>
  <c r="F275" i="67"/>
  <c r="L275" i="66" s="1"/>
  <c r="F220" i="67"/>
  <c r="L220" i="66" s="1"/>
  <c r="F73" i="67"/>
  <c r="L73" i="66" s="1"/>
  <c r="F85" i="67"/>
  <c r="L85" i="66" s="1"/>
  <c r="F99" i="67"/>
  <c r="L99" i="66" s="1"/>
  <c r="F84" i="67"/>
  <c r="L84" i="66" s="1"/>
  <c r="F111" i="67"/>
  <c r="L111" i="66" s="1"/>
  <c r="F88" i="67"/>
  <c r="L88" i="66" s="1"/>
  <c r="F115" i="67"/>
  <c r="L115" i="66" s="1"/>
  <c r="F120" i="67"/>
  <c r="L120" i="66" s="1"/>
  <c r="F153" i="67"/>
  <c r="L153" i="66" s="1"/>
  <c r="F132" i="67"/>
  <c r="L132" i="66" s="1"/>
  <c r="F134" i="67"/>
  <c r="L134" i="66" s="1"/>
  <c r="F142" i="67"/>
  <c r="L142" i="66" s="1"/>
  <c r="F163" i="67"/>
  <c r="L163" i="66" s="1"/>
  <c r="F148" i="67"/>
  <c r="L148" i="66" s="1"/>
  <c r="F166" i="67"/>
  <c r="L166" i="66" s="1"/>
  <c r="F187" i="67"/>
  <c r="L187" i="66" s="1"/>
  <c r="F186" i="67"/>
  <c r="L186" i="66" s="1"/>
  <c r="F184" i="67"/>
  <c r="L184" i="66" s="1"/>
  <c r="F211" i="67"/>
  <c r="L211" i="66" s="1"/>
  <c r="F221" i="67"/>
  <c r="L221" i="66" s="1"/>
  <c r="F214" i="67"/>
  <c r="L214" i="66" s="1"/>
  <c r="F235" i="67"/>
  <c r="L235" i="66" s="1"/>
  <c r="F75" i="67"/>
  <c r="L75" i="66" s="1"/>
  <c r="F66" i="67"/>
  <c r="L66" i="66" s="1"/>
  <c r="F93" i="67"/>
  <c r="L93" i="66" s="1"/>
  <c r="F105" i="67"/>
  <c r="L105" i="66" s="1"/>
  <c r="F82" i="67"/>
  <c r="L82" i="66" s="1"/>
  <c r="F103" i="67"/>
  <c r="L103" i="66" s="1"/>
  <c r="F131" i="67"/>
  <c r="L131" i="66" s="1"/>
  <c r="F125" i="67"/>
  <c r="L125" i="66" s="1"/>
  <c r="F135" i="67"/>
  <c r="L135" i="66" s="1"/>
  <c r="F139" i="67"/>
  <c r="L139" i="66" s="1"/>
  <c r="F144" i="67"/>
  <c r="L144" i="66" s="1"/>
  <c r="F167" i="67"/>
  <c r="L167" i="66" s="1"/>
  <c r="F146" i="67"/>
  <c r="L146" i="66" s="1"/>
  <c r="F168" i="67"/>
  <c r="L168" i="66" s="1"/>
  <c r="F181" i="67"/>
  <c r="L181" i="66" s="1"/>
  <c r="F174" i="67"/>
  <c r="L174" i="66" s="1"/>
  <c r="F215" i="67"/>
  <c r="L215" i="66" s="1"/>
  <c r="F192" i="67"/>
  <c r="L192" i="66" s="1"/>
  <c r="F204" i="67"/>
  <c r="L204" i="66" s="1"/>
  <c r="F239" i="67"/>
  <c r="L239" i="66" s="1"/>
  <c r="F229" i="67"/>
  <c r="L229" i="66" s="1"/>
  <c r="F243" i="67"/>
  <c r="L243" i="66" s="1"/>
  <c r="F255" i="67"/>
  <c r="L255" i="66" s="1"/>
  <c r="F230" i="67"/>
  <c r="L230" i="66" s="1"/>
  <c r="F232" i="67"/>
  <c r="L232" i="66" s="1"/>
  <c r="F279" i="67"/>
  <c r="L279" i="66" s="1"/>
  <c r="F269" i="67"/>
  <c r="L269" i="66" s="1"/>
  <c r="F276" i="67"/>
  <c r="L276" i="66" s="1"/>
  <c r="F301" i="67"/>
  <c r="L301" i="66" s="1"/>
  <c r="F278" i="67"/>
  <c r="L278" i="66" s="1"/>
  <c r="F294" i="67"/>
  <c r="L294" i="66" s="1"/>
  <c r="F317" i="67"/>
  <c r="L317" i="66" s="1"/>
  <c r="F327" i="67"/>
  <c r="L327" i="66" s="1"/>
  <c r="F345" i="67"/>
  <c r="L345" i="66" s="1"/>
  <c r="F326" i="67"/>
  <c r="L326" i="66" s="1"/>
  <c r="F341" i="67"/>
  <c r="L341" i="66" s="1"/>
  <c r="F371" i="67"/>
  <c r="L371" i="66" s="1"/>
  <c r="F375" i="67"/>
  <c r="L375" i="66" s="1"/>
  <c r="F350" i="67"/>
  <c r="L350" i="66" s="1"/>
  <c r="F352" i="67"/>
  <c r="L352" i="66" s="1"/>
  <c r="F226" i="67"/>
  <c r="L226" i="66" s="1"/>
  <c r="F271" i="67"/>
  <c r="L271" i="66" s="1"/>
  <c r="F297" i="67"/>
  <c r="L297" i="66" s="1"/>
  <c r="F274" i="67"/>
  <c r="L274" i="66" s="1"/>
  <c r="F319" i="67"/>
  <c r="L319" i="66" s="1"/>
  <c r="F337" i="67"/>
  <c r="L337" i="66" s="1"/>
  <c r="F322" i="67"/>
  <c r="L322" i="66" s="1"/>
  <c r="F367" i="67"/>
  <c r="L367" i="66" s="1"/>
  <c r="F366" i="67"/>
  <c r="L366" i="66" s="1"/>
  <c r="F378" i="67"/>
  <c r="L378" i="66" s="1"/>
  <c r="F407" i="67"/>
  <c r="L407" i="66" s="1"/>
  <c r="F409" i="67"/>
  <c r="L409" i="66" s="1"/>
  <c r="F413" i="67"/>
  <c r="L413" i="66" s="1"/>
  <c r="F429" i="67"/>
  <c r="L429" i="66" s="1"/>
  <c r="F400" i="67"/>
  <c r="L400" i="66" s="1"/>
  <c r="F412" i="67"/>
  <c r="L412" i="66" s="1"/>
  <c r="F422" i="67"/>
  <c r="L422" i="66" s="1"/>
  <c r="F459" i="67"/>
  <c r="L459" i="66" s="1"/>
  <c r="F471" i="67"/>
  <c r="L471" i="66" s="1"/>
  <c r="F436" i="67"/>
  <c r="L436" i="66" s="1"/>
  <c r="F481" i="67"/>
  <c r="L481" i="66" s="1"/>
  <c r="F67" i="67"/>
  <c r="L67" i="66" s="1"/>
  <c r="F87" i="67"/>
  <c r="L87" i="66" s="1"/>
  <c r="F89" i="67"/>
  <c r="L89" i="66" s="1"/>
  <c r="F117" i="67"/>
  <c r="L117" i="66" s="1"/>
  <c r="F90" i="67"/>
  <c r="L90" i="66" s="1"/>
  <c r="F129" i="67"/>
  <c r="L129" i="66" s="1"/>
  <c r="F143" i="67"/>
  <c r="L143" i="66" s="1"/>
  <c r="F106" i="67"/>
  <c r="L106" i="66" s="1"/>
  <c r="F118" i="67"/>
  <c r="L118" i="66" s="1"/>
  <c r="F124" i="67"/>
  <c r="L124" i="66" s="1"/>
  <c r="F157" i="67"/>
  <c r="L157" i="66" s="1"/>
  <c r="F171" i="67"/>
  <c r="L171" i="66" s="1"/>
  <c r="F191" i="67"/>
  <c r="L191" i="66" s="1"/>
  <c r="F173" i="67"/>
  <c r="L173" i="66" s="1"/>
  <c r="F201" i="67"/>
  <c r="L201" i="66" s="1"/>
  <c r="F205" i="67"/>
  <c r="L205" i="66" s="1"/>
  <c r="F207" i="67"/>
  <c r="L207" i="66" s="1"/>
  <c r="F194" i="67"/>
  <c r="L194" i="66" s="1"/>
  <c r="F206" i="67"/>
  <c r="L206" i="66" s="1"/>
  <c r="F237" i="67"/>
  <c r="L237" i="66" s="1"/>
  <c r="F222" i="67"/>
  <c r="L222" i="66" s="1"/>
  <c r="F83" i="67"/>
  <c r="L83" i="66" s="1"/>
  <c r="F95" i="67"/>
  <c r="L95" i="66" s="1"/>
  <c r="F91" i="67"/>
  <c r="L91" i="66" s="1"/>
  <c r="F101" i="67"/>
  <c r="L101" i="66" s="1"/>
  <c r="F80" i="67"/>
  <c r="L80" i="66" s="1"/>
  <c r="F113" i="67"/>
  <c r="L113" i="66" s="1"/>
  <c r="F141" i="67"/>
  <c r="L141" i="66" s="1"/>
  <c r="F104" i="67"/>
  <c r="L104" i="66" s="1"/>
  <c r="F126" i="67"/>
  <c r="L126" i="66" s="1"/>
  <c r="F151" i="67"/>
  <c r="L151" i="66" s="1"/>
  <c r="F128" i="67"/>
  <c r="L128" i="66" s="1"/>
  <c r="F136" i="67"/>
  <c r="L136" i="66" s="1"/>
  <c r="F158" i="67"/>
  <c r="L158" i="66" s="1"/>
  <c r="F152" i="67"/>
  <c r="L152" i="66" s="1"/>
  <c r="F195" i="67"/>
  <c r="L195" i="66" s="1"/>
  <c r="F197" i="67"/>
  <c r="L197" i="66" s="1"/>
  <c r="F176" i="67"/>
  <c r="L176" i="66" s="1"/>
  <c r="F198" i="67"/>
  <c r="L198" i="66" s="1"/>
  <c r="F216" i="67"/>
  <c r="L216" i="66" s="1"/>
  <c r="F200" i="67"/>
  <c r="L200" i="66" s="1"/>
  <c r="F249" i="67"/>
  <c r="L249" i="66" s="1"/>
  <c r="F245" i="67"/>
  <c r="L245" i="66" s="1"/>
  <c r="F224" i="67"/>
  <c r="L224" i="66" s="1"/>
  <c r="F252" i="67"/>
  <c r="L252" i="66" s="1"/>
  <c r="F254" i="67"/>
  <c r="L254" i="66" s="1"/>
  <c r="F248" i="67"/>
  <c r="L248" i="66" s="1"/>
  <c r="F270" i="67"/>
  <c r="L270" i="66" s="1"/>
  <c r="F303" i="67"/>
  <c r="L303" i="66" s="1"/>
  <c r="F272" i="67"/>
  <c r="L272" i="66" s="1"/>
  <c r="F321" i="67"/>
  <c r="L321" i="66" s="1"/>
  <c r="F325" i="67"/>
  <c r="L325" i="66" s="1"/>
  <c r="F296" i="67"/>
  <c r="L296" i="66" s="1"/>
  <c r="F304" i="67"/>
  <c r="L304" i="66" s="1"/>
  <c r="F359" i="67"/>
  <c r="L359" i="66" s="1"/>
  <c r="F320" i="67"/>
  <c r="L320" i="66" s="1"/>
  <c r="F328" i="67"/>
  <c r="L328" i="66" s="1"/>
  <c r="F365" i="67"/>
  <c r="L365" i="66" s="1"/>
  <c r="F344" i="67"/>
  <c r="L344" i="66" s="1"/>
  <c r="F372" i="67"/>
  <c r="L372" i="66" s="1"/>
  <c r="F238" i="67"/>
  <c r="L238" i="66" s="1"/>
  <c r="F277" i="67"/>
  <c r="L277" i="66" s="1"/>
  <c r="F283" i="67"/>
  <c r="L283" i="66" s="1"/>
  <c r="F286" i="67"/>
  <c r="L286" i="66" s="1"/>
  <c r="F306" i="67"/>
  <c r="L306" i="66" s="1"/>
  <c r="F331" i="67"/>
  <c r="L331" i="66" s="1"/>
  <c r="F334" i="67"/>
  <c r="L334" i="66" s="1"/>
  <c r="F383" i="67"/>
  <c r="L383" i="66" s="1"/>
  <c r="F379" i="67"/>
  <c r="L379" i="66" s="1"/>
  <c r="F397" i="67"/>
  <c r="L397" i="66" s="1"/>
  <c r="F382" i="67"/>
  <c r="L382" i="66" s="1"/>
  <c r="F403" i="67"/>
  <c r="L403" i="66" s="1"/>
  <c r="F408" i="67"/>
  <c r="L408" i="66" s="1"/>
  <c r="F406" i="67"/>
  <c r="L406" i="66" s="1"/>
  <c r="F414" i="67"/>
  <c r="L414" i="66" s="1"/>
  <c r="F453" i="67"/>
  <c r="L453" i="66" s="1"/>
  <c r="F430" i="67"/>
  <c r="L430" i="66" s="1"/>
  <c r="F457" i="67"/>
  <c r="L457" i="66" s="1"/>
  <c r="F479" i="67"/>
  <c r="L479" i="66" s="1"/>
  <c r="F454" i="67"/>
  <c r="L454" i="66" s="1"/>
  <c r="F462" i="67"/>
  <c r="L462" i="66" s="1"/>
  <c r="F487" i="67"/>
  <c r="L487" i="66" s="1"/>
  <c r="F478" i="67"/>
  <c r="L478" i="66" s="1"/>
  <c r="F492" i="67"/>
  <c r="L492" i="66" s="1"/>
  <c r="F493" i="67"/>
  <c r="L493" i="66" s="1"/>
  <c r="F448" i="67"/>
  <c r="L448" i="66" s="1"/>
  <c r="F440" i="67"/>
  <c r="L440" i="66" s="1"/>
  <c r="F463" i="67"/>
  <c r="L463" i="66" s="1"/>
  <c r="F465" i="67"/>
  <c r="L465" i="66" s="1"/>
  <c r="F416" i="67"/>
  <c r="L416" i="66" s="1"/>
  <c r="F455" i="67"/>
  <c r="L455" i="66" s="1"/>
  <c r="F443" i="67"/>
  <c r="L443" i="66" s="1"/>
  <c r="F392" i="67"/>
  <c r="L392" i="66" s="1"/>
  <c r="F423" i="67"/>
  <c r="L423" i="66" s="1"/>
  <c r="F390" i="67"/>
  <c r="L390" i="66" s="1"/>
  <c r="F368" i="67"/>
  <c r="L368" i="66" s="1"/>
  <c r="F374" i="67"/>
  <c r="L374" i="66" s="1"/>
  <c r="F393" i="67"/>
  <c r="L393" i="66" s="1"/>
  <c r="F373" i="67"/>
  <c r="L373" i="66" s="1"/>
  <c r="F316" i="67"/>
  <c r="L316" i="66" s="1"/>
  <c r="F324" i="67"/>
  <c r="L324" i="66" s="1"/>
  <c r="F302" i="67"/>
  <c r="L302" i="66" s="1"/>
  <c r="F309" i="67"/>
  <c r="L309" i="66" s="1"/>
  <c r="F289" i="67"/>
  <c r="L289" i="66" s="1"/>
  <c r="F258" i="67"/>
  <c r="L258" i="66" s="1"/>
  <c r="F240" i="67"/>
  <c r="L240" i="66" s="1"/>
  <c r="F488" i="67"/>
  <c r="L488" i="66" s="1"/>
  <c r="F482" i="67"/>
  <c r="L482" i="66" s="1"/>
  <c r="F490" i="67"/>
  <c r="L490" i="66" s="1"/>
  <c r="F470" i="67"/>
  <c r="L470" i="66" s="1"/>
  <c r="F458" i="67"/>
  <c r="L458" i="66" s="1"/>
  <c r="F468" i="67"/>
  <c r="L468" i="66" s="1"/>
  <c r="F477" i="67"/>
  <c r="L477" i="66" s="1"/>
  <c r="F449" i="67"/>
  <c r="L449" i="66" s="1"/>
  <c r="F438" i="67"/>
  <c r="L438" i="66" s="1"/>
  <c r="F418" i="67"/>
  <c r="L418" i="66" s="1"/>
  <c r="F410" i="67"/>
  <c r="L410" i="66" s="1"/>
  <c r="F435" i="67"/>
  <c r="L435" i="66" s="1"/>
  <c r="F431" i="67"/>
  <c r="L431" i="66" s="1"/>
  <c r="F401" i="67"/>
  <c r="L401" i="66" s="1"/>
  <c r="F386" i="67"/>
  <c r="L386" i="66" s="1"/>
  <c r="F405" i="67"/>
  <c r="L405" i="66" s="1"/>
  <c r="F387" i="67"/>
  <c r="L387" i="66" s="1"/>
  <c r="F340" i="67"/>
  <c r="L340" i="66" s="1"/>
  <c r="F353" i="67"/>
  <c r="L353" i="66" s="1"/>
  <c r="F347" i="67"/>
  <c r="L347" i="66" s="1"/>
  <c r="F333" i="67"/>
  <c r="L333" i="66" s="1"/>
  <c r="F313" i="67"/>
  <c r="L313" i="66" s="1"/>
  <c r="F256" i="67"/>
  <c r="L256" i="66" s="1"/>
  <c r="F264" i="67"/>
  <c r="L264" i="66" s="1"/>
  <c r="F242" i="67"/>
  <c r="L242" i="66" s="1"/>
  <c r="F476" i="67"/>
  <c r="L476" i="66" s="1"/>
  <c r="F72" i="67"/>
  <c r="L72" i="66" s="1"/>
  <c r="F78" i="67"/>
  <c r="L78" i="66" s="1"/>
  <c r="F96" i="67"/>
  <c r="L96" i="66" s="1"/>
  <c r="F76" i="67"/>
  <c r="L76" i="66" s="1"/>
  <c r="F98" i="67"/>
  <c r="L98" i="66" s="1"/>
  <c r="F127" i="67"/>
  <c r="L127" i="66" s="1"/>
  <c r="F133" i="67"/>
  <c r="L133" i="66" s="1"/>
  <c r="F145" i="67"/>
  <c r="L145" i="66" s="1"/>
  <c r="F149" i="67"/>
  <c r="L149" i="66" s="1"/>
  <c r="F165" i="67"/>
  <c r="L165" i="66" s="1"/>
  <c r="F177" i="67"/>
  <c r="L177" i="66" s="1"/>
  <c r="F175" i="67"/>
  <c r="L175" i="66" s="1"/>
  <c r="F154" i="67"/>
  <c r="L154" i="66" s="1"/>
  <c r="F170" i="67"/>
  <c r="L170" i="66" s="1"/>
  <c r="F199" i="67"/>
  <c r="L199" i="66" s="1"/>
  <c r="F178" i="67"/>
  <c r="L178" i="66" s="1"/>
  <c r="F227" i="67"/>
  <c r="L227" i="66" s="1"/>
  <c r="F223" i="67"/>
  <c r="L223" i="66" s="1"/>
  <c r="F202" i="67"/>
  <c r="L202" i="66" s="1"/>
  <c r="F208" i="67"/>
  <c r="L208" i="66" s="1"/>
  <c r="F63" i="67"/>
  <c r="L63" i="66" s="1"/>
  <c r="F71" i="67"/>
  <c r="L71" i="66" s="1"/>
  <c r="F77" i="67"/>
  <c r="L77" i="66" s="1"/>
  <c r="F97" i="67"/>
  <c r="L97" i="66" s="1"/>
  <c r="F64" i="67"/>
  <c r="L64" i="66" s="1"/>
  <c r="F109" i="67"/>
  <c r="L109" i="66" s="1"/>
  <c r="F123" i="67"/>
  <c r="L123" i="66" s="1"/>
  <c r="F102" i="67"/>
  <c r="L102" i="66" s="1"/>
  <c r="F114" i="67"/>
  <c r="L114" i="66" s="1"/>
  <c r="F112" i="67"/>
  <c r="L112" i="66" s="1"/>
  <c r="F122" i="67"/>
  <c r="L122" i="66" s="1"/>
  <c r="F130" i="67"/>
  <c r="L130" i="66" s="1"/>
  <c r="F161" i="67"/>
  <c r="L161" i="66" s="1"/>
  <c r="F179" i="67"/>
  <c r="L179" i="66" s="1"/>
  <c r="F183" i="67"/>
  <c r="L183" i="66" s="1"/>
  <c r="F193" i="67"/>
  <c r="L193" i="66" s="1"/>
  <c r="F180" i="67"/>
  <c r="L180" i="66" s="1"/>
  <c r="F213" i="67"/>
  <c r="L213" i="66" s="1"/>
  <c r="F225" i="67"/>
  <c r="L225" i="66" s="1"/>
  <c r="F217" i="67"/>
  <c r="L217" i="66" s="1"/>
  <c r="F196" i="67"/>
  <c r="L196" i="66" s="1"/>
  <c r="F228" i="67"/>
  <c r="L228" i="66" s="1"/>
  <c r="F241" i="67"/>
  <c r="L241" i="66" s="1"/>
  <c r="F234" i="67"/>
  <c r="L234" i="66" s="1"/>
  <c r="F257" i="67"/>
  <c r="L257" i="66" s="1"/>
  <c r="F267" i="67"/>
  <c r="L267" i="66" s="1"/>
  <c r="F285" i="67"/>
  <c r="L285" i="66" s="1"/>
  <c r="F266" i="67"/>
  <c r="L266" i="66" s="1"/>
  <c r="F281" i="67"/>
  <c r="L281" i="66" s="1"/>
  <c r="F311" i="67"/>
  <c r="L311" i="66" s="1"/>
  <c r="F315" i="67"/>
  <c r="L315" i="66" s="1"/>
  <c r="F290" i="67"/>
  <c r="L290" i="66" s="1"/>
  <c r="F292" i="67"/>
  <c r="L292" i="66" s="1"/>
  <c r="F339" i="67"/>
  <c r="L339" i="66" s="1"/>
  <c r="F329" i="67"/>
  <c r="L329" i="66" s="1"/>
  <c r="F336" i="67"/>
  <c r="L336" i="66" s="1"/>
  <c r="F361" i="67"/>
  <c r="L361" i="66" s="1"/>
  <c r="F338" i="67"/>
  <c r="L338" i="66" s="1"/>
  <c r="F354" i="67"/>
  <c r="L354" i="66" s="1"/>
  <c r="F377" i="67"/>
  <c r="L377" i="66" s="1"/>
  <c r="F247" i="67"/>
  <c r="L247" i="66" s="1"/>
  <c r="F246" i="67"/>
  <c r="L246" i="66" s="1"/>
  <c r="F250" i="67"/>
  <c r="L250" i="66" s="1"/>
  <c r="F295" i="67"/>
  <c r="L295" i="66" s="1"/>
  <c r="F323" i="67"/>
  <c r="L323" i="66" s="1"/>
  <c r="F298" i="67"/>
  <c r="L298" i="66" s="1"/>
  <c r="F343" i="67"/>
  <c r="L343" i="66" s="1"/>
  <c r="F348" i="67"/>
  <c r="L348" i="66" s="1"/>
  <c r="F346" i="67"/>
  <c r="L346" i="66" s="1"/>
  <c r="F395" i="67"/>
  <c r="L395" i="66" s="1"/>
  <c r="F384" i="67"/>
  <c r="L384" i="66" s="1"/>
  <c r="F411" i="67"/>
  <c r="L411" i="66" s="1"/>
  <c r="F376" i="67"/>
  <c r="L376" i="66" s="1"/>
  <c r="F402" i="67"/>
  <c r="L402" i="66" s="1"/>
  <c r="F420" i="67"/>
  <c r="L420" i="66" s="1"/>
  <c r="F441" i="67"/>
  <c r="L441" i="66" s="1"/>
  <c r="F447" i="67"/>
  <c r="L447" i="66" s="1"/>
  <c r="F424" i="67"/>
  <c r="L424" i="66" s="1"/>
  <c r="F451" i="67"/>
  <c r="L451" i="66" s="1"/>
  <c r="F456" i="67"/>
  <c r="L456" i="66" s="1"/>
  <c r="F473" i="67"/>
  <c r="L473" i="66" s="1"/>
  <c r="F491" i="67"/>
  <c r="L491" i="66" s="1"/>
  <c r="F81" i="67"/>
  <c r="L81" i="66" s="1"/>
  <c r="F62" i="67"/>
  <c r="L62" i="66" s="1"/>
  <c r="F70" i="67"/>
  <c r="L70" i="66" s="1"/>
  <c r="F74" i="67"/>
  <c r="L74" i="66" s="1"/>
  <c r="F119" i="67"/>
  <c r="L119" i="66" s="1"/>
  <c r="F94" i="67"/>
  <c r="L94" i="66" s="1"/>
  <c r="F121" i="67"/>
  <c r="L121" i="66" s="1"/>
  <c r="F100" i="67"/>
  <c r="L100" i="66" s="1"/>
  <c r="F155" i="67"/>
  <c r="L155" i="66" s="1"/>
  <c r="F137" i="67"/>
  <c r="L137" i="66" s="1"/>
  <c r="F159" i="67"/>
  <c r="L159" i="66" s="1"/>
  <c r="F156" i="67"/>
  <c r="L156" i="66" s="1"/>
  <c r="F150" i="67"/>
  <c r="L150" i="66" s="1"/>
  <c r="F162" i="67"/>
  <c r="L162" i="66" s="1"/>
  <c r="F160" i="67"/>
  <c r="L160" i="66" s="1"/>
  <c r="F185" i="67"/>
  <c r="L185" i="66" s="1"/>
  <c r="F182" i="67"/>
  <c r="L182" i="66" s="1"/>
  <c r="F209" i="67"/>
  <c r="L209" i="66" s="1"/>
  <c r="F219" i="67"/>
  <c r="L219" i="66" s="1"/>
  <c r="F231" i="67"/>
  <c r="L231" i="66" s="1"/>
  <c r="F251" i="67"/>
  <c r="L251" i="66" s="1"/>
  <c r="F233" i="67"/>
  <c r="L233" i="66" s="1"/>
  <c r="F69" i="67"/>
  <c r="L69" i="66" s="1"/>
  <c r="F65" i="67"/>
  <c r="L65" i="66" s="1"/>
  <c r="F79" i="67"/>
  <c r="L79" i="66" s="1"/>
  <c r="F107" i="67"/>
  <c r="L107" i="66" s="1"/>
  <c r="F68" i="67"/>
  <c r="L68" i="66" s="1"/>
  <c r="F86" i="67"/>
  <c r="L86" i="66" s="1"/>
  <c r="F108" i="67"/>
  <c r="L108" i="66" s="1"/>
  <c r="F92" i="67"/>
  <c r="L92" i="66" s="1"/>
  <c r="F110" i="67"/>
  <c r="L110" i="66" s="1"/>
  <c r="F147" i="67"/>
  <c r="L147" i="66" s="1"/>
  <c r="F116" i="67"/>
  <c r="L116" i="66" s="1"/>
  <c r="F138" i="67"/>
  <c r="L138" i="66" s="1"/>
  <c r="F169" i="67"/>
  <c r="L169" i="66" s="1"/>
  <c r="F140" i="67"/>
  <c r="L140" i="66" s="1"/>
  <c r="F189" i="67"/>
  <c r="L189" i="66" s="1"/>
  <c r="F203" i="67"/>
  <c r="L203" i="66" s="1"/>
  <c r="F164" i="67"/>
  <c r="L164" i="66" s="1"/>
  <c r="F172" i="67"/>
  <c r="L172" i="66" s="1"/>
  <c r="F190" i="67"/>
  <c r="L190" i="66" s="1"/>
  <c r="F188" i="67"/>
  <c r="L188" i="66" s="1"/>
  <c r="F210" i="67"/>
  <c r="L210" i="66" s="1"/>
  <c r="F218" i="67"/>
  <c r="L218" i="66" s="1"/>
  <c r="F212" i="67"/>
  <c r="L212" i="66" s="1"/>
  <c r="F261" i="67"/>
  <c r="L261" i="66" s="1"/>
  <c r="F265" i="67"/>
  <c r="L265" i="66" s="1"/>
  <c r="F236" i="67"/>
  <c r="L236" i="66" s="1"/>
  <c r="F244" i="67"/>
  <c r="L244" i="66" s="1"/>
  <c r="F299" i="67"/>
  <c r="L299" i="66" s="1"/>
  <c r="F260" i="67"/>
  <c r="L260" i="66" s="1"/>
  <c r="F268" i="67"/>
  <c r="L268" i="66" s="1"/>
  <c r="F305" i="67"/>
  <c r="L305" i="66" s="1"/>
  <c r="F284" i="67"/>
  <c r="L284" i="66" s="1"/>
  <c r="F312" i="67"/>
  <c r="L312" i="66" s="1"/>
  <c r="F314" i="67"/>
  <c r="L314" i="66" s="1"/>
  <c r="F308" i="67"/>
  <c r="L308" i="66" s="1"/>
  <c r="F330" i="67"/>
  <c r="L330" i="66" s="1"/>
  <c r="F363" i="67"/>
  <c r="L363" i="66" s="1"/>
  <c r="F332" i="67"/>
  <c r="L332" i="66" s="1"/>
  <c r="F381" i="67"/>
  <c r="L381" i="66" s="1"/>
  <c r="F385" i="67"/>
  <c r="L385" i="66" s="1"/>
  <c r="F263" i="67"/>
  <c r="L263" i="66" s="1"/>
  <c r="F259" i="67"/>
  <c r="L259" i="66" s="1"/>
  <c r="F262" i="67"/>
  <c r="L262" i="66" s="1"/>
  <c r="F288" i="67"/>
  <c r="L288" i="66" s="1"/>
  <c r="F307" i="67"/>
  <c r="L307" i="66" s="1"/>
  <c r="F310" i="67"/>
  <c r="L310" i="66" s="1"/>
  <c r="F357" i="67"/>
  <c r="L357" i="66" s="1"/>
  <c r="F355" i="67"/>
  <c r="L355" i="66" s="1"/>
  <c r="F358" i="67"/>
  <c r="L358" i="66" s="1"/>
  <c r="F391" i="67"/>
  <c r="L391" i="66" s="1"/>
  <c r="F370" i="67"/>
  <c r="L370" i="66" s="1"/>
  <c r="F417" i="67"/>
  <c r="L417" i="66" s="1"/>
  <c r="F415" i="67"/>
  <c r="L415" i="66" s="1"/>
  <c r="F394" i="67"/>
  <c r="L394" i="66" s="1"/>
  <c r="F427" i="67"/>
  <c r="L427" i="66" s="1"/>
  <c r="F432" i="67"/>
  <c r="L432" i="66" s="1"/>
  <c r="F426" i="67"/>
  <c r="L426" i="66" s="1"/>
  <c r="F444" i="67"/>
  <c r="L444" i="66" s="1"/>
  <c r="F450" i="67"/>
  <c r="L450" i="66" s="1"/>
  <c r="F442" i="67"/>
  <c r="L442" i="66" s="1"/>
  <c r="F489" i="67"/>
  <c r="L489" i="66" s="1"/>
  <c r="F474" i="67"/>
  <c r="L474" i="66" s="1"/>
  <c r="F466" i="67"/>
  <c r="L466" i="66" s="1"/>
  <c r="F484" i="67"/>
  <c r="L484" i="66" s="1"/>
  <c r="F464" i="67"/>
  <c r="L464" i="66" s="1"/>
  <c r="F452" i="67"/>
  <c r="L452" i="66" s="1"/>
  <c r="F483" i="67"/>
  <c r="L483" i="66" s="1"/>
  <c r="F469" i="67"/>
  <c r="L469" i="66" s="1"/>
  <c r="F428" i="67"/>
  <c r="L428" i="66" s="1"/>
  <c r="F434" i="67"/>
  <c r="L434" i="66" s="1"/>
  <c r="F439" i="67"/>
  <c r="L439" i="66" s="1"/>
  <c r="F404" i="67"/>
  <c r="L404" i="66" s="1"/>
  <c r="F425" i="67"/>
  <c r="L425" i="66" s="1"/>
  <c r="F388" i="67"/>
  <c r="L388" i="66" s="1"/>
  <c r="F380" i="67"/>
  <c r="L380" i="66" s="1"/>
  <c r="F419" i="67"/>
  <c r="L419" i="66" s="1"/>
  <c r="F364" i="67"/>
  <c r="L364" i="66" s="1"/>
  <c r="F356" i="67"/>
  <c r="L356" i="66" s="1"/>
  <c r="F360" i="67"/>
  <c r="L360" i="66" s="1"/>
  <c r="F342" i="67"/>
  <c r="L342" i="66" s="1"/>
  <c r="F351" i="67"/>
  <c r="L351" i="66" s="1"/>
  <c r="F335" i="67"/>
  <c r="L335" i="66" s="1"/>
  <c r="F280" i="67"/>
  <c r="L280" i="66" s="1"/>
  <c r="F293" i="67"/>
  <c r="L293" i="66" s="1"/>
  <c r="F287" i="67"/>
  <c r="L287" i="66" s="1"/>
  <c r="F273" i="67"/>
  <c r="L273" i="66" s="1"/>
  <c r="F253" i="67"/>
  <c r="L253" i="66" s="1"/>
  <c r="F486" i="67"/>
  <c r="L486" i="66" s="1"/>
  <c r="F480" i="67"/>
  <c r="L480" i="66" s="1"/>
  <c r="E513" i="67"/>
  <c r="M513" i="66" s="1"/>
  <c r="E509" i="67"/>
  <c r="M509" i="66" s="1"/>
  <c r="E515" i="67"/>
  <c r="M515" i="66" s="1"/>
  <c r="E507" i="67"/>
  <c r="M507" i="66" s="1"/>
  <c r="G503" i="67"/>
  <c r="H503" i="66" s="1"/>
  <c r="I507" i="67"/>
  <c r="J507" i="66" s="1"/>
  <c r="R507" i="66" s="1"/>
  <c r="I504" i="67"/>
  <c r="J504" i="66" s="1"/>
  <c r="R504" i="66" s="1"/>
  <c r="I509" i="67"/>
  <c r="J509" i="66" s="1"/>
  <c r="R509" i="66" s="1"/>
  <c r="E506" i="67"/>
  <c r="M506" i="66" s="1"/>
  <c r="E502" i="67"/>
  <c r="M502" i="66" s="1"/>
  <c r="E503" i="67"/>
  <c r="M503" i="66" s="1"/>
  <c r="G501" i="67"/>
  <c r="H501" i="66" s="1"/>
  <c r="G513" i="67"/>
  <c r="H513" i="66" s="1"/>
  <c r="I513" i="67"/>
  <c r="J513" i="66" s="1"/>
  <c r="R513" i="66" s="1"/>
  <c r="I498" i="67"/>
  <c r="J498" i="66" s="1"/>
  <c r="R498" i="66" s="1"/>
  <c r="G511" i="67"/>
  <c r="H511" i="66" s="1"/>
  <c r="E494" i="67"/>
  <c r="M494" i="66" s="1"/>
  <c r="G509" i="67"/>
  <c r="H509" i="66" s="1"/>
  <c r="E516" i="67"/>
  <c r="M516" i="66" s="1"/>
  <c r="I502" i="67"/>
  <c r="J502" i="66" s="1"/>
  <c r="R502" i="66" s="1"/>
  <c r="I495" i="67"/>
  <c r="J495" i="66" s="1"/>
  <c r="R495" i="66" s="1"/>
  <c r="E499" i="67"/>
  <c r="M499" i="66" s="1"/>
  <c r="I505" i="67"/>
  <c r="J505" i="66" s="1"/>
  <c r="R505" i="66" s="1"/>
  <c r="G497" i="67"/>
  <c r="H497" i="66" s="1"/>
  <c r="I517" i="67"/>
  <c r="J517" i="66" s="1"/>
  <c r="R517" i="66" s="1"/>
  <c r="G496" i="67"/>
  <c r="H496" i="66" s="1"/>
  <c r="E496" i="67"/>
  <c r="M496" i="66" s="1"/>
  <c r="G516" i="67"/>
  <c r="H516" i="66" s="1"/>
  <c r="I503" i="67"/>
  <c r="J503" i="66" s="1"/>
  <c r="R503" i="66" s="1"/>
  <c r="I499" i="67"/>
  <c r="J499" i="66" s="1"/>
  <c r="R499" i="66" s="1"/>
  <c r="G499" i="67"/>
  <c r="H499" i="66" s="1"/>
  <c r="I515" i="67"/>
  <c r="J515" i="66" s="1"/>
  <c r="R515" i="66" s="1"/>
  <c r="G498" i="67"/>
  <c r="H498" i="66" s="1"/>
  <c r="G517" i="67"/>
  <c r="H517" i="66" s="1"/>
  <c r="G500" i="67"/>
  <c r="H500" i="66" s="1"/>
  <c r="I496" i="67"/>
  <c r="J496" i="66" s="1"/>
  <c r="R496" i="66" s="1"/>
  <c r="E497" i="67"/>
  <c r="M497" i="66" s="1"/>
  <c r="G504" i="67"/>
  <c r="H504" i="66" s="1"/>
  <c r="I494" i="67"/>
  <c r="J494" i="66" s="1"/>
  <c r="R494" i="66" s="1"/>
  <c r="G510" i="67"/>
  <c r="H510" i="66" s="1"/>
  <c r="I497" i="67"/>
  <c r="J497" i="66" s="1"/>
  <c r="R497" i="66" s="1"/>
  <c r="G494" i="67"/>
  <c r="H494" i="66" s="1"/>
  <c r="I516" i="67"/>
  <c r="J516" i="66" s="1"/>
  <c r="R516" i="66" s="1"/>
  <c r="G515" i="67"/>
  <c r="H515" i="66" s="1"/>
  <c r="G507" i="67"/>
  <c r="H507" i="66" s="1"/>
  <c r="E498" i="67"/>
  <c r="M498" i="66" s="1"/>
  <c r="G502" i="67"/>
  <c r="H502" i="66" s="1"/>
  <c r="E495" i="67"/>
  <c r="M495" i="66" s="1"/>
  <c r="E504" i="67"/>
  <c r="M504" i="66" s="1"/>
  <c r="G506" i="67"/>
  <c r="H506" i="66" s="1"/>
  <c r="I510" i="67"/>
  <c r="J510" i="66" s="1"/>
  <c r="R510" i="66" s="1"/>
  <c r="G495" i="67"/>
  <c r="H495" i="66" s="1"/>
  <c r="G505" i="67"/>
  <c r="H505" i="66" s="1"/>
  <c r="E505" i="67"/>
  <c r="M505" i="66" s="1"/>
  <c r="I501" i="67"/>
  <c r="J501" i="66" s="1"/>
  <c r="R501" i="66" s="1"/>
  <c r="I511" i="67"/>
  <c r="J511" i="66" s="1"/>
  <c r="R511" i="66" s="1"/>
  <c r="E501" i="67"/>
  <c r="M501" i="66" s="1"/>
  <c r="E511" i="67"/>
  <c r="M511" i="66" s="1"/>
  <c r="I506" i="67"/>
  <c r="J506" i="66" s="1"/>
  <c r="R506" i="66" s="1"/>
  <c r="E510" i="67"/>
  <c r="M510" i="66" s="1"/>
  <c r="E517" i="67"/>
  <c r="M517" i="66" s="1"/>
  <c r="E500" i="67"/>
  <c r="M500" i="66" s="1"/>
  <c r="I500" i="67"/>
  <c r="J500" i="66" s="1"/>
  <c r="R500" i="66" s="1"/>
  <c r="G123" i="67"/>
  <c r="H123" i="66" s="1"/>
  <c r="E108" i="67"/>
  <c r="M108" i="66" s="1"/>
  <c r="I100" i="67"/>
  <c r="J100" i="66" s="1"/>
  <c r="R100" i="66" s="1"/>
  <c r="E153" i="67"/>
  <c r="M153" i="66" s="1"/>
  <c r="E151" i="67"/>
  <c r="M151" i="66" s="1"/>
  <c r="G146" i="67"/>
  <c r="H146" i="66" s="1"/>
  <c r="I168" i="67"/>
  <c r="J168" i="66" s="1"/>
  <c r="R168" i="66" s="1"/>
  <c r="E120" i="67"/>
  <c r="M120" i="66" s="1"/>
  <c r="G104" i="67"/>
  <c r="H104" i="66" s="1"/>
  <c r="G137" i="67"/>
  <c r="H137" i="66" s="1"/>
  <c r="I159" i="67"/>
  <c r="J159" i="66" s="1"/>
  <c r="R159" i="66" s="1"/>
  <c r="E140" i="67"/>
  <c r="M140" i="66" s="1"/>
  <c r="I162" i="67"/>
  <c r="J162" i="66" s="1"/>
  <c r="R162" i="66" s="1"/>
  <c r="G488" i="67"/>
  <c r="H488" i="66" s="1"/>
  <c r="G452" i="67"/>
  <c r="H452" i="66" s="1"/>
  <c r="G446" i="67"/>
  <c r="H446" i="66" s="1"/>
  <c r="E439" i="67"/>
  <c r="M439" i="66" s="1"/>
  <c r="G398" i="67"/>
  <c r="H398" i="66" s="1"/>
  <c r="E407" i="67"/>
  <c r="M407" i="66" s="1"/>
  <c r="E366" i="67"/>
  <c r="M366" i="66" s="1"/>
  <c r="I353" i="67"/>
  <c r="J353" i="66" s="1"/>
  <c r="R353" i="66" s="1"/>
  <c r="E314" i="67"/>
  <c r="M314" i="66" s="1"/>
  <c r="I321" i="67"/>
  <c r="J321" i="66" s="1"/>
  <c r="R321" i="66" s="1"/>
  <c r="G260" i="67"/>
  <c r="H260" i="66" s="1"/>
  <c r="E508" i="67"/>
  <c r="M508" i="66" s="1"/>
  <c r="I493" i="67"/>
  <c r="J493" i="66" s="1"/>
  <c r="R493" i="66" s="1"/>
  <c r="G448" i="67"/>
  <c r="H448" i="66" s="1"/>
  <c r="E457" i="67"/>
  <c r="M457" i="66" s="1"/>
  <c r="G435" i="67"/>
  <c r="H435" i="66" s="1"/>
  <c r="E401" i="67"/>
  <c r="M401" i="66" s="1"/>
  <c r="E399" i="67"/>
  <c r="M399" i="66" s="1"/>
  <c r="I340" i="67"/>
  <c r="J340" i="66" s="1"/>
  <c r="R340" i="66" s="1"/>
  <c r="E359" i="67"/>
  <c r="M359" i="66" s="1"/>
  <c r="I302" i="67"/>
  <c r="J302" i="66" s="1"/>
  <c r="R302" i="66" s="1"/>
  <c r="G272" i="67"/>
  <c r="H272" i="66" s="1"/>
  <c r="G291" i="67"/>
  <c r="H291" i="66" s="1"/>
  <c r="G470" i="67"/>
  <c r="H470" i="66" s="1"/>
  <c r="E452" i="67"/>
  <c r="M452" i="66" s="1"/>
  <c r="E436" i="67"/>
  <c r="M436" i="66" s="1"/>
  <c r="G451" i="67"/>
  <c r="H451" i="66" s="1"/>
  <c r="I418" i="67"/>
  <c r="J418" i="66" s="1"/>
  <c r="R418" i="66" s="1"/>
  <c r="E433" i="67"/>
  <c r="M433" i="66" s="1"/>
  <c r="I406" i="67"/>
  <c r="J406" i="66" s="1"/>
  <c r="R406" i="66" s="1"/>
  <c r="E398" i="67"/>
  <c r="M398" i="66" s="1"/>
  <c r="G403" i="67"/>
  <c r="H403" i="66" s="1"/>
  <c r="I407" i="67"/>
  <c r="J407" i="66" s="1"/>
  <c r="R407" i="66" s="1"/>
  <c r="I395" i="67"/>
  <c r="J395" i="66" s="1"/>
  <c r="R395" i="66" s="1"/>
  <c r="E381" i="67"/>
  <c r="M381" i="66" s="1"/>
  <c r="G328" i="67"/>
  <c r="H328" i="66" s="1"/>
  <c r="I343" i="67"/>
  <c r="J343" i="66" s="1"/>
  <c r="R343" i="66" s="1"/>
  <c r="E345" i="67"/>
  <c r="M345" i="66" s="1"/>
  <c r="I314" i="67"/>
  <c r="J314" i="66" s="1"/>
  <c r="R314" i="66" s="1"/>
  <c r="E317" i="67"/>
  <c r="M317" i="66" s="1"/>
  <c r="G313" i="67"/>
  <c r="H313" i="66" s="1"/>
  <c r="I301" i="67"/>
  <c r="J301" i="66" s="1"/>
  <c r="R301" i="66" s="1"/>
  <c r="E260" i="67"/>
  <c r="M260" i="66" s="1"/>
  <c r="E248" i="67"/>
  <c r="M248" i="66" s="1"/>
  <c r="E265" i="67"/>
  <c r="M265" i="66" s="1"/>
  <c r="G226" i="67"/>
  <c r="H226" i="66" s="1"/>
  <c r="I212" i="67"/>
  <c r="J212" i="66" s="1"/>
  <c r="R212" i="66" s="1"/>
  <c r="I223" i="67"/>
  <c r="J223" i="66" s="1"/>
  <c r="R223" i="66" s="1"/>
  <c r="I231" i="67"/>
  <c r="J231" i="66" s="1"/>
  <c r="R231" i="66" s="1"/>
  <c r="E217" i="67"/>
  <c r="M217" i="66" s="1"/>
  <c r="G172" i="67"/>
  <c r="H172" i="66" s="1"/>
  <c r="I185" i="67"/>
  <c r="J185" i="66" s="1"/>
  <c r="R185" i="66" s="1"/>
  <c r="G162" i="67"/>
  <c r="H162" i="66" s="1"/>
  <c r="I156" i="67"/>
  <c r="J156" i="66" s="1"/>
  <c r="R156" i="66" s="1"/>
  <c r="G159" i="67"/>
  <c r="H159" i="66" s="1"/>
  <c r="I147" i="67"/>
  <c r="J147" i="66" s="1"/>
  <c r="R147" i="66" s="1"/>
  <c r="E106" i="67"/>
  <c r="M106" i="66" s="1"/>
  <c r="I125" i="67"/>
  <c r="J125" i="66" s="1"/>
  <c r="R125" i="66" s="1"/>
  <c r="E129" i="67"/>
  <c r="M129" i="66" s="1"/>
  <c r="E244" i="67"/>
  <c r="M244" i="66" s="1"/>
  <c r="G257" i="67"/>
  <c r="H257" i="66" s="1"/>
  <c r="I220" i="67"/>
  <c r="J220" i="66" s="1"/>
  <c r="R220" i="66" s="1"/>
  <c r="I208" i="67"/>
  <c r="J208" i="66" s="1"/>
  <c r="R208" i="66" s="1"/>
  <c r="E231" i="67"/>
  <c r="M231" i="66" s="1"/>
  <c r="G217" i="67"/>
  <c r="H217" i="66" s="1"/>
  <c r="I215" i="67"/>
  <c r="J215" i="66" s="1"/>
  <c r="R215" i="66" s="1"/>
  <c r="I170" i="67"/>
  <c r="J170" i="66" s="1"/>
  <c r="R170" i="66" s="1"/>
  <c r="G476" i="67"/>
  <c r="H476" i="66" s="1"/>
  <c r="G456" i="67"/>
  <c r="H456" i="66" s="1"/>
  <c r="E426" i="67"/>
  <c r="M426" i="66" s="1"/>
  <c r="E410" i="67"/>
  <c r="M410" i="66" s="1"/>
  <c r="I403" i="67"/>
  <c r="J403" i="66" s="1"/>
  <c r="R403" i="66" s="1"/>
  <c r="E393" i="67"/>
  <c r="M393" i="66" s="1"/>
  <c r="I328" i="67"/>
  <c r="J328" i="66" s="1"/>
  <c r="R328" i="66" s="1"/>
  <c r="G308" i="67"/>
  <c r="H308" i="66" s="1"/>
  <c r="G312" i="67"/>
  <c r="H312" i="66" s="1"/>
  <c r="E309" i="67"/>
  <c r="M309" i="66" s="1"/>
  <c r="G244" i="67"/>
  <c r="H244" i="66" s="1"/>
  <c r="G472" i="67"/>
  <c r="H472" i="66" s="1"/>
  <c r="E484" i="67"/>
  <c r="M484" i="66" s="1"/>
  <c r="G458" i="67"/>
  <c r="H458" i="66" s="1"/>
  <c r="E459" i="67"/>
  <c r="M459" i="66" s="1"/>
  <c r="E445" i="67"/>
  <c r="M445" i="66" s="1"/>
  <c r="I394" i="67"/>
  <c r="J394" i="66" s="1"/>
  <c r="R394" i="66" s="1"/>
  <c r="E384" i="67"/>
  <c r="M384" i="66" s="1"/>
  <c r="I367" i="67"/>
  <c r="J367" i="66" s="1"/>
  <c r="R367" i="66" s="1"/>
  <c r="G320" i="67"/>
  <c r="H320" i="66" s="1"/>
  <c r="G331" i="67"/>
  <c r="H331" i="66" s="1"/>
  <c r="E323" i="67"/>
  <c r="M323" i="66" s="1"/>
  <c r="G270" i="67"/>
  <c r="H270" i="66" s="1"/>
  <c r="E490" i="67"/>
  <c r="M490" i="66" s="1"/>
  <c r="G480" i="67"/>
  <c r="H480" i="66" s="1"/>
  <c r="G462" i="67"/>
  <c r="H462" i="66" s="1"/>
  <c r="I463" i="67"/>
  <c r="J463" i="66" s="1"/>
  <c r="R463" i="66" s="1"/>
  <c r="E428" i="67"/>
  <c r="M428" i="66" s="1"/>
  <c r="E432" i="67"/>
  <c r="M432" i="66" s="1"/>
  <c r="G420" i="67"/>
  <c r="H420" i="66" s="1"/>
  <c r="I415" i="67"/>
  <c r="J415" i="66" s="1"/>
  <c r="R415" i="66" s="1"/>
  <c r="E396" i="67"/>
  <c r="M396" i="66" s="1"/>
  <c r="I419" i="67"/>
  <c r="J419" i="66" s="1"/>
  <c r="R419" i="66" s="1"/>
  <c r="E378" i="67"/>
  <c r="M378" i="66" s="1"/>
  <c r="E377" i="67"/>
  <c r="M377" i="66" s="1"/>
  <c r="I383" i="67"/>
  <c r="J383" i="66" s="1"/>
  <c r="R383" i="66" s="1"/>
  <c r="E332" i="67"/>
  <c r="M332" i="66" s="1"/>
  <c r="E349" i="67"/>
  <c r="M349" i="66" s="1"/>
  <c r="G310" i="67"/>
  <c r="H310" i="66" s="1"/>
  <c r="I319" i="67"/>
  <c r="J319" i="66" s="1"/>
  <c r="R319" i="66" s="1"/>
  <c r="E294" i="67"/>
  <c r="M294" i="66" s="1"/>
  <c r="I286" i="67"/>
  <c r="J286" i="66" s="1"/>
  <c r="R286" i="66" s="1"/>
  <c r="E278" i="67"/>
  <c r="M278" i="66" s="1"/>
  <c r="G262" i="67"/>
  <c r="H262" i="66" s="1"/>
  <c r="G250" i="67"/>
  <c r="H250" i="66" s="1"/>
  <c r="I238" i="67"/>
  <c r="J238" i="66" s="1"/>
  <c r="R238" i="66" s="1"/>
  <c r="E224" i="67"/>
  <c r="M224" i="66" s="1"/>
  <c r="E241" i="67"/>
  <c r="M241" i="66" s="1"/>
  <c r="E216" i="67"/>
  <c r="M216" i="66" s="1"/>
  <c r="I209" i="67"/>
  <c r="J209" i="66" s="1"/>
  <c r="R209" i="66" s="1"/>
  <c r="G199" i="67"/>
  <c r="H199" i="66" s="1"/>
  <c r="I197" i="67"/>
  <c r="J197" i="66" s="1"/>
  <c r="R197" i="66" s="1"/>
  <c r="E160" i="67"/>
  <c r="M160" i="66" s="1"/>
  <c r="G168" i="67"/>
  <c r="H168" i="66" s="1"/>
  <c r="E150" i="67"/>
  <c r="M150" i="66" s="1"/>
  <c r="E128" i="67"/>
  <c r="M128" i="66" s="1"/>
  <c r="E132" i="67"/>
  <c r="M132" i="66" s="1"/>
  <c r="G100" i="67"/>
  <c r="H100" i="66" s="1"/>
  <c r="I115" i="67"/>
  <c r="J115" i="66" s="1"/>
  <c r="R115" i="66" s="1"/>
  <c r="E101" i="67"/>
  <c r="M101" i="66" s="1"/>
  <c r="I117" i="67"/>
  <c r="J117" i="66" s="1"/>
  <c r="R117" i="66" s="1"/>
  <c r="G95" i="67"/>
  <c r="H95" i="66" s="1"/>
  <c r="E238" i="67"/>
  <c r="M238" i="66" s="1"/>
  <c r="G224" i="67"/>
  <c r="H224" i="66" s="1"/>
  <c r="E245" i="67"/>
  <c r="M245" i="66" s="1"/>
  <c r="G249" i="67"/>
  <c r="H249" i="66" s="1"/>
  <c r="E239" i="67"/>
  <c r="M239" i="66" s="1"/>
  <c r="E184" i="67"/>
  <c r="M184" i="66" s="1"/>
  <c r="E197" i="67"/>
  <c r="M197" i="66" s="1"/>
  <c r="E195" i="67"/>
  <c r="M195" i="66" s="1"/>
  <c r="G508" i="67"/>
  <c r="H508" i="66" s="1"/>
  <c r="E482" i="67"/>
  <c r="M482" i="66" s="1"/>
  <c r="I473" i="67"/>
  <c r="J473" i="66" s="1"/>
  <c r="R473" i="66" s="1"/>
  <c r="E463" i="67"/>
  <c r="M463" i="66" s="1"/>
  <c r="G428" i="67"/>
  <c r="H428" i="66" s="1"/>
  <c r="E424" i="67"/>
  <c r="M424" i="66" s="1"/>
  <c r="G437" i="67"/>
  <c r="H437" i="66" s="1"/>
  <c r="I414" i="67"/>
  <c r="J414" i="66" s="1"/>
  <c r="R414" i="66" s="1"/>
  <c r="E429" i="67"/>
  <c r="M429" i="66" s="1"/>
  <c r="E419" i="67"/>
  <c r="M419" i="66" s="1"/>
  <c r="G378" i="67"/>
  <c r="H378" i="66" s="1"/>
  <c r="E387" i="67"/>
  <c r="M387" i="66" s="1"/>
  <c r="E383" i="67"/>
  <c r="M383" i="66" s="1"/>
  <c r="G332" i="67"/>
  <c r="H332" i="66" s="1"/>
  <c r="E361" i="67"/>
  <c r="M361" i="66" s="1"/>
  <c r="G330" i="67"/>
  <c r="H330" i="66" s="1"/>
  <c r="I324" i="67"/>
  <c r="J324" i="66" s="1"/>
  <c r="R324" i="66" s="1"/>
  <c r="E335" i="67"/>
  <c r="M335" i="66" s="1"/>
  <c r="E286" i="67"/>
  <c r="M286" i="66" s="1"/>
  <c r="G278" i="67"/>
  <c r="H278" i="66" s="1"/>
  <c r="I283" i="67"/>
  <c r="J283" i="66" s="1"/>
  <c r="R283" i="66" s="1"/>
  <c r="E279" i="67"/>
  <c r="M279" i="66" s="1"/>
  <c r="E512" i="67"/>
  <c r="M512" i="66" s="1"/>
  <c r="E478" i="67"/>
  <c r="M478" i="66" s="1"/>
  <c r="E470" i="67"/>
  <c r="M470" i="66" s="1"/>
  <c r="E491" i="67"/>
  <c r="M491" i="66" s="1"/>
  <c r="E450" i="67"/>
  <c r="M450" i="66" s="1"/>
  <c r="G449" i="67"/>
  <c r="H449" i="66" s="1"/>
  <c r="I453" i="67"/>
  <c r="J453" i="66" s="1"/>
  <c r="R453" i="66" s="1"/>
  <c r="E427" i="67"/>
  <c r="M427" i="66" s="1"/>
  <c r="G392" i="67"/>
  <c r="H392" i="66" s="1"/>
  <c r="E408" i="67"/>
  <c r="M408" i="66" s="1"/>
  <c r="G390" i="67"/>
  <c r="H390" i="66" s="1"/>
  <c r="I389" i="67"/>
  <c r="J389" i="66" s="1"/>
  <c r="R389" i="66" s="1"/>
  <c r="I379" i="67"/>
  <c r="J379" i="66" s="1"/>
  <c r="R379" i="66" s="1"/>
  <c r="E365" i="67"/>
  <c r="M365" i="66" s="1"/>
  <c r="G363" i="67"/>
  <c r="H363" i="66" s="1"/>
  <c r="I351" i="67"/>
  <c r="J351" i="66" s="1"/>
  <c r="R351" i="66" s="1"/>
  <c r="E304" i="67"/>
  <c r="M304" i="66" s="1"/>
  <c r="G296" i="67"/>
  <c r="H296" i="66" s="1"/>
  <c r="E325" i="67"/>
  <c r="M325" i="66" s="1"/>
  <c r="G315" i="67"/>
  <c r="H315" i="66" s="1"/>
  <c r="I274" i="67"/>
  <c r="J274" i="66" s="1"/>
  <c r="R274" i="66" s="1"/>
  <c r="E256" i="67"/>
  <c r="M256" i="66" s="1"/>
  <c r="G512" i="67"/>
  <c r="H512" i="66" s="1"/>
  <c r="G493" i="67"/>
  <c r="H493" i="66" s="1"/>
  <c r="I464" i="67"/>
  <c r="J464" i="66" s="1"/>
  <c r="R464" i="66" s="1"/>
  <c r="I474" i="67"/>
  <c r="J474" i="66" s="1"/>
  <c r="R474" i="66" s="1"/>
  <c r="E483" i="67"/>
  <c r="M483" i="66" s="1"/>
  <c r="E458" i="67"/>
  <c r="M458" i="66" s="1"/>
  <c r="G469" i="67"/>
  <c r="H469" i="66" s="1"/>
  <c r="G471" i="67"/>
  <c r="H471" i="66" s="1"/>
  <c r="I430" i="67"/>
  <c r="J430" i="66" s="1"/>
  <c r="R430" i="66" s="1"/>
  <c r="I459" i="67"/>
  <c r="J459" i="66" s="1"/>
  <c r="R459" i="66" s="1"/>
  <c r="E412" i="67"/>
  <c r="M412" i="66" s="1"/>
  <c r="E416" i="67"/>
  <c r="M416" i="66" s="1"/>
  <c r="I455" i="67"/>
  <c r="J455" i="66" s="1"/>
  <c r="R455" i="66" s="1"/>
  <c r="E425" i="67"/>
  <c r="M425" i="66" s="1"/>
  <c r="E435" i="67"/>
  <c r="M435" i="66" s="1"/>
  <c r="G413" i="67"/>
  <c r="H413" i="66" s="1"/>
  <c r="G394" i="67"/>
  <c r="H394" i="66" s="1"/>
  <c r="I382" i="67"/>
  <c r="J382" i="66" s="1"/>
  <c r="R382" i="66" s="1"/>
  <c r="I401" i="67"/>
  <c r="J401" i="66" s="1"/>
  <c r="R401" i="66" s="1"/>
  <c r="E391" i="67"/>
  <c r="M391" i="66" s="1"/>
  <c r="E368" i="67"/>
  <c r="M368" i="66" s="1"/>
  <c r="I384" i="67"/>
  <c r="J384" i="66" s="1"/>
  <c r="R384" i="66" s="1"/>
  <c r="E352" i="67"/>
  <c r="M352" i="66" s="1"/>
  <c r="E356" i="67"/>
  <c r="M356" i="66" s="1"/>
  <c r="G367" i="67"/>
  <c r="H367" i="66" s="1"/>
  <c r="G340" i="67"/>
  <c r="H340" i="66" s="1"/>
  <c r="I355" i="67"/>
  <c r="J355" i="66" s="1"/>
  <c r="R355" i="66" s="1"/>
  <c r="I342" i="67"/>
  <c r="J342" i="66" s="1"/>
  <c r="R342" i="66" s="1"/>
  <c r="E336" i="67"/>
  <c r="M336" i="66" s="1"/>
  <c r="E320" i="67"/>
  <c r="M320" i="66" s="1"/>
  <c r="I359" i="67"/>
  <c r="J359" i="66" s="1"/>
  <c r="R359" i="66" s="1"/>
  <c r="E337" i="67"/>
  <c r="M337" i="66" s="1"/>
  <c r="E347" i="67"/>
  <c r="M347" i="66" s="1"/>
  <c r="G302" i="67"/>
  <c r="H302" i="66" s="1"/>
  <c r="G298" i="67"/>
  <c r="H298" i="66" s="1"/>
  <c r="I307" i="67"/>
  <c r="J307" i="66" s="1"/>
  <c r="R307" i="66" s="1"/>
  <c r="I280" i="67"/>
  <c r="J280" i="66" s="1"/>
  <c r="R280" i="66" s="1"/>
  <c r="E311" i="67"/>
  <c r="M311" i="66" s="1"/>
  <c r="E272" i="67"/>
  <c r="M272" i="66" s="1"/>
  <c r="I282" i="67"/>
  <c r="J282" i="66" s="1"/>
  <c r="R282" i="66" s="1"/>
  <c r="E266" i="67"/>
  <c r="M266" i="66" s="1"/>
  <c r="E270" i="67"/>
  <c r="M270" i="66" s="1"/>
  <c r="G287" i="67"/>
  <c r="H287" i="66" s="1"/>
  <c r="E269" i="67"/>
  <c r="M269" i="66" s="1"/>
  <c r="G252" i="67"/>
  <c r="H252" i="66" s="1"/>
  <c r="G242" i="67"/>
  <c r="H242" i="66" s="1"/>
  <c r="I230" i="67"/>
  <c r="J230" i="66" s="1"/>
  <c r="R230" i="66" s="1"/>
  <c r="I263" i="67"/>
  <c r="J263" i="66" s="1"/>
  <c r="R263" i="66" s="1"/>
  <c r="G233" i="67"/>
  <c r="H233" i="66" s="1"/>
  <c r="I243" i="67"/>
  <c r="J243" i="66" s="1"/>
  <c r="R243" i="66" s="1"/>
  <c r="I214" i="67"/>
  <c r="J214" i="66" s="1"/>
  <c r="R214" i="66" s="1"/>
  <c r="E221" i="67"/>
  <c r="M221" i="66" s="1"/>
  <c r="E196" i="67"/>
  <c r="M196" i="66" s="1"/>
  <c r="G225" i="67"/>
  <c r="H225" i="66" s="1"/>
  <c r="G198" i="67"/>
  <c r="H198" i="66" s="1"/>
  <c r="I205" i="67"/>
  <c r="J205" i="66" s="1"/>
  <c r="R205" i="66" s="1"/>
  <c r="I178" i="67"/>
  <c r="J178" i="66" s="1"/>
  <c r="R178" i="66" s="1"/>
  <c r="I187" i="67"/>
  <c r="J187" i="66" s="1"/>
  <c r="R187" i="66" s="1"/>
  <c r="G193" i="67"/>
  <c r="H193" i="66" s="1"/>
  <c r="I166" i="67"/>
  <c r="J166" i="66" s="1"/>
  <c r="R166" i="66" s="1"/>
  <c r="I148" i="67"/>
  <c r="J148" i="66" s="1"/>
  <c r="R148" i="66" s="1"/>
  <c r="E183" i="67"/>
  <c r="M183" i="66" s="1"/>
  <c r="I169" i="67"/>
  <c r="J169" i="66" s="1"/>
  <c r="R169" i="66" s="1"/>
  <c r="I171" i="67"/>
  <c r="J171" i="66" s="1"/>
  <c r="R171" i="66" s="1"/>
  <c r="I167" i="67"/>
  <c r="J167" i="66" s="1"/>
  <c r="R167" i="66" s="1"/>
  <c r="I134" i="67"/>
  <c r="J134" i="66" s="1"/>
  <c r="R134" i="66" s="1"/>
  <c r="E126" i="67"/>
  <c r="M126" i="66" s="1"/>
  <c r="E116" i="67"/>
  <c r="M116" i="66" s="1"/>
  <c r="I118" i="67"/>
  <c r="J118" i="66" s="1"/>
  <c r="R118" i="66" s="1"/>
  <c r="E114" i="67"/>
  <c r="M114" i="66" s="1"/>
  <c r="E127" i="67"/>
  <c r="M127" i="66" s="1"/>
  <c r="G113" i="67"/>
  <c r="H113" i="66" s="1"/>
  <c r="I109" i="67"/>
  <c r="J109" i="66" s="1"/>
  <c r="R109" i="66" s="1"/>
  <c r="E105" i="67"/>
  <c r="M105" i="66" s="1"/>
  <c r="G107" i="67"/>
  <c r="H107" i="66" s="1"/>
  <c r="G269" i="67"/>
  <c r="H269" i="66" s="1"/>
  <c r="G277" i="67"/>
  <c r="H277" i="66" s="1"/>
  <c r="I252" i="67"/>
  <c r="J252" i="66" s="1"/>
  <c r="R252" i="66" s="1"/>
  <c r="I242" i="67"/>
  <c r="J242" i="66" s="1"/>
  <c r="R242" i="66" s="1"/>
  <c r="E263" i="67"/>
  <c r="M263" i="66" s="1"/>
  <c r="E240" i="67"/>
  <c r="M240" i="66" s="1"/>
  <c r="I233" i="67"/>
  <c r="J233" i="66" s="1"/>
  <c r="R233" i="66" s="1"/>
  <c r="E214" i="67"/>
  <c r="M214" i="66" s="1"/>
  <c r="E218" i="67"/>
  <c r="M218" i="66" s="1"/>
  <c r="G196" i="67"/>
  <c r="H196" i="66" s="1"/>
  <c r="G200" i="67"/>
  <c r="H200" i="66" s="1"/>
  <c r="I225" i="67"/>
  <c r="J225" i="66" s="1"/>
  <c r="R225" i="66" s="1"/>
  <c r="I198" i="67"/>
  <c r="J198" i="66" s="1"/>
  <c r="R198" i="66" s="1"/>
  <c r="E178" i="67"/>
  <c r="M178" i="66" s="1"/>
  <c r="E176" i="67"/>
  <c r="M176" i="66" s="1"/>
  <c r="E164" i="67"/>
  <c r="M164" i="66" s="1"/>
  <c r="I193" i="67"/>
  <c r="J193" i="66" s="1"/>
  <c r="R193" i="66" s="1"/>
  <c r="E201" i="67"/>
  <c r="M201" i="66" s="1"/>
  <c r="E173" i="67"/>
  <c r="M173" i="66" s="1"/>
  <c r="G158" i="67"/>
  <c r="H158" i="66" s="1"/>
  <c r="E171" i="67"/>
  <c r="M171" i="66" s="1"/>
  <c r="E179" i="67"/>
  <c r="M179" i="66" s="1"/>
  <c r="E134" i="67"/>
  <c r="M134" i="66" s="1"/>
  <c r="E157" i="67"/>
  <c r="M157" i="66" s="1"/>
  <c r="G116" i="67"/>
  <c r="H116" i="66" s="1"/>
  <c r="E118" i="67"/>
  <c r="M118" i="66" s="1"/>
  <c r="E155" i="67"/>
  <c r="M155" i="66" s="1"/>
  <c r="G127" i="67"/>
  <c r="H127" i="66" s="1"/>
  <c r="G135" i="67"/>
  <c r="H135" i="66" s="1"/>
  <c r="I113" i="67"/>
  <c r="J113" i="66" s="1"/>
  <c r="R113" i="66" s="1"/>
  <c r="E109" i="67"/>
  <c r="M109" i="66" s="1"/>
  <c r="I99" i="67"/>
  <c r="J99" i="66" s="1"/>
  <c r="R99" i="66" s="1"/>
  <c r="I107" i="67"/>
  <c r="J107" i="66" s="1"/>
  <c r="R107" i="66" s="1"/>
  <c r="E486" i="67"/>
  <c r="M486" i="66" s="1"/>
  <c r="E460" i="67"/>
  <c r="M460" i="66" s="1"/>
  <c r="I487" i="67"/>
  <c r="J487" i="66" s="1"/>
  <c r="R487" i="66" s="1"/>
  <c r="E448" i="67"/>
  <c r="M448" i="66" s="1"/>
  <c r="E473" i="67"/>
  <c r="M473" i="66" s="1"/>
  <c r="G442" i="67"/>
  <c r="H442" i="66" s="1"/>
  <c r="G463" i="67"/>
  <c r="H463" i="66" s="1"/>
  <c r="I457" i="67"/>
  <c r="J457" i="66" s="1"/>
  <c r="R457" i="66" s="1"/>
  <c r="I467" i="67"/>
  <c r="J467" i="66" s="1"/>
  <c r="R467" i="66" s="1"/>
  <c r="G465" i="67"/>
  <c r="H465" i="66" s="1"/>
  <c r="I445" i="67"/>
  <c r="J445" i="66" s="1"/>
  <c r="R445" i="66" s="1"/>
  <c r="I432" i="67"/>
  <c r="J432" i="66" s="1"/>
  <c r="R432" i="66" s="1"/>
  <c r="E443" i="67"/>
  <c r="M443" i="66" s="1"/>
  <c r="E420" i="67"/>
  <c r="M420" i="66" s="1"/>
  <c r="G415" i="67"/>
  <c r="H415" i="66" s="1"/>
  <c r="G421" i="67"/>
  <c r="H421" i="66" s="1"/>
  <c r="I376" i="67"/>
  <c r="J376" i="66" s="1"/>
  <c r="R376" i="66" s="1"/>
  <c r="I396" i="67"/>
  <c r="J396" i="66" s="1"/>
  <c r="R396" i="66" s="1"/>
  <c r="G419" i="67"/>
  <c r="H419" i="66" s="1"/>
  <c r="I399" i="67"/>
  <c r="J399" i="66" s="1"/>
  <c r="R399" i="66" s="1"/>
  <c r="I364" i="67"/>
  <c r="J364" i="66" s="1"/>
  <c r="R364" i="66" s="1"/>
  <c r="G385" i="67"/>
  <c r="H385" i="66" s="1"/>
  <c r="I387" i="67"/>
  <c r="J387" i="66" s="1"/>
  <c r="R387" i="66" s="1"/>
  <c r="G350" i="67"/>
  <c r="H350" i="66" s="1"/>
  <c r="G383" i="67"/>
  <c r="H383" i="66" s="1"/>
  <c r="I348" i="67"/>
  <c r="J348" i="66" s="1"/>
  <c r="R348" i="66" s="1"/>
  <c r="I371" i="67"/>
  <c r="J371" i="66" s="1"/>
  <c r="R371" i="66" s="1"/>
  <c r="G334" i="67"/>
  <c r="H334" i="66" s="1"/>
  <c r="I357" i="67"/>
  <c r="J357" i="66" s="1"/>
  <c r="R357" i="66" s="1"/>
  <c r="I349" i="67"/>
  <c r="J349" i="66" s="1"/>
  <c r="R349" i="66" s="1"/>
  <c r="E331" i="67"/>
  <c r="M331" i="66" s="1"/>
  <c r="E310" i="67"/>
  <c r="M310" i="66" s="1"/>
  <c r="G319" i="67"/>
  <c r="H319" i="66" s="1"/>
  <c r="G306" i="67"/>
  <c r="H306" i="66" s="1"/>
  <c r="I323" i="67"/>
  <c r="J323" i="66" s="1"/>
  <c r="R323" i="66" s="1"/>
  <c r="I294" i="67"/>
  <c r="J294" i="66" s="1"/>
  <c r="R294" i="66" s="1"/>
  <c r="G286" i="67"/>
  <c r="H286" i="66" s="1"/>
  <c r="I288" i="67"/>
  <c r="J288" i="66" s="1"/>
  <c r="R288" i="66" s="1"/>
  <c r="I303" i="67"/>
  <c r="J303" i="66" s="1"/>
  <c r="R303" i="66" s="1"/>
  <c r="E291" i="67"/>
  <c r="M291" i="66" s="1"/>
  <c r="E283" i="67"/>
  <c r="M283" i="66" s="1"/>
  <c r="G271" i="67"/>
  <c r="H271" i="66" s="1"/>
  <c r="G490" i="67"/>
  <c r="H490" i="66" s="1"/>
  <c r="I486" i="67"/>
  <c r="J486" i="66" s="1"/>
  <c r="R486" i="66" s="1"/>
  <c r="I466" i="67"/>
  <c r="J466" i="66" s="1"/>
  <c r="R466" i="66" s="1"/>
  <c r="G487" i="67"/>
  <c r="H487" i="66" s="1"/>
  <c r="I458" i="67"/>
  <c r="J458" i="66" s="1"/>
  <c r="R458" i="66" s="1"/>
  <c r="I448" i="67"/>
  <c r="J448" i="66" s="1"/>
  <c r="R448" i="66" s="1"/>
  <c r="E471" i="67"/>
  <c r="M471" i="66" s="1"/>
  <c r="E442" i="67"/>
  <c r="M442" i="66" s="1"/>
  <c r="G457" i="67"/>
  <c r="H457" i="66" s="1"/>
  <c r="G467" i="67"/>
  <c r="H467" i="66" s="1"/>
  <c r="I416" i="67"/>
  <c r="J416" i="66" s="1"/>
  <c r="R416" i="66" s="1"/>
  <c r="G445" i="67"/>
  <c r="H445" i="66" s="1"/>
  <c r="G432" i="67"/>
  <c r="H432" i="66" s="1"/>
  <c r="I435" i="67"/>
  <c r="J435" i="66" s="1"/>
  <c r="R435" i="66" s="1"/>
  <c r="I443" i="67"/>
  <c r="J443" i="66" s="1"/>
  <c r="R443" i="66" s="1"/>
  <c r="E394" i="67"/>
  <c r="M394" i="66" s="1"/>
  <c r="E415" i="67"/>
  <c r="M415" i="66" s="1"/>
  <c r="G376" i="67"/>
  <c r="H376" i="66" s="1"/>
  <c r="G396" i="67"/>
  <c r="H396" i="66" s="1"/>
  <c r="I368" i="67"/>
  <c r="J368" i="66" s="1"/>
  <c r="R368" i="66" s="1"/>
  <c r="G399" i="67"/>
  <c r="H399" i="66" s="1"/>
  <c r="G364" i="67"/>
  <c r="H364" i="66" s="1"/>
  <c r="I356" i="67"/>
  <c r="J356" i="66" s="1"/>
  <c r="R356" i="66" s="1"/>
  <c r="G387" i="67"/>
  <c r="H387" i="66" s="1"/>
  <c r="E340" i="67"/>
  <c r="M340" i="66" s="1"/>
  <c r="E350" i="67"/>
  <c r="M350" i="66" s="1"/>
  <c r="G348" i="67"/>
  <c r="H348" i="66" s="1"/>
  <c r="G371" i="67"/>
  <c r="H371" i="66" s="1"/>
  <c r="I320" i="67"/>
  <c r="J320" i="66" s="1"/>
  <c r="R320" i="66" s="1"/>
  <c r="G357" i="67"/>
  <c r="H357" i="66" s="1"/>
  <c r="G349" i="67"/>
  <c r="H349" i="66" s="1"/>
  <c r="I347" i="67"/>
  <c r="J347" i="66" s="1"/>
  <c r="R347" i="66" s="1"/>
  <c r="I331" i="67"/>
  <c r="J331" i="66" s="1"/>
  <c r="R331" i="66" s="1"/>
  <c r="E298" i="67"/>
  <c r="M298" i="66" s="1"/>
  <c r="E319" i="67"/>
  <c r="M319" i="66" s="1"/>
  <c r="G323" i="67"/>
  <c r="H323" i="66" s="1"/>
  <c r="G294" i="67"/>
  <c r="H294" i="66" s="1"/>
  <c r="I272" i="67"/>
  <c r="J272" i="66" s="1"/>
  <c r="R272" i="66" s="1"/>
  <c r="G288" i="67"/>
  <c r="H288" i="66" s="1"/>
  <c r="G303" i="67"/>
  <c r="H303" i="66" s="1"/>
  <c r="I270" i="67"/>
  <c r="J270" i="66" s="1"/>
  <c r="R270" i="66" s="1"/>
  <c r="I291" i="67"/>
  <c r="J291" i="66" s="1"/>
  <c r="R291" i="66" s="1"/>
  <c r="E250" i="67"/>
  <c r="M250" i="66" s="1"/>
  <c r="I277" i="67"/>
  <c r="J277" i="66" s="1"/>
  <c r="R277" i="66" s="1"/>
  <c r="E242" i="67"/>
  <c r="M242" i="66" s="1"/>
  <c r="E259" i="67"/>
  <c r="M259" i="66" s="1"/>
  <c r="G240" i="67"/>
  <c r="H240" i="66" s="1"/>
  <c r="G234" i="67"/>
  <c r="H234" i="66" s="1"/>
  <c r="E243" i="67"/>
  <c r="M243" i="66" s="1"/>
  <c r="G218" i="67"/>
  <c r="H218" i="66" s="1"/>
  <c r="G241" i="67"/>
  <c r="H241" i="66" s="1"/>
  <c r="I196" i="67"/>
  <c r="J196" i="66" s="1"/>
  <c r="R196" i="66" s="1"/>
  <c r="I200" i="67"/>
  <c r="J200" i="66" s="1"/>
  <c r="R200" i="66" s="1"/>
  <c r="E198" i="67"/>
  <c r="M198" i="66" s="1"/>
  <c r="E209" i="67"/>
  <c r="M209" i="66" s="1"/>
  <c r="G176" i="67"/>
  <c r="H176" i="66" s="1"/>
  <c r="E199" i="67"/>
  <c r="M199" i="66" s="1"/>
  <c r="E193" i="67"/>
  <c r="M193" i="66" s="1"/>
  <c r="E166" i="67"/>
  <c r="M166" i="66" s="1"/>
  <c r="G195" i="67"/>
  <c r="H195" i="66" s="1"/>
  <c r="G183" i="67"/>
  <c r="H183" i="66" s="1"/>
  <c r="I158" i="67"/>
  <c r="J158" i="66" s="1"/>
  <c r="R158" i="66" s="1"/>
  <c r="G179" i="67"/>
  <c r="H179" i="66" s="1"/>
  <c r="G177" i="67"/>
  <c r="H177" i="66" s="1"/>
  <c r="G157" i="67"/>
  <c r="H157" i="66" s="1"/>
  <c r="G130" i="67"/>
  <c r="H130" i="66" s="1"/>
  <c r="I116" i="67"/>
  <c r="J116" i="66" s="1"/>
  <c r="R116" i="66" s="1"/>
  <c r="G155" i="67"/>
  <c r="H155" i="66" s="1"/>
  <c r="G132" i="67"/>
  <c r="H132" i="66" s="1"/>
  <c r="I127" i="67"/>
  <c r="J127" i="66" s="1"/>
  <c r="R127" i="66" s="1"/>
  <c r="I135" i="67"/>
  <c r="J135" i="66" s="1"/>
  <c r="R135" i="66" s="1"/>
  <c r="E115" i="67"/>
  <c r="M115" i="66" s="1"/>
  <c r="G101" i="67"/>
  <c r="H101" i="66" s="1"/>
  <c r="E107" i="67"/>
  <c r="M107" i="66" s="1"/>
  <c r="E277" i="67"/>
  <c r="M277" i="66" s="1"/>
  <c r="E287" i="67"/>
  <c r="M287" i="66" s="1"/>
  <c r="G259" i="67"/>
  <c r="H259" i="66" s="1"/>
  <c r="G238" i="67"/>
  <c r="H238" i="66" s="1"/>
  <c r="I240" i="67"/>
  <c r="J240" i="66" s="1"/>
  <c r="R240" i="66" s="1"/>
  <c r="I234" i="67"/>
  <c r="J234" i="66" s="1"/>
  <c r="R234" i="66" s="1"/>
  <c r="G247" i="67"/>
  <c r="H247" i="66" s="1"/>
  <c r="I218" i="67"/>
  <c r="J218" i="66" s="1"/>
  <c r="R218" i="66" s="1"/>
  <c r="I241" i="67"/>
  <c r="J241" i="66" s="1"/>
  <c r="R241" i="66" s="1"/>
  <c r="E200" i="67"/>
  <c r="M200" i="66" s="1"/>
  <c r="G216" i="67"/>
  <c r="H216" i="66" s="1"/>
  <c r="G209" i="67"/>
  <c r="H209" i="66" s="1"/>
  <c r="G211" i="67"/>
  <c r="H211" i="66" s="1"/>
  <c r="I176" i="67"/>
  <c r="J176" i="66" s="1"/>
  <c r="R176" i="66" s="1"/>
  <c r="G186" i="67"/>
  <c r="H186" i="66" s="1"/>
  <c r="G197" i="67"/>
  <c r="H197" i="66" s="1"/>
  <c r="G201" i="67"/>
  <c r="H201" i="66" s="1"/>
  <c r="I195" i="67"/>
  <c r="J195" i="66" s="1"/>
  <c r="R195" i="66" s="1"/>
  <c r="I183" i="67"/>
  <c r="J183" i="66" s="1"/>
  <c r="R183" i="66" s="1"/>
  <c r="E181" i="67"/>
  <c r="M181" i="66" s="1"/>
  <c r="I179" i="67"/>
  <c r="J179" i="66" s="1"/>
  <c r="R179" i="66" s="1"/>
  <c r="I177" i="67"/>
  <c r="J177" i="66" s="1"/>
  <c r="R177" i="66" s="1"/>
  <c r="I157" i="67"/>
  <c r="J157" i="66" s="1"/>
  <c r="R157" i="66" s="1"/>
  <c r="I130" i="67"/>
  <c r="J130" i="66" s="1"/>
  <c r="R130" i="66" s="1"/>
  <c r="G151" i="67"/>
  <c r="H151" i="66" s="1"/>
  <c r="I155" i="67"/>
  <c r="J155" i="66" s="1"/>
  <c r="R155" i="66" s="1"/>
  <c r="I132" i="67"/>
  <c r="J132" i="66" s="1"/>
  <c r="R132" i="66" s="1"/>
  <c r="E135" i="67"/>
  <c r="M135" i="66" s="1"/>
  <c r="E100" i="67"/>
  <c r="M100" i="66" s="1"/>
  <c r="G115" i="67"/>
  <c r="H115" i="66" s="1"/>
  <c r="G108" i="67"/>
  <c r="H108" i="66" s="1"/>
  <c r="I101" i="67"/>
  <c r="J101" i="66" s="1"/>
  <c r="R101" i="66" s="1"/>
  <c r="G117" i="67"/>
  <c r="H117" i="66" s="1"/>
  <c r="G482" i="67"/>
  <c r="H482" i="66" s="1"/>
  <c r="G464" i="67"/>
  <c r="H464" i="66" s="1"/>
  <c r="G474" i="67"/>
  <c r="H474" i="66" s="1"/>
  <c r="I489" i="67"/>
  <c r="J489" i="66" s="1"/>
  <c r="R489" i="66" s="1"/>
  <c r="I483" i="67"/>
  <c r="J483" i="66" s="1"/>
  <c r="R483" i="66" s="1"/>
  <c r="E446" i="67"/>
  <c r="M446" i="66" s="1"/>
  <c r="E469" i="67"/>
  <c r="M469" i="66" s="1"/>
  <c r="G430" i="67"/>
  <c r="H430" i="66" s="1"/>
  <c r="G459" i="67"/>
  <c r="H459" i="66" s="1"/>
  <c r="I439" i="67"/>
  <c r="J439" i="66" s="1"/>
  <c r="R439" i="66" s="1"/>
  <c r="I412" i="67"/>
  <c r="J412" i="66" s="1"/>
  <c r="R412" i="66" s="1"/>
  <c r="G455" i="67"/>
  <c r="H455" i="66" s="1"/>
  <c r="I410" i="67"/>
  <c r="J410" i="66" s="1"/>
  <c r="R410" i="66" s="1"/>
  <c r="I425" i="67"/>
  <c r="J425" i="66" s="1"/>
  <c r="R425" i="66" s="1"/>
  <c r="E388" i="67"/>
  <c r="M388" i="66" s="1"/>
  <c r="E413" i="67"/>
  <c r="M413" i="66" s="1"/>
  <c r="G382" i="67"/>
  <c r="H382" i="66" s="1"/>
  <c r="G401" i="67"/>
  <c r="H401" i="66" s="1"/>
  <c r="I370" i="67"/>
  <c r="J370" i="66" s="1"/>
  <c r="R370" i="66" s="1"/>
  <c r="I391" i="67"/>
  <c r="J391" i="66" s="1"/>
  <c r="R391" i="66" s="1"/>
  <c r="G384" i="67"/>
  <c r="H384" i="66" s="1"/>
  <c r="I366" i="67"/>
  <c r="J366" i="66" s="1"/>
  <c r="R366" i="66" s="1"/>
  <c r="I352" i="67"/>
  <c r="J352" i="66" s="1"/>
  <c r="R352" i="66" s="1"/>
  <c r="E346" i="67"/>
  <c r="M346" i="66" s="1"/>
  <c r="E367" i="67"/>
  <c r="M367" i="66" s="1"/>
  <c r="G355" i="67"/>
  <c r="H355" i="66" s="1"/>
  <c r="G342" i="67"/>
  <c r="H342" i="66" s="1"/>
  <c r="I316" i="67"/>
  <c r="J316" i="66" s="1"/>
  <c r="R316" i="66" s="1"/>
  <c r="I336" i="67"/>
  <c r="J336" i="66" s="1"/>
  <c r="R336" i="66" s="1"/>
  <c r="G359" i="67"/>
  <c r="H359" i="66" s="1"/>
  <c r="I329" i="67"/>
  <c r="J329" i="66" s="1"/>
  <c r="R329" i="66" s="1"/>
  <c r="I337" i="67"/>
  <c r="J337" i="66" s="1"/>
  <c r="R337" i="66" s="1"/>
  <c r="E312" i="67"/>
  <c r="M312" i="66" s="1"/>
  <c r="E302" i="67"/>
  <c r="M302" i="66" s="1"/>
  <c r="G307" i="67"/>
  <c r="H307" i="66" s="1"/>
  <c r="G280" i="67"/>
  <c r="H280" i="66" s="1"/>
  <c r="I309" i="67"/>
  <c r="J309" i="66" s="1"/>
  <c r="R309" i="66" s="1"/>
  <c r="I311" i="67"/>
  <c r="J311" i="66" s="1"/>
  <c r="R311" i="66" s="1"/>
  <c r="G282" i="67"/>
  <c r="H282" i="66" s="1"/>
  <c r="I289" i="67"/>
  <c r="J289" i="66" s="1"/>
  <c r="R289" i="66" s="1"/>
  <c r="I266" i="67"/>
  <c r="J266" i="66" s="1"/>
  <c r="R266" i="66" s="1"/>
  <c r="I269" i="67"/>
  <c r="J269" i="66" s="1"/>
  <c r="R269" i="66" s="1"/>
  <c r="I488" i="67"/>
  <c r="J488" i="66" s="1"/>
  <c r="R488" i="66" s="1"/>
  <c r="E492" i="67"/>
  <c r="M492" i="66" s="1"/>
  <c r="G478" i="67"/>
  <c r="H478" i="66" s="1"/>
  <c r="E493" i="67"/>
  <c r="M493" i="66" s="1"/>
  <c r="I452" i="67"/>
  <c r="J452" i="66" s="1"/>
  <c r="R452" i="66" s="1"/>
  <c r="G489" i="67"/>
  <c r="H489" i="66" s="1"/>
  <c r="G483" i="67"/>
  <c r="H483" i="66" s="1"/>
  <c r="I456" i="67"/>
  <c r="J456" i="66" s="1"/>
  <c r="R456" i="66" s="1"/>
  <c r="I446" i="67"/>
  <c r="J446" i="66" s="1"/>
  <c r="R446" i="66" s="1"/>
  <c r="E438" i="67"/>
  <c r="M438" i="66" s="1"/>
  <c r="E430" i="67"/>
  <c r="M430" i="66" s="1"/>
  <c r="G439" i="67"/>
  <c r="H439" i="66" s="1"/>
  <c r="G412" i="67"/>
  <c r="H412" i="66" s="1"/>
  <c r="I404" i="67"/>
  <c r="J404" i="66" s="1"/>
  <c r="R404" i="66" s="1"/>
  <c r="G410" i="67"/>
  <c r="H410" i="66" s="1"/>
  <c r="G425" i="67"/>
  <c r="H425" i="66" s="1"/>
  <c r="I398" i="67"/>
  <c r="J398" i="66" s="1"/>
  <c r="R398" i="66" s="1"/>
  <c r="I388" i="67"/>
  <c r="J388" i="66" s="1"/>
  <c r="R388" i="66" s="1"/>
  <c r="E403" i="67"/>
  <c r="M403" i="66" s="1"/>
  <c r="E382" i="67"/>
  <c r="M382" i="66" s="1"/>
  <c r="G370" i="67"/>
  <c r="H370" i="66" s="1"/>
  <c r="G391" i="67"/>
  <c r="H391" i="66" s="1"/>
  <c r="E395" i="67"/>
  <c r="M395" i="66" s="1"/>
  <c r="G366" i="67"/>
  <c r="H366" i="66" s="1"/>
  <c r="G352" i="67"/>
  <c r="H352" i="66" s="1"/>
  <c r="I373" i="67"/>
  <c r="J373" i="66" s="1"/>
  <c r="R373" i="66" s="1"/>
  <c r="I346" i="67"/>
  <c r="J346" i="66" s="1"/>
  <c r="R346" i="66" s="1"/>
  <c r="E353" i="67"/>
  <c r="M353" i="66" s="1"/>
  <c r="E355" i="67"/>
  <c r="M355" i="66" s="1"/>
  <c r="G316" i="67"/>
  <c r="H316" i="66" s="1"/>
  <c r="G336" i="67"/>
  <c r="H336" i="66" s="1"/>
  <c r="I308" i="67"/>
  <c r="J308" i="66" s="1"/>
  <c r="R308" i="66" s="1"/>
  <c r="G329" i="67"/>
  <c r="H329" i="66" s="1"/>
  <c r="G337" i="67"/>
  <c r="H337" i="66" s="1"/>
  <c r="I317" i="67"/>
  <c r="J317" i="66" s="1"/>
  <c r="R317" i="66" s="1"/>
  <c r="I312" i="67"/>
  <c r="J312" i="66" s="1"/>
  <c r="R312" i="66" s="1"/>
  <c r="E313" i="67"/>
  <c r="M313" i="66" s="1"/>
  <c r="E307" i="67"/>
  <c r="M307" i="66" s="1"/>
  <c r="G309" i="67"/>
  <c r="H309" i="66" s="1"/>
  <c r="G311" i="67"/>
  <c r="H311" i="66" s="1"/>
  <c r="I260" i="67"/>
  <c r="J260" i="66" s="1"/>
  <c r="R260" i="66" s="1"/>
  <c r="G289" i="67"/>
  <c r="H289" i="66" s="1"/>
  <c r="G266" i="67"/>
  <c r="H266" i="66" s="1"/>
  <c r="E254" i="67"/>
  <c r="M254" i="66" s="1"/>
  <c r="G254" i="67"/>
  <c r="H254" i="66" s="1"/>
  <c r="I267" i="67"/>
  <c r="J267" i="66" s="1"/>
  <c r="R267" i="66" s="1"/>
  <c r="I257" i="67"/>
  <c r="J257" i="66" s="1"/>
  <c r="R257" i="66" s="1"/>
  <c r="E220" i="67"/>
  <c r="M220" i="66" s="1"/>
  <c r="E230" i="67"/>
  <c r="M230" i="66" s="1"/>
  <c r="I222" i="67"/>
  <c r="J222" i="66" s="1"/>
  <c r="R222" i="66" s="1"/>
  <c r="E233" i="67"/>
  <c r="M233" i="66" s="1"/>
  <c r="I237" i="67"/>
  <c r="J237" i="66" s="1"/>
  <c r="R237" i="66" s="1"/>
  <c r="G229" i="67"/>
  <c r="H229" i="66" s="1"/>
  <c r="G221" i="67"/>
  <c r="H221" i="66" s="1"/>
  <c r="I217" i="67"/>
  <c r="J217" i="66" s="1"/>
  <c r="R217" i="66" s="1"/>
  <c r="I227" i="67"/>
  <c r="J227" i="66" s="1"/>
  <c r="R227" i="66" s="1"/>
  <c r="E172" i="67"/>
  <c r="M172" i="66" s="1"/>
  <c r="E205" i="67"/>
  <c r="M205" i="66" s="1"/>
  <c r="E185" i="67"/>
  <c r="M185" i="66" s="1"/>
  <c r="G164" i="67"/>
  <c r="H164" i="66" s="1"/>
  <c r="E162" i="67"/>
  <c r="M162" i="66" s="1"/>
  <c r="E175" i="67"/>
  <c r="M175" i="66" s="1"/>
  <c r="G173" i="67"/>
  <c r="H173" i="66" s="1"/>
  <c r="E142" i="67"/>
  <c r="M142" i="66" s="1"/>
  <c r="E169" i="67"/>
  <c r="M169" i="66" s="1"/>
  <c r="E149" i="67"/>
  <c r="M149" i="66" s="1"/>
  <c r="E167" i="67"/>
  <c r="M167" i="66" s="1"/>
  <c r="G112" i="67"/>
  <c r="H112" i="66" s="1"/>
  <c r="G126" i="67"/>
  <c r="H126" i="66" s="1"/>
  <c r="I104" i="67"/>
  <c r="J104" i="66" s="1"/>
  <c r="R104" i="66" s="1"/>
  <c r="G120" i="67"/>
  <c r="H120" i="66" s="1"/>
  <c r="G114" i="67"/>
  <c r="H114" i="66" s="1"/>
  <c r="I129" i="67"/>
  <c r="J129" i="66" s="1"/>
  <c r="R129" i="66" s="1"/>
  <c r="I123" i="67"/>
  <c r="J123" i="66" s="1"/>
  <c r="R123" i="66" s="1"/>
  <c r="G279" i="67"/>
  <c r="H279" i="66" s="1"/>
  <c r="I275" i="67"/>
  <c r="J275" i="66" s="1"/>
  <c r="R275" i="66" s="1"/>
  <c r="I232" i="67"/>
  <c r="J232" i="66" s="1"/>
  <c r="R232" i="66" s="1"/>
  <c r="G273" i="67"/>
  <c r="H273" i="66" s="1"/>
  <c r="I245" i="67"/>
  <c r="J245" i="66" s="1"/>
  <c r="R245" i="66" s="1"/>
  <c r="I255" i="67"/>
  <c r="J255" i="66" s="1"/>
  <c r="R255" i="66" s="1"/>
  <c r="E249" i="67"/>
  <c r="M249" i="66" s="1"/>
  <c r="E251" i="67"/>
  <c r="M251" i="66" s="1"/>
  <c r="E210" i="67"/>
  <c r="M210" i="66" s="1"/>
  <c r="I210" i="67"/>
  <c r="J210" i="66" s="1"/>
  <c r="R210" i="66" s="1"/>
  <c r="I184" i="67"/>
  <c r="J184" i="66" s="1"/>
  <c r="R184" i="66" s="1"/>
  <c r="I204" i="67"/>
  <c r="J204" i="66" s="1"/>
  <c r="R204" i="66" s="1"/>
  <c r="G190" i="67"/>
  <c r="H190" i="66" s="1"/>
  <c r="I192" i="67"/>
  <c r="J192" i="66" s="1"/>
  <c r="R192" i="66" s="1"/>
  <c r="I207" i="67"/>
  <c r="J207" i="66" s="1"/>
  <c r="R207" i="66" s="1"/>
  <c r="I160" i="67"/>
  <c r="J160" i="66" s="1"/>
  <c r="R160" i="66" s="1"/>
  <c r="E203" i="67"/>
  <c r="M203" i="66" s="1"/>
  <c r="E168" i="67"/>
  <c r="M168" i="66" s="1"/>
  <c r="G191" i="67"/>
  <c r="H191" i="66" s="1"/>
  <c r="E146" i="67"/>
  <c r="M146" i="66" s="1"/>
  <c r="E163" i="67"/>
  <c r="M163" i="66" s="1"/>
  <c r="G161" i="67"/>
  <c r="H161" i="66" s="1"/>
  <c r="I144" i="67"/>
  <c r="J144" i="66" s="1"/>
  <c r="R144" i="66" s="1"/>
  <c r="I138" i="67"/>
  <c r="J138" i="66" s="1"/>
  <c r="R138" i="66" s="1"/>
  <c r="E139" i="67"/>
  <c r="M139" i="66" s="1"/>
  <c r="E122" i="67"/>
  <c r="M122" i="66" s="1"/>
  <c r="G133" i="67"/>
  <c r="H133" i="66" s="1"/>
  <c r="G141" i="67"/>
  <c r="H141" i="66" s="1"/>
  <c r="I98" i="67"/>
  <c r="J98" i="66" s="1"/>
  <c r="R98" i="66" s="1"/>
  <c r="I131" i="67"/>
  <c r="J131" i="66" s="1"/>
  <c r="R131" i="66" s="1"/>
  <c r="G102" i="67"/>
  <c r="H102" i="66" s="1"/>
  <c r="E99" i="67"/>
  <c r="M99" i="66" s="1"/>
  <c r="I105" i="67"/>
  <c r="J105" i="66" s="1"/>
  <c r="R105" i="66" s="1"/>
  <c r="E117" i="67"/>
  <c r="M117" i="66" s="1"/>
  <c r="E98" i="67"/>
  <c r="M98" i="66" s="1"/>
  <c r="I143" i="67"/>
  <c r="J143" i="66" s="1"/>
  <c r="R143" i="66" s="1"/>
  <c r="G139" i="67"/>
  <c r="H139" i="66" s="1"/>
  <c r="E144" i="67"/>
  <c r="M144" i="66" s="1"/>
  <c r="G128" i="67"/>
  <c r="H128" i="66" s="1"/>
  <c r="E148" i="67"/>
  <c r="M148" i="66" s="1"/>
  <c r="G181" i="67"/>
  <c r="H181" i="66" s="1"/>
  <c r="I111" i="67"/>
  <c r="J111" i="66" s="1"/>
  <c r="R111" i="66" s="1"/>
  <c r="G129" i="67"/>
  <c r="H129" i="66" s="1"/>
  <c r="E125" i="67"/>
  <c r="M125" i="66" s="1"/>
  <c r="E112" i="67"/>
  <c r="M112" i="66" s="1"/>
  <c r="I149" i="67"/>
  <c r="J149" i="66" s="1"/>
  <c r="R149" i="66" s="1"/>
  <c r="I142" i="67"/>
  <c r="J142" i="66" s="1"/>
  <c r="R142" i="66" s="1"/>
  <c r="G150" i="67"/>
  <c r="H150" i="66" s="1"/>
  <c r="E152" i="67"/>
  <c r="M152" i="66" s="1"/>
  <c r="I470" i="67"/>
  <c r="J470" i="66" s="1"/>
  <c r="R470" i="66" s="1"/>
  <c r="E489" i="67"/>
  <c r="M489" i="66" s="1"/>
  <c r="I438" i="67"/>
  <c r="J438" i="66" s="1"/>
  <c r="R438" i="66" s="1"/>
  <c r="E406" i="67"/>
  <c r="M406" i="66" s="1"/>
  <c r="I411" i="67"/>
  <c r="J411" i="66" s="1"/>
  <c r="R411" i="66" s="1"/>
  <c r="I358" i="67"/>
  <c r="J358" i="66" s="1"/>
  <c r="R358" i="66" s="1"/>
  <c r="G346" i="67"/>
  <c r="H346" i="66" s="1"/>
  <c r="E316" i="67"/>
  <c r="M316" i="66" s="1"/>
  <c r="G317" i="67"/>
  <c r="H317" i="66" s="1"/>
  <c r="E301" i="67"/>
  <c r="M301" i="66" s="1"/>
  <c r="E289" i="67"/>
  <c r="M289" i="66" s="1"/>
  <c r="G486" i="67"/>
  <c r="H486" i="66" s="1"/>
  <c r="E485" i="67"/>
  <c r="M485" i="66" s="1"/>
  <c r="I471" i="67"/>
  <c r="J471" i="66" s="1"/>
  <c r="R471" i="66" s="1"/>
  <c r="E455" i="67"/>
  <c r="M455" i="66" s="1"/>
  <c r="I413" i="67"/>
  <c r="J413" i="66" s="1"/>
  <c r="R413" i="66" s="1"/>
  <c r="G368" i="67"/>
  <c r="H368" i="66" s="1"/>
  <c r="E385" i="67"/>
  <c r="M385" i="66" s="1"/>
  <c r="E348" i="67"/>
  <c r="M348" i="66" s="1"/>
  <c r="G347" i="67"/>
  <c r="H347" i="66" s="1"/>
  <c r="E280" i="67"/>
  <c r="M280" i="66" s="1"/>
  <c r="E288" i="67"/>
  <c r="M288" i="66" s="1"/>
  <c r="E472" i="67"/>
  <c r="M472" i="66" s="1"/>
  <c r="E475" i="67"/>
  <c r="M475" i="66" s="1"/>
  <c r="I481" i="67"/>
  <c r="J481" i="66" s="1"/>
  <c r="R481" i="66" s="1"/>
  <c r="E456" i="67"/>
  <c r="M456" i="66" s="1"/>
  <c r="G438" i="67"/>
  <c r="H438" i="66" s="1"/>
  <c r="I426" i="67"/>
  <c r="J426" i="66" s="1"/>
  <c r="R426" i="66" s="1"/>
  <c r="E404" i="67"/>
  <c r="M404" i="66" s="1"/>
  <c r="E423" i="67"/>
  <c r="M423" i="66" s="1"/>
  <c r="G411" i="67"/>
  <c r="H411" i="66" s="1"/>
  <c r="I397" i="67"/>
  <c r="J397" i="66" s="1"/>
  <c r="R397" i="66" s="1"/>
  <c r="G358" i="67"/>
  <c r="H358" i="66" s="1"/>
  <c r="I393" i="67"/>
  <c r="J393" i="66" s="1"/>
  <c r="R393" i="66" s="1"/>
  <c r="E373" i="67"/>
  <c r="M373" i="66" s="1"/>
  <c r="G353" i="67"/>
  <c r="H353" i="66" s="1"/>
  <c r="I341" i="67"/>
  <c r="J341" i="66" s="1"/>
  <c r="R341" i="66" s="1"/>
  <c r="E308" i="67"/>
  <c r="M308" i="66" s="1"/>
  <c r="E327" i="67"/>
  <c r="M327" i="66" s="1"/>
  <c r="G321" i="67"/>
  <c r="H321" i="66" s="1"/>
  <c r="I295" i="67"/>
  <c r="J295" i="66" s="1"/>
  <c r="R295" i="66" s="1"/>
  <c r="E276" i="67"/>
  <c r="M276" i="66" s="1"/>
  <c r="I299" i="67"/>
  <c r="J299" i="66" s="1"/>
  <c r="R299" i="66" s="1"/>
  <c r="I264" i="67"/>
  <c r="J264" i="66" s="1"/>
  <c r="R264" i="66" s="1"/>
  <c r="E267" i="67"/>
  <c r="M267" i="66" s="1"/>
  <c r="G220" i="67"/>
  <c r="H220" i="66" s="1"/>
  <c r="G208" i="67"/>
  <c r="H208" i="66" s="1"/>
  <c r="G237" i="67"/>
  <c r="H237" i="66" s="1"/>
  <c r="E219" i="67"/>
  <c r="M219" i="66" s="1"/>
  <c r="G215" i="67"/>
  <c r="H215" i="66" s="1"/>
  <c r="G170" i="67"/>
  <c r="H170" i="66" s="1"/>
  <c r="I154" i="67"/>
  <c r="J154" i="66" s="1"/>
  <c r="R154" i="66" s="1"/>
  <c r="I175" i="67"/>
  <c r="J175" i="66" s="1"/>
  <c r="R175" i="66" s="1"/>
  <c r="G142" i="67"/>
  <c r="H142" i="66" s="1"/>
  <c r="G149" i="67"/>
  <c r="H149" i="66" s="1"/>
  <c r="I153" i="67"/>
  <c r="J153" i="66" s="1"/>
  <c r="R153" i="66" s="1"/>
  <c r="E104" i="67"/>
  <c r="M104" i="66" s="1"/>
  <c r="G111" i="67"/>
  <c r="H111" i="66" s="1"/>
  <c r="E264" i="67"/>
  <c r="M264" i="66" s="1"/>
  <c r="G267" i="67"/>
  <c r="H267" i="66" s="1"/>
  <c r="I226" i="67"/>
  <c r="J226" i="66" s="1"/>
  <c r="R226" i="66" s="1"/>
  <c r="G222" i="67"/>
  <c r="H222" i="66" s="1"/>
  <c r="E237" i="67"/>
  <c r="M237" i="66" s="1"/>
  <c r="E229" i="67"/>
  <c r="M229" i="66" s="1"/>
  <c r="G227" i="67"/>
  <c r="H227" i="66" s="1"/>
  <c r="I172" i="67"/>
  <c r="J172" i="66" s="1"/>
  <c r="R172" i="66" s="1"/>
  <c r="E187" i="67"/>
  <c r="M187" i="66" s="1"/>
  <c r="E481" i="67"/>
  <c r="M481" i="66" s="1"/>
  <c r="I451" i="67"/>
  <c r="J451" i="66" s="1"/>
  <c r="R451" i="66" s="1"/>
  <c r="G404" i="67"/>
  <c r="H404" i="66" s="1"/>
  <c r="G388" i="67"/>
  <c r="H388" i="66" s="1"/>
  <c r="E370" i="67"/>
  <c r="M370" i="66" s="1"/>
  <c r="G373" i="67"/>
  <c r="H373" i="66" s="1"/>
  <c r="E341" i="67"/>
  <c r="M341" i="66" s="1"/>
  <c r="E329" i="67"/>
  <c r="M329" i="66" s="1"/>
  <c r="I313" i="67"/>
  <c r="J313" i="66" s="1"/>
  <c r="R313" i="66" s="1"/>
  <c r="E299" i="67"/>
  <c r="M299" i="66" s="1"/>
  <c r="E488" i="67"/>
  <c r="M488" i="66" s="1"/>
  <c r="G514" i="67"/>
  <c r="H514" i="66" s="1"/>
  <c r="E474" i="67"/>
  <c r="M474" i="66" s="1"/>
  <c r="I469" i="67"/>
  <c r="J469" i="66" s="1"/>
  <c r="R469" i="66" s="1"/>
  <c r="G416" i="67"/>
  <c r="H416" i="66" s="1"/>
  <c r="G443" i="67"/>
  <c r="H443" i="66" s="1"/>
  <c r="E376" i="67"/>
  <c r="M376" i="66" s="1"/>
  <c r="G356" i="67"/>
  <c r="H356" i="66" s="1"/>
  <c r="E342" i="67"/>
  <c r="M342" i="66" s="1"/>
  <c r="E357" i="67"/>
  <c r="M357" i="66" s="1"/>
  <c r="I298" i="67"/>
  <c r="J298" i="66" s="1"/>
  <c r="R298" i="66" s="1"/>
  <c r="E282" i="67"/>
  <c r="M282" i="66" s="1"/>
  <c r="I287" i="67"/>
  <c r="J287" i="66" s="1"/>
  <c r="R287" i="66" s="1"/>
  <c r="I492" i="67"/>
  <c r="J492" i="66" s="1"/>
  <c r="R492" i="66" s="1"/>
  <c r="G473" i="67"/>
  <c r="H473" i="66" s="1"/>
  <c r="I442" i="67"/>
  <c r="J442" i="66" s="1"/>
  <c r="R442" i="66" s="1"/>
  <c r="E467" i="67"/>
  <c r="M467" i="66" s="1"/>
  <c r="I465" i="67"/>
  <c r="J465" i="66" s="1"/>
  <c r="R465" i="66" s="1"/>
  <c r="E447" i="67"/>
  <c r="M447" i="66" s="1"/>
  <c r="G414" i="67"/>
  <c r="H414" i="66" s="1"/>
  <c r="I421" i="67"/>
  <c r="J421" i="66" s="1"/>
  <c r="R421" i="66" s="1"/>
  <c r="E380" i="67"/>
  <c r="M380" i="66" s="1"/>
  <c r="E364" i="67"/>
  <c r="M364" i="66" s="1"/>
  <c r="I385" i="67"/>
  <c r="J385" i="66" s="1"/>
  <c r="R385" i="66" s="1"/>
  <c r="I350" i="67"/>
  <c r="J350" i="66" s="1"/>
  <c r="R350" i="66" s="1"/>
  <c r="E371" i="67"/>
  <c r="M371" i="66" s="1"/>
  <c r="I334" i="67"/>
  <c r="J334" i="66" s="1"/>
  <c r="R334" i="66" s="1"/>
  <c r="E326" i="67"/>
  <c r="M326" i="66" s="1"/>
  <c r="G324" i="67"/>
  <c r="H324" i="66" s="1"/>
  <c r="I306" i="67"/>
  <c r="J306" i="66" s="1"/>
  <c r="R306" i="66" s="1"/>
  <c r="E284" i="67"/>
  <c r="M284" i="66" s="1"/>
  <c r="E303" i="67"/>
  <c r="M303" i="66" s="1"/>
  <c r="G283" i="67"/>
  <c r="H283" i="66" s="1"/>
  <c r="I271" i="67"/>
  <c r="J271" i="66" s="1"/>
  <c r="R271" i="66" s="1"/>
  <c r="I259" i="67"/>
  <c r="J259" i="66" s="1"/>
  <c r="R259" i="66" s="1"/>
  <c r="E234" i="67"/>
  <c r="M234" i="66" s="1"/>
  <c r="I247" i="67"/>
  <c r="J247" i="66" s="1"/>
  <c r="R247" i="66" s="1"/>
  <c r="E228" i="67"/>
  <c r="M228" i="66" s="1"/>
  <c r="I216" i="67"/>
  <c r="J216" i="66" s="1"/>
  <c r="R216" i="66" s="1"/>
  <c r="I211" i="67"/>
  <c r="J211" i="66" s="1"/>
  <c r="R211" i="66" s="1"/>
  <c r="I186" i="67"/>
  <c r="J186" i="66" s="1"/>
  <c r="R186" i="66" s="1"/>
  <c r="I201" i="67"/>
  <c r="J201" i="66" s="1"/>
  <c r="R201" i="66" s="1"/>
  <c r="E158" i="67"/>
  <c r="M158" i="66" s="1"/>
  <c r="E177" i="67"/>
  <c r="M177" i="66" s="1"/>
  <c r="E130" i="67"/>
  <c r="M130" i="66" s="1"/>
  <c r="I151" i="67"/>
  <c r="J151" i="66" s="1"/>
  <c r="R151" i="66" s="1"/>
  <c r="E137" i="67"/>
  <c r="M137" i="66" s="1"/>
  <c r="G143" i="67"/>
  <c r="H143" i="66" s="1"/>
  <c r="I108" i="67"/>
  <c r="J108" i="66" s="1"/>
  <c r="R108" i="66" s="1"/>
  <c r="E91" i="67"/>
  <c r="M91" i="66" s="1"/>
  <c r="I250" i="67"/>
  <c r="J250" i="66" s="1"/>
  <c r="R250" i="66" s="1"/>
  <c r="E275" i="67"/>
  <c r="M275" i="66" s="1"/>
  <c r="E247" i="67"/>
  <c r="M247" i="66" s="1"/>
  <c r="G228" i="67"/>
  <c r="H228" i="66" s="1"/>
  <c r="G239" i="67"/>
  <c r="H239" i="66" s="1"/>
  <c r="E211" i="67"/>
  <c r="M211" i="66" s="1"/>
  <c r="I199" i="67"/>
  <c r="J199" i="66" s="1"/>
  <c r="R199" i="66" s="1"/>
  <c r="E192" i="67"/>
  <c r="M192" i="66" s="1"/>
  <c r="G174" i="67"/>
  <c r="H174" i="66" s="1"/>
  <c r="I472" i="67"/>
  <c r="J472" i="66" s="1"/>
  <c r="R472" i="66" s="1"/>
  <c r="I480" i="67"/>
  <c r="J480" i="66" s="1"/>
  <c r="R480" i="66" s="1"/>
  <c r="I462" i="67"/>
  <c r="J462" i="66" s="1"/>
  <c r="R462" i="66" s="1"/>
  <c r="E479" i="67"/>
  <c r="M479" i="66" s="1"/>
  <c r="E465" i="67"/>
  <c r="M465" i="66" s="1"/>
  <c r="G447" i="67"/>
  <c r="H447" i="66" s="1"/>
  <c r="I420" i="67"/>
  <c r="J420" i="66" s="1"/>
  <c r="R420" i="66" s="1"/>
  <c r="E421" i="67"/>
  <c r="M421" i="66" s="1"/>
  <c r="G380" i="67"/>
  <c r="H380" i="66" s="1"/>
  <c r="E417" i="67"/>
  <c r="M417" i="66" s="1"/>
  <c r="G405" i="67"/>
  <c r="H405" i="66" s="1"/>
  <c r="G372" i="67"/>
  <c r="H372" i="66" s="1"/>
  <c r="E360" i="67"/>
  <c r="M360" i="66" s="1"/>
  <c r="E334" i="67"/>
  <c r="M334" i="66" s="1"/>
  <c r="G326" i="67"/>
  <c r="H326" i="66" s="1"/>
  <c r="I310" i="67"/>
  <c r="J310" i="66" s="1"/>
  <c r="R310" i="66" s="1"/>
  <c r="E306" i="67"/>
  <c r="M306" i="66" s="1"/>
  <c r="G284" i="67"/>
  <c r="H284" i="66" s="1"/>
  <c r="E290" i="67"/>
  <c r="M290" i="66" s="1"/>
  <c r="G268" i="67"/>
  <c r="H268" i="66" s="1"/>
  <c r="I262" i="67"/>
  <c r="J262" i="66" s="1"/>
  <c r="R262" i="66" s="1"/>
  <c r="I514" i="67"/>
  <c r="J514" i="66" s="1"/>
  <c r="R514" i="66" s="1"/>
  <c r="I490" i="67"/>
  <c r="J490" i="66" s="1"/>
  <c r="R490" i="66" s="1"/>
  <c r="G466" i="67"/>
  <c r="H466" i="66" s="1"/>
  <c r="E468" i="67"/>
  <c r="M468" i="66" s="1"/>
  <c r="G440" i="67"/>
  <c r="H440" i="66" s="1"/>
  <c r="E461" i="67"/>
  <c r="M461" i="66" s="1"/>
  <c r="G444" i="67"/>
  <c r="H444" i="66" s="1"/>
  <c r="I422" i="67"/>
  <c r="J422" i="66" s="1"/>
  <c r="R422" i="66" s="1"/>
  <c r="E441" i="67"/>
  <c r="M441" i="66" s="1"/>
  <c r="E402" i="67"/>
  <c r="M402" i="66" s="1"/>
  <c r="G386" i="67"/>
  <c r="H386" i="66" s="1"/>
  <c r="I374" i="67"/>
  <c r="J374" i="66" s="1"/>
  <c r="R374" i="66" s="1"/>
  <c r="G362" i="67"/>
  <c r="H362" i="66" s="1"/>
  <c r="G344" i="67"/>
  <c r="H344" i="66" s="1"/>
  <c r="E375" i="67"/>
  <c r="M375" i="66" s="1"/>
  <c r="G338" i="67"/>
  <c r="H338" i="66" s="1"/>
  <c r="I322" i="67"/>
  <c r="J322" i="66" s="1"/>
  <c r="R322" i="66" s="1"/>
  <c r="E318" i="67"/>
  <c r="M318" i="66" s="1"/>
  <c r="E333" i="67"/>
  <c r="M333" i="66" s="1"/>
  <c r="G305" i="67"/>
  <c r="H305" i="66" s="1"/>
  <c r="I293" i="67"/>
  <c r="J293" i="66" s="1"/>
  <c r="R293" i="66" s="1"/>
  <c r="E297" i="67"/>
  <c r="M297" i="66" s="1"/>
  <c r="G248" i="67"/>
  <c r="H248" i="66" s="1"/>
  <c r="I482" i="67"/>
  <c r="J482" i="66" s="1"/>
  <c r="R482" i="66" s="1"/>
  <c r="E480" i="67"/>
  <c r="M480" i="66" s="1"/>
  <c r="I460" i="67"/>
  <c r="J460" i="66" s="1"/>
  <c r="R460" i="66" s="1"/>
  <c r="I454" i="67"/>
  <c r="J454" i="66" s="1"/>
  <c r="R454" i="66" s="1"/>
  <c r="I468" i="67"/>
  <c r="J468" i="66" s="1"/>
  <c r="R468" i="66" s="1"/>
  <c r="E477" i="67"/>
  <c r="M477" i="66" s="1"/>
  <c r="E440" i="67"/>
  <c r="M440" i="66" s="1"/>
  <c r="I450" i="67"/>
  <c r="J450" i="66" s="1"/>
  <c r="R450" i="66" s="1"/>
  <c r="E434" i="67"/>
  <c r="M434" i="66" s="1"/>
  <c r="E449" i="67"/>
  <c r="M449" i="66" s="1"/>
  <c r="G453" i="67"/>
  <c r="H453" i="66" s="1"/>
  <c r="G422" i="67"/>
  <c r="H422" i="66" s="1"/>
  <c r="I400" i="67"/>
  <c r="J400" i="66" s="1"/>
  <c r="R400" i="66" s="1"/>
  <c r="I427" i="67"/>
  <c r="J427" i="66" s="1"/>
  <c r="R427" i="66" s="1"/>
  <c r="E431" i="67"/>
  <c r="M431" i="66" s="1"/>
  <c r="E392" i="67"/>
  <c r="M392" i="66" s="1"/>
  <c r="I402" i="67"/>
  <c r="J402" i="66" s="1"/>
  <c r="R402" i="66" s="1"/>
  <c r="E409" i="67"/>
  <c r="M409" i="66" s="1"/>
  <c r="E386" i="67"/>
  <c r="M386" i="66" s="1"/>
  <c r="G374" i="67"/>
  <c r="H374" i="66" s="1"/>
  <c r="G389" i="67"/>
  <c r="H389" i="66" s="1"/>
  <c r="E372" i="67"/>
  <c r="M372" i="66" s="1"/>
  <c r="G379" i="67"/>
  <c r="H379" i="66" s="1"/>
  <c r="E354" i="67"/>
  <c r="M354" i="66" s="1"/>
  <c r="E344" i="67"/>
  <c r="M344" i="66" s="1"/>
  <c r="I365" i="67"/>
  <c r="J365" i="66" s="1"/>
  <c r="R365" i="66" s="1"/>
  <c r="E369" i="67"/>
  <c r="M369" i="66" s="1"/>
  <c r="E363" i="67"/>
  <c r="M363" i="66" s="1"/>
  <c r="G351" i="67"/>
  <c r="H351" i="66" s="1"/>
  <c r="G322" i="67"/>
  <c r="H322" i="66" s="1"/>
  <c r="I339" i="67"/>
  <c r="J339" i="66" s="1"/>
  <c r="R339" i="66" s="1"/>
  <c r="I304" i="67"/>
  <c r="J304" i="66" s="1"/>
  <c r="R304" i="66" s="1"/>
  <c r="E292" i="67"/>
  <c r="M292" i="66" s="1"/>
  <c r="E296" i="67"/>
  <c r="M296" i="66" s="1"/>
  <c r="I333" i="67"/>
  <c r="J333" i="66" s="1"/>
  <c r="R333" i="66" s="1"/>
  <c r="E300" i="67"/>
  <c r="M300" i="66" s="1"/>
  <c r="E305" i="67"/>
  <c r="M305" i="66" s="1"/>
  <c r="G293" i="67"/>
  <c r="H293" i="66" s="1"/>
  <c r="G274" i="67"/>
  <c r="H274" i="66" s="1"/>
  <c r="I281" i="67"/>
  <c r="J281" i="66" s="1"/>
  <c r="R281" i="66" s="1"/>
  <c r="I297" i="67"/>
  <c r="J297" i="66" s="1"/>
  <c r="R297" i="66" s="1"/>
  <c r="E285" i="67"/>
  <c r="M285" i="66" s="1"/>
  <c r="I279" i="67"/>
  <c r="J279" i="66" s="1"/>
  <c r="R279" i="66" s="1"/>
  <c r="E232" i="67"/>
  <c r="M232" i="66" s="1"/>
  <c r="E236" i="67"/>
  <c r="M236" i="66" s="1"/>
  <c r="I273" i="67"/>
  <c r="J273" i="66" s="1"/>
  <c r="R273" i="66" s="1"/>
  <c r="E255" i="67"/>
  <c r="M255" i="66" s="1"/>
  <c r="E261" i="67"/>
  <c r="M261" i="66" s="1"/>
  <c r="G251" i="67"/>
  <c r="H251" i="66" s="1"/>
  <c r="G235" i="67"/>
  <c r="H235" i="66" s="1"/>
  <c r="G206" i="67"/>
  <c r="H206" i="66" s="1"/>
  <c r="E206" i="67"/>
  <c r="M206" i="66" s="1"/>
  <c r="E204" i="67"/>
  <c r="M204" i="66" s="1"/>
  <c r="E188" i="67"/>
  <c r="M188" i="66" s="1"/>
  <c r="I190" i="67"/>
  <c r="J190" i="66" s="1"/>
  <c r="R190" i="66" s="1"/>
  <c r="E207" i="67"/>
  <c r="M207" i="66" s="1"/>
  <c r="E213" i="67"/>
  <c r="M213" i="66" s="1"/>
  <c r="E174" i="67"/>
  <c r="M174" i="66" s="1"/>
  <c r="G180" i="67"/>
  <c r="H180" i="66" s="1"/>
  <c r="G189" i="67"/>
  <c r="H189" i="66" s="1"/>
  <c r="I191" i="67"/>
  <c r="J191" i="66" s="1"/>
  <c r="R191" i="66" s="1"/>
  <c r="G163" i="67"/>
  <c r="H163" i="66" s="1"/>
  <c r="G136" i="67"/>
  <c r="H136" i="66" s="1"/>
  <c r="I161" i="67"/>
  <c r="J161" i="66" s="1"/>
  <c r="R161" i="66" s="1"/>
  <c r="E138" i="67"/>
  <c r="M138" i="66" s="1"/>
  <c r="E124" i="67"/>
  <c r="M124" i="66" s="1"/>
  <c r="G122" i="67"/>
  <c r="H122" i="66" s="1"/>
  <c r="G145" i="67"/>
  <c r="H145" i="66" s="1"/>
  <c r="I133" i="67"/>
  <c r="J133" i="66" s="1"/>
  <c r="R133" i="66" s="1"/>
  <c r="I141" i="67"/>
  <c r="J141" i="66" s="1"/>
  <c r="R141" i="66" s="1"/>
  <c r="E131" i="67"/>
  <c r="M131" i="66" s="1"/>
  <c r="I102" i="67"/>
  <c r="J102" i="66" s="1"/>
  <c r="R102" i="66" s="1"/>
  <c r="E103" i="67"/>
  <c r="M103" i="66" s="1"/>
  <c r="G99" i="67"/>
  <c r="H99" i="66" s="1"/>
  <c r="E258" i="67"/>
  <c r="M258" i="66" s="1"/>
  <c r="G236" i="67"/>
  <c r="H236" i="66" s="1"/>
  <c r="E273" i="67"/>
  <c r="M273" i="66" s="1"/>
  <c r="E246" i="67"/>
  <c r="M246" i="66" s="1"/>
  <c r="G261" i="67"/>
  <c r="H261" i="66" s="1"/>
  <c r="G253" i="67"/>
  <c r="H253" i="66" s="1"/>
  <c r="I251" i="67"/>
  <c r="J251" i="66" s="1"/>
  <c r="R251" i="66" s="1"/>
  <c r="I235" i="67"/>
  <c r="J235" i="66" s="1"/>
  <c r="R235" i="66" s="1"/>
  <c r="I206" i="67"/>
  <c r="J206" i="66" s="1"/>
  <c r="R206" i="66" s="1"/>
  <c r="G202" i="67"/>
  <c r="H202" i="66" s="1"/>
  <c r="G188" i="67"/>
  <c r="H188" i="66" s="1"/>
  <c r="E190" i="67"/>
  <c r="M190" i="66" s="1"/>
  <c r="E194" i="67"/>
  <c r="M194" i="66" s="1"/>
  <c r="G213" i="67"/>
  <c r="H213" i="66" s="1"/>
  <c r="G182" i="67"/>
  <c r="H182" i="66" s="1"/>
  <c r="G203" i="67"/>
  <c r="H203" i="66" s="1"/>
  <c r="I180" i="67"/>
  <c r="J180" i="66" s="1"/>
  <c r="R180" i="66" s="1"/>
  <c r="I189" i="67"/>
  <c r="J189" i="66" s="1"/>
  <c r="R189" i="66" s="1"/>
  <c r="E154" i="67"/>
  <c r="M154" i="66" s="1"/>
  <c r="I163" i="67"/>
  <c r="J163" i="66" s="1"/>
  <c r="R163" i="66" s="1"/>
  <c r="I136" i="67"/>
  <c r="J136" i="66" s="1"/>
  <c r="R136" i="66" s="1"/>
  <c r="E156" i="67"/>
  <c r="M156" i="66" s="1"/>
  <c r="G124" i="67"/>
  <c r="H124" i="66" s="1"/>
  <c r="G165" i="67"/>
  <c r="H165" i="66" s="1"/>
  <c r="I122" i="67"/>
  <c r="J122" i="66" s="1"/>
  <c r="R122" i="66" s="1"/>
  <c r="I145" i="67"/>
  <c r="J145" i="66" s="1"/>
  <c r="R145" i="66" s="1"/>
  <c r="E141" i="67"/>
  <c r="M141" i="66" s="1"/>
  <c r="E110" i="67"/>
  <c r="M110" i="66" s="1"/>
  <c r="E102" i="67"/>
  <c r="M102" i="66" s="1"/>
  <c r="E121" i="67"/>
  <c r="M121" i="66" s="1"/>
  <c r="G103" i="67"/>
  <c r="H103" i="66" s="1"/>
  <c r="G119" i="67"/>
  <c r="H119" i="66" s="1"/>
  <c r="I484" i="67"/>
  <c r="J484" i="66" s="1"/>
  <c r="R484" i="66" s="1"/>
  <c r="G492" i="67"/>
  <c r="H492" i="66" s="1"/>
  <c r="I485" i="67"/>
  <c r="J485" i="66" s="1"/>
  <c r="R485" i="66" s="1"/>
  <c r="I491" i="67"/>
  <c r="J491" i="66" s="1"/>
  <c r="R491" i="66" s="1"/>
  <c r="I475" i="67"/>
  <c r="J475" i="66" s="1"/>
  <c r="R475" i="66" s="1"/>
  <c r="G481" i="67"/>
  <c r="H481" i="66" s="1"/>
  <c r="I461" i="67"/>
  <c r="J461" i="66" s="1"/>
  <c r="R461" i="66" s="1"/>
  <c r="I436" i="67"/>
  <c r="J436" i="66" s="1"/>
  <c r="R436" i="66" s="1"/>
  <c r="E444" i="67"/>
  <c r="M444" i="66" s="1"/>
  <c r="E451" i="67"/>
  <c r="M451" i="66" s="1"/>
  <c r="G418" i="67"/>
  <c r="H418" i="66" s="1"/>
  <c r="G426" i="67"/>
  <c r="H426" i="66" s="1"/>
  <c r="I441" i="67"/>
  <c r="J441" i="66" s="1"/>
  <c r="R441" i="66" s="1"/>
  <c r="I433" i="67"/>
  <c r="J433" i="66" s="1"/>
  <c r="R433" i="66" s="1"/>
  <c r="G406" i="67"/>
  <c r="H406" i="66" s="1"/>
  <c r="I408" i="67"/>
  <c r="J408" i="66" s="1"/>
  <c r="R408" i="66" s="1"/>
  <c r="I423" i="67"/>
  <c r="J423" i="66" s="1"/>
  <c r="R423" i="66" s="1"/>
  <c r="E390" i="67"/>
  <c r="M390" i="66" s="1"/>
  <c r="E411" i="67"/>
  <c r="M411" i="66" s="1"/>
  <c r="G397" i="67"/>
  <c r="H397" i="66" s="1"/>
  <c r="G407" i="67"/>
  <c r="H407" i="66" s="1"/>
  <c r="E379" i="67"/>
  <c r="M379" i="66" s="1"/>
  <c r="G395" i="67"/>
  <c r="H395" i="66" s="1"/>
  <c r="G393" i="67"/>
  <c r="H393" i="66" s="1"/>
  <c r="I375" i="67"/>
  <c r="J375" i="66" s="1"/>
  <c r="R375" i="66" s="1"/>
  <c r="I381" i="67"/>
  <c r="J381" i="66" s="1"/>
  <c r="R381" i="66" s="1"/>
  <c r="E338" i="67"/>
  <c r="M338" i="66" s="1"/>
  <c r="E328" i="67"/>
  <c r="M328" i="66" s="1"/>
  <c r="G343" i="67"/>
  <c r="H343" i="66" s="1"/>
  <c r="G341" i="67"/>
  <c r="H341" i="66" s="1"/>
  <c r="I318" i="67"/>
  <c r="J318" i="66" s="1"/>
  <c r="R318" i="66" s="1"/>
  <c r="I345" i="67"/>
  <c r="J345" i="66" s="1"/>
  <c r="R345" i="66" s="1"/>
  <c r="G314" i="67"/>
  <c r="H314" i="66" s="1"/>
  <c r="I325" i="67"/>
  <c r="J325" i="66" s="1"/>
  <c r="R325" i="66" s="1"/>
  <c r="I327" i="67"/>
  <c r="J327" i="66" s="1"/>
  <c r="R327" i="66" s="1"/>
  <c r="E315" i="67"/>
  <c r="M315" i="66" s="1"/>
  <c r="E321" i="67"/>
  <c r="M321" i="66" s="1"/>
  <c r="G295" i="67"/>
  <c r="H295" i="66" s="1"/>
  <c r="G301" i="67"/>
  <c r="H301" i="66" s="1"/>
  <c r="I256" i="67"/>
  <c r="J256" i="66" s="1"/>
  <c r="R256" i="66" s="1"/>
  <c r="I276" i="67"/>
  <c r="J276" i="66" s="1"/>
  <c r="R276" i="66" s="1"/>
  <c r="G299" i="67"/>
  <c r="H299" i="66" s="1"/>
  <c r="I508" i="67"/>
  <c r="J508" i="66" s="1"/>
  <c r="R508" i="66" s="1"/>
  <c r="G484" i="67"/>
  <c r="H484" i="66" s="1"/>
  <c r="E464" i="67"/>
  <c r="M464" i="66" s="1"/>
  <c r="G485" i="67"/>
  <c r="H485" i="66" s="1"/>
  <c r="G491" i="67"/>
  <c r="H491" i="66" s="1"/>
  <c r="G475" i="67"/>
  <c r="H475" i="66" s="1"/>
  <c r="I440" i="67"/>
  <c r="J440" i="66" s="1"/>
  <c r="R440" i="66" s="1"/>
  <c r="G461" i="67"/>
  <c r="H461" i="66" s="1"/>
  <c r="G436" i="67"/>
  <c r="H436" i="66" s="1"/>
  <c r="I449" i="67"/>
  <c r="J449" i="66" s="1"/>
  <c r="R449" i="66" s="1"/>
  <c r="I444" i="67"/>
  <c r="J444" i="66" s="1"/>
  <c r="R444" i="66" s="1"/>
  <c r="E422" i="67"/>
  <c r="M422" i="66" s="1"/>
  <c r="E418" i="67"/>
  <c r="M418" i="66" s="1"/>
  <c r="G441" i="67"/>
  <c r="H441" i="66" s="1"/>
  <c r="G433" i="67"/>
  <c r="H433" i="66" s="1"/>
  <c r="I392" i="67"/>
  <c r="J392" i="66" s="1"/>
  <c r="R392" i="66" s="1"/>
  <c r="G408" i="67"/>
  <c r="H408" i="66" s="1"/>
  <c r="G423" i="67"/>
  <c r="H423" i="66" s="1"/>
  <c r="I386" i="67"/>
  <c r="J386" i="66" s="1"/>
  <c r="R386" i="66" s="1"/>
  <c r="I390" i="67"/>
  <c r="J390" i="66" s="1"/>
  <c r="R390" i="66" s="1"/>
  <c r="E389" i="67"/>
  <c r="M389" i="66" s="1"/>
  <c r="E397" i="67"/>
  <c r="M397" i="66" s="1"/>
  <c r="I362" i="67"/>
  <c r="J362" i="66" s="1"/>
  <c r="R362" i="66" s="1"/>
  <c r="E358" i="67"/>
  <c r="M358" i="66" s="1"/>
  <c r="I344" i="67"/>
  <c r="J344" i="66" s="1"/>
  <c r="R344" i="66" s="1"/>
  <c r="G375" i="67"/>
  <c r="H375" i="66" s="1"/>
  <c r="G381" i="67"/>
  <c r="H381" i="66" s="1"/>
  <c r="I363" i="67"/>
  <c r="J363" i="66" s="1"/>
  <c r="R363" i="66" s="1"/>
  <c r="I338" i="67"/>
  <c r="J338" i="66" s="1"/>
  <c r="R338" i="66" s="1"/>
  <c r="E322" i="67"/>
  <c r="M322" i="66" s="1"/>
  <c r="E343" i="67"/>
  <c r="M343" i="66" s="1"/>
  <c r="G318" i="67"/>
  <c r="H318" i="66" s="1"/>
  <c r="G345" i="67"/>
  <c r="H345" i="66" s="1"/>
  <c r="I296" i="67"/>
  <c r="J296" i="66" s="1"/>
  <c r="R296" i="66" s="1"/>
  <c r="G325" i="67"/>
  <c r="H325" i="66" s="1"/>
  <c r="G327" i="67"/>
  <c r="H327" i="66" s="1"/>
  <c r="I305" i="67"/>
  <c r="J305" i="66" s="1"/>
  <c r="R305" i="66" s="1"/>
  <c r="I315" i="67"/>
  <c r="J315" i="66" s="1"/>
  <c r="R315" i="66" s="1"/>
  <c r="E274" i="67"/>
  <c r="M274" i="66" s="1"/>
  <c r="E295" i="67"/>
  <c r="M295" i="66" s="1"/>
  <c r="G256" i="67"/>
  <c r="H256" i="66" s="1"/>
  <c r="G276" i="67"/>
  <c r="H276" i="66" s="1"/>
  <c r="I248" i="67"/>
  <c r="J248" i="66" s="1"/>
  <c r="R248" i="66" s="1"/>
  <c r="G285" i="67"/>
  <c r="H285" i="66" s="1"/>
  <c r="I236" i="67"/>
  <c r="J236" i="66" s="1"/>
  <c r="R236" i="66" s="1"/>
  <c r="G246" i="67"/>
  <c r="H246" i="66" s="1"/>
  <c r="G265" i="67"/>
  <c r="H265" i="66" s="1"/>
  <c r="I261" i="67"/>
  <c r="J261" i="66" s="1"/>
  <c r="R261" i="66" s="1"/>
  <c r="I253" i="67"/>
  <c r="J253" i="66" s="1"/>
  <c r="R253" i="66" s="1"/>
  <c r="E235" i="67"/>
  <c r="M235" i="66" s="1"/>
  <c r="E212" i="67"/>
  <c r="M212" i="66" s="1"/>
  <c r="E202" i="67"/>
  <c r="M202" i="66" s="1"/>
  <c r="I202" i="67"/>
  <c r="J202" i="66" s="1"/>
  <c r="R202" i="66" s="1"/>
  <c r="I188" i="67"/>
  <c r="J188" i="66" s="1"/>
  <c r="R188" i="66" s="1"/>
  <c r="G194" i="67"/>
  <c r="H194" i="66" s="1"/>
  <c r="G219" i="67"/>
  <c r="H219" i="66" s="1"/>
  <c r="I213" i="67"/>
  <c r="J213" i="66" s="1"/>
  <c r="R213" i="66" s="1"/>
  <c r="I182" i="67"/>
  <c r="J182" i="66" s="1"/>
  <c r="R182" i="66" s="1"/>
  <c r="I203" i="67"/>
  <c r="J203" i="66" s="1"/>
  <c r="R203" i="66" s="1"/>
  <c r="E170" i="67"/>
  <c r="M170" i="66" s="1"/>
  <c r="E191" i="67"/>
  <c r="M191" i="66" s="1"/>
  <c r="G152" i="67"/>
  <c r="H152" i="66" s="1"/>
  <c r="E136" i="67"/>
  <c r="M136" i="66" s="1"/>
  <c r="E161" i="67"/>
  <c r="M161" i="66" s="1"/>
  <c r="G140" i="67"/>
  <c r="H140" i="66" s="1"/>
  <c r="I124" i="67"/>
  <c r="J124" i="66" s="1"/>
  <c r="R124" i="66" s="1"/>
  <c r="I165" i="67"/>
  <c r="J165" i="66" s="1"/>
  <c r="R165" i="66" s="1"/>
  <c r="E145" i="67"/>
  <c r="M145" i="66" s="1"/>
  <c r="E147" i="67"/>
  <c r="M147" i="66" s="1"/>
  <c r="G110" i="67"/>
  <c r="H110" i="66" s="1"/>
  <c r="G106" i="67"/>
  <c r="H106" i="66" s="1"/>
  <c r="G121" i="67"/>
  <c r="H121" i="66" s="1"/>
  <c r="I103" i="67"/>
  <c r="J103" i="66" s="1"/>
  <c r="R103" i="66" s="1"/>
  <c r="I119" i="67"/>
  <c r="J119" i="66" s="1"/>
  <c r="R119" i="66" s="1"/>
  <c r="I285" i="67"/>
  <c r="J285" i="66" s="1"/>
  <c r="R285" i="66" s="1"/>
  <c r="G264" i="67"/>
  <c r="H264" i="66" s="1"/>
  <c r="I246" i="67"/>
  <c r="J246" i="66" s="1"/>
  <c r="R246" i="66" s="1"/>
  <c r="I265" i="67"/>
  <c r="J265" i="66" s="1"/>
  <c r="R265" i="66" s="1"/>
  <c r="E253" i="67"/>
  <c r="M253" i="66" s="1"/>
  <c r="E226" i="67"/>
  <c r="M226" i="66" s="1"/>
  <c r="G212" i="67"/>
  <c r="H212" i="66" s="1"/>
  <c r="E222" i="67"/>
  <c r="M222" i="66" s="1"/>
  <c r="G223" i="67"/>
  <c r="H223" i="66" s="1"/>
  <c r="E223" i="67"/>
  <c r="M223" i="66" s="1"/>
  <c r="G231" i="67"/>
  <c r="H231" i="66" s="1"/>
  <c r="I194" i="67"/>
  <c r="J194" i="66" s="1"/>
  <c r="R194" i="66" s="1"/>
  <c r="I219" i="67"/>
  <c r="J219" i="66" s="1"/>
  <c r="R219" i="66" s="1"/>
  <c r="E182" i="67"/>
  <c r="M182" i="66" s="1"/>
  <c r="E215" i="67"/>
  <c r="M215" i="66" s="1"/>
  <c r="E180" i="67"/>
  <c r="M180" i="66" s="1"/>
  <c r="G185" i="67"/>
  <c r="H185" i="66" s="1"/>
  <c r="G154" i="67"/>
  <c r="H154" i="66" s="1"/>
  <c r="I152" i="67"/>
  <c r="J152" i="66" s="1"/>
  <c r="R152" i="66" s="1"/>
  <c r="G175" i="67"/>
  <c r="H175" i="66" s="1"/>
  <c r="G156" i="67"/>
  <c r="H156" i="66" s="1"/>
  <c r="I140" i="67"/>
  <c r="J140" i="66" s="1"/>
  <c r="R140" i="66" s="1"/>
  <c r="E165" i="67"/>
  <c r="M165" i="66" s="1"/>
  <c r="E159" i="67"/>
  <c r="M159" i="66" s="1"/>
  <c r="G147" i="67"/>
  <c r="H147" i="66" s="1"/>
  <c r="G153" i="67"/>
  <c r="H153" i="66" s="1"/>
  <c r="I110" i="67"/>
  <c r="J110" i="66" s="1"/>
  <c r="R110" i="66" s="1"/>
  <c r="I106" i="67"/>
  <c r="J106" i="66" s="1"/>
  <c r="R106" i="66" s="1"/>
  <c r="G125" i="67"/>
  <c r="H125" i="66" s="1"/>
  <c r="I121" i="67"/>
  <c r="J121" i="66" s="1"/>
  <c r="R121" i="66" s="1"/>
  <c r="E119" i="67"/>
  <c r="M119" i="66" s="1"/>
  <c r="E111" i="67"/>
  <c r="M111" i="66" s="1"/>
  <c r="I478" i="67"/>
  <c r="J478" i="66" s="1"/>
  <c r="R478" i="66" s="1"/>
  <c r="G460" i="67"/>
  <c r="H460" i="66" s="1"/>
  <c r="G454" i="67"/>
  <c r="H454" i="66" s="1"/>
  <c r="G468" i="67"/>
  <c r="H468" i="66" s="1"/>
  <c r="I479" i="67"/>
  <c r="J479" i="66" s="1"/>
  <c r="R479" i="66" s="1"/>
  <c r="I477" i="67"/>
  <c r="J477" i="66" s="1"/>
  <c r="R477" i="66" s="1"/>
  <c r="G450" i="67"/>
  <c r="H450" i="66" s="1"/>
  <c r="I424" i="67"/>
  <c r="J424" i="66" s="1"/>
  <c r="R424" i="66" s="1"/>
  <c r="I434" i="67"/>
  <c r="J434" i="66" s="1"/>
  <c r="R434" i="66" s="1"/>
  <c r="E437" i="67"/>
  <c r="M437" i="66" s="1"/>
  <c r="E453" i="67"/>
  <c r="M453" i="66" s="1"/>
  <c r="G400" i="67"/>
  <c r="H400" i="66" s="1"/>
  <c r="G427" i="67"/>
  <c r="H427" i="66" s="1"/>
  <c r="I429" i="67"/>
  <c r="J429" i="66" s="1"/>
  <c r="R429" i="66" s="1"/>
  <c r="I431" i="67"/>
  <c r="J431" i="66" s="1"/>
  <c r="R431" i="66" s="1"/>
  <c r="G402" i="67"/>
  <c r="H402" i="66" s="1"/>
  <c r="I417" i="67"/>
  <c r="J417" i="66" s="1"/>
  <c r="R417" i="66" s="1"/>
  <c r="I409" i="67"/>
  <c r="J409" i="66" s="1"/>
  <c r="R409" i="66" s="1"/>
  <c r="E405" i="67"/>
  <c r="M405" i="66" s="1"/>
  <c r="E374" i="67"/>
  <c r="M374" i="66" s="1"/>
  <c r="I377" i="67"/>
  <c r="J377" i="66" s="1"/>
  <c r="R377" i="66" s="1"/>
  <c r="E362" i="67"/>
  <c r="M362" i="66" s="1"/>
  <c r="I360" i="67"/>
  <c r="J360" i="66" s="1"/>
  <c r="R360" i="66" s="1"/>
  <c r="I354" i="67"/>
  <c r="J354" i="66" s="1"/>
  <c r="R354" i="66" s="1"/>
  <c r="G365" i="67"/>
  <c r="H365" i="66" s="1"/>
  <c r="I361" i="67"/>
  <c r="J361" i="66" s="1"/>
  <c r="R361" i="66" s="1"/>
  <c r="I369" i="67"/>
  <c r="J369" i="66" s="1"/>
  <c r="R369" i="66" s="1"/>
  <c r="E330" i="67"/>
  <c r="M330" i="66" s="1"/>
  <c r="E351" i="67"/>
  <c r="M351" i="66" s="1"/>
  <c r="G339" i="67"/>
  <c r="H339" i="66" s="1"/>
  <c r="G304" i="67"/>
  <c r="H304" i="66" s="1"/>
  <c r="I335" i="67"/>
  <c r="J335" i="66" s="1"/>
  <c r="R335" i="66" s="1"/>
  <c r="I292" i="67"/>
  <c r="J292" i="66" s="1"/>
  <c r="R292" i="66" s="1"/>
  <c r="G333" i="67"/>
  <c r="H333" i="66" s="1"/>
  <c r="I290" i="67"/>
  <c r="J290" i="66" s="1"/>
  <c r="R290" i="66" s="1"/>
  <c r="I300" i="67"/>
  <c r="J300" i="66" s="1"/>
  <c r="R300" i="66" s="1"/>
  <c r="E268" i="67"/>
  <c r="M268" i="66" s="1"/>
  <c r="E293" i="67"/>
  <c r="M293" i="66" s="1"/>
  <c r="G281" i="67"/>
  <c r="H281" i="66" s="1"/>
  <c r="G297" i="67"/>
  <c r="H297" i="66" s="1"/>
  <c r="I258" i="67"/>
  <c r="J258" i="66" s="1"/>
  <c r="R258" i="66" s="1"/>
  <c r="I512" i="67"/>
  <c r="J512" i="66" s="1"/>
  <c r="R512" i="66" s="1"/>
  <c r="E476" i="67"/>
  <c r="M476" i="66" s="1"/>
  <c r="I476" i="67"/>
  <c r="J476" i="66" s="1"/>
  <c r="R476" i="66" s="1"/>
  <c r="E487" i="67"/>
  <c r="M487" i="66" s="1"/>
  <c r="E466" i="67"/>
  <c r="M466" i="66" s="1"/>
  <c r="E462" i="67"/>
  <c r="M462" i="66" s="1"/>
  <c r="E454" i="67"/>
  <c r="M454" i="66" s="1"/>
  <c r="G479" i="67"/>
  <c r="H479" i="66" s="1"/>
  <c r="G477" i="67"/>
  <c r="H477" i="66" s="1"/>
  <c r="I428" i="67"/>
  <c r="J428" i="66" s="1"/>
  <c r="R428" i="66" s="1"/>
  <c r="G424" i="67"/>
  <c r="H424" i="66" s="1"/>
  <c r="G434" i="67"/>
  <c r="H434" i="66" s="1"/>
  <c r="I447" i="67"/>
  <c r="J447" i="66" s="1"/>
  <c r="R447" i="66" s="1"/>
  <c r="I437" i="67"/>
  <c r="J437" i="66" s="1"/>
  <c r="R437" i="66" s="1"/>
  <c r="E414" i="67"/>
  <c r="M414" i="66" s="1"/>
  <c r="E400" i="67"/>
  <c r="M400" i="66" s="1"/>
  <c r="G429" i="67"/>
  <c r="H429" i="66" s="1"/>
  <c r="G431" i="67"/>
  <c r="H431" i="66" s="1"/>
  <c r="I380" i="67"/>
  <c r="J380" i="66" s="1"/>
  <c r="R380" i="66" s="1"/>
  <c r="G417" i="67"/>
  <c r="H417" i="66" s="1"/>
  <c r="G409" i="67"/>
  <c r="H409" i="66" s="1"/>
  <c r="I378" i="67"/>
  <c r="J378" i="66" s="1"/>
  <c r="R378" i="66" s="1"/>
  <c r="I405" i="67"/>
  <c r="J405" i="66" s="1"/>
  <c r="R405" i="66" s="1"/>
  <c r="G377" i="67"/>
  <c r="H377" i="66" s="1"/>
  <c r="I372" i="67"/>
  <c r="J372" i="66" s="1"/>
  <c r="R372" i="66" s="1"/>
  <c r="G360" i="67"/>
  <c r="H360" i="66" s="1"/>
  <c r="G354" i="67"/>
  <c r="H354" i="66" s="1"/>
  <c r="I332" i="67"/>
  <c r="J332" i="66" s="1"/>
  <c r="R332" i="66" s="1"/>
  <c r="G361" i="67"/>
  <c r="H361" i="66" s="1"/>
  <c r="G369" i="67"/>
  <c r="H369" i="66" s="1"/>
  <c r="I326" i="67"/>
  <c r="J326" i="66" s="1"/>
  <c r="R326" i="66" s="1"/>
  <c r="I330" i="67"/>
  <c r="J330" i="66" s="1"/>
  <c r="R330" i="66" s="1"/>
  <c r="E324" i="67"/>
  <c r="M324" i="66" s="1"/>
  <c r="E339" i="67"/>
  <c r="M339" i="66" s="1"/>
  <c r="G335" i="67"/>
  <c r="H335" i="66" s="1"/>
  <c r="G292" i="67"/>
  <c r="H292" i="66" s="1"/>
  <c r="I284" i="67"/>
  <c r="J284" i="66" s="1"/>
  <c r="R284" i="66" s="1"/>
  <c r="G290" i="67"/>
  <c r="H290" i="66" s="1"/>
  <c r="G300" i="67"/>
  <c r="H300" i="66" s="1"/>
  <c r="I278" i="67"/>
  <c r="J278" i="66" s="1"/>
  <c r="R278" i="66" s="1"/>
  <c r="I268" i="67"/>
  <c r="J268" i="66" s="1"/>
  <c r="R268" i="66" s="1"/>
  <c r="E262" i="67"/>
  <c r="M262" i="66" s="1"/>
  <c r="E281" i="67"/>
  <c r="M281" i="66" s="1"/>
  <c r="G258" i="67"/>
  <c r="H258" i="66" s="1"/>
  <c r="E271" i="67"/>
  <c r="M271" i="66" s="1"/>
  <c r="G275" i="67"/>
  <c r="H275" i="66" s="1"/>
  <c r="G232" i="67"/>
  <c r="H232" i="66" s="1"/>
  <c r="I224" i="67"/>
  <c r="J224" i="66" s="1"/>
  <c r="R224" i="66" s="1"/>
  <c r="G245" i="67"/>
  <c r="H245" i="66" s="1"/>
  <c r="G255" i="67"/>
  <c r="H255" i="66" s="1"/>
  <c r="I228" i="67"/>
  <c r="J228" i="66" s="1"/>
  <c r="R228" i="66" s="1"/>
  <c r="I249" i="67"/>
  <c r="J249" i="66" s="1"/>
  <c r="R249" i="66" s="1"/>
  <c r="I239" i="67"/>
  <c r="J239" i="66" s="1"/>
  <c r="R239" i="66" s="1"/>
  <c r="G210" i="67"/>
  <c r="H210" i="66" s="1"/>
  <c r="G184" i="67"/>
  <c r="H184" i="66" s="1"/>
  <c r="G204" i="67"/>
  <c r="H204" i="66" s="1"/>
  <c r="E186" i="67"/>
  <c r="M186" i="66" s="1"/>
  <c r="G192" i="67"/>
  <c r="H192" i="66" s="1"/>
  <c r="G207" i="67"/>
  <c r="H207" i="66" s="1"/>
  <c r="G160" i="67"/>
  <c r="H160" i="66" s="1"/>
  <c r="I174" i="67"/>
  <c r="J174" i="66" s="1"/>
  <c r="R174" i="66" s="1"/>
  <c r="I181" i="67"/>
  <c r="J181" i="66" s="1"/>
  <c r="R181" i="66" s="1"/>
  <c r="E189" i="67"/>
  <c r="M189" i="66" s="1"/>
  <c r="I150" i="67"/>
  <c r="J150" i="66" s="1"/>
  <c r="R150" i="66" s="1"/>
  <c r="I146" i="67"/>
  <c r="J146" i="66" s="1"/>
  <c r="R146" i="66" s="1"/>
  <c r="I128" i="67"/>
  <c r="J128" i="66" s="1"/>
  <c r="R128" i="66" s="1"/>
  <c r="G144" i="67"/>
  <c r="H144" i="66" s="1"/>
  <c r="G138" i="67"/>
  <c r="H138" i="66" s="1"/>
  <c r="I137" i="67"/>
  <c r="J137" i="66" s="1"/>
  <c r="R137" i="66" s="1"/>
  <c r="I139" i="67"/>
  <c r="J139" i="66" s="1"/>
  <c r="R139" i="66" s="1"/>
  <c r="E143" i="67"/>
  <c r="M143" i="66" s="1"/>
  <c r="E133" i="67"/>
  <c r="M133" i="66" s="1"/>
  <c r="G98" i="67"/>
  <c r="H98" i="66" s="1"/>
  <c r="G131" i="67"/>
  <c r="H131" i="66" s="1"/>
  <c r="G105" i="67"/>
  <c r="H105" i="66" s="1"/>
  <c r="I244" i="67"/>
  <c r="J244" i="66" s="1"/>
  <c r="R244" i="66" s="1"/>
  <c r="I254" i="67"/>
  <c r="J254" i="66" s="1"/>
  <c r="R254" i="66" s="1"/>
  <c r="E257" i="67"/>
  <c r="M257" i="66" s="1"/>
  <c r="E252" i="67"/>
  <c r="M252" i="66" s="1"/>
  <c r="G230" i="67"/>
  <c r="H230" i="66" s="1"/>
  <c r="G263" i="67"/>
  <c r="H263" i="66" s="1"/>
  <c r="E208" i="67"/>
  <c r="M208" i="66" s="1"/>
  <c r="G243" i="67"/>
  <c r="H243" i="66" s="1"/>
  <c r="G214" i="67"/>
  <c r="H214" i="66" s="1"/>
  <c r="I229" i="67"/>
  <c r="J229" i="66" s="1"/>
  <c r="R229" i="66" s="1"/>
  <c r="I221" i="67"/>
  <c r="J221" i="66" s="1"/>
  <c r="R221" i="66" s="1"/>
  <c r="E227" i="67"/>
  <c r="M227" i="66" s="1"/>
  <c r="E225" i="67"/>
  <c r="M225" i="66" s="1"/>
  <c r="G205" i="67"/>
  <c r="H205" i="66" s="1"/>
  <c r="G178" i="67"/>
  <c r="H178" i="66" s="1"/>
  <c r="G187" i="67"/>
  <c r="H187" i="66" s="1"/>
  <c r="I164" i="67"/>
  <c r="J164" i="66" s="1"/>
  <c r="R164" i="66" s="1"/>
  <c r="G166" i="67"/>
  <c r="H166" i="66" s="1"/>
  <c r="G148" i="67"/>
  <c r="H148" i="66" s="1"/>
  <c r="I173" i="67"/>
  <c r="J173" i="66" s="1"/>
  <c r="R173" i="66" s="1"/>
  <c r="G169" i="67"/>
  <c r="H169" i="66" s="1"/>
  <c r="G171" i="67"/>
  <c r="H171" i="66" s="1"/>
  <c r="G167" i="67"/>
  <c r="H167" i="66" s="1"/>
  <c r="G134" i="67"/>
  <c r="H134" i="66" s="1"/>
  <c r="I112" i="67"/>
  <c r="J112" i="66" s="1"/>
  <c r="R112" i="66" s="1"/>
  <c r="I126" i="67"/>
  <c r="J126" i="66" s="1"/>
  <c r="R126" i="66" s="1"/>
  <c r="G118" i="67"/>
  <c r="H118" i="66" s="1"/>
  <c r="I120" i="67"/>
  <c r="J120" i="66" s="1"/>
  <c r="R120" i="66" s="1"/>
  <c r="I114" i="67"/>
  <c r="J114" i="66" s="1"/>
  <c r="R114" i="66" s="1"/>
  <c r="E123" i="67"/>
  <c r="M123" i="66" s="1"/>
  <c r="E113" i="67"/>
  <c r="M113" i="66" s="1"/>
  <c r="G109" i="67"/>
  <c r="H109" i="66" s="1"/>
  <c r="E514" i="67"/>
  <c r="M514" i="66" s="1"/>
</calcChain>
</file>

<file path=xl/sharedStrings.xml><?xml version="1.0" encoding="utf-8"?>
<sst xmlns="http://schemas.openxmlformats.org/spreadsheetml/2006/main" count="1669" uniqueCount="301">
  <si>
    <t>EFurn</t>
  </si>
  <si>
    <t>HPHeat</t>
  </si>
  <si>
    <t>CAC</t>
  </si>
  <si>
    <t>HPCool</t>
  </si>
  <si>
    <t>RAC</t>
  </si>
  <si>
    <t>EWHeat</t>
  </si>
  <si>
    <t>ECook</t>
  </si>
  <si>
    <t>Ref1</t>
  </si>
  <si>
    <t>Ref2</t>
  </si>
  <si>
    <t>Frz</t>
  </si>
  <si>
    <t>Dish</t>
  </si>
  <si>
    <t>CWash</t>
  </si>
  <si>
    <t>EDry</t>
  </si>
  <si>
    <t>Light</t>
  </si>
  <si>
    <t>Misc</t>
  </si>
  <si>
    <t>Year</t>
  </si>
  <si>
    <t>Heating</t>
  </si>
  <si>
    <t>Cooling</t>
  </si>
  <si>
    <t>Month</t>
  </si>
  <si>
    <t>NonHVAC</t>
  </si>
  <si>
    <t>Heat pump space heating</t>
  </si>
  <si>
    <t>Central air conditioning</t>
  </si>
  <si>
    <t>Heat pump space cooling</t>
  </si>
  <si>
    <t>Room air conditioners</t>
  </si>
  <si>
    <t>Electric water heating</t>
  </si>
  <si>
    <t>Electric cooking</t>
  </si>
  <si>
    <t>Refrigerator</t>
  </si>
  <si>
    <t>Second refrigerator</t>
  </si>
  <si>
    <t>Freezer</t>
  </si>
  <si>
    <t>Dishwasher</t>
  </si>
  <si>
    <t>Electric clothes washer</t>
  </si>
  <si>
    <t>Electric clothes dryer</t>
  </si>
  <si>
    <t>Lighting</t>
  </si>
  <si>
    <t>Miscellaneous electric appliances</t>
  </si>
  <si>
    <t>End Use Definitions</t>
  </si>
  <si>
    <t>UEC</t>
  </si>
  <si>
    <t>EFURN</t>
  </si>
  <si>
    <t>Units</t>
  </si>
  <si>
    <t>Energy</t>
  </si>
  <si>
    <t>EHP Spht</t>
  </si>
  <si>
    <t>EHP SPC</t>
  </si>
  <si>
    <t>CW</t>
  </si>
  <si>
    <t>DW</t>
  </si>
  <si>
    <t>Cook</t>
  </si>
  <si>
    <t>Dryers</t>
  </si>
  <si>
    <t>Ref</t>
  </si>
  <si>
    <t>Lght</t>
  </si>
  <si>
    <t>TotUnits</t>
  </si>
  <si>
    <t>Shares</t>
  </si>
  <si>
    <t>2nd Ref</t>
  </si>
  <si>
    <t>Color Scheme</t>
  </si>
  <si>
    <t>EHP SpCool</t>
  </si>
  <si>
    <t>EHP SpHeat</t>
  </si>
  <si>
    <t>Blue Cells are Calculations</t>
  </si>
  <si>
    <t>Red Cells are references to EIA Data</t>
  </si>
  <si>
    <t>Black Cells are Historical Data</t>
  </si>
  <si>
    <t>Black Cells with Yellow Background refer to User Input Data</t>
  </si>
  <si>
    <t>Definitions</t>
  </si>
  <si>
    <t>UtilityData</t>
  </si>
  <si>
    <t>Contains Residential Sales History; History and forecasts for economic and weather variables</t>
  </si>
  <si>
    <t>End-Use Intensity (Refers to EIAData Sheet)</t>
  </si>
  <si>
    <t>AnnualIndices</t>
  </si>
  <si>
    <t>ShareUEC</t>
  </si>
  <si>
    <t>Annual end-use indices reflecting efficiency and share trends</t>
  </si>
  <si>
    <t>Annual equipment indices reflecting efficiency and share trends</t>
  </si>
  <si>
    <t>Annual equipment share history and forecast</t>
  </si>
  <si>
    <t>Efficiencies</t>
  </si>
  <si>
    <t>Annual equipment efficiency history and forecast</t>
  </si>
  <si>
    <t>EIAData</t>
  </si>
  <si>
    <t>Equipment efficiency, shares forecasts from Energy Information Adminstration Annual Energy Outlook Forecast</t>
  </si>
  <si>
    <t>MonthlyMults</t>
  </si>
  <si>
    <t>Monthly multipliers to convert annual usage values to monthly values</t>
  </si>
  <si>
    <t>Equipment Definitions</t>
  </si>
  <si>
    <t>Worksheet Definitions</t>
  </si>
  <si>
    <t>AdjIntensity</t>
  </si>
  <si>
    <t>RawIntensity</t>
  </si>
  <si>
    <t>Adj Factor</t>
  </si>
  <si>
    <t>MMBtu</t>
  </si>
  <si>
    <t>Total Units:  Source Energy Information Administration</t>
  </si>
  <si>
    <t>Total Energy:  Source Energy Information Administration</t>
  </si>
  <si>
    <t>Stock Aver. Equipment Efficiency: Source Energy Information Adminstration</t>
  </si>
  <si>
    <t>New England</t>
  </si>
  <si>
    <t>Census Divisions</t>
  </si>
  <si>
    <t>NENG</t>
  </si>
  <si>
    <t>MATL</t>
  </si>
  <si>
    <t>ENC</t>
  </si>
  <si>
    <t>WNC</t>
  </si>
  <si>
    <t>SATL</t>
  </si>
  <si>
    <t>ESC</t>
  </si>
  <si>
    <t>WSC</t>
  </si>
  <si>
    <t>MNT</t>
  </si>
  <si>
    <t>PAC</t>
  </si>
  <si>
    <t>Middle Atlantic</t>
  </si>
  <si>
    <t>East North Central</t>
  </si>
  <si>
    <t>West North Central</t>
  </si>
  <si>
    <t>South Atlantic</t>
  </si>
  <si>
    <t>East South Central</t>
  </si>
  <si>
    <t>West South Central</t>
  </si>
  <si>
    <t>Mountain</t>
  </si>
  <si>
    <t>Pacific</t>
  </si>
  <si>
    <t>TV</t>
  </si>
  <si>
    <t>HSPF</t>
  </si>
  <si>
    <t>SEER</t>
  </si>
  <si>
    <t>EER</t>
  </si>
  <si>
    <t>EF</t>
  </si>
  <si>
    <t xml:space="preserve">CAC </t>
  </si>
  <si>
    <t xml:space="preserve">RAC </t>
  </si>
  <si>
    <t># of SF</t>
  </si>
  <si>
    <t># of MF</t>
  </si>
  <si>
    <t># of MH</t>
  </si>
  <si>
    <t>Tot # of HH's</t>
  </si>
  <si>
    <t>SquareFootage</t>
  </si>
  <si>
    <t>SurfaceArea</t>
  </si>
  <si>
    <t>Electric furnace and resistant room space heaters</t>
  </si>
  <si>
    <t>kWh/yr</t>
  </si>
  <si>
    <t>Electric furnace/resistant room space heating</t>
  </si>
  <si>
    <t>TV sets</t>
  </si>
  <si>
    <t>TV Sets</t>
  </si>
  <si>
    <t>StructuralVars</t>
  </si>
  <si>
    <t>Annual building structure variables reflecting square footage and shell efficiency index trends</t>
  </si>
  <si>
    <t>Space heating [kWh/Year]</t>
  </si>
  <si>
    <t>Space cooling [kWh/Year]</t>
  </si>
  <si>
    <t>Electric water heating [kWh/Year]</t>
  </si>
  <si>
    <t>Other non heating/cooling end uses  [kWh/Year]</t>
  </si>
  <si>
    <t xml:space="preserve">Total </t>
  </si>
  <si>
    <t>% Chg</t>
  </si>
  <si>
    <t xml:space="preserve">HSPF : </t>
  </si>
  <si>
    <t>Heating Seasonal Performance Factor. The total heating output of a heat pump in BTU during its normal annual usage</t>
  </si>
  <si>
    <t>period for heating divided by total electric input in watt-hours during the same period.</t>
  </si>
  <si>
    <t>SEER :</t>
  </si>
  <si>
    <t>Seasonal Energy Efficiency Ratio:  The total cooling of a central unitary air conditioner or a unitary heat pump in</t>
  </si>
  <si>
    <t>Btu during its normal annual usage period for cooling divided by the total electric energy input in watt-hours during the same period.</t>
  </si>
  <si>
    <t>EER :</t>
  </si>
  <si>
    <t>Energy Efficiency Ratio. A ratio calculated by dividing the cooling capacity in Btu per hour by the power input in</t>
  </si>
  <si>
    <t>watts at any given set of rating conditions, expressed in Btu per hour per watt.</t>
  </si>
  <si>
    <t>EF :</t>
  </si>
  <si>
    <t>Efficiency Factor. Efficiency (measured in Btu out / Btu in) of water heaters under certain test conditions specified</t>
  </si>
  <si>
    <t>by the Department of Energy.</t>
  </si>
  <si>
    <t>SF SqFt
(mill)</t>
  </si>
  <si>
    <t>MF SqFt
(mill)</t>
  </si>
  <si>
    <t>MH SqFt 
(mill)</t>
  </si>
  <si>
    <t>BSE Index Heat</t>
  </si>
  <si>
    <t>BSE Index Cool</t>
  </si>
  <si>
    <t>StrucVarHt</t>
  </si>
  <si>
    <t>StrucVarCl</t>
  </si>
  <si>
    <t>StrucVarIndHt</t>
  </si>
  <si>
    <t>StrucVarIndCl</t>
  </si>
  <si>
    <t>SecHt</t>
  </si>
  <si>
    <t>Secondary heating</t>
  </si>
  <si>
    <t>Electricity Prices Index to 2005</t>
  </si>
  <si>
    <t>Natural Gas Prices Index to 2005</t>
  </si>
  <si>
    <t xml:space="preserve">Electricity Prices (Based on 2005 Dollars per Million BTU)  </t>
  </si>
  <si>
    <t xml:space="preserve">Natural Gas Prices (Based on 2005 Dollars per Million BTU)  </t>
  </si>
  <si>
    <t>2005 Sales/HH</t>
  </si>
  <si>
    <t>2005 Intensity Calculations</t>
  </si>
  <si>
    <t>Sales</t>
  </si>
  <si>
    <t>ElecPrice</t>
  </si>
  <si>
    <t>BillingDays</t>
  </si>
  <si>
    <t>Population</t>
  </si>
  <si>
    <t>HDD</t>
  </si>
  <si>
    <t>CDD</t>
  </si>
  <si>
    <t>AnnHDD2005</t>
  </si>
  <si>
    <t>AnnCDD2005</t>
  </si>
  <si>
    <t>Ground-source heat pump space heating</t>
  </si>
  <si>
    <t>GHPHeat</t>
  </si>
  <si>
    <t>Ground-source heat pump space cooling</t>
  </si>
  <si>
    <t>GHPCool</t>
  </si>
  <si>
    <t>GHP Spht</t>
  </si>
  <si>
    <t>GHP SPC</t>
  </si>
  <si>
    <t>COP</t>
  </si>
  <si>
    <t>GHP SpHeat</t>
  </si>
  <si>
    <t>GHP SpCool</t>
  </si>
  <si>
    <t>COP :</t>
  </si>
  <si>
    <t>Coefficient of Performance:  Energy efficiency rating measure determined, under specific testing conditions, by dividing the energy output by the energy input.</t>
  </si>
  <si>
    <t>FurnFan</t>
  </si>
  <si>
    <t>Furnace Fans</t>
  </si>
  <si>
    <t>Annual Forecast</t>
  </si>
  <si>
    <t>Q1</t>
  </si>
  <si>
    <t>Q2</t>
  </si>
  <si>
    <t>Q3</t>
  </si>
  <si>
    <t>Q4</t>
  </si>
  <si>
    <t>YQ</t>
  </si>
  <si>
    <t>Q</t>
  </si>
  <si>
    <t>Y</t>
  </si>
  <si>
    <t>Real Personal Income (millions)</t>
  </si>
  <si>
    <t>Households (thousands)</t>
  </si>
  <si>
    <t>Real Disposable Personal Income</t>
  </si>
  <si>
    <t>Quarter</t>
  </si>
  <si>
    <t>YM</t>
  </si>
  <si>
    <t>Population_2012MTP</t>
  </si>
  <si>
    <t>Eheat</t>
  </si>
  <si>
    <t>Efurn</t>
  </si>
  <si>
    <t>Micro</t>
  </si>
  <si>
    <t>Total</t>
  </si>
  <si>
    <t>Grand Total</t>
  </si>
  <si>
    <t>Sum of HPHeat</t>
  </si>
  <si>
    <t>Customers</t>
  </si>
  <si>
    <t>Lex</t>
  </si>
  <si>
    <t>KY</t>
  </si>
  <si>
    <t>MHH</t>
  </si>
  <si>
    <t>BR:[Annual Tariff Rates ($/kWh):]</t>
  </si>
  <si>
    <t>BS:[Base Energy Rate - Forecast]</t>
  </si>
  <si>
    <t>BT:[Base Demand Rate - Forecast]</t>
  </si>
  <si>
    <t>BU:[Base Customer Rate - Forecast]</t>
  </si>
  <si>
    <t>BV:[Rate Case Rate - Forecast]</t>
  </si>
  <si>
    <t>BW:[Fuel Rate - Forecast]</t>
  </si>
  <si>
    <t>BX:[FAC Rate - Forecast]</t>
  </si>
  <si>
    <t>BY:[ECR Mechanism Rate - Forecast]</t>
  </si>
  <si>
    <t>BZ:[DSM Mechanism Rate - Forecast]</t>
  </si>
  <si>
    <t>CA:[Total Annual Rate - Forecast ($/kWh)]</t>
  </si>
  <si>
    <t>Base Energy</t>
  </si>
  <si>
    <t>Base Demand</t>
  </si>
  <si>
    <t>Base Customer</t>
  </si>
  <si>
    <t>Rate Case</t>
  </si>
  <si>
    <t>Fuel</t>
  </si>
  <si>
    <t>FAC</t>
  </si>
  <si>
    <t>ECR Mechanism</t>
  </si>
  <si>
    <t>DSM</t>
  </si>
  <si>
    <t>Sum of Real Personal Income (millions)</t>
  </si>
  <si>
    <t>Q:\Projects - LoadForecasting\0326 - 2014 BP Electric Forecast\1 - Inputs\2012-2022 Tariff Rates UI 2013 BP.xlsx</t>
  </si>
  <si>
    <t>ElecPrice_2014BP</t>
  </si>
  <si>
    <t>Values</t>
  </si>
  <si>
    <t>Average of ElecPrice_2014BP</t>
  </si>
  <si>
    <t>Population 2013BP</t>
  </si>
  <si>
    <r>
      <t>Households (thousands) 2013</t>
    </r>
    <r>
      <rPr>
        <sz val="10"/>
        <rFont val="Times New Roman"/>
        <family val="1"/>
      </rPr>
      <t xml:space="preserve"> BP</t>
    </r>
  </si>
  <si>
    <t>Real Personal Income (millions) 2013 BP</t>
  </si>
  <si>
    <t>Sum of Real Personal Income (millions) 2013 BP</t>
  </si>
  <si>
    <t>Sum of Population</t>
  </si>
  <si>
    <t>Sum of Population 2013BP</t>
  </si>
  <si>
    <t>ok</t>
  </si>
  <si>
    <t>Dish2</t>
  </si>
  <si>
    <t>CWash2</t>
  </si>
  <si>
    <t>EDry2</t>
  </si>
  <si>
    <t>kWh/load</t>
  </si>
  <si>
    <t>CWAsh2</t>
  </si>
  <si>
    <t>Real Personal Income (millions)_2014BP</t>
  </si>
  <si>
    <t>Real Personal Income (millions) May 2012 IHS Update</t>
  </si>
  <si>
    <t>Households_2014BP</t>
  </si>
  <si>
    <t>YoY</t>
  </si>
  <si>
    <t>Change in income</t>
  </si>
  <si>
    <t>KY Population</t>
  </si>
  <si>
    <t>KY HH</t>
  </si>
  <si>
    <t>Sum of Real Personal Income (millions)_2014BP</t>
  </si>
  <si>
    <t>Average of Households_2014BP</t>
  </si>
  <si>
    <t>Average of Households (thousands)</t>
  </si>
  <si>
    <t>2012 MTP</t>
  </si>
  <si>
    <t>2013 MTP</t>
  </si>
  <si>
    <t>Average of ElecPrice</t>
  </si>
  <si>
    <t>Average of ElecPrice2</t>
  </si>
  <si>
    <t>Sales_2012MTP</t>
  </si>
  <si>
    <t>ElecPrice2</t>
  </si>
  <si>
    <t>Households</t>
  </si>
  <si>
    <t>Customers_2012MTP</t>
  </si>
  <si>
    <t>IncomePersonal</t>
  </si>
  <si>
    <t>HDDN</t>
  </si>
  <si>
    <t>CDDN</t>
  </si>
  <si>
    <t>kpc</t>
  </si>
  <si>
    <t>kpc_2012mtp</t>
  </si>
  <si>
    <t>kWh</t>
  </si>
  <si>
    <t>Energy Charge</t>
  </si>
  <si>
    <t>ECR</t>
  </si>
  <si>
    <t>Electric Residential Service Rates</t>
  </si>
  <si>
    <t>Q:\Projects - LoadForecasting\0314 - 2012 MTP Electric Forecast\Inputs\2011-2020 Tariff Rates.xlsx</t>
  </si>
  <si>
    <t>LG&amp;E 2011</t>
  </si>
  <si>
    <t>LG&amp;E 2013 BP</t>
  </si>
  <si>
    <t>LG&amp;E 2014 BP</t>
  </si>
  <si>
    <t>source: email from Steve Marshall on April 17, 2013</t>
  </si>
  <si>
    <t>LG&amp;E RS </t>
  </si>
  <si>
    <t>Fred:</t>
  </si>
  <si>
    <t>Total Other</t>
  </si>
  <si>
    <t>HPHeat_Fred</t>
  </si>
  <si>
    <t>SecHt_Fred</t>
  </si>
  <si>
    <t>CAC_Fred</t>
  </si>
  <si>
    <t>HPCool_Fred</t>
  </si>
  <si>
    <t>GHPCool_Fred</t>
  </si>
  <si>
    <t>RAC_Fred</t>
  </si>
  <si>
    <t>EWHeat_Fred</t>
  </si>
  <si>
    <t>Ecook_Fred</t>
  </si>
  <si>
    <t>Ref2_Fred</t>
  </si>
  <si>
    <t>Frz_Fred</t>
  </si>
  <si>
    <t>Dish_Fred</t>
  </si>
  <si>
    <t>Cwash_Fred</t>
  </si>
  <si>
    <t>Edry_Fred</t>
  </si>
  <si>
    <t>TV_Fred</t>
  </si>
  <si>
    <t>delta Misc</t>
  </si>
  <si>
    <t>delta LT</t>
  </si>
  <si>
    <t>Misc_2012MTP</t>
  </si>
  <si>
    <t>ODP RS </t>
  </si>
  <si>
    <t>2014 BP</t>
  </si>
  <si>
    <t>Sum of Sales</t>
  </si>
  <si>
    <t>Average of Customers_2012MTP</t>
  </si>
  <si>
    <t>Average of Customers</t>
  </si>
  <si>
    <t>Average of ElecPrice 2012 BP</t>
  </si>
  <si>
    <t>Average of ElecPrice 2013 BP</t>
  </si>
  <si>
    <t>Average of ElecPrice 2014 BP</t>
  </si>
  <si>
    <t>ElecPrice 2012 BP</t>
  </si>
  <si>
    <t>ElecPrice 2013 BP</t>
  </si>
  <si>
    <t>ElecPrice 2014 BP</t>
  </si>
  <si>
    <t>HH % OF POP (KY)</t>
  </si>
  <si>
    <t>EFURN_Fred</t>
  </si>
  <si>
    <t>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</si>
</sst>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0.0000"/>
    <numFmt numFmtId="169" formatCode="0.000"/>
    <numFmt numFmtId="170" formatCode="0.00_)"/>
    <numFmt numFmtId="171" formatCode="0_)"/>
    <numFmt numFmtId="172" formatCode="#,##0.000"/>
    <numFmt numFmtId="173" formatCode="#,##0.0000"/>
    <numFmt numFmtId="174" formatCode="0.000%"/>
    <numFmt numFmtId="175" formatCode="_(* #,##0_);[Red]_(* \(#,##0\);_(* &quot;-&quot;??_);_(@_)"/>
    <numFmt numFmtId="176" formatCode="#,##0_);[Red]\(#,##0\);&quot; &quot;"/>
    <numFmt numFmtId="177" formatCode="#,##0.00000_);[Red]\(#,##0.00000\);&quot; &quot;"/>
    <numFmt numFmtId="178" formatCode="_(* #,##0.00000_);_(* \(#,##0.00000\);_(* &quot;-&quot;??_);_(@_)"/>
    <numFmt numFmtId="179" formatCode="_(&quot;$&quot;* #,##0.00000_);_(&quot;$&quot;* \(#,##0.00000\);_(&quot;$&quot;* &quot;-&quot;??_);_(@_)"/>
    <numFmt numFmtId="180" formatCode="#,##0.0"/>
    <numFmt numFmtId="181" formatCode="_(* #,##0.0000_);_(* \(#,##0.0000\);_(* &quot;-&quot;??_);_(@_)"/>
    <numFmt numFmtId="182" formatCode="#,##0.00000"/>
    <numFmt numFmtId="183" formatCode="0_);\(0\)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0"/>
      <color indexed="48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name val="MS Sans Serif"/>
      <family val="2"/>
    </font>
    <font>
      <b/>
      <sz val="10"/>
      <color indexed="12"/>
      <name val="Arial"/>
      <family val="2"/>
    </font>
    <font>
      <sz val="10"/>
      <color rgb="FFFF0000"/>
      <name val="Arial"/>
      <family val="2"/>
    </font>
    <font>
      <sz val="10"/>
      <color theme="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0000FF"/>
      <name val="Times New Roman"/>
      <family val="1"/>
    </font>
    <font>
      <sz val="10"/>
      <color rgb="FF0000FF"/>
      <name val="Times New Roman"/>
      <family val="1"/>
    </font>
    <font>
      <sz val="10"/>
      <color rgb="FF7030A0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10"/>
      <color rgb="FF00B050"/>
      <name val="Times New Roman"/>
      <family val="1"/>
    </font>
    <font>
      <sz val="10"/>
      <color rgb="FF0070C0"/>
      <name val="Times New Roman"/>
      <family val="1"/>
    </font>
    <font>
      <sz val="10"/>
      <color indexed="12"/>
      <name val="Times New Roman"/>
      <family val="1"/>
    </font>
    <font>
      <sz val="10"/>
      <color rgb="FF7030A0"/>
      <name val="Arial"/>
      <family val="2"/>
    </font>
    <font>
      <sz val="10"/>
      <color rgb="FFFF0000"/>
      <name val="Times New Roman"/>
      <family val="1"/>
    </font>
    <font>
      <sz val="10"/>
      <color rgb="FF00B050"/>
      <name val="Arial"/>
      <family val="2"/>
    </font>
    <font>
      <b/>
      <sz val="11"/>
      <color theme="1"/>
      <name val="Times New Roman"/>
      <family val="1"/>
    </font>
    <font>
      <sz val="10"/>
      <color rgb="FFFF3300"/>
      <name val="Times New Roman"/>
      <family val="1"/>
    </font>
    <font>
      <b/>
      <sz val="10"/>
      <color rgb="FF7030A0"/>
      <name val="Arial"/>
      <family val="2"/>
    </font>
    <font>
      <b/>
      <sz val="10"/>
      <color theme="1"/>
      <name val="Times New Roman"/>
      <family val="1"/>
    </font>
    <font>
      <sz val="8"/>
      <color rgb="FF000000"/>
      <name val="Arial"/>
      <family val="2"/>
    </font>
    <font>
      <b/>
      <sz val="10"/>
      <color rgb="FF7030A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6" fillId="0" borderId="0"/>
    <xf numFmtId="9" fontId="2" fillId="0" borderId="0" applyFont="0" applyFill="0" applyBorder="0" applyAlignment="0" applyProtection="0"/>
    <xf numFmtId="0" fontId="1" fillId="0" borderId="0"/>
  </cellStyleXfs>
  <cellXfs count="39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1" fontId="0" fillId="0" borderId="0" xfId="0" applyNumberFormat="1"/>
    <xf numFmtId="167" fontId="0" fillId="0" borderId="0" xfId="1" applyNumberFormat="1" applyFont="1"/>
    <xf numFmtId="0" fontId="5" fillId="0" borderId="0" xfId="0" applyFont="1"/>
    <xf numFmtId="0" fontId="7" fillId="0" borderId="0" xfId="0" applyFont="1"/>
    <xf numFmtId="0" fontId="5" fillId="0" borderId="0" xfId="0" applyFont="1" applyFill="1" applyAlignment="1">
      <alignment horizontal="center"/>
    </xf>
    <xf numFmtId="2" fontId="0" fillId="0" borderId="0" xfId="0" applyNumberFormat="1"/>
    <xf numFmtId="0" fontId="8" fillId="0" borderId="0" xfId="0" applyFont="1"/>
    <xf numFmtId="0" fontId="10" fillId="0" borderId="0" xfId="0" applyFont="1"/>
    <xf numFmtId="0" fontId="0" fillId="2" borderId="0" xfId="0" applyFill="1"/>
    <xf numFmtId="0" fontId="11" fillId="0" borderId="0" xfId="0" applyFont="1" applyFill="1"/>
    <xf numFmtId="0" fontId="0" fillId="0" borderId="0" xfId="0" applyFill="1"/>
    <xf numFmtId="167" fontId="0" fillId="0" borderId="0" xfId="1" applyNumberFormat="1" applyFont="1" applyFill="1"/>
    <xf numFmtId="3" fontId="0" fillId="0" borderId="0" xfId="0" applyNumberFormat="1" applyBorder="1"/>
    <xf numFmtId="0" fontId="0" fillId="0" borderId="0" xfId="0" applyBorder="1"/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3" fontId="0" fillId="0" borderId="0" xfId="0" applyNumberFormat="1" applyFill="1" applyBorder="1"/>
    <xf numFmtId="0" fontId="3" fillId="0" borderId="0" xfId="0" applyFont="1"/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0" fontId="5" fillId="0" borderId="0" xfId="0" applyFont="1" applyFill="1"/>
    <xf numFmtId="167" fontId="11" fillId="0" borderId="0" xfId="1" applyNumberFormat="1" applyFont="1" applyFill="1"/>
    <xf numFmtId="0" fontId="5" fillId="0" borderId="0" xfId="0" applyNumberFormat="1" applyFont="1" applyFill="1" applyAlignment="1">
      <alignment horizontal="right"/>
    </xf>
    <xf numFmtId="165" fontId="11" fillId="0" borderId="0" xfId="0" applyNumberFormat="1" applyFont="1" applyFill="1"/>
    <xf numFmtId="0" fontId="0" fillId="0" borderId="0" xfId="0" applyFill="1" applyBorder="1"/>
    <xf numFmtId="164" fontId="0" fillId="0" borderId="0" xfId="3" applyNumberFormat="1" applyFont="1" applyFill="1" applyBorder="1"/>
    <xf numFmtId="0" fontId="6" fillId="0" borderId="0" xfId="0" applyFont="1" applyFill="1" applyBorder="1"/>
    <xf numFmtId="10" fontId="6" fillId="0" borderId="0" xfId="3" applyNumberFormat="1" applyFont="1" applyFill="1" applyBorder="1"/>
    <xf numFmtId="1" fontId="6" fillId="0" borderId="0" xfId="0" applyNumberFormat="1" applyFont="1" applyFill="1" applyBorder="1"/>
    <xf numFmtId="167" fontId="5" fillId="0" borderId="0" xfId="1" applyNumberFormat="1" applyFont="1" applyBorder="1" applyAlignment="1">
      <alignment horizontal="center"/>
    </xf>
    <xf numFmtId="167" fontId="11" fillId="0" borderId="0" xfId="1" applyNumberFormat="1" applyFont="1" applyBorder="1"/>
    <xf numFmtId="3" fontId="5" fillId="0" borderId="0" xfId="0" applyNumberFormat="1" applyFont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3" fontId="4" fillId="0" borderId="0" xfId="0" applyNumberFormat="1" applyFont="1" applyBorder="1"/>
    <xf numFmtId="0" fontId="6" fillId="0" borderId="0" xfId="0" applyFont="1" applyFill="1"/>
    <xf numFmtId="2" fontId="5" fillId="0" borderId="0" xfId="0" applyNumberFormat="1" applyFont="1" applyBorder="1" applyAlignment="1">
      <alignment horizontal="center"/>
    </xf>
    <xf numFmtId="2" fontId="0" fillId="0" borderId="0" xfId="1" applyNumberFormat="1" applyFont="1"/>
    <xf numFmtId="3" fontId="0" fillId="0" borderId="0" xfId="1" applyNumberFormat="1" applyFont="1"/>
    <xf numFmtId="3" fontId="0" fillId="0" borderId="0" xfId="0" applyNumberFormat="1"/>
    <xf numFmtId="3" fontId="2" fillId="0" borderId="0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Border="1" applyAlignment="1"/>
    <xf numFmtId="3" fontId="0" fillId="0" borderId="0" xfId="3" applyNumberFormat="1" applyFont="1" applyBorder="1"/>
    <xf numFmtId="3" fontId="2" fillId="0" borderId="0" xfId="1" applyNumberFormat="1" applyBorder="1"/>
    <xf numFmtId="3" fontId="4" fillId="0" borderId="0" xfId="3" applyNumberFormat="1" applyFont="1" applyBorder="1"/>
    <xf numFmtId="172" fontId="0" fillId="0" borderId="0" xfId="0" applyNumberFormat="1" applyBorder="1" applyAlignment="1"/>
    <xf numFmtId="164" fontId="11" fillId="0" borderId="0" xfId="3" applyNumberFormat="1" applyFont="1" applyFill="1" applyAlignment="1">
      <alignment horizontal="center"/>
    </xf>
    <xf numFmtId="164" fontId="0" fillId="0" borderId="0" xfId="3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2" fillId="0" borderId="0" xfId="3" applyNumberFormat="1" applyFont="1" applyAlignment="1">
      <alignment horizontal="center"/>
    </xf>
    <xf numFmtId="0" fontId="13" fillId="0" borderId="0" xfId="0" applyFont="1" applyFill="1"/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/>
    </xf>
    <xf numFmtId="2" fontId="0" fillId="0" borderId="0" xfId="0" applyNumberFormat="1" applyFill="1"/>
    <xf numFmtId="0" fontId="12" fillId="0" borderId="0" xfId="0" applyFont="1" applyFill="1" applyAlignment="1">
      <alignment horizontal="center"/>
    </xf>
    <xf numFmtId="0" fontId="12" fillId="0" borderId="2" xfId="0" applyFont="1" applyFill="1" applyBorder="1" applyAlignment="1">
      <alignment horizontal="center"/>
    </xf>
    <xf numFmtId="167" fontId="6" fillId="0" borderId="0" xfId="1" applyNumberFormat="1" applyFont="1" applyFill="1"/>
    <xf numFmtId="169" fontId="11" fillId="0" borderId="0" xfId="0" applyNumberFormat="1" applyFont="1" applyFill="1"/>
    <xf numFmtId="167" fontId="10" fillId="0" borderId="0" xfId="1" applyNumberFormat="1" applyFont="1" applyFill="1"/>
    <xf numFmtId="167" fontId="0" fillId="0" borderId="0" xfId="1" applyNumberFormat="1" applyFont="1" applyFill="1" applyBorder="1"/>
    <xf numFmtId="10" fontId="0" fillId="0" borderId="0" xfId="3" applyNumberFormat="1" applyFont="1" applyFill="1" applyBorder="1"/>
    <xf numFmtId="164" fontId="4" fillId="0" borderId="0" xfId="3" applyNumberFormat="1" applyFont="1" applyFill="1" applyBorder="1"/>
    <xf numFmtId="0" fontId="0" fillId="0" borderId="0" xfId="0" applyFill="1" applyAlignment="1" applyProtection="1">
      <alignment horizontal="left"/>
    </xf>
    <xf numFmtId="167" fontId="6" fillId="0" borderId="0" xfId="1" applyNumberFormat="1" applyFont="1" applyFill="1" applyBorder="1"/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center"/>
    </xf>
    <xf numFmtId="1" fontId="0" fillId="0" borderId="0" xfId="0" applyNumberFormat="1" applyFill="1" applyBorder="1"/>
    <xf numFmtId="1" fontId="0" fillId="0" borderId="0" xfId="1" applyNumberFormat="1" applyFont="1" applyFill="1" applyBorder="1"/>
    <xf numFmtId="10" fontId="0" fillId="0" borderId="0" xfId="0" applyNumberFormat="1" applyFill="1" applyBorder="1"/>
    <xf numFmtId="0" fontId="12" fillId="0" borderId="0" xfId="0" applyFont="1" applyFill="1" applyAlignment="1">
      <alignment horizontal="right"/>
    </xf>
    <xf numFmtId="0" fontId="5" fillId="0" borderId="0" xfId="0" applyFont="1" applyFill="1" applyBorder="1"/>
    <xf numFmtId="165" fontId="6" fillId="0" borderId="0" xfId="0" applyNumberFormat="1" applyFont="1" applyFill="1" applyAlignment="1">
      <alignment horizontal="center"/>
    </xf>
    <xf numFmtId="164" fontId="6" fillId="0" borderId="0" xfId="3" applyNumberFormat="1" applyFont="1" applyFill="1"/>
    <xf numFmtId="164" fontId="8" fillId="0" borderId="0" xfId="3" applyNumberFormat="1" applyFont="1" applyFill="1"/>
    <xf numFmtId="10" fontId="6" fillId="0" borderId="0" xfId="3" applyNumberFormat="1" applyFont="1" applyFill="1" applyAlignment="1">
      <alignment horizontal="center"/>
    </xf>
    <xf numFmtId="165" fontId="0" fillId="0" borderId="0" xfId="3" applyNumberFormat="1" applyFont="1" applyFill="1" applyAlignment="1">
      <alignment horizontal="center"/>
    </xf>
    <xf numFmtId="165" fontId="0" fillId="0" borderId="0" xfId="3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5" fontId="0" fillId="0" borderId="0" xfId="0" applyNumberFormat="1" applyFill="1" applyBorder="1"/>
    <xf numFmtId="43" fontId="6" fillId="0" borderId="0" xfId="1" applyFont="1" applyFill="1" applyAlignment="1">
      <alignment horizontal="center"/>
    </xf>
    <xf numFmtId="3" fontId="4" fillId="0" borderId="0" xfId="0" applyNumberFormat="1" applyFont="1" applyFill="1" applyBorder="1"/>
    <xf numFmtId="167" fontId="0" fillId="0" borderId="0" xfId="1" applyNumberFormat="1" applyFont="1" applyFill="1" applyBorder="1" applyAlignment="1">
      <alignment horizontal="center"/>
    </xf>
    <xf numFmtId="10" fontId="6" fillId="0" borderId="0" xfId="0" applyNumberFormat="1" applyFont="1" applyFill="1" applyBorder="1"/>
    <xf numFmtId="164" fontId="8" fillId="0" borderId="0" xfId="3" applyNumberFormat="1" applyFont="1" applyFill="1" applyBorder="1"/>
    <xf numFmtId="3" fontId="11" fillId="0" borderId="0" xfId="0" applyNumberFormat="1" applyFont="1" applyFill="1" applyAlignment="1">
      <alignment horizontal="center"/>
    </xf>
    <xf numFmtId="3" fontId="11" fillId="0" borderId="0" xfId="1" applyNumberFormat="1" applyFont="1" applyFill="1" applyBorder="1" applyAlignment="1">
      <alignment horizontal="center"/>
    </xf>
    <xf numFmtId="3" fontId="15" fillId="0" borderId="0" xfId="1" applyNumberFormat="1" applyFont="1" applyBorder="1"/>
    <xf numFmtId="3" fontId="15" fillId="0" borderId="0" xfId="1" applyNumberFormat="1" applyFont="1" applyBorder="1" applyAlignment="1"/>
    <xf numFmtId="172" fontId="15" fillId="0" borderId="0" xfId="0" applyNumberFormat="1" applyFont="1" applyBorder="1" applyAlignment="1"/>
    <xf numFmtId="164" fontId="9" fillId="0" borderId="0" xfId="0" applyNumberFormat="1" applyFont="1" applyFill="1" applyBorder="1" applyAlignment="1">
      <alignment horizontal="center"/>
    </xf>
    <xf numFmtId="168" fontId="8" fillId="0" borderId="0" xfId="3" applyNumberFormat="1" applyFont="1" applyFill="1"/>
    <xf numFmtId="3" fontId="2" fillId="0" borderId="3" xfId="0" applyNumberFormat="1" applyFont="1" applyBorder="1" applyAlignment="1">
      <alignment horizontal="center" wrapText="1"/>
    </xf>
    <xf numFmtId="3" fontId="2" fillId="0" borderId="4" xfId="0" applyNumberFormat="1" applyFont="1" applyBorder="1" applyAlignment="1">
      <alignment horizontal="center" wrapText="1"/>
    </xf>
    <xf numFmtId="173" fontId="0" fillId="0" borderId="0" xfId="0" applyNumberFormat="1" applyBorder="1"/>
    <xf numFmtId="173" fontId="0" fillId="0" borderId="0" xfId="0" applyNumberFormat="1" applyFill="1" applyBorder="1" applyAlignment="1">
      <alignment horizontal="center"/>
    </xf>
    <xf numFmtId="167" fontId="5" fillId="0" borderId="0" xfId="1" applyNumberFormat="1" applyFont="1" applyFill="1" applyAlignment="1">
      <alignment horizontal="center"/>
    </xf>
    <xf numFmtId="43" fontId="8" fillId="0" borderId="0" xfId="1" applyFont="1" applyBorder="1"/>
    <xf numFmtId="43" fontId="0" fillId="0" borderId="0" xfId="0" applyNumberFormat="1" applyFill="1"/>
    <xf numFmtId="43" fontId="8" fillId="0" borderId="0" xfId="1" applyNumberFormat="1" applyFont="1" applyBorder="1"/>
    <xf numFmtId="169" fontId="4" fillId="0" borderId="0" xfId="0" applyNumberFormat="1" applyFont="1" applyBorder="1"/>
    <xf numFmtId="169" fontId="15" fillId="0" borderId="0" xfId="0" applyNumberFormat="1" applyFont="1" applyBorder="1"/>
    <xf numFmtId="0" fontId="4" fillId="0" borderId="0" xfId="0" applyFont="1" applyBorder="1"/>
    <xf numFmtId="43" fontId="11" fillId="0" borderId="0" xfId="1" applyFont="1" applyBorder="1"/>
    <xf numFmtId="3" fontId="4" fillId="0" borderId="0" xfId="1" applyNumberFormat="1" applyFont="1" applyFill="1" applyBorder="1" applyAlignment="1">
      <alignment horizontal="center"/>
    </xf>
    <xf numFmtId="4" fontId="4" fillId="0" borderId="0" xfId="1" applyNumberFormat="1" applyFont="1" applyFill="1" applyBorder="1" applyAlignment="1">
      <alignment horizontal="right"/>
    </xf>
    <xf numFmtId="1" fontId="4" fillId="0" borderId="0" xfId="0" applyNumberFormat="1" applyFont="1" applyBorder="1"/>
    <xf numFmtId="43" fontId="11" fillId="0" borderId="0" xfId="1" applyNumberFormat="1" applyFont="1" applyBorder="1"/>
    <xf numFmtId="3" fontId="6" fillId="0" borderId="0" xfId="0" applyNumberFormat="1" applyFont="1"/>
    <xf numFmtId="4" fontId="4" fillId="0" borderId="0" xfId="1" applyNumberFormat="1" applyFont="1" applyFill="1" applyBorder="1" applyAlignment="1">
      <alignment horizontal="left"/>
    </xf>
    <xf numFmtId="0" fontId="0" fillId="0" borderId="0" xfId="0" applyFont="1" applyFill="1"/>
    <xf numFmtId="3" fontId="18" fillId="0" borderId="0" xfId="0" applyNumberFormat="1" applyFont="1" applyFill="1" applyAlignment="1">
      <alignment horizontal="center"/>
    </xf>
    <xf numFmtId="3" fontId="4" fillId="0" borderId="0" xfId="0" applyNumberFormat="1" applyFont="1" applyBorder="1" applyAlignment="1">
      <alignment horizontal="center"/>
    </xf>
    <xf numFmtId="169" fontId="11" fillId="0" borderId="0" xfId="0" applyNumberFormat="1" applyFont="1" applyAlignment="1"/>
    <xf numFmtId="172" fontId="11" fillId="0" borderId="0" xfId="1" applyNumberFormat="1" applyFont="1" applyBorder="1" applyAlignment="1"/>
    <xf numFmtId="169" fontId="11" fillId="0" borderId="0" xfId="1" applyNumberFormat="1" applyFont="1" applyBorder="1" applyAlignment="1"/>
    <xf numFmtId="169" fontId="18" fillId="0" borderId="0" xfId="0" applyNumberFormat="1" applyFont="1" applyBorder="1"/>
    <xf numFmtId="169" fontId="18" fillId="0" borderId="0" xfId="0" applyNumberFormat="1" applyFont="1" applyBorder="1" applyAlignment="1"/>
    <xf numFmtId="3" fontId="18" fillId="0" borderId="0" xfId="0" applyNumberFormat="1" applyFont="1" applyBorder="1"/>
    <xf numFmtId="0" fontId="18" fillId="0" borderId="0" xfId="0" applyFont="1" applyBorder="1"/>
    <xf numFmtId="2" fontId="4" fillId="0" borderId="0" xfId="0" applyNumberFormat="1" applyFont="1" applyFill="1" applyAlignment="1">
      <alignment horizontal="center"/>
    </xf>
    <xf numFmtId="2" fontId="18" fillId="0" borderId="0" xfId="0" applyNumberFormat="1" applyFont="1" applyFill="1" applyAlignment="1">
      <alignment horizontal="center"/>
    </xf>
    <xf numFmtId="0" fontId="6" fillId="0" borderId="0" xfId="0" applyFont="1"/>
    <xf numFmtId="164" fontId="4" fillId="0" borderId="0" xfId="3" applyNumberFormat="1" applyFont="1"/>
    <xf numFmtId="167" fontId="4" fillId="0" borderId="0" xfId="0" applyNumberFormat="1" applyFont="1" applyBorder="1"/>
    <xf numFmtId="3" fontId="19" fillId="0" borderId="0" xfId="1" applyNumberFormat="1" applyFont="1"/>
    <xf numFmtId="164" fontId="11" fillId="0" borderId="0" xfId="3" applyNumberFormat="1" applyFont="1" applyFill="1" applyBorder="1"/>
    <xf numFmtId="43" fontId="4" fillId="0" borderId="0" xfId="1" applyFont="1" applyBorder="1"/>
    <xf numFmtId="164" fontId="17" fillId="0" borderId="0" xfId="3" applyNumberFormat="1" applyFont="1" applyFill="1" applyBorder="1"/>
    <xf numFmtId="0" fontId="20" fillId="0" borderId="0" xfId="2" applyFont="1" applyAlignment="1">
      <alignment horizontal="right"/>
    </xf>
    <xf numFmtId="165" fontId="20" fillId="0" borderId="0" xfId="0" applyNumberFormat="1" applyFont="1" applyFill="1" applyAlignment="1">
      <alignment horizontal="center"/>
    </xf>
    <xf numFmtId="3" fontId="20" fillId="0" borderId="0" xfId="0" applyNumberFormat="1" applyFont="1" applyAlignment="1">
      <alignment horizontal="center"/>
    </xf>
    <xf numFmtId="0" fontId="21" fillId="0" borderId="0" xfId="2" applyFont="1"/>
    <xf numFmtId="1" fontId="21" fillId="0" borderId="0" xfId="0" applyNumberFormat="1" applyFont="1" applyFill="1"/>
    <xf numFmtId="4" fontId="21" fillId="0" borderId="0" xfId="0" applyNumberFormat="1" applyFont="1" applyFill="1"/>
    <xf numFmtId="3" fontId="21" fillId="0" borderId="0" xfId="0" applyNumberFormat="1" applyFont="1" applyFill="1"/>
    <xf numFmtId="167" fontId="21" fillId="0" borderId="0" xfId="1" applyNumberFormat="1" applyFont="1"/>
    <xf numFmtId="0" fontId="21" fillId="0" borderId="0" xfId="2" applyFont="1" applyFill="1"/>
    <xf numFmtId="3" fontId="21" fillId="0" borderId="0" xfId="0" applyNumberFormat="1" applyFont="1" applyFill="1" applyBorder="1"/>
    <xf numFmtId="1" fontId="21" fillId="0" borderId="0" xfId="0" applyNumberFormat="1" applyFont="1" applyFill="1" applyBorder="1"/>
    <xf numFmtId="3" fontId="21" fillId="0" borderId="0" xfId="2" applyNumberFormat="1" applyFont="1" applyFill="1"/>
    <xf numFmtId="165" fontId="21" fillId="0" borderId="0" xfId="0" applyNumberFormat="1" applyFont="1" applyFill="1"/>
    <xf numFmtId="1" fontId="23" fillId="0" borderId="0" xfId="0" applyNumberFormat="1" applyFont="1" applyFill="1"/>
    <xf numFmtId="3" fontId="22" fillId="3" borderId="0" xfId="0" applyNumberFormat="1" applyFont="1" applyFill="1" applyAlignment="1">
      <alignment horizontal="center"/>
    </xf>
    <xf numFmtId="1" fontId="23" fillId="0" borderId="0" xfId="2" applyNumberFormat="1" applyFont="1"/>
    <xf numFmtId="1" fontId="23" fillId="0" borderId="0" xfId="2" applyNumberFormat="1" applyFont="1" applyFill="1"/>
    <xf numFmtId="3" fontId="23" fillId="0" borderId="0" xfId="0" applyNumberFormat="1" applyFont="1" applyFill="1"/>
    <xf numFmtId="3" fontId="23" fillId="0" borderId="0" xfId="2" applyNumberFormat="1" applyFont="1" applyFill="1"/>
    <xf numFmtId="1" fontId="22" fillId="3" borderId="0" xfId="2" applyNumberFormat="1" applyFont="1" applyFill="1" applyAlignment="1">
      <alignment horizontal="center"/>
    </xf>
    <xf numFmtId="1" fontId="23" fillId="4" borderId="0" xfId="2" applyNumberFormat="1" applyFont="1" applyFill="1"/>
    <xf numFmtId="4" fontId="22" fillId="0" borderId="0" xfId="0" applyNumberFormat="1" applyFont="1" applyFill="1" applyAlignment="1">
      <alignment horizontal="center"/>
    </xf>
    <xf numFmtId="4" fontId="23" fillId="0" borderId="0" xfId="0" applyNumberFormat="1" applyFont="1" applyFill="1"/>
    <xf numFmtId="4" fontId="23" fillId="0" borderId="0" xfId="2" applyNumberFormat="1" applyFont="1" applyFill="1"/>
    <xf numFmtId="3" fontId="22" fillId="0" borderId="0" xfId="2" applyNumberFormat="1" applyFont="1" applyFill="1" applyAlignment="1">
      <alignment horizontal="center"/>
    </xf>
    <xf numFmtId="3" fontId="23" fillId="0" borderId="0" xfId="0" applyNumberFormat="1" applyFont="1" applyFill="1" applyBorder="1"/>
    <xf numFmtId="0" fontId="21" fillId="0" borderId="0" xfId="0" applyFont="1"/>
    <xf numFmtId="9" fontId="21" fillId="0" borderId="0" xfId="3" applyFont="1"/>
    <xf numFmtId="164" fontId="21" fillId="0" borderId="0" xfId="3" applyNumberFormat="1" applyFont="1"/>
    <xf numFmtId="10" fontId="21" fillId="0" borderId="0" xfId="3" applyNumberFormat="1" applyFont="1"/>
    <xf numFmtId="4" fontId="21" fillId="0" borderId="0" xfId="0" applyNumberFormat="1" applyFont="1"/>
    <xf numFmtId="2" fontId="21" fillId="0" borderId="0" xfId="0" applyNumberFormat="1" applyFont="1" applyFill="1"/>
    <xf numFmtId="172" fontId="21" fillId="0" borderId="0" xfId="0" applyNumberFormat="1" applyFont="1" applyFill="1"/>
    <xf numFmtId="173" fontId="21" fillId="0" borderId="0" xfId="0" applyNumberFormat="1" applyFont="1" applyFill="1"/>
    <xf numFmtId="3" fontId="24" fillId="0" borderId="0" xfId="0" applyNumberFormat="1" applyFont="1" applyFill="1" applyBorder="1"/>
    <xf numFmtId="2" fontId="24" fillId="0" borderId="0" xfId="0" applyNumberFormat="1" applyFont="1" applyFill="1" applyBorder="1"/>
    <xf numFmtId="2" fontId="21" fillId="0" borderId="0" xfId="0" applyNumberFormat="1" applyFont="1"/>
    <xf numFmtId="167" fontId="24" fillId="0" borderId="0" xfId="1" applyNumberFormat="1" applyFont="1"/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/>
    <xf numFmtId="0" fontId="25" fillId="0" borderId="0" xfId="0" applyFont="1" applyBorder="1" applyAlignment="1">
      <alignment horizontal="right"/>
    </xf>
    <xf numFmtId="164" fontId="24" fillId="0" borderId="0" xfId="3" applyNumberFormat="1" applyFont="1" applyBorder="1"/>
    <xf numFmtId="164" fontId="21" fillId="0" borderId="0" xfId="3" applyNumberFormat="1" applyFont="1" applyBorder="1"/>
    <xf numFmtId="10" fontId="24" fillId="0" borderId="0" xfId="0" applyNumberFormat="1" applyFont="1"/>
    <xf numFmtId="164" fontId="26" fillId="0" borderId="0" xfId="3" applyNumberFormat="1" applyFont="1" applyBorder="1"/>
    <xf numFmtId="164" fontId="21" fillId="0" borderId="0" xfId="3" applyNumberFormat="1" applyFont="1" applyFill="1"/>
    <xf numFmtId="164" fontId="21" fillId="0" borderId="0" xfId="3" applyNumberFormat="1" applyFont="1" applyFill="1" applyBorder="1"/>
    <xf numFmtId="10" fontId="21" fillId="0" borderId="0" xfId="0" applyNumberFormat="1" applyFont="1"/>
    <xf numFmtId="164" fontId="21" fillId="0" borderId="0" xfId="0" applyNumberFormat="1" applyFont="1"/>
    <xf numFmtId="0" fontId="27" fillId="0" borderId="0" xfId="0" applyFont="1"/>
    <xf numFmtId="164" fontId="27" fillId="0" borderId="0" xfId="3" applyNumberFormat="1" applyFont="1" applyBorder="1"/>
    <xf numFmtId="0" fontId="20" fillId="0" borderId="0" xfId="0" applyFont="1" applyBorder="1"/>
    <xf numFmtId="0" fontId="20" fillId="0" borderId="0" xfId="0" applyFont="1" applyFill="1" applyBorder="1"/>
    <xf numFmtId="0" fontId="21" fillId="0" borderId="0" xfId="0" applyFont="1" applyFill="1"/>
    <xf numFmtId="174" fontId="21" fillId="0" borderId="0" xfId="0" applyNumberFormat="1" applyFont="1"/>
    <xf numFmtId="9" fontId="21" fillId="0" borderId="0" xfId="0" applyNumberFormat="1" applyFont="1"/>
    <xf numFmtId="164" fontId="28" fillId="0" borderId="0" xfId="3" applyNumberFormat="1" applyFont="1" applyBorder="1"/>
    <xf numFmtId="164" fontId="29" fillId="0" borderId="0" xfId="3" applyNumberFormat="1" applyFont="1" applyBorder="1"/>
    <xf numFmtId="167" fontId="20" fillId="0" borderId="0" xfId="1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167" fontId="30" fillId="0" borderId="0" xfId="1" applyNumberFormat="1" applyFont="1" applyBorder="1"/>
    <xf numFmtId="0" fontId="21" fillId="0" borderId="0" xfId="0" applyFont="1" applyBorder="1"/>
    <xf numFmtId="0" fontId="0" fillId="0" borderId="0" xfId="0" applyNumberFormat="1"/>
    <xf numFmtId="3" fontId="31" fillId="0" borderId="0" xfId="0" applyNumberFormat="1" applyFont="1" applyBorder="1"/>
    <xf numFmtId="172" fontId="31" fillId="0" borderId="0" xfId="0" applyNumberFormat="1" applyFont="1" applyBorder="1"/>
    <xf numFmtId="164" fontId="24" fillId="0" borderId="0" xfId="0" applyNumberFormat="1" applyFont="1"/>
    <xf numFmtId="164" fontId="0" fillId="5" borderId="0" xfId="3" applyNumberFormat="1" applyFont="1" applyFill="1" applyBorder="1" applyAlignment="1">
      <alignment horizontal="center"/>
    </xf>
    <xf numFmtId="3" fontId="11" fillId="5" borderId="0" xfId="1" applyNumberFormat="1" applyFont="1" applyFill="1" applyBorder="1" applyAlignment="1">
      <alignment horizontal="center"/>
    </xf>
    <xf numFmtId="0" fontId="32" fillId="0" borderId="0" xfId="0" applyFont="1" applyBorder="1"/>
    <xf numFmtId="3" fontId="5" fillId="0" borderId="0" xfId="0" applyNumberFormat="1" applyFont="1" applyAlignment="1">
      <alignment horizontal="center"/>
    </xf>
    <xf numFmtId="43" fontId="0" fillId="0" borderId="0" xfId="0" applyNumberFormat="1"/>
    <xf numFmtId="43" fontId="11" fillId="0" borderId="0" xfId="3" applyNumberFormat="1" applyFont="1" applyFill="1" applyBorder="1"/>
    <xf numFmtId="164" fontId="31" fillId="0" borderId="0" xfId="3" applyNumberFormat="1" applyFont="1" applyFill="1" applyAlignment="1">
      <alignment horizontal="center"/>
    </xf>
    <xf numFmtId="164" fontId="33" fillId="0" borderId="0" xfId="3" applyNumberFormat="1" applyFont="1" applyFill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/>
    <xf numFmtId="43" fontId="18" fillId="0" borderId="0" xfId="3" applyNumberFormat="1" applyFont="1" applyFill="1" applyBorder="1"/>
    <xf numFmtId="3" fontId="20" fillId="0" borderId="0" xfId="0" applyNumberFormat="1" applyFont="1" applyFill="1" applyBorder="1" applyAlignment="1">
      <alignment horizontal="center"/>
    </xf>
    <xf numFmtId="0" fontId="21" fillId="0" borderId="0" xfId="0" applyFont="1" applyFill="1" applyBorder="1"/>
    <xf numFmtId="0" fontId="20" fillId="0" borderId="0" xfId="0" applyFont="1" applyFill="1" applyBorder="1" applyAlignment="1">
      <alignment horizontal="right"/>
    </xf>
    <xf numFmtId="3" fontId="20" fillId="0" borderId="0" xfId="0" applyNumberFormat="1" applyFont="1" applyFill="1" applyBorder="1" applyAlignment="1">
      <alignment horizontal="right"/>
    </xf>
    <xf numFmtId="3" fontId="30" fillId="0" borderId="0" xfId="1" applyNumberFormat="1" applyFont="1" applyFill="1" applyBorder="1"/>
    <xf numFmtId="167" fontId="21" fillId="0" borderId="0" xfId="0" applyNumberFormat="1" applyFont="1" applyFill="1" applyBorder="1"/>
    <xf numFmtId="3" fontId="30" fillId="5" borderId="0" xfId="1" applyNumberFormat="1" applyFont="1" applyFill="1" applyBorder="1"/>
    <xf numFmtId="164" fontId="24" fillId="5" borderId="0" xfId="3" applyNumberFormat="1" applyFont="1" applyFill="1" applyBorder="1"/>
    <xf numFmtId="38" fontId="24" fillId="0" borderId="0" xfId="2" applyNumberFormat="1" applyFont="1"/>
    <xf numFmtId="175" fontId="23" fillId="0" borderId="0" xfId="0" applyNumberFormat="1" applyFont="1" applyFill="1"/>
    <xf numFmtId="2" fontId="23" fillId="0" borderId="0" xfId="0" applyNumberFormat="1" applyFont="1" applyFill="1"/>
    <xf numFmtId="2" fontId="23" fillId="0" borderId="0" xfId="0" applyNumberFormat="1" applyFont="1" applyFill="1" applyBorder="1"/>
    <xf numFmtId="2" fontId="24" fillId="0" borderId="0" xfId="0" applyNumberFormat="1" applyFont="1"/>
    <xf numFmtId="164" fontId="24" fillId="6" borderId="0" xfId="3" applyNumberFormat="1" applyFont="1" applyFill="1" applyBorder="1"/>
    <xf numFmtId="3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38" fontId="23" fillId="0" borderId="0" xfId="1" applyNumberFormat="1" applyFont="1" applyBorder="1" applyAlignment="1">
      <alignment horizontal="center"/>
    </xf>
    <xf numFmtId="37" fontId="23" fillId="0" borderId="0" xfId="0" applyNumberFormat="1" applyFont="1" applyAlignment="1">
      <alignment horizontal="center"/>
    </xf>
    <xf numFmtId="167" fontId="23" fillId="0" borderId="0" xfId="1" applyNumberFormat="1" applyFont="1" applyAlignment="1">
      <alignment horizontal="center"/>
    </xf>
    <xf numFmtId="37" fontId="23" fillId="0" borderId="0" xfId="2" applyNumberFormat="1" applyFont="1"/>
    <xf numFmtId="37" fontId="23" fillId="0" borderId="0" xfId="2" applyNumberFormat="1" applyFont="1" applyFill="1"/>
    <xf numFmtId="38" fontId="23" fillId="0" borderId="0" xfId="2" applyNumberFormat="1" applyFont="1" applyFill="1"/>
    <xf numFmtId="38" fontId="23" fillId="0" borderId="0" xfId="0" applyNumberFormat="1" applyFont="1" applyFill="1"/>
    <xf numFmtId="1" fontId="24" fillId="0" borderId="0" xfId="0" applyNumberFormat="1" applyFont="1" applyFill="1"/>
    <xf numFmtId="176" fontId="34" fillId="0" borderId="0" xfId="0" applyNumberFormat="1" applyFont="1" applyAlignment="1">
      <alignment horizontal="left"/>
    </xf>
    <xf numFmtId="176" fontId="21" fillId="0" borderId="0" xfId="0" applyNumberFormat="1" applyFont="1" applyAlignment="1">
      <alignment horizontal="right"/>
    </xf>
    <xf numFmtId="177" fontId="21" fillId="0" borderId="0" xfId="0" applyNumberFormat="1" applyFont="1" applyAlignment="1">
      <alignment horizontal="left"/>
    </xf>
    <xf numFmtId="177" fontId="21" fillId="0" borderId="0" xfId="0" applyNumberFormat="1" applyFont="1" applyAlignment="1">
      <alignment horizontal="right"/>
    </xf>
    <xf numFmtId="0" fontId="23" fillId="0" borderId="0" xfId="0" applyFont="1"/>
    <xf numFmtId="0" fontId="21" fillId="0" borderId="0" xfId="0" applyFont="1" applyAlignment="1">
      <alignment horizontal="right" wrapText="1"/>
    </xf>
    <xf numFmtId="178" fontId="21" fillId="0" borderId="0" xfId="0" applyNumberFormat="1" applyFont="1"/>
    <xf numFmtId="179" fontId="21" fillId="0" borderId="0" xfId="0" applyNumberFormat="1" applyFont="1"/>
    <xf numFmtId="0" fontId="21" fillId="0" borderId="0" xfId="0" applyFont="1" applyFill="1" applyAlignment="1">
      <alignment horizontal="left"/>
    </xf>
    <xf numFmtId="4" fontId="24" fillId="0" borderId="0" xfId="0" applyNumberFormat="1" applyFont="1" applyFill="1"/>
    <xf numFmtId="4" fontId="28" fillId="0" borderId="0" xfId="0" applyNumberFormat="1" applyFont="1" applyFill="1"/>
    <xf numFmtId="4" fontId="35" fillId="0" borderId="0" xfId="0" applyNumberFormat="1" applyFont="1" applyFill="1"/>
    <xf numFmtId="0" fontId="21" fillId="0" borderId="0" xfId="0" pivotButton="1" applyFont="1"/>
    <xf numFmtId="0" fontId="21" fillId="0" borderId="0" xfId="0" applyNumberFormat="1" applyFont="1"/>
    <xf numFmtId="164" fontId="21" fillId="5" borderId="0" xfId="3" applyNumberFormat="1" applyFont="1" applyFill="1" applyBorder="1"/>
    <xf numFmtId="9" fontId="0" fillId="0" borderId="0" xfId="3" applyFont="1"/>
    <xf numFmtId="43" fontId="31" fillId="0" borderId="0" xfId="3" applyNumberFormat="1" applyFont="1" applyFill="1" applyBorder="1"/>
    <xf numFmtId="180" fontId="30" fillId="0" borderId="0" xfId="1" applyNumberFormat="1" applyFont="1" applyFill="1" applyBorder="1"/>
    <xf numFmtId="167" fontId="23" fillId="0" borderId="0" xfId="2" applyNumberFormat="1" applyFont="1"/>
    <xf numFmtId="1" fontId="23" fillId="5" borderId="0" xfId="0" applyNumberFormat="1" applyFont="1" applyFill="1"/>
    <xf numFmtId="167" fontId="21" fillId="0" borderId="0" xfId="0" applyNumberFormat="1" applyFont="1"/>
    <xf numFmtId="167" fontId="0" fillId="0" borderId="0" xfId="0" applyNumberFormat="1" applyBorder="1"/>
    <xf numFmtId="167" fontId="2" fillId="0" borderId="0" xfId="1" applyNumberFormat="1" applyBorder="1"/>
    <xf numFmtId="167" fontId="15" fillId="0" borderId="0" xfId="1" applyNumberFormat="1" applyFont="1" applyBorder="1"/>
    <xf numFmtId="9" fontId="23" fillId="0" borderId="0" xfId="3" applyFont="1"/>
    <xf numFmtId="170" fontId="4" fillId="0" borderId="0" xfId="0" applyNumberFormat="1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0" fontId="31" fillId="0" borderId="0" xfId="0" applyFont="1" applyFill="1"/>
    <xf numFmtId="171" fontId="4" fillId="0" borderId="0" xfId="0" applyNumberFormat="1" applyFont="1" applyFill="1" applyAlignment="1">
      <alignment horizontal="center"/>
    </xf>
    <xf numFmtId="3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" fontId="18" fillId="0" borderId="0" xfId="0" applyNumberFormat="1" applyFont="1" applyFill="1" applyAlignment="1">
      <alignment horizontal="center"/>
    </xf>
    <xf numFmtId="3" fontId="31" fillId="0" borderId="0" xfId="1" applyNumberFormat="1" applyFont="1"/>
    <xf numFmtId="43" fontId="31" fillId="0" borderId="0" xfId="1" applyFont="1" applyBorder="1"/>
    <xf numFmtId="3" fontId="24" fillId="0" borderId="0" xfId="1" applyNumberFormat="1" applyFont="1" applyFill="1" applyBorder="1"/>
    <xf numFmtId="1" fontId="28" fillId="0" borderId="0" xfId="1" applyNumberFormat="1" applyFont="1" applyFill="1" applyBorder="1"/>
    <xf numFmtId="174" fontId="21" fillId="0" borderId="0" xfId="3" applyNumberFormat="1" applyFont="1"/>
    <xf numFmtId="164" fontId="0" fillId="0" borderId="0" xfId="3" applyNumberFormat="1" applyFont="1"/>
    <xf numFmtId="164" fontId="30" fillId="0" borderId="0" xfId="3" applyNumberFormat="1" applyFont="1" applyFill="1" applyBorder="1"/>
    <xf numFmtId="10" fontId="21" fillId="0" borderId="0" xfId="3" applyNumberFormat="1" applyFont="1" applyFill="1" applyBorder="1"/>
    <xf numFmtId="167" fontId="21" fillId="0" borderId="0" xfId="1" applyNumberFormat="1" applyFont="1" applyFill="1" applyBorder="1"/>
    <xf numFmtId="167" fontId="37" fillId="7" borderId="5" xfId="0" applyNumberFormat="1" applyFont="1" applyFill="1" applyBorder="1"/>
    <xf numFmtId="1" fontId="21" fillId="0" borderId="0" xfId="2" applyNumberFormat="1" applyFont="1"/>
    <xf numFmtId="2" fontId="21" fillId="0" borderId="0" xfId="2" applyNumberFormat="1" applyFont="1"/>
    <xf numFmtId="2" fontId="28" fillId="0" borderId="0" xfId="0" applyNumberFormat="1" applyFont="1" applyFill="1"/>
    <xf numFmtId="164" fontId="28" fillId="0" borderId="0" xfId="0" applyNumberFormat="1" applyFont="1"/>
    <xf numFmtId="1" fontId="22" fillId="0" borderId="0" xfId="0" applyNumberFormat="1" applyFont="1" applyFill="1" applyAlignment="1">
      <alignment horizontal="center"/>
    </xf>
    <xf numFmtId="167" fontId="23" fillId="0" borderId="0" xfId="0" applyNumberFormat="1" applyFont="1" applyFill="1"/>
    <xf numFmtId="38" fontId="21" fillId="0" borderId="0" xfId="2" applyNumberFormat="1" applyFont="1"/>
    <xf numFmtId="0" fontId="23" fillId="0" borderId="0" xfId="2" applyFont="1"/>
    <xf numFmtId="0" fontId="24" fillId="0" borderId="0" xfId="2" applyFont="1"/>
    <xf numFmtId="3" fontId="21" fillId="0" borderId="0" xfId="2" applyNumberFormat="1" applyFont="1"/>
    <xf numFmtId="0" fontId="23" fillId="0" borderId="0" xfId="2" applyFont="1" applyFill="1"/>
    <xf numFmtId="38" fontId="21" fillId="5" borderId="0" xfId="2" applyNumberFormat="1" applyFont="1" applyFill="1"/>
    <xf numFmtId="3" fontId="21" fillId="5" borderId="0" xfId="2" applyNumberFormat="1" applyFont="1" applyFill="1"/>
    <xf numFmtId="0" fontId="23" fillId="0" borderId="0" xfId="0" applyFont="1" applyFill="1"/>
    <xf numFmtId="43" fontId="38" fillId="8" borderId="6" xfId="1" applyFont="1" applyFill="1" applyBorder="1" applyAlignment="1">
      <alignment horizontal="right" vertical="center"/>
    </xf>
    <xf numFmtId="43" fontId="21" fillId="0" borderId="0" xfId="2" applyNumberFormat="1" applyFont="1"/>
    <xf numFmtId="1" fontId="24" fillId="0" borderId="0" xfId="2" applyNumberFormat="1" applyFont="1"/>
    <xf numFmtId="3" fontId="24" fillId="0" borderId="0" xfId="0" applyNumberFormat="1" applyFont="1" applyFill="1"/>
    <xf numFmtId="164" fontId="23" fillId="0" borderId="0" xfId="3" applyNumberFormat="1" applyFont="1" applyFill="1" applyBorder="1"/>
    <xf numFmtId="1" fontId="21" fillId="0" borderId="0" xfId="2" applyNumberFormat="1" applyFont="1" applyFill="1"/>
    <xf numFmtId="4" fontId="24" fillId="0" borderId="0" xfId="2" applyNumberFormat="1" applyFont="1" applyFill="1"/>
    <xf numFmtId="0" fontId="20" fillId="0" borderId="0" xfId="0" quotePrefix="1" applyFont="1" applyAlignment="1">
      <alignment horizontal="left"/>
    </xf>
    <xf numFmtId="0" fontId="20" fillId="0" borderId="0" xfId="0" applyFont="1" applyAlignment="1"/>
    <xf numFmtId="43" fontId="21" fillId="0" borderId="0" xfId="0" applyNumberFormat="1" applyFont="1"/>
    <xf numFmtId="0" fontId="21" fillId="0" borderId="0" xfId="0" quotePrefix="1" applyFont="1" applyFill="1" applyAlignment="1">
      <alignment horizontal="left"/>
    </xf>
    <xf numFmtId="179" fontId="20" fillId="0" borderId="7" xfId="0" applyNumberFormat="1" applyFont="1" applyBorder="1"/>
    <xf numFmtId="9" fontId="20" fillId="0" borderId="0" xfId="3" applyFont="1" applyFill="1" applyBorder="1"/>
    <xf numFmtId="179" fontId="20" fillId="0" borderId="0" xfId="0" applyNumberFormat="1" applyFont="1" applyBorder="1"/>
    <xf numFmtId="164" fontId="39" fillId="0" borderId="0" xfId="3" applyNumberFormat="1" applyFont="1" applyBorder="1"/>
    <xf numFmtId="177" fontId="20" fillId="0" borderId="0" xfId="0" applyNumberFormat="1" applyFont="1" applyAlignment="1">
      <alignment horizontal="left"/>
    </xf>
    <xf numFmtId="177" fontId="20" fillId="0" borderId="0" xfId="0" applyNumberFormat="1" applyFont="1" applyAlignment="1">
      <alignment horizontal="right"/>
    </xf>
    <xf numFmtId="179" fontId="20" fillId="0" borderId="8" xfId="0" applyNumberFormat="1" applyFont="1" applyBorder="1"/>
    <xf numFmtId="49" fontId="21" fillId="0" borderId="0" xfId="0" applyNumberFormat="1" applyFont="1" applyAlignment="1">
      <alignment horizontal="right" wrapText="1"/>
    </xf>
    <xf numFmtId="164" fontId="20" fillId="0" borderId="7" xfId="3" applyNumberFormat="1" applyFont="1" applyBorder="1"/>
    <xf numFmtId="10" fontId="21" fillId="0" borderId="0" xfId="3" applyNumberFormat="1" applyFont="1" applyBorder="1"/>
    <xf numFmtId="9" fontId="21" fillId="0" borderId="0" xfId="3" applyFont="1" applyFill="1" applyBorder="1"/>
    <xf numFmtId="10" fontId="27" fillId="0" borderId="0" xfId="3" applyNumberFormat="1" applyFont="1" applyBorder="1"/>
    <xf numFmtId="43" fontId="4" fillId="0" borderId="0" xfId="1" applyNumberFormat="1" applyFont="1" applyBorder="1"/>
    <xf numFmtId="164" fontId="9" fillId="0" borderId="0" xfId="1" applyNumberFormat="1" applyFont="1" applyFill="1" applyBorder="1"/>
    <xf numFmtId="181" fontId="4" fillId="0" borderId="0" xfId="1" applyNumberFormat="1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/>
    <xf numFmtId="167" fontId="2" fillId="0" borderId="0" xfId="1" applyNumberFormat="1" applyFont="1" applyFill="1"/>
    <xf numFmtId="167" fontId="2" fillId="0" borderId="0" xfId="1" applyNumberFormat="1" applyFont="1" applyFill="1" applyBorder="1"/>
    <xf numFmtId="0" fontId="2" fillId="0" borderId="0" xfId="0" applyFont="1" applyFill="1" applyBorder="1"/>
    <xf numFmtId="0" fontId="2" fillId="0" borderId="0" xfId="0" applyFont="1"/>
    <xf numFmtId="10" fontId="2" fillId="0" borderId="0" xfId="3" applyNumberFormat="1" applyFont="1" applyFill="1" applyBorder="1"/>
    <xf numFmtId="1" fontId="2" fillId="0" borderId="0" xfId="0" applyNumberFormat="1" applyFont="1" applyFill="1" applyBorder="1"/>
    <xf numFmtId="3" fontId="33" fillId="0" borderId="0" xfId="0" applyNumberFormat="1" applyFont="1" applyBorder="1"/>
    <xf numFmtId="165" fontId="2" fillId="0" borderId="0" xfId="0" applyNumberFormat="1" applyFont="1" applyFill="1" applyAlignment="1">
      <alignment horizontal="center"/>
    </xf>
    <xf numFmtId="164" fontId="2" fillId="0" borderId="0" xfId="3" applyNumberFormat="1" applyFont="1" applyFill="1"/>
    <xf numFmtId="164" fontId="4" fillId="0" borderId="0" xfId="3" applyNumberFormat="1" applyFont="1" applyFill="1"/>
    <xf numFmtId="10" fontId="2" fillId="0" borderId="0" xfId="3" applyNumberFormat="1" applyFont="1" applyFill="1" applyAlignment="1">
      <alignment horizontal="center"/>
    </xf>
    <xf numFmtId="168" fontId="4" fillId="0" borderId="0" xfId="3" applyNumberFormat="1" applyFont="1" applyFill="1"/>
    <xf numFmtId="167" fontId="2" fillId="0" borderId="0" xfId="1" applyNumberFormat="1" applyFont="1" applyFill="1" applyAlignment="1">
      <alignment horizontal="center"/>
    </xf>
    <xf numFmtId="166" fontId="2" fillId="0" borderId="0" xfId="1" applyNumberFormat="1" applyFont="1" applyFill="1" applyAlignment="1">
      <alignment horizontal="center"/>
    </xf>
    <xf numFmtId="43" fontId="2" fillId="0" borderId="0" xfId="1" applyFont="1" applyFill="1" applyAlignment="1">
      <alignment horizontal="center"/>
    </xf>
    <xf numFmtId="3" fontId="33" fillId="0" borderId="0" xfId="0" applyNumberFormat="1" applyFont="1" applyBorder="1" applyAlignment="1">
      <alignment horizontal="center"/>
    </xf>
    <xf numFmtId="10" fontId="2" fillId="0" borderId="0" xfId="0" applyNumberFormat="1" applyFont="1" applyFill="1" applyBorder="1"/>
    <xf numFmtId="43" fontId="2" fillId="0" borderId="0" xfId="1" applyFont="1" applyBorder="1"/>
    <xf numFmtId="2" fontId="2" fillId="0" borderId="0" xfId="1" applyNumberFormat="1" applyFont="1"/>
    <xf numFmtId="3" fontId="2" fillId="0" borderId="0" xfId="1" applyNumberFormat="1" applyFont="1"/>
    <xf numFmtId="3" fontId="2" fillId="0" borderId="0" xfId="0" applyNumberFormat="1" applyFont="1"/>
    <xf numFmtId="10" fontId="0" fillId="0" borderId="0" xfId="3" applyNumberFormat="1" applyFont="1" applyBorder="1" applyAlignment="1">
      <alignment horizontal="center"/>
    </xf>
    <xf numFmtId="10" fontId="0" fillId="0" borderId="0" xfId="3" applyNumberFormat="1" applyFont="1" applyBorder="1"/>
    <xf numFmtId="3" fontId="11" fillId="0" borderId="0" xfId="1" applyNumberFormat="1" applyFont="1" applyBorder="1" applyAlignment="1"/>
    <xf numFmtId="172" fontId="11" fillId="0" borderId="0" xfId="0" applyNumberFormat="1" applyFont="1" applyBorder="1" applyAlignment="1"/>
    <xf numFmtId="169" fontId="11" fillId="0" borderId="0" xfId="0" applyNumberFormat="1" applyFont="1" applyBorder="1"/>
    <xf numFmtId="3" fontId="11" fillId="0" borderId="0" xfId="1" applyNumberFormat="1" applyFont="1" applyBorder="1"/>
    <xf numFmtId="0" fontId="4" fillId="0" borderId="0" xfId="0" applyNumberFormat="1" applyFont="1" applyBorder="1"/>
    <xf numFmtId="43" fontId="21" fillId="0" borderId="0" xfId="1" applyFont="1"/>
    <xf numFmtId="182" fontId="21" fillId="0" borderId="0" xfId="0" applyNumberFormat="1" applyFont="1"/>
    <xf numFmtId="183" fontId="23" fillId="0" borderId="0" xfId="0" applyNumberFormat="1" applyFont="1" applyFill="1"/>
    <xf numFmtId="43" fontId="23" fillId="0" borderId="0" xfId="1" applyNumberFormat="1" applyFont="1"/>
    <xf numFmtId="183" fontId="23" fillId="0" borderId="0" xfId="2" applyNumberFormat="1" applyFont="1" applyFill="1"/>
    <xf numFmtId="38" fontId="23" fillId="0" borderId="0" xfId="0" applyNumberFormat="1" applyFont="1"/>
    <xf numFmtId="1" fontId="23" fillId="0" borderId="0" xfId="0" applyNumberFormat="1" applyFont="1" applyFill="1" applyBorder="1"/>
    <xf numFmtId="9" fontId="24" fillId="0" borderId="0" xfId="3" applyFont="1"/>
    <xf numFmtId="43" fontId="4" fillId="5" borderId="0" xfId="1" applyFont="1" applyFill="1" applyBorder="1"/>
    <xf numFmtId="164" fontId="9" fillId="5" borderId="0" xfId="1" applyNumberFormat="1" applyFont="1" applyFill="1" applyBorder="1"/>
    <xf numFmtId="0" fontId="21" fillId="0" borderId="0" xfId="0" applyFont="1" applyBorder="1" applyAlignment="1">
      <alignment horizontal="center"/>
    </xf>
    <xf numFmtId="3" fontId="21" fillId="0" borderId="3" xfId="0" applyNumberFormat="1" applyFont="1" applyBorder="1" applyAlignment="1">
      <alignment horizontal="center" wrapText="1"/>
    </xf>
    <xf numFmtId="3" fontId="21" fillId="0" borderId="4" xfId="0" applyNumberFormat="1" applyFont="1" applyBorder="1" applyAlignment="1">
      <alignment horizontal="center" wrapText="1"/>
    </xf>
    <xf numFmtId="3" fontId="21" fillId="0" borderId="0" xfId="0" applyNumberFormat="1" applyFont="1" applyBorder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3" fontId="21" fillId="0" borderId="0" xfId="0" applyNumberFormat="1" applyFont="1" applyBorder="1" applyAlignment="1"/>
    <xf numFmtId="172" fontId="21" fillId="0" borderId="0" xfId="0" applyNumberFormat="1" applyFont="1" applyBorder="1" applyAlignment="1"/>
    <xf numFmtId="3" fontId="21" fillId="0" borderId="0" xfId="0" applyNumberFormat="1" applyFont="1" applyBorder="1"/>
    <xf numFmtId="3" fontId="21" fillId="0" borderId="0" xfId="3" applyNumberFormat="1" applyFont="1" applyBorder="1"/>
    <xf numFmtId="3" fontId="30" fillId="0" borderId="0" xfId="1" applyNumberFormat="1" applyFont="1" applyBorder="1" applyAlignment="1"/>
    <xf numFmtId="169" fontId="30" fillId="0" borderId="0" xfId="0" applyNumberFormat="1" applyFont="1" applyAlignment="1"/>
    <xf numFmtId="172" fontId="30" fillId="0" borderId="0" xfId="1" applyNumberFormat="1" applyFont="1" applyBorder="1" applyAlignment="1"/>
    <xf numFmtId="172" fontId="30" fillId="0" borderId="0" xfId="0" applyNumberFormat="1" applyFont="1" applyBorder="1" applyAlignment="1"/>
    <xf numFmtId="169" fontId="30" fillId="0" borderId="0" xfId="0" applyNumberFormat="1" applyFont="1" applyBorder="1"/>
    <xf numFmtId="3" fontId="21" fillId="0" borderId="0" xfId="1" applyNumberFormat="1" applyFont="1" applyBorder="1"/>
    <xf numFmtId="173" fontId="21" fillId="0" borderId="0" xfId="0" applyNumberFormat="1" applyFont="1" applyBorder="1"/>
    <xf numFmtId="0" fontId="27" fillId="0" borderId="0" xfId="0" applyFont="1" applyBorder="1"/>
    <xf numFmtId="3" fontId="27" fillId="0" borderId="0" xfId="0" applyNumberFormat="1" applyFont="1" applyBorder="1"/>
    <xf numFmtId="3" fontId="30" fillId="0" borderId="0" xfId="1" applyNumberFormat="1" applyFont="1" applyBorder="1"/>
    <xf numFmtId="0" fontId="27" fillId="0" borderId="0" xfId="0" applyNumberFormat="1" applyFont="1" applyBorder="1"/>
    <xf numFmtId="3" fontId="27" fillId="0" borderId="0" xfId="3" applyNumberFormat="1" applyFont="1" applyBorder="1"/>
    <xf numFmtId="169" fontId="30" fillId="0" borderId="0" xfId="1" applyNumberFormat="1" applyFont="1" applyBorder="1" applyAlignment="1"/>
    <xf numFmtId="3" fontId="24" fillId="0" borderId="0" xfId="0" applyNumberFormat="1" applyFont="1" applyBorder="1"/>
    <xf numFmtId="172" fontId="24" fillId="0" borderId="0" xfId="0" applyNumberFormat="1" applyFont="1" applyBorder="1"/>
  </cellXfs>
  <cellStyles count="5">
    <cellStyle name="Comma" xfId="1" builtinId="3"/>
    <cellStyle name="Normal" xfId="0" builtinId="0"/>
    <cellStyle name="Normal 8 7" xfId="4"/>
    <cellStyle name="Normal_ElectricSales_NENG" xfId="2"/>
    <cellStyle name="Percent" xfId="3" builtinId="5"/>
  </cellStyles>
  <dxfs count="18">
    <dxf>
      <numFmt numFmtId="167" formatCode="_(* #,##0_);_(* \(#,##0\);_(* &quot;-&quot;??_);_(@_)"/>
    </dxf>
    <dxf>
      <font>
        <name val="Times New Roman"/>
        <scheme val="none"/>
      </font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name val="Times New Roman"/>
        <scheme val="none"/>
      </font>
    </dxf>
    <dxf>
      <numFmt numFmtId="35" formatCode="_(* #,##0.00_);_(* \(#,##0.00\);_(* &quot;-&quot;??_);_(@_)"/>
    </dxf>
    <dxf>
      <numFmt numFmtId="167" formatCode="_(* #,##0_);_(* \(#,##0\);_(* &quot;-&quot;??_);_(@_)"/>
    </dxf>
    <dxf>
      <font>
        <name val="Times New Roman"/>
        <scheme val="none"/>
      </font>
    </dxf>
    <dxf>
      <numFmt numFmtId="2" formatCode="0.00"/>
    </dxf>
    <dxf>
      <font>
        <name val="Times New Roman"/>
        <scheme val="none"/>
      </font>
    </dxf>
    <dxf>
      <font>
        <name val="Times New Roman"/>
        <scheme val="none"/>
      </font>
    </dxf>
    <dxf>
      <numFmt numFmtId="167" formatCode="_(* #,##0_);_(* \(#,##0\);_(* &quot;-&quot;??_);_(@_)"/>
    </dxf>
    <dxf>
      <font>
        <name val="Times New Roman"/>
        <scheme val="none"/>
      </font>
    </dxf>
    <dxf>
      <numFmt numFmtId="167" formatCode="_(* #,##0_);_(* \(#,##0\);_(* &quot;-&quot;??_);_(@_)"/>
    </dxf>
    <dxf>
      <font>
        <name val="Times New Roman"/>
        <scheme val="none"/>
      </font>
    </dxf>
    <dxf>
      <numFmt numFmtId="167" formatCode="_(* #,##0_);_(* \(#,##0\);_(* &quot;-&quot;??_);_(@_)"/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9" defaultPivotStyle="PivotStyleLight16"/>
  <colors>
    <mruColors>
      <color rgb="FF0000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worksheet" Target="worksheets/sheet3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pivotCacheDefinition" Target="pivotCache/pivotCacheDefinition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41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pivotCacheDefinition" Target="pivotCache/pivotCacheDefinition1.xml"/><Relationship Id="rId45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pivotCacheDefinition" Target="pivotCache/pivotCacheDefinition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Change in dincome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Series1</c:v>
          </c:tx>
          <c:marker>
            <c:symbol val="none"/>
          </c:marker>
          <c:cat>
            <c:numLit>
              <c:formatCode>General</c:formatCode>
              <c:ptCount val="11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</c:numLit>
          </c:cat>
          <c:val>
            <c:numLit>
              <c:formatCode>General</c:formatCode>
              <c:ptCount val="11"/>
              <c:pt idx="0">
                <c:v>0.17591193184414067</c:v>
              </c:pt>
              <c:pt idx="1">
                <c:v>-0.11095381280411409</c:v>
              </c:pt>
              <c:pt idx="2">
                <c:v>1.9243936190252997E-2</c:v>
              </c:pt>
              <c:pt idx="3">
                <c:v>0.1696611625634159</c:v>
              </c:pt>
              <c:pt idx="4">
                <c:v>0.11048291689149226</c:v>
              </c:pt>
              <c:pt idx="5">
                <c:v>0.17720957805502469</c:v>
              </c:pt>
              <c:pt idx="6">
                <c:v>0.19016445262883619</c:v>
              </c:pt>
              <c:pt idx="7">
                <c:v>0.14159777659030426</c:v>
              </c:pt>
              <c:pt idx="8">
                <c:v>0.13070480827541209</c:v>
              </c:pt>
              <c:pt idx="9">
                <c:v>9.7832092700139484E-2</c:v>
              </c:pt>
              <c:pt idx="10">
                <c:v>0.10673865060265397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87232"/>
        <c:axId val="75564544"/>
      </c:lineChart>
      <c:catAx>
        <c:axId val="750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5564544"/>
        <c:crosses val="autoZero"/>
        <c:auto val="1"/>
        <c:lblAlgn val="ctr"/>
        <c:lblOffset val="100"/>
        <c:noMultiLvlLbl val="0"/>
      </c:catAx>
      <c:valAx>
        <c:axId val="755645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087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Cwash_Fred</c:v>
          </c:tx>
          <c:marker>
            <c:symbol val="none"/>
          </c:marker>
          <c:cat>
            <c:numLit>
              <c:formatCode>General</c:formatCode>
              <c:ptCount val="41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  <c:pt idx="20">
                <c:v>2015</c:v>
              </c:pt>
              <c:pt idx="21">
                <c:v>2016</c:v>
              </c:pt>
              <c:pt idx="22">
                <c:v>2017</c:v>
              </c:pt>
              <c:pt idx="23">
                <c:v>2018</c:v>
              </c:pt>
              <c:pt idx="24">
                <c:v>2019</c:v>
              </c:pt>
              <c:pt idx="25">
                <c:v>2020</c:v>
              </c:pt>
              <c:pt idx="26">
                <c:v>2021</c:v>
              </c:pt>
              <c:pt idx="27">
                <c:v>2022</c:v>
              </c:pt>
              <c:pt idx="28">
                <c:v>2023</c:v>
              </c:pt>
              <c:pt idx="29">
                <c:v>2024</c:v>
              </c:pt>
              <c:pt idx="30">
                <c:v>2025</c:v>
              </c:pt>
              <c:pt idx="31">
                <c:v>2026</c:v>
              </c:pt>
              <c:pt idx="32">
                <c:v>2027</c:v>
              </c:pt>
              <c:pt idx="33">
                <c:v>2028</c:v>
              </c:pt>
              <c:pt idx="34">
                <c:v>2029</c:v>
              </c:pt>
              <c:pt idx="35">
                <c:v>2030</c:v>
              </c:pt>
              <c:pt idx="36">
                <c:v>2031</c:v>
              </c:pt>
              <c:pt idx="37">
                <c:v>2032</c:v>
              </c:pt>
              <c:pt idx="38">
                <c:v>2033</c:v>
              </c:pt>
              <c:pt idx="39">
                <c:v>2034</c:v>
              </c:pt>
              <c:pt idx="40">
                <c:v>2035</c:v>
              </c:pt>
            </c:numLit>
          </c:cat>
          <c:val>
            <c:numRef>
              <c:f>{}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302080"/>
        <c:axId val="358303616"/>
      </c:lineChart>
      <c:catAx>
        <c:axId val="3583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8303616"/>
        <c:crosses val="autoZero"/>
        <c:auto val="1"/>
        <c:lblAlgn val="ctr"/>
        <c:lblOffset val="100"/>
        <c:tickLblSkip val="3"/>
        <c:noMultiLvlLbl val="0"/>
      </c:catAx>
      <c:valAx>
        <c:axId val="358303616"/>
        <c:scaling>
          <c:orientation val="minMax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830208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Total</c:v>
          </c:tx>
          <c:marker>
            <c:symbol val="none"/>
          </c:marker>
          <c:cat>
            <c:strLit>
              <c:ptCount val="18"/>
              <c:pt idx="0">
                <c:v>2025</c:v>
              </c:pt>
              <c:pt idx="1">
                <c:v>2026</c:v>
              </c:pt>
              <c:pt idx="2">
                <c:v>2027</c:v>
              </c:pt>
              <c:pt idx="3">
                <c:v>2028</c:v>
              </c:pt>
              <c:pt idx="4">
                <c:v>2029</c:v>
              </c:pt>
              <c:pt idx="5">
                <c:v>2030</c:v>
              </c:pt>
              <c:pt idx="6">
                <c:v>2031</c:v>
              </c:pt>
              <c:pt idx="7">
                <c:v>2032</c:v>
              </c:pt>
              <c:pt idx="8">
                <c:v>2033</c:v>
              </c:pt>
              <c:pt idx="9">
                <c:v>2034</c:v>
              </c:pt>
              <c:pt idx="10">
                <c:v>2035</c:v>
              </c:pt>
              <c:pt idx="11">
                <c:v>2036</c:v>
              </c:pt>
              <c:pt idx="12">
                <c:v>2037</c:v>
              </c:pt>
              <c:pt idx="13">
                <c:v>2038</c:v>
              </c:pt>
              <c:pt idx="14">
                <c:v>2039</c:v>
              </c:pt>
              <c:pt idx="15">
                <c:v>2040</c:v>
              </c:pt>
              <c:pt idx="16">
                <c:v>2041</c:v>
              </c:pt>
              <c:pt idx="17">
                <c:v>2042</c:v>
              </c:pt>
            </c:strLit>
          </c:cat>
          <c:val>
            <c:numLit>
              <c:formatCode>General</c:formatCode>
              <c:ptCount val="18"/>
              <c:pt idx="0">
                <c:v>8.3275989943828534</c:v>
              </c:pt>
              <c:pt idx="1">
                <c:v>8.3494125211931092</c:v>
              </c:pt>
              <c:pt idx="2">
                <c:v>8.3668992443359684</c:v>
              </c:pt>
              <c:pt idx="3">
                <c:v>8.3820133515158552</c:v>
              </c:pt>
              <c:pt idx="4">
                <c:v>8.3945062409389717</c:v>
              </c:pt>
              <c:pt idx="5">
                <c:v>8.405648247040185</c:v>
              </c:pt>
              <c:pt idx="6">
                <c:v>8.4157941304593287</c:v>
              </c:pt>
              <c:pt idx="7">
                <c:v>8.4249576911533275</c:v>
              </c:pt>
              <c:pt idx="8">
                <c:v>8.4317027270645557</c:v>
              </c:pt>
              <c:pt idx="9">
                <c:v>8.436276245805697</c:v>
              </c:pt>
              <c:pt idx="10">
                <c:v>8.4384683863519196</c:v>
              </c:pt>
              <c:pt idx="11">
                <c:v>8.4406605268981423</c:v>
              </c:pt>
              <c:pt idx="12">
                <c:v>8.4428526674443649</c:v>
              </c:pt>
              <c:pt idx="13">
                <c:v>8.4450448079905875</c:v>
              </c:pt>
              <c:pt idx="14">
                <c:v>8.4472369485368102</c:v>
              </c:pt>
              <c:pt idx="15">
                <c:v>8.4494290890830328</c:v>
              </c:pt>
              <c:pt idx="16">
                <c:v>8.4516212296292554</c:v>
              </c:pt>
              <c:pt idx="17">
                <c:v>8.4538133701754781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264832"/>
        <c:axId val="360266368"/>
      </c:lineChart>
      <c:catAx>
        <c:axId val="36026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60266368"/>
        <c:crosses val="autoZero"/>
        <c:auto val="1"/>
        <c:lblAlgn val="ctr"/>
        <c:lblOffset val="100"/>
        <c:noMultiLvlLbl val="0"/>
      </c:catAx>
      <c:valAx>
        <c:axId val="360266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26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Sierra Club 1.3-#11 Residential SAE Inputs.xlsx]PVT Utility Data!PivotTable2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Utility Data'!$H$3:$H$4</c:f>
              <c:strCache>
                <c:ptCount val="1"/>
                <c:pt idx="0">
                  <c:v>Average of Customers_2012MTP</c:v>
                </c:pt>
              </c:strCache>
            </c:strRef>
          </c:tx>
          <c:marker>
            <c:symbol val="none"/>
          </c:marker>
          <c:cat>
            <c:strRef>
              <c:f>'PVT Utility Data'!$G$5:$G$29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'PVT Utility Data'!$H$5:$H$29</c:f>
              <c:numCache>
                <c:formatCode>_(* #,##0_);_(* \(#,##0\);_(* "-"??_);_(@_)</c:formatCode>
                <c:ptCount val="24"/>
                <c:pt idx="0">
                  <c:v>24870.5</c:v>
                </c:pt>
                <c:pt idx="1">
                  <c:v>24938.083333333332</c:v>
                </c:pt>
                <c:pt idx="2">
                  <c:v>24935.583333333332</c:v>
                </c:pt>
                <c:pt idx="3">
                  <c:v>25007.083333333332</c:v>
                </c:pt>
                <c:pt idx="4">
                  <c:v>24968.833333333332</c:v>
                </c:pt>
                <c:pt idx="5">
                  <c:v>24938.083333333332</c:v>
                </c:pt>
                <c:pt idx="6">
                  <c:v>24851.333333333332</c:v>
                </c:pt>
                <c:pt idx="7">
                  <c:v>25336.916666666668</c:v>
                </c:pt>
                <c:pt idx="8">
                  <c:v>25175</c:v>
                </c:pt>
                <c:pt idx="9">
                  <c:v>24937.833333333332</c:v>
                </c:pt>
                <c:pt idx="10">
                  <c:v>24943.333333333332</c:v>
                </c:pt>
                <c:pt idx="11">
                  <c:v>24919</c:v>
                </c:pt>
                <c:pt idx="12">
                  <c:v>24895</c:v>
                </c:pt>
                <c:pt idx="13">
                  <c:v>24871</c:v>
                </c:pt>
                <c:pt idx="14">
                  <c:v>24847</c:v>
                </c:pt>
                <c:pt idx="15">
                  <c:v>24823</c:v>
                </c:pt>
                <c:pt idx="16">
                  <c:v>24799</c:v>
                </c:pt>
                <c:pt idx="17">
                  <c:v>24775</c:v>
                </c:pt>
                <c:pt idx="18">
                  <c:v>24751</c:v>
                </c:pt>
                <c:pt idx="19">
                  <c:v>24727</c:v>
                </c:pt>
                <c:pt idx="20">
                  <c:v>24703</c:v>
                </c:pt>
                <c:pt idx="21">
                  <c:v>24679</c:v>
                </c:pt>
                <c:pt idx="22">
                  <c:v>24655</c:v>
                </c:pt>
                <c:pt idx="23">
                  <c:v>24631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'PVT Utility Data'!$I$3:$I$4</c:f>
              <c:strCache>
                <c:ptCount val="1"/>
                <c:pt idx="0">
                  <c:v>Average of Customers</c:v>
                </c:pt>
              </c:strCache>
            </c:strRef>
          </c:tx>
          <c:marker>
            <c:symbol val="none"/>
          </c:marker>
          <c:cat>
            <c:strRef>
              <c:f>'PVT Utility Data'!$G$5:$G$29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'PVT Utility Data'!$I$5:$I$29</c:f>
              <c:numCache>
                <c:formatCode>_(* #,##0_);_(* \(#,##0\);_(* "-"??_);_(@_)</c:formatCode>
                <c:ptCount val="24"/>
                <c:pt idx="0">
                  <c:v>24884.833333333332</c:v>
                </c:pt>
                <c:pt idx="1">
                  <c:v>24938.083333333332</c:v>
                </c:pt>
                <c:pt idx="2">
                  <c:v>24935.583333333332</c:v>
                </c:pt>
                <c:pt idx="3">
                  <c:v>25007.083333333332</c:v>
                </c:pt>
                <c:pt idx="4">
                  <c:v>24968.833333333332</c:v>
                </c:pt>
                <c:pt idx="5">
                  <c:v>24938.083333333332</c:v>
                </c:pt>
                <c:pt idx="6">
                  <c:v>24851.333333333332</c:v>
                </c:pt>
                <c:pt idx="7">
                  <c:v>24815.166666666668</c:v>
                </c:pt>
                <c:pt idx="8">
                  <c:v>25038.333333333332</c:v>
                </c:pt>
                <c:pt idx="9">
                  <c:v>24966.416666666668</c:v>
                </c:pt>
                <c:pt idx="10">
                  <c:v>24856.166666666668</c:v>
                </c:pt>
                <c:pt idx="11">
                  <c:v>24630.75</c:v>
                </c:pt>
                <c:pt idx="12">
                  <c:v>24501.833333333332</c:v>
                </c:pt>
                <c:pt idx="13">
                  <c:v>24491.5</c:v>
                </c:pt>
                <c:pt idx="14">
                  <c:v>24479.5</c:v>
                </c:pt>
                <c:pt idx="15">
                  <c:v>24467.5</c:v>
                </c:pt>
                <c:pt idx="16">
                  <c:v>24455.5</c:v>
                </c:pt>
                <c:pt idx="17">
                  <c:v>24443.5</c:v>
                </c:pt>
                <c:pt idx="18">
                  <c:v>24431.5</c:v>
                </c:pt>
                <c:pt idx="19">
                  <c:v>24419.5</c:v>
                </c:pt>
                <c:pt idx="20">
                  <c:v>24407.5</c:v>
                </c:pt>
                <c:pt idx="21">
                  <c:v>24395.5</c:v>
                </c:pt>
                <c:pt idx="22">
                  <c:v>24383.5</c:v>
                </c:pt>
                <c:pt idx="23">
                  <c:v>24371.5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55904"/>
        <c:axId val="444081280"/>
      </c:lineChart>
      <c:catAx>
        <c:axId val="44375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444081280"/>
        <c:crosses val="autoZero"/>
        <c:auto val="1"/>
        <c:lblAlgn val="ctr"/>
        <c:lblOffset val="100"/>
        <c:noMultiLvlLbl val="0"/>
      </c:catAx>
      <c:valAx>
        <c:axId val="444081280"/>
        <c:scaling>
          <c:orientation val="minMax"/>
          <c:min val="10000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4437559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Sierra Club 1.3-#11 Residential SAE Inputs.xlsx]PVT Utility Data!PivotTable3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Utility Data'!$M$3:$M$4</c:f>
              <c:strCache>
                <c:ptCount val="1"/>
                <c:pt idx="0">
                  <c:v>Average of ElecPrice 2012 BP</c:v>
                </c:pt>
              </c:strCache>
            </c:strRef>
          </c:tx>
          <c:marker>
            <c:symbol val="none"/>
          </c:marker>
          <c:cat>
            <c:strRef>
              <c:f>'PVT Utility Data'!$L$5:$L$29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'PVT Utility Data'!$M$5:$M$29</c:f>
              <c:numCache>
                <c:formatCode>_(* #,##0.00_);_(* \(#,##0.00\);_(* "-"??_);_(@_)</c:formatCode>
                <c:ptCount val="24"/>
                <c:pt idx="0">
                  <c:v>4.2694402357305545</c:v>
                </c:pt>
                <c:pt idx="1">
                  <c:v>4.4570082936790261</c:v>
                </c:pt>
                <c:pt idx="2">
                  <c:v>4.5960275764781935</c:v>
                </c:pt>
                <c:pt idx="3">
                  <c:v>5</c:v>
                </c:pt>
                <c:pt idx="4">
                  <c:v>5.1824420638157411</c:v>
                </c:pt>
                <c:pt idx="5">
                  <c:v>5.7326028990148865</c:v>
                </c:pt>
                <c:pt idx="6">
                  <c:v>6.282602899014889</c:v>
                </c:pt>
                <c:pt idx="7">
                  <c:v>6.8191285113595219</c:v>
                </c:pt>
                <c:pt idx="8">
                  <c:v>6.8549750593316228</c:v>
                </c:pt>
                <c:pt idx="9">
                  <c:v>6.9359266638266233</c:v>
                </c:pt>
                <c:pt idx="10">
                  <c:v>6.867</c:v>
                </c:pt>
                <c:pt idx="11">
                  <c:v>7.4624290124847041</c:v>
                </c:pt>
                <c:pt idx="12">
                  <c:v>7.459108095446628</c:v>
                </c:pt>
                <c:pt idx="13">
                  <c:v>8.1713101443026499</c:v>
                </c:pt>
                <c:pt idx="14">
                  <c:v>8.1602139087259271</c:v>
                </c:pt>
                <c:pt idx="15">
                  <c:v>8.9141516065326432</c:v>
                </c:pt>
                <c:pt idx="16">
                  <c:v>8.9002615420299822</c:v>
                </c:pt>
                <c:pt idx="17">
                  <c:v>10.265524702749273</c:v>
                </c:pt>
                <c:pt idx="18">
                  <c:v>10.239441999711174</c:v>
                </c:pt>
                <c:pt idx="19">
                  <c:v>10.760366634676474</c:v>
                </c:pt>
                <c:pt idx="20">
                  <c:v>11.02937580054339</c:v>
                </c:pt>
                <c:pt idx="21">
                  <c:v>11.305110195556972</c:v>
                </c:pt>
                <c:pt idx="22">
                  <c:v>11.587737950445897</c:v>
                </c:pt>
                <c:pt idx="23">
                  <c:v>11.87743139920704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'PVT Utility Data'!$N$3:$N$4</c:f>
              <c:strCache>
                <c:ptCount val="1"/>
                <c:pt idx="0">
                  <c:v>Average of ElecPrice 2013 BP</c:v>
                </c:pt>
              </c:strCache>
            </c:strRef>
          </c:tx>
          <c:marker>
            <c:symbol val="none"/>
          </c:marker>
          <c:cat>
            <c:strRef>
              <c:f>'PVT Utility Data'!$L$5:$L$29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'PVT Utility Data'!$N$5:$N$29</c:f>
              <c:numCache>
                <c:formatCode>_(* #,##0.00_);_(* \(#,##0.00\);_(* "-"??_);_(@_)</c:formatCode>
                <c:ptCount val="24"/>
                <c:pt idx="0">
                  <c:v>4.2694402357305545</c:v>
                </c:pt>
                <c:pt idx="1">
                  <c:v>4.4570082936790261</c:v>
                </c:pt>
                <c:pt idx="2">
                  <c:v>4.5960275764781935</c:v>
                </c:pt>
                <c:pt idx="3">
                  <c:v>5</c:v>
                </c:pt>
                <c:pt idx="4">
                  <c:v>5.1824420638157411</c:v>
                </c:pt>
                <c:pt idx="5">
                  <c:v>5.7326028990148865</c:v>
                </c:pt>
                <c:pt idx="6">
                  <c:v>6.282602899014889</c:v>
                </c:pt>
                <c:pt idx="7">
                  <c:v>6.8191285113595219</c:v>
                </c:pt>
                <c:pt idx="8">
                  <c:v>6.8549750593316228</c:v>
                </c:pt>
                <c:pt idx="9">
                  <c:v>6.9421927241744967</c:v>
                </c:pt>
                <c:pt idx="10">
                  <c:v>6.867</c:v>
                </c:pt>
                <c:pt idx="11">
                  <c:v>8.8233866865828023</c:v>
                </c:pt>
                <c:pt idx="12">
                  <c:v>8.8478702501483486</c:v>
                </c:pt>
                <c:pt idx="13">
                  <c:v>9.8567702208098193</c:v>
                </c:pt>
                <c:pt idx="14">
                  <c:v>9.98435440913366</c:v>
                </c:pt>
                <c:pt idx="15">
                  <c:v>11.1511374889444</c:v>
                </c:pt>
                <c:pt idx="16">
                  <c:v>11.37416023872329</c:v>
                </c:pt>
                <c:pt idx="17">
                  <c:v>11.601643443497752</c:v>
                </c:pt>
                <c:pt idx="18">
                  <c:v>11.833676312367713</c:v>
                </c:pt>
                <c:pt idx="19">
                  <c:v>12.070349838615064</c:v>
                </c:pt>
                <c:pt idx="20">
                  <c:v>12.311756835387369</c:v>
                </c:pt>
                <c:pt idx="21">
                  <c:v>12.557991972095111</c:v>
                </c:pt>
                <c:pt idx="22">
                  <c:v>12.809151811537019</c:v>
                </c:pt>
                <c:pt idx="23">
                  <c:v>13.065334847767756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'PVT Utility Data'!$O$3:$O$4</c:f>
              <c:strCache>
                <c:ptCount val="1"/>
                <c:pt idx="0">
                  <c:v>Average of ElecPrice 2014 BP</c:v>
                </c:pt>
              </c:strCache>
            </c:strRef>
          </c:tx>
          <c:marker>
            <c:symbol val="none"/>
          </c:marker>
          <c:cat>
            <c:strRef>
              <c:f>'PVT Utility Data'!$L$5:$L$29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'PVT Utility Data'!$O$5:$O$29</c:f>
              <c:numCache>
                <c:formatCode>_(* #,##0.00_);_(* \(#,##0.00\);_(* "-"??_);_(@_)</c:formatCode>
                <c:ptCount val="24"/>
                <c:pt idx="0">
                  <c:v>4.2694402357305545</c:v>
                </c:pt>
                <c:pt idx="1">
                  <c:v>4.4570082936790261</c:v>
                </c:pt>
                <c:pt idx="2">
                  <c:v>4.5960275764781935</c:v>
                </c:pt>
                <c:pt idx="3">
                  <c:v>5</c:v>
                </c:pt>
                <c:pt idx="4">
                  <c:v>5.1824420638157411</c:v>
                </c:pt>
                <c:pt idx="5">
                  <c:v>5.7326028990148865</c:v>
                </c:pt>
                <c:pt idx="6">
                  <c:v>6.282602899014889</c:v>
                </c:pt>
                <c:pt idx="7">
                  <c:v>6.8191285113595219</c:v>
                </c:pt>
                <c:pt idx="8">
                  <c:v>6.8549750593316228</c:v>
                </c:pt>
                <c:pt idx="9">
                  <c:v>6.9421927241744967</c:v>
                </c:pt>
                <c:pt idx="10">
                  <c:v>6.867</c:v>
                </c:pt>
                <c:pt idx="11">
                  <c:v>8.5397890552402913</c:v>
                </c:pt>
                <c:pt idx="12">
                  <c:v>8.7346253410155885</c:v>
                </c:pt>
                <c:pt idx="13">
                  <c:v>9.2046712507306516</c:v>
                </c:pt>
                <c:pt idx="14">
                  <c:v>9.337919624405929</c:v>
                </c:pt>
                <c:pt idx="15">
                  <c:v>10.306953177276499</c:v>
                </c:pt>
                <c:pt idx="16">
                  <c:v>10.533662077481697</c:v>
                </c:pt>
                <c:pt idx="17">
                  <c:v>10.744335319031334</c:v>
                </c:pt>
                <c:pt idx="18">
                  <c:v>10.959222025411959</c:v>
                </c:pt>
                <c:pt idx="19">
                  <c:v>11.178406465920203</c:v>
                </c:pt>
                <c:pt idx="20">
                  <c:v>11.401974595238601</c:v>
                </c:pt>
                <c:pt idx="21">
                  <c:v>11.630014087143378</c:v>
                </c:pt>
                <c:pt idx="22">
                  <c:v>11.862614368886241</c:v>
                </c:pt>
                <c:pt idx="23">
                  <c:v>12.099866656263968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270720"/>
        <c:axId val="492272256"/>
      </c:lineChart>
      <c:catAx>
        <c:axId val="49227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492272256"/>
        <c:crosses val="autoZero"/>
        <c:auto val="1"/>
        <c:lblAlgn val="ctr"/>
        <c:lblOffset val="100"/>
        <c:noMultiLvlLbl val="0"/>
      </c:catAx>
      <c:valAx>
        <c:axId val="49227225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92270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75017881800958E-2"/>
          <c:y val="5.2344514929364323E-2"/>
          <c:w val="0.76967679587673143"/>
          <c:h val="0.87731164432743924"/>
        </c:manualLayout>
      </c:layout>
      <c:lineChart>
        <c:grouping val="standard"/>
        <c:varyColors val="0"/>
        <c:ser>
          <c:idx val="0"/>
          <c:order val="0"/>
          <c:tx>
            <c:strRef>
              <c:f>'OD AnnualIndices'!$B$1</c:f>
              <c:strCache>
                <c:ptCount val="1"/>
                <c:pt idx="0">
                  <c:v>Heating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'OD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AnnualIndices'!$B$2:$B$42</c:f>
              <c:numCache>
                <c:formatCode>_(* #,##0_);_(* \(#,##0\);_(* "-"??_);_(@_)</c:formatCode>
                <c:ptCount val="41"/>
                <c:pt idx="0">
                  <c:v>1557.2578620039631</c:v>
                </c:pt>
                <c:pt idx="1">
                  <c:v>1565.4464593038465</c:v>
                </c:pt>
                <c:pt idx="2">
                  <c:v>1573.6206581625443</c:v>
                </c:pt>
                <c:pt idx="3">
                  <c:v>1591.8873026786353</c:v>
                </c:pt>
                <c:pt idx="4">
                  <c:v>1609.4420176002502</c:v>
                </c:pt>
                <c:pt idx="5">
                  <c:v>1626.3163341352899</c:v>
                </c:pt>
                <c:pt idx="6">
                  <c:v>1642.557377311266</c:v>
                </c:pt>
                <c:pt idx="7">
                  <c:v>1658.2275734372477</c:v>
                </c:pt>
                <c:pt idx="8">
                  <c:v>1673.4035535682497</c:v>
                </c:pt>
                <c:pt idx="9">
                  <c:v>1675.4802725179229</c:v>
                </c:pt>
                <c:pt idx="10">
                  <c:v>1677.4844592546879</c:v>
                </c:pt>
                <c:pt idx="11">
                  <c:v>1670.1567051464676</c:v>
                </c:pt>
                <c:pt idx="12">
                  <c:v>1659.5811815423608</c:v>
                </c:pt>
                <c:pt idx="13">
                  <c:v>1847.312550206289</c:v>
                </c:pt>
                <c:pt idx="14">
                  <c:v>1852.7973726724131</c:v>
                </c:pt>
                <c:pt idx="15">
                  <c:v>1854.456828424846</c:v>
                </c:pt>
                <c:pt idx="16">
                  <c:v>1839.7816835178191</c:v>
                </c:pt>
                <c:pt idx="17">
                  <c:v>1819.6032063656314</c:v>
                </c:pt>
                <c:pt idx="18">
                  <c:v>1801.9795051006181</c:v>
                </c:pt>
                <c:pt idx="19">
                  <c:v>1788.1407406476508</c:v>
                </c:pt>
                <c:pt idx="20">
                  <c:v>1770.3304974469165</c:v>
                </c:pt>
                <c:pt idx="21">
                  <c:v>1754.9441727751453</c:v>
                </c:pt>
                <c:pt idx="22">
                  <c:v>1741.1909741237248</c:v>
                </c:pt>
                <c:pt idx="23">
                  <c:v>1728.4550879467151</c:v>
                </c:pt>
                <c:pt idx="24">
                  <c:v>1713.3186253140998</c:v>
                </c:pt>
                <c:pt idx="25">
                  <c:v>1701.1329796684372</c:v>
                </c:pt>
                <c:pt idx="26">
                  <c:v>1687.0394611517045</c:v>
                </c:pt>
                <c:pt idx="27">
                  <c:v>1674.0624217126474</c:v>
                </c:pt>
                <c:pt idx="28">
                  <c:v>1659.8880995776892</c:v>
                </c:pt>
                <c:pt idx="29">
                  <c:v>1646.3492638409853</c:v>
                </c:pt>
                <c:pt idx="30">
                  <c:v>1633.1239299373799</c:v>
                </c:pt>
                <c:pt idx="31">
                  <c:v>1619.1624864928046</c:v>
                </c:pt>
                <c:pt idx="32">
                  <c:v>1606.9946228644317</c:v>
                </c:pt>
                <c:pt idx="33">
                  <c:v>1593.583131549477</c:v>
                </c:pt>
                <c:pt idx="34">
                  <c:v>1583.8364690972155</c:v>
                </c:pt>
                <c:pt idx="35">
                  <c:v>1570.3592992572217</c:v>
                </c:pt>
                <c:pt idx="36">
                  <c:v>1560.9963098021617</c:v>
                </c:pt>
                <c:pt idx="37">
                  <c:v>1551.1300247999686</c:v>
                </c:pt>
                <c:pt idx="38">
                  <c:v>1541.3961058702612</c:v>
                </c:pt>
                <c:pt idx="39">
                  <c:v>1531.8464403960004</c:v>
                </c:pt>
                <c:pt idx="40">
                  <c:v>1522.1888039119428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'OD AnnualIndices'!$D$1</c:f>
              <c:strCache>
                <c:ptCount val="1"/>
                <c:pt idx="0">
                  <c:v>Cooling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'OD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AnnualIndices'!$D$2:$D$42</c:f>
              <c:numCache>
                <c:formatCode>_(* #,##0_);_(* \(#,##0\);_(* "-"??_);_(@_)</c:formatCode>
                <c:ptCount val="41"/>
                <c:pt idx="0">
                  <c:v>4375.273494995703</c:v>
                </c:pt>
                <c:pt idx="1">
                  <c:v>4338.2226736534631</c:v>
                </c:pt>
                <c:pt idx="2">
                  <c:v>4285.9952483690349</c:v>
                </c:pt>
                <c:pt idx="3">
                  <c:v>4252.5986071454308</c:v>
                </c:pt>
                <c:pt idx="4">
                  <c:v>4176.6448260852685</c:v>
                </c:pt>
                <c:pt idx="5">
                  <c:v>4103.0746796500043</c:v>
                </c:pt>
                <c:pt idx="6">
                  <c:v>4031.7667091802941</c:v>
                </c:pt>
                <c:pt idx="7">
                  <c:v>3962.6078916777305</c:v>
                </c:pt>
                <c:pt idx="8">
                  <c:v>3937.9197058634481</c:v>
                </c:pt>
                <c:pt idx="9">
                  <c:v>3932.18102899209</c:v>
                </c:pt>
                <c:pt idx="10">
                  <c:v>3927.2044205631373</c:v>
                </c:pt>
                <c:pt idx="11">
                  <c:v>3873.9026409473572</c:v>
                </c:pt>
                <c:pt idx="12">
                  <c:v>3873.1192116020061</c:v>
                </c:pt>
                <c:pt idx="13">
                  <c:v>3746.3089562082478</c:v>
                </c:pt>
                <c:pt idx="14">
                  <c:v>3570.7908574553962</c:v>
                </c:pt>
                <c:pt idx="15">
                  <c:v>3271.0253312414566</c:v>
                </c:pt>
                <c:pt idx="16">
                  <c:v>3264.598301064148</c:v>
                </c:pt>
                <c:pt idx="17">
                  <c:v>3220.268719304896</c:v>
                </c:pt>
                <c:pt idx="18">
                  <c:v>3214.9157693976531</c:v>
                </c:pt>
                <c:pt idx="19">
                  <c:v>3189.1889752447796</c:v>
                </c:pt>
                <c:pt idx="20">
                  <c:v>3143.1864391730164</c:v>
                </c:pt>
                <c:pt idx="21">
                  <c:v>3108.9009967958532</c:v>
                </c:pt>
                <c:pt idx="22">
                  <c:v>3083.683187089116</c:v>
                </c:pt>
                <c:pt idx="23">
                  <c:v>3066.5204861195984</c:v>
                </c:pt>
                <c:pt idx="24">
                  <c:v>3054.7730783984948</c:v>
                </c:pt>
                <c:pt idx="25">
                  <c:v>3044.9096252772374</c:v>
                </c:pt>
                <c:pt idx="26">
                  <c:v>3041.704742533997</c:v>
                </c:pt>
                <c:pt idx="27">
                  <c:v>3040.9714380444079</c:v>
                </c:pt>
                <c:pt idx="28">
                  <c:v>3041.5039923025515</c:v>
                </c:pt>
                <c:pt idx="29">
                  <c:v>3043.1802886630926</c:v>
                </c:pt>
                <c:pt idx="30">
                  <c:v>3045.5848839677615</c:v>
                </c:pt>
                <c:pt idx="31">
                  <c:v>3049.3881529752448</c:v>
                </c:pt>
                <c:pt idx="32">
                  <c:v>3055.1870086816307</c:v>
                </c:pt>
                <c:pt idx="33">
                  <c:v>3062.469457451044</c:v>
                </c:pt>
                <c:pt idx="34">
                  <c:v>3071.1365352759694</c:v>
                </c:pt>
                <c:pt idx="35">
                  <c:v>3078.9982589455935</c:v>
                </c:pt>
                <c:pt idx="36">
                  <c:v>3086.5960127163598</c:v>
                </c:pt>
                <c:pt idx="37">
                  <c:v>3093.7085400921546</c:v>
                </c:pt>
                <c:pt idx="38">
                  <c:v>3100.4325448265745</c:v>
                </c:pt>
                <c:pt idx="39">
                  <c:v>3107.0279042715938</c:v>
                </c:pt>
                <c:pt idx="40">
                  <c:v>3112.6566282657727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'OD AnnualIndices'!$F$1</c:f>
              <c:strCache>
                <c:ptCount val="1"/>
                <c:pt idx="0">
                  <c:v>EWHeat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'OD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AnnualIndices'!$F$2:$F$42</c:f>
              <c:numCache>
                <c:formatCode>_(* #,##0_);_(* \(#,##0\);_(* "-"??_);_(@_)</c:formatCode>
                <c:ptCount val="41"/>
                <c:pt idx="0">
                  <c:v>2192.8915836291339</c:v>
                </c:pt>
                <c:pt idx="1">
                  <c:v>2187.4848630736292</c:v>
                </c:pt>
                <c:pt idx="2">
                  <c:v>2182.104738205443</c:v>
                </c:pt>
                <c:pt idx="3">
                  <c:v>2176.7510132695429</c:v>
                </c:pt>
                <c:pt idx="4">
                  <c:v>2171.4234944273103</c:v>
                </c:pt>
                <c:pt idx="5">
                  <c:v>2166.1219897331453</c:v>
                </c:pt>
                <c:pt idx="6">
                  <c:v>2160.8463091114127</c:v>
                </c:pt>
                <c:pt idx="7">
                  <c:v>2155.5962643337293</c:v>
                </c:pt>
                <c:pt idx="8">
                  <c:v>2150.3716689965731</c:v>
                </c:pt>
                <c:pt idx="9">
                  <c:v>2145.172338499226</c:v>
                </c:pt>
                <c:pt idx="10">
                  <c:v>2139.998090022028</c:v>
                </c:pt>
                <c:pt idx="11">
                  <c:v>2133.953598962974</c:v>
                </c:pt>
                <c:pt idx="12">
                  <c:v>2130.0975340022874</c:v>
                </c:pt>
                <c:pt idx="13">
                  <c:v>2127.9462880367878</c:v>
                </c:pt>
                <c:pt idx="14">
                  <c:v>2125.1513588773432</c:v>
                </c:pt>
                <c:pt idx="15">
                  <c:v>2123.5537711065863</c:v>
                </c:pt>
                <c:pt idx="16">
                  <c:v>2122.2318990452363</c:v>
                </c:pt>
                <c:pt idx="17">
                  <c:v>2120.9660412082458</c:v>
                </c:pt>
                <c:pt idx="18">
                  <c:v>2119.6421313626138</c:v>
                </c:pt>
                <c:pt idx="19">
                  <c:v>2118.1903937388788</c:v>
                </c:pt>
                <c:pt idx="20">
                  <c:v>2087.2929409195544</c:v>
                </c:pt>
                <c:pt idx="21">
                  <c:v>2073.4838680182597</c:v>
                </c:pt>
                <c:pt idx="22">
                  <c:v>2061.2400651496887</c:v>
                </c:pt>
                <c:pt idx="23">
                  <c:v>2049.7352973985203</c:v>
                </c:pt>
                <c:pt idx="24">
                  <c:v>2038.9938150395251</c:v>
                </c:pt>
                <c:pt idx="25">
                  <c:v>2029.0157217768178</c:v>
                </c:pt>
                <c:pt idx="26">
                  <c:v>2019.5060791209899</c:v>
                </c:pt>
                <c:pt idx="27">
                  <c:v>2010.4215582143722</c:v>
                </c:pt>
                <c:pt idx="28">
                  <c:v>2001.68678541947</c:v>
                </c:pt>
                <c:pt idx="29">
                  <c:v>1993.2869453986041</c:v>
                </c:pt>
                <c:pt idx="30">
                  <c:v>1985.3911250263093</c:v>
                </c:pt>
                <c:pt idx="31">
                  <c:v>1978.4919360407287</c:v>
                </c:pt>
                <c:pt idx="32">
                  <c:v>1972.6255080207463</c:v>
                </c:pt>
                <c:pt idx="33">
                  <c:v>1967.6598272945007</c:v>
                </c:pt>
                <c:pt idx="34">
                  <c:v>1963.4000551992938</c:v>
                </c:pt>
                <c:pt idx="35">
                  <c:v>1959.9777452689898</c:v>
                </c:pt>
                <c:pt idx="36">
                  <c:v>1957.2583577246921</c:v>
                </c:pt>
                <c:pt idx="37">
                  <c:v>1955.2386563913713</c:v>
                </c:pt>
                <c:pt idx="38">
                  <c:v>1954.0104351282052</c:v>
                </c:pt>
                <c:pt idx="39">
                  <c:v>1953.2670826250403</c:v>
                </c:pt>
                <c:pt idx="40">
                  <c:v>1953.3230591611002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'OD AnnualIndices'!$H$1</c:f>
              <c:strCache>
                <c:ptCount val="1"/>
                <c:pt idx="0">
                  <c:v>NonHVAC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'OD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AnnualIndices'!$H$2:$H$42</c:f>
              <c:numCache>
                <c:formatCode>_(* #,##0_);_(* \(#,##0\);_(* "-"??_);_(@_)</c:formatCode>
                <c:ptCount val="41"/>
                <c:pt idx="0">
                  <c:v>8277.4807795999477</c:v>
                </c:pt>
                <c:pt idx="1">
                  <c:v>8349.0324167495528</c:v>
                </c:pt>
                <c:pt idx="2">
                  <c:v>8420.5873166127822</c:v>
                </c:pt>
                <c:pt idx="3">
                  <c:v>8492.1454791896285</c:v>
                </c:pt>
                <c:pt idx="4">
                  <c:v>8563.7069044801046</c:v>
                </c:pt>
                <c:pt idx="5">
                  <c:v>8635.2715924841996</c:v>
                </c:pt>
                <c:pt idx="6">
                  <c:v>8707.0557033324785</c:v>
                </c:pt>
                <c:pt idx="7">
                  <c:v>8778.6291383873158</c:v>
                </c:pt>
                <c:pt idx="8">
                  <c:v>8850.2058361557756</c:v>
                </c:pt>
                <c:pt idx="9">
                  <c:v>8921.7857966378579</c:v>
                </c:pt>
                <c:pt idx="10">
                  <c:v>9056.1724958857158</c:v>
                </c:pt>
                <c:pt idx="11">
                  <c:v>9242.9130234403528</c:v>
                </c:pt>
                <c:pt idx="12">
                  <c:v>9473.3882266370056</c:v>
                </c:pt>
                <c:pt idx="13">
                  <c:v>9662.7815665257185</c:v>
                </c:pt>
                <c:pt idx="14">
                  <c:v>9525.7690199049575</c:v>
                </c:pt>
                <c:pt idx="15">
                  <c:v>9618.3954358304109</c:v>
                </c:pt>
                <c:pt idx="16">
                  <c:v>9469.194864679288</c:v>
                </c:pt>
                <c:pt idx="17">
                  <c:v>9341.0204884062332</c:v>
                </c:pt>
                <c:pt idx="18">
                  <c:v>9105.2186346921808</c:v>
                </c:pt>
                <c:pt idx="19">
                  <c:v>9023.6594747975123</c:v>
                </c:pt>
                <c:pt idx="20">
                  <c:v>8971.2400757286359</c:v>
                </c:pt>
                <c:pt idx="21">
                  <c:v>8968.3234319823532</c:v>
                </c:pt>
                <c:pt idx="22">
                  <c:v>8978.2646091073384</c:v>
                </c:pt>
                <c:pt idx="23">
                  <c:v>9002.7952256132467</c:v>
                </c:pt>
                <c:pt idx="24">
                  <c:v>9036.0534857743769</c:v>
                </c:pt>
                <c:pt idx="25">
                  <c:v>9032.2550885406272</c:v>
                </c:pt>
                <c:pt idx="26">
                  <c:v>9052.9208074180096</c:v>
                </c:pt>
                <c:pt idx="27">
                  <c:v>9092.2426901562176</c:v>
                </c:pt>
                <c:pt idx="28">
                  <c:v>9140.2684695054377</c:v>
                </c:pt>
                <c:pt idx="29">
                  <c:v>9195.8912619856819</c:v>
                </c:pt>
                <c:pt idx="30">
                  <c:v>9260.0561731907128</c:v>
                </c:pt>
                <c:pt idx="31">
                  <c:v>9321.4928874333655</c:v>
                </c:pt>
                <c:pt idx="32">
                  <c:v>9391.2380887074178</c:v>
                </c:pt>
                <c:pt idx="33">
                  <c:v>9463.9904633677579</c:v>
                </c:pt>
                <c:pt idx="34">
                  <c:v>9541.2923379442145</c:v>
                </c:pt>
                <c:pt idx="35">
                  <c:v>9625.5674646627795</c:v>
                </c:pt>
                <c:pt idx="36">
                  <c:v>9709.9644428961838</c:v>
                </c:pt>
                <c:pt idx="37">
                  <c:v>9786.220883275173</c:v>
                </c:pt>
                <c:pt idx="38">
                  <c:v>9855.6610236343968</c:v>
                </c:pt>
                <c:pt idx="39">
                  <c:v>9920.1015894923912</c:v>
                </c:pt>
                <c:pt idx="40">
                  <c:v>9986.7173890223967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576960"/>
        <c:axId val="495616384"/>
      </c:lineChart>
      <c:catAx>
        <c:axId val="4955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61638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9561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5769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615837950811926"/>
          <c:y val="0.41008438651050982"/>
          <c:w val="0.11458345484592203"/>
          <c:h val="0.149580008381305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'OD AnnualIndices'!$O$1</c:f>
              <c:strCache>
                <c:ptCount val="1"/>
                <c:pt idx="0">
                  <c:v>Heating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AnnualIndices'!$O$2:$O$48</c:f>
              <c:numCache>
                <c:formatCode>_(* #,##0_);_(* \(#,##0\);_(* "-"??_);_(@_)</c:formatCode>
                <c:ptCount val="47"/>
                <c:pt idx="0">
                  <c:v>2034.8380717866903</c:v>
                </c:pt>
                <c:pt idx="1">
                  <c:v>2037.4236620591901</c:v>
                </c:pt>
                <c:pt idx="2">
                  <c:v>2039.0906980198602</c:v>
                </c:pt>
                <c:pt idx="3">
                  <c:v>2039.8649495481538</c:v>
                </c:pt>
                <c:pt idx="4">
                  <c:v>2039.7914590634546</c:v>
                </c:pt>
                <c:pt idx="5">
                  <c:v>2038.9351673918052</c:v>
                </c:pt>
                <c:pt idx="6">
                  <c:v>2037.380615703898</c:v>
                </c:pt>
                <c:pt idx="7">
                  <c:v>2035.9537869557148</c:v>
                </c:pt>
                <c:pt idx="8">
                  <c:v>2032.6068855658739</c:v>
                </c:pt>
                <c:pt idx="9">
                  <c:v>2028.8939634529845</c:v>
                </c:pt>
                <c:pt idx="10">
                  <c:v>2025.026994301161</c:v>
                </c:pt>
                <c:pt idx="11">
                  <c:v>2005.3707023884558</c:v>
                </c:pt>
                <c:pt idx="12">
                  <c:v>2007.0480929212758</c:v>
                </c:pt>
                <c:pt idx="13">
                  <c:v>2028.5180136888566</c:v>
                </c:pt>
                <c:pt idx="14">
                  <c:v>2014.8343189548841</c:v>
                </c:pt>
                <c:pt idx="15">
                  <c:v>2006.782096665122</c:v>
                </c:pt>
                <c:pt idx="16">
                  <c:v>1993.9756887009096</c:v>
                </c:pt>
                <c:pt idx="17">
                  <c:v>1990.7295037371453</c:v>
                </c:pt>
                <c:pt idx="18">
                  <c:v>1986.6489102383609</c:v>
                </c:pt>
                <c:pt idx="19">
                  <c:v>1982.7201739317659</c:v>
                </c:pt>
                <c:pt idx="20">
                  <c:v>1978.6271387593506</c:v>
                </c:pt>
                <c:pt idx="21">
                  <c:v>1974.672571347922</c:v>
                </c:pt>
                <c:pt idx="22">
                  <c:v>1968.5457864142468</c:v>
                </c:pt>
                <c:pt idx="23">
                  <c:v>1963.111550305829</c:v>
                </c:pt>
                <c:pt idx="24">
                  <c:v>1957.8215555222866</c:v>
                </c:pt>
                <c:pt idx="25">
                  <c:v>1953.3852729782675</c:v>
                </c:pt>
                <c:pt idx="26">
                  <c:v>1948.7486984424272</c:v>
                </c:pt>
                <c:pt idx="27">
                  <c:v>1944.1710838374672</c:v>
                </c:pt>
                <c:pt idx="28">
                  <c:v>1938.834858063228</c:v>
                </c:pt>
                <c:pt idx="29">
                  <c:v>1933.6831884859146</c:v>
                </c:pt>
                <c:pt idx="30">
                  <c:v>1927.9210980596517</c:v>
                </c:pt>
                <c:pt idx="31">
                  <c:v>1922.5071557232845</c:v>
                </c:pt>
                <c:pt idx="32">
                  <c:v>1917.0430921945101</c:v>
                </c:pt>
                <c:pt idx="33">
                  <c:v>1911.6031433475573</c:v>
                </c:pt>
                <c:pt idx="34">
                  <c:v>1905.3657538206155</c:v>
                </c:pt>
                <c:pt idx="35">
                  <c:v>1899.7737050270516</c:v>
                </c:pt>
                <c:pt idx="36">
                  <c:v>1894.6948225140775</c:v>
                </c:pt>
                <c:pt idx="37">
                  <c:v>1889.5130919486996</c:v>
                </c:pt>
                <c:pt idx="38">
                  <c:v>1884.2310447558564</c:v>
                </c:pt>
                <c:pt idx="39">
                  <c:v>1878.8511373278736</c:v>
                </c:pt>
                <c:pt idx="40">
                  <c:v>1873.3757536701899</c:v>
                </c:pt>
                <c:pt idx="41">
                  <c:v>1867.807207937253</c:v>
                </c:pt>
                <c:pt idx="42">
                  <c:v>1862.1477468638532</c:v>
                </c:pt>
                <c:pt idx="43">
                  <c:v>1856.9042713280946</c:v>
                </c:pt>
                <c:pt idx="44">
                  <c:v>1851.5671081146734</c:v>
                </c:pt>
                <c:pt idx="45">
                  <c:v>1846.1383016455788</c:v>
                </c:pt>
                <c:pt idx="46">
                  <c:v>1840.6198406709434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'OD AnnualIndices'!$Q$1</c:f>
              <c:strCache>
                <c:ptCount val="1"/>
                <c:pt idx="0">
                  <c:v>Cooling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AnnualIndices'!$Q$2:$Q$48</c:f>
              <c:numCache>
                <c:formatCode>_(* #,##0_);_(* \(#,##0\);_(* "-"??_);_(@_)</c:formatCode>
                <c:ptCount val="47"/>
                <c:pt idx="0">
                  <c:v>6005.8247660735515</c:v>
                </c:pt>
                <c:pt idx="1">
                  <c:v>5930.7245789785065</c:v>
                </c:pt>
                <c:pt idx="2">
                  <c:v>5858.7815045944153</c:v>
                </c:pt>
                <c:pt idx="3">
                  <c:v>5789.8009608549419</c:v>
                </c:pt>
                <c:pt idx="4">
                  <c:v>5723.6043970824594</c:v>
                </c:pt>
                <c:pt idx="5">
                  <c:v>5660.0276537475238</c:v>
                </c:pt>
                <c:pt idx="6">
                  <c:v>5598.9195213166204</c:v>
                </c:pt>
                <c:pt idx="7">
                  <c:v>5540.1404704023389</c:v>
                </c:pt>
                <c:pt idx="8">
                  <c:v>5481.9228068642242</c:v>
                </c:pt>
                <c:pt idx="9">
                  <c:v>5425.8451222937292</c:v>
                </c:pt>
                <c:pt idx="10">
                  <c:v>5371.7933216468273</c:v>
                </c:pt>
                <c:pt idx="11">
                  <c:v>5297.356876883724</c:v>
                </c:pt>
                <c:pt idx="12">
                  <c:v>5254.1859644500137</c:v>
                </c:pt>
                <c:pt idx="13">
                  <c:v>5188.287055148282</c:v>
                </c:pt>
                <c:pt idx="14">
                  <c:v>5129.4674626857532</c:v>
                </c:pt>
                <c:pt idx="15">
                  <c:v>5077.858445727511</c:v>
                </c:pt>
                <c:pt idx="16">
                  <c:v>5034.7004327750356</c:v>
                </c:pt>
                <c:pt idx="17">
                  <c:v>4997.2997162838565</c:v>
                </c:pt>
                <c:pt idx="18">
                  <c:v>4965.0345364997675</c:v>
                </c:pt>
                <c:pt idx="19">
                  <c:v>4938.0375063148003</c:v>
                </c:pt>
                <c:pt idx="20">
                  <c:v>4916.3352471240632</c:v>
                </c:pt>
                <c:pt idx="21">
                  <c:v>4900.0201657203625</c:v>
                </c:pt>
                <c:pt idx="22">
                  <c:v>4886.5455793401779</c:v>
                </c:pt>
                <c:pt idx="23">
                  <c:v>4878.1645917719979</c:v>
                </c:pt>
                <c:pt idx="24">
                  <c:v>4873.298349325345</c:v>
                </c:pt>
                <c:pt idx="25">
                  <c:v>4865.6272040982458</c:v>
                </c:pt>
                <c:pt idx="26">
                  <c:v>4862.2516137244002</c:v>
                </c:pt>
                <c:pt idx="27">
                  <c:v>4862.2729248005489</c:v>
                </c:pt>
                <c:pt idx="28">
                  <c:v>4858.9228808965872</c:v>
                </c:pt>
                <c:pt idx="29">
                  <c:v>4858.1049645441708</c:v>
                </c:pt>
                <c:pt idx="30">
                  <c:v>4859.3253490362831</c:v>
                </c:pt>
                <c:pt idx="31">
                  <c:v>4862.2226227333122</c:v>
                </c:pt>
                <c:pt idx="32">
                  <c:v>4866.3591496913677</c:v>
                </c:pt>
                <c:pt idx="33">
                  <c:v>4870.0650018911319</c:v>
                </c:pt>
                <c:pt idx="34">
                  <c:v>4873.5761685073776</c:v>
                </c:pt>
                <c:pt idx="35">
                  <c:v>4877.2605215163239</c:v>
                </c:pt>
                <c:pt idx="36">
                  <c:v>4880.7328642833818</c:v>
                </c:pt>
                <c:pt idx="37">
                  <c:v>4883.9981666667682</c:v>
                </c:pt>
                <c:pt idx="38">
                  <c:v>4887.0612567138587</c:v>
                </c:pt>
                <c:pt idx="39">
                  <c:v>4889.926825631359</c:v>
                </c:pt>
                <c:pt idx="40">
                  <c:v>4892.5994325482425</c:v>
                </c:pt>
                <c:pt idx="41">
                  <c:v>4895.0835090814835</c:v>
                </c:pt>
                <c:pt idx="42">
                  <c:v>4897.3833637140115</c:v>
                </c:pt>
                <c:pt idx="43">
                  <c:v>4899.503185993859</c:v>
                </c:pt>
                <c:pt idx="44">
                  <c:v>4901.4470505629597</c:v>
                </c:pt>
                <c:pt idx="45">
                  <c:v>4903.2189210235829</c:v>
                </c:pt>
                <c:pt idx="46">
                  <c:v>4904.8226536500069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'OD AnnualIndices'!$S$1</c:f>
              <c:strCache>
                <c:ptCount val="1"/>
                <c:pt idx="0">
                  <c:v>EWHeat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AnnualIndices'!$S$2:$S$48</c:f>
              <c:numCache>
                <c:formatCode>_(* #,##0_);_(* \(#,##0\);_(* "-"??_);_(@_)</c:formatCode>
                <c:ptCount val="47"/>
                <c:pt idx="0">
                  <c:v>1631.1981150194601</c:v>
                </c:pt>
                <c:pt idx="1">
                  <c:v>1626.819404112329</c:v>
                </c:pt>
                <c:pt idx="2">
                  <c:v>1622.464138278403</c:v>
                </c:pt>
                <c:pt idx="3">
                  <c:v>1618.1321297213753</c:v>
                </c:pt>
                <c:pt idx="4">
                  <c:v>1613.8231926452761</c:v>
                </c:pt>
                <c:pt idx="5">
                  <c:v>1609.5371432279101</c:v>
                </c:pt>
                <c:pt idx="6">
                  <c:v>1605.2737995947157</c:v>
                </c:pt>
                <c:pt idx="7">
                  <c:v>1601.0329817930383</c:v>
                </c:pt>
                <c:pt idx="8">
                  <c:v>1596.8145117668116</c:v>
                </c:pt>
                <c:pt idx="9">
                  <c:v>1592.6182133316365</c:v>
                </c:pt>
                <c:pt idx="10">
                  <c:v>1588.4439121502512</c:v>
                </c:pt>
                <c:pt idx="11">
                  <c:v>1582.7976197631328</c:v>
                </c:pt>
                <c:pt idx="12">
                  <c:v>1577.9442429946798</c:v>
                </c:pt>
                <c:pt idx="13">
                  <c:v>1574.3637768153478</c:v>
                </c:pt>
                <c:pt idx="14">
                  <c:v>1571.1398391676419</c:v>
                </c:pt>
                <c:pt idx="15">
                  <c:v>1567.4914286226908</c:v>
                </c:pt>
                <c:pt idx="16">
                  <c:v>1564.1645759217611</c:v>
                </c:pt>
                <c:pt idx="17">
                  <c:v>1561.2201676733225</c:v>
                </c:pt>
                <c:pt idx="18">
                  <c:v>1558.6181475961234</c:v>
                </c:pt>
                <c:pt idx="19">
                  <c:v>1556.2912958753395</c:v>
                </c:pt>
                <c:pt idx="20">
                  <c:v>1554.1602424595378</c:v>
                </c:pt>
                <c:pt idx="21">
                  <c:v>1552.307694852826</c:v>
                </c:pt>
                <c:pt idx="22">
                  <c:v>1550.7032367264324</c:v>
                </c:pt>
                <c:pt idx="23">
                  <c:v>1549.3319572397072</c:v>
                </c:pt>
                <c:pt idx="24">
                  <c:v>1548.1725786032853</c:v>
                </c:pt>
                <c:pt idx="25">
                  <c:v>1544.7217659276209</c:v>
                </c:pt>
                <c:pt idx="26">
                  <c:v>1541.7437823699952</c:v>
                </c:pt>
                <c:pt idx="27">
                  <c:v>1538.8730977350931</c:v>
                </c:pt>
                <c:pt idx="28">
                  <c:v>1536.1594206962407</c:v>
                </c:pt>
                <c:pt idx="29">
                  <c:v>1533.5514680981323</c:v>
                </c:pt>
                <c:pt idx="30">
                  <c:v>1531.0328626860733</c:v>
                </c:pt>
                <c:pt idx="31">
                  <c:v>1528.7267653660033</c:v>
                </c:pt>
                <c:pt idx="32">
                  <c:v>1526.6880098458441</c:v>
                </c:pt>
                <c:pt idx="33">
                  <c:v>1524.745826097268</c:v>
                </c:pt>
                <c:pt idx="34">
                  <c:v>1522.8912678016768</c:v>
                </c:pt>
                <c:pt idx="35">
                  <c:v>1521.1369104900377</c:v>
                </c:pt>
                <c:pt idx="36">
                  <c:v>1519.3865905357047</c:v>
                </c:pt>
                <c:pt idx="37">
                  <c:v>1517.6402940177511</c:v>
                </c:pt>
                <c:pt idx="38">
                  <c:v>1515.898007079177</c:v>
                </c:pt>
                <c:pt idx="39">
                  <c:v>1514.1597159265416</c:v>
                </c:pt>
                <c:pt idx="40">
                  <c:v>1512.4254068296004</c:v>
                </c:pt>
                <c:pt idx="41">
                  <c:v>1510.6950661209421</c:v>
                </c:pt>
                <c:pt idx="42">
                  <c:v>1508.9686801956316</c:v>
                </c:pt>
                <c:pt idx="43">
                  <c:v>1507.2462355108519</c:v>
                </c:pt>
                <c:pt idx="44">
                  <c:v>1505.5277185855498</c:v>
                </c:pt>
                <c:pt idx="45">
                  <c:v>1503.8131160000864</c:v>
                </c:pt>
                <c:pt idx="46">
                  <c:v>1502.1024143958848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'OD AnnualIndices'!$U$1</c:f>
              <c:strCache>
                <c:ptCount val="1"/>
                <c:pt idx="0">
                  <c:v>NonHVAC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AnnualIndices'!$U$2:$U$48</c:f>
              <c:numCache>
                <c:formatCode>_(* #,##0_);_(* \(#,##0\);_(* "-"??_);_(@_)</c:formatCode>
                <c:ptCount val="47"/>
                <c:pt idx="0">
                  <c:v>6930.0325397880333</c:v>
                </c:pt>
                <c:pt idx="1">
                  <c:v>7006.9672616898661</c:v>
                </c:pt>
                <c:pt idx="2">
                  <c:v>7081.4165912800563</c:v>
                </c:pt>
                <c:pt idx="3">
                  <c:v>7156.1212056055683</c:v>
                </c:pt>
                <c:pt idx="4">
                  <c:v>7231.0811046664021</c:v>
                </c:pt>
                <c:pt idx="5">
                  <c:v>7306.2962884625576</c:v>
                </c:pt>
                <c:pt idx="6">
                  <c:v>7381.7667569940359</c:v>
                </c:pt>
                <c:pt idx="7">
                  <c:v>7460.760859227209</c:v>
                </c:pt>
                <c:pt idx="8">
                  <c:v>7542.8155147000052</c:v>
                </c:pt>
                <c:pt idx="9">
                  <c:v>7625.6966950052056</c:v>
                </c:pt>
                <c:pt idx="10">
                  <c:v>7709.3717418777042</c:v>
                </c:pt>
                <c:pt idx="11">
                  <c:v>7679.8865647264538</c:v>
                </c:pt>
                <c:pt idx="12">
                  <c:v>7754.9599434618221</c:v>
                </c:pt>
                <c:pt idx="13">
                  <c:v>7773.3190685685859</c:v>
                </c:pt>
                <c:pt idx="14">
                  <c:v>7745.0894046735284</c:v>
                </c:pt>
                <c:pt idx="15">
                  <c:v>7639.6178440684562</c:v>
                </c:pt>
                <c:pt idx="16">
                  <c:v>7589.7637323676845</c:v>
                </c:pt>
                <c:pt idx="17">
                  <c:v>7573.7812473659496</c:v>
                </c:pt>
                <c:pt idx="18">
                  <c:v>7565.6619581383866</c:v>
                </c:pt>
                <c:pt idx="19">
                  <c:v>7598.0108205387196</c:v>
                </c:pt>
                <c:pt idx="20">
                  <c:v>7630.5971256797475</c:v>
                </c:pt>
                <c:pt idx="21">
                  <c:v>7670.8932739730499</c:v>
                </c:pt>
                <c:pt idx="22">
                  <c:v>7687.0924467186978</c:v>
                </c:pt>
                <c:pt idx="23">
                  <c:v>7726.4553192846288</c:v>
                </c:pt>
                <c:pt idx="24">
                  <c:v>7781.6372117057144</c:v>
                </c:pt>
                <c:pt idx="25">
                  <c:v>7855.5480694401831</c:v>
                </c:pt>
                <c:pt idx="26">
                  <c:v>7906.1199072072832</c:v>
                </c:pt>
                <c:pt idx="27">
                  <c:v>7969.8458097321927</c:v>
                </c:pt>
                <c:pt idx="28">
                  <c:v>8042.9444058437657</c:v>
                </c:pt>
                <c:pt idx="29">
                  <c:v>8129.4625154793403</c:v>
                </c:pt>
                <c:pt idx="30">
                  <c:v>8193.3968339822313</c:v>
                </c:pt>
                <c:pt idx="31">
                  <c:v>8267.9786854927333</c:v>
                </c:pt>
                <c:pt idx="32">
                  <c:v>8337.6240006482403</c:v>
                </c:pt>
                <c:pt idx="33">
                  <c:v>8410.9310187332376</c:v>
                </c:pt>
                <c:pt idx="34">
                  <c:v>8453.3982082685616</c:v>
                </c:pt>
                <c:pt idx="35">
                  <c:v>8573.1773255815096</c:v>
                </c:pt>
                <c:pt idx="36">
                  <c:v>8639.2324745392616</c:v>
                </c:pt>
                <c:pt idx="37">
                  <c:v>8706.1585813910642</c:v>
                </c:pt>
                <c:pt idx="38">
                  <c:v>8773.9668524517874</c:v>
                </c:pt>
                <c:pt idx="39">
                  <c:v>8842.66863903583</c:v>
                </c:pt>
                <c:pt idx="40">
                  <c:v>8912.2754393354226</c:v>
                </c:pt>
                <c:pt idx="41">
                  <c:v>8982.7989003232306</c:v>
                </c:pt>
                <c:pt idx="42">
                  <c:v>9054.2508196797244</c:v>
                </c:pt>
                <c:pt idx="43">
                  <c:v>9126.6075669938928</c:v>
                </c:pt>
                <c:pt idx="44">
                  <c:v>9199.9168326678409</c:v>
                </c:pt>
                <c:pt idx="45">
                  <c:v>9274.1908783210492</c:v>
                </c:pt>
                <c:pt idx="46">
                  <c:v>9349.442124243431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'OD AnnualIndices'!$W$1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AnnualIndices'!$W$2:$W$48</c:f>
              <c:numCache>
                <c:formatCode>_(* #,##0_);_(* \(#,##0\);_(* "-"??_);_(@_)</c:formatCode>
                <c:ptCount val="47"/>
                <c:pt idx="0">
                  <c:v>16601.893492667736</c:v>
                </c:pt>
                <c:pt idx="1">
                  <c:v>16601.920988590231</c:v>
                </c:pt>
                <c:pt idx="2">
                  <c:v>16601.738942643606</c:v>
                </c:pt>
                <c:pt idx="3">
                  <c:v>16603.905181544247</c:v>
                </c:pt>
                <c:pt idx="4">
                  <c:v>16608.286021216802</c:v>
                </c:pt>
                <c:pt idx="5">
                  <c:v>16614.782069384462</c:v>
                </c:pt>
                <c:pt idx="6">
                  <c:v>16623.326485938054</c:v>
                </c:pt>
                <c:pt idx="7">
                  <c:v>16637.874257965148</c:v>
                </c:pt>
                <c:pt idx="8">
                  <c:v>16654.14493181865</c:v>
                </c:pt>
                <c:pt idx="9">
                  <c:v>16673.03930992035</c:v>
                </c:pt>
                <c:pt idx="10">
                  <c:v>16694.621481082253</c:v>
                </c:pt>
                <c:pt idx="11">
                  <c:v>16565.384645566464</c:v>
                </c:pt>
                <c:pt idx="12">
                  <c:v>16594.127864429469</c:v>
                </c:pt>
                <c:pt idx="13">
                  <c:v>16564.483800240661</c:v>
                </c:pt>
                <c:pt idx="14">
                  <c:v>16460.510895052576</c:v>
                </c:pt>
                <c:pt idx="15">
                  <c:v>16291.733435190943</c:v>
                </c:pt>
                <c:pt idx="16">
                  <c:v>16182.587426541091</c:v>
                </c:pt>
                <c:pt idx="17">
                  <c:v>16123.019696059873</c:v>
                </c:pt>
                <c:pt idx="18">
                  <c:v>16075.953379493723</c:v>
                </c:pt>
                <c:pt idx="19">
                  <c:v>16075.0508887666</c:v>
                </c:pt>
                <c:pt idx="20">
                  <c:v>16079.711925438194</c:v>
                </c:pt>
                <c:pt idx="21">
                  <c:v>16097.887196714106</c:v>
                </c:pt>
                <c:pt idx="22">
                  <c:v>16092.880163015892</c:v>
                </c:pt>
                <c:pt idx="23">
                  <c:v>16117.05805865868</c:v>
                </c:pt>
                <c:pt idx="24">
                  <c:v>16160.925254592854</c:v>
                </c:pt>
                <c:pt idx="25">
                  <c:v>16219.276243440019</c:v>
                </c:pt>
                <c:pt idx="26">
                  <c:v>16258.859006526984</c:v>
                </c:pt>
                <c:pt idx="27">
                  <c:v>16315.158709513687</c:v>
                </c:pt>
                <c:pt idx="28">
                  <c:v>16376.856368363713</c:v>
                </c:pt>
                <c:pt idx="29">
                  <c:v>16454.797613469498</c:v>
                </c:pt>
                <c:pt idx="30">
                  <c:v>16511.67177278264</c:v>
                </c:pt>
                <c:pt idx="31">
                  <c:v>16581.431511132323</c:v>
                </c:pt>
                <c:pt idx="32">
                  <c:v>16647.710927343251</c:v>
                </c:pt>
                <c:pt idx="33">
                  <c:v>16717.341641761945</c:v>
                </c:pt>
                <c:pt idx="34">
                  <c:v>16755.227640150588</c:v>
                </c:pt>
                <c:pt idx="35">
                  <c:v>16871.345131714064</c:v>
                </c:pt>
                <c:pt idx="36">
                  <c:v>16934.043639737643</c:v>
                </c:pt>
                <c:pt idx="37">
                  <c:v>16997.306918837145</c:v>
                </c:pt>
                <c:pt idx="38">
                  <c:v>17061.153844691449</c:v>
                </c:pt>
                <c:pt idx="39">
                  <c:v>17125.602902345665</c:v>
                </c:pt>
                <c:pt idx="40">
                  <c:v>17190.672519324267</c:v>
                </c:pt>
                <c:pt idx="41">
                  <c:v>17256.381074634788</c:v>
                </c:pt>
                <c:pt idx="42">
                  <c:v>17322.74690750401</c:v>
                </c:pt>
                <c:pt idx="43">
                  <c:v>17390.25773538174</c:v>
                </c:pt>
                <c:pt idx="44">
                  <c:v>17458.455092281947</c:v>
                </c:pt>
                <c:pt idx="45">
                  <c:v>17527.357507611952</c:v>
                </c:pt>
                <c:pt idx="46">
                  <c:v>17596.983233270315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626688"/>
        <c:axId val="497661056"/>
      </c:lineChart>
      <c:catAx>
        <c:axId val="49662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97661056"/>
        <c:crosses val="autoZero"/>
        <c:auto val="1"/>
        <c:lblAlgn val="ctr"/>
        <c:lblOffset val="100"/>
        <c:noMultiLvlLbl val="0"/>
      </c:catAx>
      <c:valAx>
        <c:axId val="49766105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49662668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'OD ShareUEC'!$U$1</c:f>
              <c:strCache>
                <c:ptCount val="1"/>
                <c:pt idx="0">
                  <c:v>FurnFan</c:v>
                </c:pt>
              </c:strCache>
            </c:strRef>
          </c:tx>
          <c:marker>
            <c:symbol val="none"/>
          </c:marker>
          <c:cat>
            <c:numRef>
              <c:f>'OD ShareUEC'!$A$2:$A$42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ShareUEC'!$U$2:$U$42</c:f>
              <c:numCache>
                <c:formatCode>#,##0</c:formatCode>
                <c:ptCount val="41"/>
                <c:pt idx="0">
                  <c:v>211.02719168409553</c:v>
                </c:pt>
                <c:pt idx="1">
                  <c:v>213.98985421270288</c:v>
                </c:pt>
                <c:pt idx="2">
                  <c:v>216.94250216663121</c:v>
                </c:pt>
                <c:pt idx="3">
                  <c:v>219.88513554588056</c:v>
                </c:pt>
                <c:pt idx="4">
                  <c:v>222.81775435045088</c:v>
                </c:pt>
                <c:pt idx="5">
                  <c:v>225.74035858034216</c:v>
                </c:pt>
                <c:pt idx="6">
                  <c:v>228.65294823555445</c:v>
                </c:pt>
                <c:pt idx="7">
                  <c:v>231.55552331608774</c:v>
                </c:pt>
                <c:pt idx="8">
                  <c:v>234.44808382194199</c:v>
                </c:pt>
                <c:pt idx="9">
                  <c:v>237.33062975311722</c:v>
                </c:pt>
                <c:pt idx="10">
                  <c:v>240.20316110961355</c:v>
                </c:pt>
                <c:pt idx="11">
                  <c:v>245.16228603977791</c:v>
                </c:pt>
                <c:pt idx="12">
                  <c:v>249.82009723556976</c:v>
                </c:pt>
                <c:pt idx="13">
                  <c:v>254.46849954674735</c:v>
                </c:pt>
                <c:pt idx="14">
                  <c:v>259.07165440302265</c:v>
                </c:pt>
                <c:pt idx="15">
                  <c:v>263.82856820064166</c:v>
                </c:pt>
                <c:pt idx="16">
                  <c:v>268.37431218124556</c:v>
                </c:pt>
                <c:pt idx="17">
                  <c:v>267.68778238641084</c:v>
                </c:pt>
                <c:pt idx="18">
                  <c:v>264.64379138770693</c:v>
                </c:pt>
                <c:pt idx="19">
                  <c:v>265.25316051731937</c:v>
                </c:pt>
                <c:pt idx="20">
                  <c:v>265.20351138988639</c:v>
                </c:pt>
                <c:pt idx="21">
                  <c:v>264.61937574533363</c:v>
                </c:pt>
                <c:pt idx="22">
                  <c:v>263.45918990756621</c:v>
                </c:pt>
                <c:pt idx="23">
                  <c:v>262.1169594831</c:v>
                </c:pt>
                <c:pt idx="24">
                  <c:v>257.51565936807594</c:v>
                </c:pt>
                <c:pt idx="25">
                  <c:v>255.43067484557434</c:v>
                </c:pt>
                <c:pt idx="26">
                  <c:v>251.04357167057768</c:v>
                </c:pt>
                <c:pt idx="27">
                  <c:v>247.95168769004783</c:v>
                </c:pt>
                <c:pt idx="28">
                  <c:v>243.70358327595437</c:v>
                </c:pt>
                <c:pt idx="29">
                  <c:v>239.88786914477984</c:v>
                </c:pt>
                <c:pt idx="30">
                  <c:v>236.27984320911676</c:v>
                </c:pt>
                <c:pt idx="31">
                  <c:v>231.74872423997607</c:v>
                </c:pt>
                <c:pt idx="32">
                  <c:v>228.66313796325844</c:v>
                </c:pt>
                <c:pt idx="33">
                  <c:v>223.76907417574455</c:v>
                </c:pt>
                <c:pt idx="34">
                  <c:v>221.92669772443145</c:v>
                </c:pt>
                <c:pt idx="35">
                  <c:v>216.35286772764073</c:v>
                </c:pt>
                <c:pt idx="36">
                  <c:v>215.1109551984824</c:v>
                </c:pt>
                <c:pt idx="37">
                  <c:v>213.60966528106684</c:v>
                </c:pt>
                <c:pt idx="38">
                  <c:v>212.24683225019928</c:v>
                </c:pt>
                <c:pt idx="39">
                  <c:v>210.90073326274137</c:v>
                </c:pt>
                <c:pt idx="40">
                  <c:v>209.5324238392264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067136"/>
        <c:axId val="503309440"/>
      </c:lineChart>
      <c:catAx>
        <c:axId val="5010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3309440"/>
        <c:crosses val="autoZero"/>
        <c:auto val="1"/>
        <c:lblAlgn val="ctr"/>
        <c:lblOffset val="100"/>
        <c:tickLblSkip val="3"/>
        <c:noMultiLvlLbl val="0"/>
      </c:catAx>
      <c:valAx>
        <c:axId val="503309440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10671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Cwash_Fred</c:v>
          </c:tx>
          <c:marker>
            <c:symbol val="none"/>
          </c:marker>
          <c:cat>
            <c:numLit>
              <c:formatCode>General</c:formatCode>
              <c:ptCount val="41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  <c:pt idx="20">
                <c:v>2015</c:v>
              </c:pt>
              <c:pt idx="21">
                <c:v>2016</c:v>
              </c:pt>
              <c:pt idx="22">
                <c:v>2017</c:v>
              </c:pt>
              <c:pt idx="23">
                <c:v>2018</c:v>
              </c:pt>
              <c:pt idx="24">
                <c:v>2019</c:v>
              </c:pt>
              <c:pt idx="25">
                <c:v>2020</c:v>
              </c:pt>
              <c:pt idx="26">
                <c:v>2021</c:v>
              </c:pt>
              <c:pt idx="27">
                <c:v>2022</c:v>
              </c:pt>
              <c:pt idx="28">
                <c:v>2023</c:v>
              </c:pt>
              <c:pt idx="29">
                <c:v>2024</c:v>
              </c:pt>
              <c:pt idx="30">
                <c:v>2025</c:v>
              </c:pt>
              <c:pt idx="31">
                <c:v>2026</c:v>
              </c:pt>
              <c:pt idx="32">
                <c:v>2027</c:v>
              </c:pt>
              <c:pt idx="33">
                <c:v>2028</c:v>
              </c:pt>
              <c:pt idx="34">
                <c:v>2029</c:v>
              </c:pt>
              <c:pt idx="35">
                <c:v>2030</c:v>
              </c:pt>
              <c:pt idx="36">
                <c:v>2031</c:v>
              </c:pt>
              <c:pt idx="37">
                <c:v>2032</c:v>
              </c:pt>
              <c:pt idx="38">
                <c:v>2033</c:v>
              </c:pt>
              <c:pt idx="39">
                <c:v>2034</c:v>
              </c:pt>
              <c:pt idx="40">
                <c:v>2035</c:v>
              </c:pt>
            </c:numLit>
          </c:cat>
          <c:val>
            <c:numRef>
              <c:f>{}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905536"/>
        <c:axId val="515190144"/>
      </c:lineChart>
      <c:catAx>
        <c:axId val="50790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5190144"/>
        <c:crosses val="autoZero"/>
        <c:auto val="1"/>
        <c:lblAlgn val="ctr"/>
        <c:lblOffset val="100"/>
        <c:tickLblSkip val="3"/>
        <c:noMultiLvlLbl val="0"/>
      </c:catAx>
      <c:valAx>
        <c:axId val="515190144"/>
        <c:scaling>
          <c:orientation val="minMax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055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Total</c:v>
          </c:tx>
          <c:marker>
            <c:symbol val="none"/>
          </c:marker>
          <c:cat>
            <c:strLit>
              <c:ptCount val="18"/>
              <c:pt idx="0">
                <c:v>2025</c:v>
              </c:pt>
              <c:pt idx="1">
                <c:v>2026</c:v>
              </c:pt>
              <c:pt idx="2">
                <c:v>2027</c:v>
              </c:pt>
              <c:pt idx="3">
                <c:v>2028</c:v>
              </c:pt>
              <c:pt idx="4">
                <c:v>2029</c:v>
              </c:pt>
              <c:pt idx="5">
                <c:v>2030</c:v>
              </c:pt>
              <c:pt idx="6">
                <c:v>2031</c:v>
              </c:pt>
              <c:pt idx="7">
                <c:v>2032</c:v>
              </c:pt>
              <c:pt idx="8">
                <c:v>2033</c:v>
              </c:pt>
              <c:pt idx="9">
                <c:v>2034</c:v>
              </c:pt>
              <c:pt idx="10">
                <c:v>2035</c:v>
              </c:pt>
              <c:pt idx="11">
                <c:v>2036</c:v>
              </c:pt>
              <c:pt idx="12">
                <c:v>2037</c:v>
              </c:pt>
              <c:pt idx="13">
                <c:v>2038</c:v>
              </c:pt>
              <c:pt idx="14">
                <c:v>2039</c:v>
              </c:pt>
              <c:pt idx="15">
                <c:v>2040</c:v>
              </c:pt>
              <c:pt idx="16">
                <c:v>2041</c:v>
              </c:pt>
              <c:pt idx="17">
                <c:v>2042</c:v>
              </c:pt>
            </c:strLit>
          </c:cat>
          <c:val>
            <c:numLit>
              <c:formatCode>General</c:formatCode>
              <c:ptCount val="18"/>
              <c:pt idx="0">
                <c:v>8.3275989943828534</c:v>
              </c:pt>
              <c:pt idx="1">
                <c:v>8.3494125211931092</c:v>
              </c:pt>
              <c:pt idx="2">
                <c:v>8.3668992443359684</c:v>
              </c:pt>
              <c:pt idx="3">
                <c:v>8.3820133515158552</c:v>
              </c:pt>
              <c:pt idx="4">
                <c:v>8.3945062409389717</c:v>
              </c:pt>
              <c:pt idx="5">
                <c:v>8.405648247040185</c:v>
              </c:pt>
              <c:pt idx="6">
                <c:v>8.4157941304593287</c:v>
              </c:pt>
              <c:pt idx="7">
                <c:v>8.4249576911533275</c:v>
              </c:pt>
              <c:pt idx="8">
                <c:v>8.4317027270645557</c:v>
              </c:pt>
              <c:pt idx="9">
                <c:v>8.436276245805697</c:v>
              </c:pt>
              <c:pt idx="10">
                <c:v>8.4384683863519196</c:v>
              </c:pt>
              <c:pt idx="11">
                <c:v>8.4406605268981423</c:v>
              </c:pt>
              <c:pt idx="12">
                <c:v>8.4428526674443649</c:v>
              </c:pt>
              <c:pt idx="13">
                <c:v>8.4450448079905875</c:v>
              </c:pt>
              <c:pt idx="14">
                <c:v>8.4472369485368102</c:v>
              </c:pt>
              <c:pt idx="15">
                <c:v>8.4494290890830328</c:v>
              </c:pt>
              <c:pt idx="16">
                <c:v>8.4516212296292554</c:v>
              </c:pt>
              <c:pt idx="17">
                <c:v>8.4538133701754781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670912"/>
        <c:axId val="573672832"/>
      </c:lineChart>
      <c:catAx>
        <c:axId val="57367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573672832"/>
        <c:crosses val="autoZero"/>
        <c:auto val="1"/>
        <c:lblAlgn val="ctr"/>
        <c:lblOffset val="100"/>
        <c:noMultiLvlLbl val="0"/>
      </c:catAx>
      <c:valAx>
        <c:axId val="573672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367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  <c:extLst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'OD Efficiencies'!$N$1</c:f>
              <c:strCache>
                <c:ptCount val="1"/>
                <c:pt idx="0">
                  <c:v>Frz</c:v>
                </c:pt>
              </c:strCache>
            </c:strRef>
          </c:tx>
          <c:marker>
            <c:symbol val="none"/>
          </c:marker>
          <c:cat>
            <c:numRef>
              <c:f>'OD Efficiencies'!$A$2:$A$42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Efficiencies'!$N$2:$N$42</c:f>
              <c:numCache>
                <c:formatCode>_(* #,##0.00_);_(* \(#,##0.00\);_(* "-"??_);_(@_)</c:formatCode>
                <c:ptCount val="41"/>
                <c:pt idx="0">
                  <c:v>597.8861696134619</c:v>
                </c:pt>
                <c:pt idx="1">
                  <c:v>591.67097493347887</c:v>
                </c:pt>
                <c:pt idx="2">
                  <c:v>585.45578025349596</c:v>
                </c:pt>
                <c:pt idx="3">
                  <c:v>579.24058557351304</c:v>
                </c:pt>
                <c:pt idx="4">
                  <c:v>573.02539089353013</c:v>
                </c:pt>
                <c:pt idx="5">
                  <c:v>566.81019621354721</c:v>
                </c:pt>
                <c:pt idx="6">
                  <c:v>560.5950015335643</c:v>
                </c:pt>
                <c:pt idx="7">
                  <c:v>554.37980685358139</c:v>
                </c:pt>
                <c:pt idx="8">
                  <c:v>548.16461217359847</c:v>
                </c:pt>
                <c:pt idx="9">
                  <c:v>541.94941749361556</c:v>
                </c:pt>
                <c:pt idx="10">
                  <c:v>535.73422281363219</c:v>
                </c:pt>
                <c:pt idx="11">
                  <c:v>530.40085896318101</c:v>
                </c:pt>
                <c:pt idx="12">
                  <c:v>525.12059004068112</c:v>
                </c:pt>
                <c:pt idx="13">
                  <c:v>520.34729348969699</c:v>
                </c:pt>
                <c:pt idx="14">
                  <c:v>516.5742803585739</c:v>
                </c:pt>
                <c:pt idx="15">
                  <c:v>513.86544850921223</c:v>
                </c:pt>
                <c:pt idx="16">
                  <c:v>512.49681530582814</c:v>
                </c:pt>
                <c:pt idx="17">
                  <c:v>512.46034783201901</c:v>
                </c:pt>
                <c:pt idx="18">
                  <c:v>512.1654316621474</c:v>
                </c:pt>
                <c:pt idx="19">
                  <c:v>498.38133561714113</c:v>
                </c:pt>
                <c:pt idx="20">
                  <c:v>492.0947901058417</c:v>
                </c:pt>
                <c:pt idx="21">
                  <c:v>486.45131570292983</c:v>
                </c:pt>
                <c:pt idx="22">
                  <c:v>481.47063206253006</c:v>
                </c:pt>
                <c:pt idx="23">
                  <c:v>476.85420687675719</c:v>
                </c:pt>
                <c:pt idx="24">
                  <c:v>472.4249847580972</c:v>
                </c:pt>
                <c:pt idx="25">
                  <c:v>468.26730085436054</c:v>
                </c:pt>
                <c:pt idx="26">
                  <c:v>464.24668202818481</c:v>
                </c:pt>
                <c:pt idx="27">
                  <c:v>460.3085544878769</c:v>
                </c:pt>
                <c:pt idx="28">
                  <c:v>456.45627884866326</c:v>
                </c:pt>
                <c:pt idx="29">
                  <c:v>452.66325105453086</c:v>
                </c:pt>
                <c:pt idx="30">
                  <c:v>448.79838828056711</c:v>
                </c:pt>
                <c:pt idx="31">
                  <c:v>445.16851006870934</c:v>
                </c:pt>
                <c:pt idx="32">
                  <c:v>441.73776168054229</c:v>
                </c:pt>
                <c:pt idx="33">
                  <c:v>438.50383879903649</c:v>
                </c:pt>
                <c:pt idx="34">
                  <c:v>435.44977180467026</c:v>
                </c:pt>
                <c:pt idx="35">
                  <c:v>432.56288491193226</c:v>
                </c:pt>
                <c:pt idx="36">
                  <c:v>429.87715201545706</c:v>
                </c:pt>
                <c:pt idx="37">
                  <c:v>427.3756400439799</c:v>
                </c:pt>
                <c:pt idx="38">
                  <c:v>424.99354763359929</c:v>
                </c:pt>
                <c:pt idx="39">
                  <c:v>422.73971730722548</c:v>
                </c:pt>
                <c:pt idx="40">
                  <c:v>420.61255118473372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559808"/>
        <c:axId val="729561728"/>
      </c:lineChart>
      <c:catAx>
        <c:axId val="7295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9561728"/>
        <c:crosses val="autoZero"/>
        <c:auto val="1"/>
        <c:lblAlgn val="ctr"/>
        <c:lblOffset val="100"/>
        <c:tickLblSkip val="3"/>
        <c:noMultiLvlLbl val="0"/>
      </c:catAx>
      <c:valAx>
        <c:axId val="729561728"/>
        <c:scaling>
          <c:orientation val="minMax"/>
          <c:min val="0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955980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Change in dincome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Series1</c:v>
          </c:tx>
          <c:marker>
            <c:symbol val="none"/>
          </c:marker>
          <c:cat>
            <c:numLit>
              <c:formatCode>General</c:formatCode>
              <c:ptCount val="11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</c:numLit>
          </c:cat>
          <c:val>
            <c:numLit>
              <c:formatCode>General</c:formatCode>
              <c:ptCount val="11"/>
              <c:pt idx="0">
                <c:v>0.17591193184414067</c:v>
              </c:pt>
              <c:pt idx="1">
                <c:v>-0.11095381280411409</c:v>
              </c:pt>
              <c:pt idx="2">
                <c:v>1.9243936190252997E-2</c:v>
              </c:pt>
              <c:pt idx="3">
                <c:v>0.1696611625634159</c:v>
              </c:pt>
              <c:pt idx="4">
                <c:v>0.11048291689149226</c:v>
              </c:pt>
              <c:pt idx="5">
                <c:v>0.17720957805502469</c:v>
              </c:pt>
              <c:pt idx="6">
                <c:v>0.19016445262883619</c:v>
              </c:pt>
              <c:pt idx="7">
                <c:v>0.14159777659030426</c:v>
              </c:pt>
              <c:pt idx="8">
                <c:v>0.13070480827541209</c:v>
              </c:pt>
              <c:pt idx="9">
                <c:v>9.7832092700139484E-2</c:v>
              </c:pt>
              <c:pt idx="10">
                <c:v>0.10673865060265397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10208"/>
        <c:axId val="115812992"/>
      </c:lineChart>
      <c:catAx>
        <c:axId val="1157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5812992"/>
        <c:crosses val="autoZero"/>
        <c:auto val="1"/>
        <c:lblAlgn val="ctr"/>
        <c:lblOffset val="100"/>
        <c:noMultiLvlLbl val="0"/>
      </c:catAx>
      <c:valAx>
        <c:axId val="1158129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15710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Change in dincome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Series1</c:v>
          </c:tx>
          <c:marker>
            <c:symbol val="none"/>
          </c:marker>
          <c:cat>
            <c:numLit>
              <c:formatCode>General</c:formatCode>
              <c:ptCount val="11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</c:numLit>
          </c:cat>
          <c:val>
            <c:numLit>
              <c:formatCode>General</c:formatCode>
              <c:ptCount val="11"/>
              <c:pt idx="0">
                <c:v>0.17591193184414067</c:v>
              </c:pt>
              <c:pt idx="1">
                <c:v>-0.11095381280411409</c:v>
              </c:pt>
              <c:pt idx="2">
                <c:v>1.9243936190252997E-2</c:v>
              </c:pt>
              <c:pt idx="3">
                <c:v>0.1696611625634159</c:v>
              </c:pt>
              <c:pt idx="4">
                <c:v>0.11048291689149226</c:v>
              </c:pt>
              <c:pt idx="5">
                <c:v>0.17720957805502469</c:v>
              </c:pt>
              <c:pt idx="6">
                <c:v>0.19016445262883619</c:v>
              </c:pt>
              <c:pt idx="7">
                <c:v>0.14159777659030426</c:v>
              </c:pt>
              <c:pt idx="8">
                <c:v>0.13070480827541209</c:v>
              </c:pt>
              <c:pt idx="9">
                <c:v>9.7832092700139484E-2</c:v>
              </c:pt>
              <c:pt idx="10">
                <c:v>0.10673865060265397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65888"/>
        <c:axId val="158681728"/>
      </c:lineChart>
      <c:catAx>
        <c:axId val="11656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8681728"/>
        <c:crosses val="autoZero"/>
        <c:auto val="1"/>
        <c:lblAlgn val="ctr"/>
        <c:lblOffset val="100"/>
        <c:noMultiLvlLbl val="0"/>
      </c:catAx>
      <c:valAx>
        <c:axId val="1586817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16565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750178818009691E-2"/>
          <c:y val="5.2344514929364323E-2"/>
          <c:w val="0.76967679587673143"/>
          <c:h val="0.87731164432743924"/>
        </c:manualLayout>
      </c:layout>
      <c:lineChart>
        <c:grouping val="standard"/>
        <c:varyColors val="0"/>
        <c:ser>
          <c:idx val="0"/>
          <c:order val="0"/>
          <c:tx>
            <c:strRef>
              <c:f>'KU AnnualIndices'!$B$1</c:f>
              <c:strCache>
                <c:ptCount val="1"/>
                <c:pt idx="0">
                  <c:v>Heating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'KU AnnualIndices'!$A$2:$A$42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'KU AnnualIndices'!$B$2:$B$42</c:f>
              <c:numCache>
                <c:formatCode>_(* #,##0_);_(* \(#,##0\);_(* "-"??_);_(@_)</c:formatCode>
                <c:ptCount val="35"/>
                <c:pt idx="0">
                  <c:v>1579.2795385934137</c:v>
                </c:pt>
                <c:pt idx="1">
                  <c:v>1608.9916975158139</c:v>
                </c:pt>
                <c:pt idx="2">
                  <c:v>1638.3045697332386</c:v>
                </c:pt>
                <c:pt idx="3">
                  <c:v>1661.5775680446081</c:v>
                </c:pt>
                <c:pt idx="4">
                  <c:v>1686.8432557884555</c:v>
                </c:pt>
                <c:pt idx="5">
                  <c:v>1695.9219936412994</c:v>
                </c:pt>
                <c:pt idx="6">
                  <c:v>1701.7089451106524</c:v>
                </c:pt>
                <c:pt idx="7">
                  <c:v>1747.3097803625431</c:v>
                </c:pt>
                <c:pt idx="8">
                  <c:v>1783.437831558374</c:v>
                </c:pt>
                <c:pt idx="9">
                  <c:v>1825.0946999624523</c:v>
                </c:pt>
                <c:pt idx="10">
                  <c:v>1822.0185930754135</c:v>
                </c:pt>
                <c:pt idx="11">
                  <c:v>1818.5934404489076</c:v>
                </c:pt>
                <c:pt idx="12">
                  <c:v>1810.439313433903</c:v>
                </c:pt>
                <c:pt idx="13">
                  <c:v>1808.8857452279699</c:v>
                </c:pt>
                <c:pt idx="14">
                  <c:v>1804.1190689105426</c:v>
                </c:pt>
                <c:pt idx="15">
                  <c:v>1801.6691899457874</c:v>
                </c:pt>
                <c:pt idx="16">
                  <c:v>1799.7665795699691</c:v>
                </c:pt>
                <c:pt idx="17">
                  <c:v>1797.6936125815519</c:v>
                </c:pt>
                <c:pt idx="18">
                  <c:v>1792.3527286682979</c:v>
                </c:pt>
                <c:pt idx="19">
                  <c:v>1789.162973514216</c:v>
                </c:pt>
                <c:pt idx="20">
                  <c:v>1783.2881271472536</c:v>
                </c:pt>
                <c:pt idx="21">
                  <c:v>1778.0207736551588</c:v>
                </c:pt>
                <c:pt idx="22">
                  <c:v>1771.4395691376892</c:v>
                </c:pt>
                <c:pt idx="23">
                  <c:v>1765.4292470293033</c:v>
                </c:pt>
                <c:pt idx="24">
                  <c:v>1759.5832544318894</c:v>
                </c:pt>
                <c:pt idx="25">
                  <c:v>1752.7054137115126</c:v>
                </c:pt>
                <c:pt idx="26">
                  <c:v>1747.1944229239148</c:v>
                </c:pt>
                <c:pt idx="27">
                  <c:v>1740.0333921331348</c:v>
                </c:pt>
                <c:pt idx="28">
                  <c:v>1736.2894446734347</c:v>
                </c:pt>
                <c:pt idx="29">
                  <c:v>1728.6477349711199</c:v>
                </c:pt>
                <c:pt idx="30">
                  <c:v>1724.8341199503679</c:v>
                </c:pt>
                <c:pt idx="31">
                  <c:v>1720.1308745616238</c:v>
                </c:pt>
                <c:pt idx="32">
                  <c:v>1715.3795213991025</c:v>
                </c:pt>
                <c:pt idx="33">
                  <c:v>1710.7650432426062</c:v>
                </c:pt>
                <c:pt idx="34">
                  <c:v>1705.9413582112368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'KU AnnualIndices'!$D$1</c:f>
              <c:strCache>
                <c:ptCount val="1"/>
                <c:pt idx="0">
                  <c:v>Cooling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'KU AnnualIndices'!$A$2:$A$42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'KU AnnualIndices'!$D$2:$D$42</c:f>
              <c:numCache>
                <c:formatCode>_(* #,##0_);_(* \(#,##0\);_(* "-"??_);_(@_)</c:formatCode>
                <c:ptCount val="35"/>
                <c:pt idx="0">
                  <c:v>4131.3033425837475</c:v>
                </c:pt>
                <c:pt idx="1">
                  <c:v>4065.8819373308056</c:v>
                </c:pt>
                <c:pt idx="2">
                  <c:v>4002.3699309989643</c:v>
                </c:pt>
                <c:pt idx="3">
                  <c:v>3969.3795777801447</c:v>
                </c:pt>
                <c:pt idx="4">
                  <c:v>3943.7929126466183</c:v>
                </c:pt>
                <c:pt idx="5">
                  <c:v>3852.6224051059789</c:v>
                </c:pt>
                <c:pt idx="6">
                  <c:v>3771.9052541895626</c:v>
                </c:pt>
                <c:pt idx="7">
                  <c:v>3710.0120161499553</c:v>
                </c:pt>
                <c:pt idx="8">
                  <c:v>3595.0100655509204</c:v>
                </c:pt>
                <c:pt idx="9">
                  <c:v>3554.8464182367366</c:v>
                </c:pt>
                <c:pt idx="10">
                  <c:v>3548.2833936288025</c:v>
                </c:pt>
                <c:pt idx="11">
                  <c:v>3537.941630226735</c:v>
                </c:pt>
                <c:pt idx="12">
                  <c:v>3526.4220331186634</c:v>
                </c:pt>
                <c:pt idx="13">
                  <c:v>3515.6965400597314</c:v>
                </c:pt>
                <c:pt idx="14">
                  <c:v>3491.1774077622931</c:v>
                </c:pt>
                <c:pt idx="15">
                  <c:v>3480.5580972893122</c:v>
                </c:pt>
                <c:pt idx="16">
                  <c:v>3475.1372317926048</c:v>
                </c:pt>
                <c:pt idx="17">
                  <c:v>3473.4417452056814</c:v>
                </c:pt>
                <c:pt idx="18">
                  <c:v>3474.5484640836976</c:v>
                </c:pt>
                <c:pt idx="19">
                  <c:v>3475.1663933410864</c:v>
                </c:pt>
                <c:pt idx="20">
                  <c:v>3479.9019945795098</c:v>
                </c:pt>
                <c:pt idx="21">
                  <c:v>3486.179337424599</c:v>
                </c:pt>
                <c:pt idx="22">
                  <c:v>3494.8649817371042</c:v>
                </c:pt>
                <c:pt idx="23">
                  <c:v>3506.0114991647529</c:v>
                </c:pt>
                <c:pt idx="24">
                  <c:v>3518.6469633708498</c:v>
                </c:pt>
                <c:pt idx="25">
                  <c:v>3532.6421780639357</c:v>
                </c:pt>
                <c:pt idx="26">
                  <c:v>3547.577236463314</c:v>
                </c:pt>
                <c:pt idx="27">
                  <c:v>3562.7822959039236</c:v>
                </c:pt>
                <c:pt idx="28">
                  <c:v>3578.9184460864044</c:v>
                </c:pt>
                <c:pt idx="29">
                  <c:v>3594.6302638116849</c:v>
                </c:pt>
                <c:pt idx="30">
                  <c:v>3609.5100875896487</c:v>
                </c:pt>
                <c:pt idx="31">
                  <c:v>3622.6591010441462</c:v>
                </c:pt>
                <c:pt idx="32">
                  <c:v>3635.3236659702375</c:v>
                </c:pt>
                <c:pt idx="33">
                  <c:v>3648.4719816033571</c:v>
                </c:pt>
                <c:pt idx="34">
                  <c:v>3661.1080454942503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'KU AnnualIndices'!$F$1</c:f>
              <c:strCache>
                <c:ptCount val="1"/>
                <c:pt idx="0">
                  <c:v>EWHeat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'KU AnnualIndices'!$A$2:$A$42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'KU AnnualIndices'!$F$2:$F$42</c:f>
              <c:numCache>
                <c:formatCode>_(* #,##0_);_(* \(#,##0\);_(* "-"??_);_(@_)</c:formatCode>
                <c:ptCount val="35"/>
                <c:pt idx="0">
                  <c:v>2110.7604675094922</c:v>
                </c:pt>
                <c:pt idx="1">
                  <c:v>2119.9075844606541</c:v>
                </c:pt>
                <c:pt idx="2">
                  <c:v>2129.0103610264086</c:v>
                </c:pt>
                <c:pt idx="3">
                  <c:v>2134.5175090033686</c:v>
                </c:pt>
                <c:pt idx="4">
                  <c:v>2139.998090022028</c:v>
                </c:pt>
                <c:pt idx="5">
                  <c:v>2144.5527062425913</c:v>
                </c:pt>
                <c:pt idx="6">
                  <c:v>2138.4953505285871</c:v>
                </c:pt>
                <c:pt idx="7">
                  <c:v>2224.8187071835441</c:v>
                </c:pt>
                <c:pt idx="8">
                  <c:v>2310.023850805147</c:v>
                </c:pt>
                <c:pt idx="9">
                  <c:v>2396.1099380506462</c:v>
                </c:pt>
                <c:pt idx="10">
                  <c:v>2395.8546636873953</c:v>
                </c:pt>
                <c:pt idx="11">
                  <c:v>2396.0076984364155</c:v>
                </c:pt>
                <c:pt idx="12">
                  <c:v>2395.7141686207137</c:v>
                </c:pt>
                <c:pt idx="13">
                  <c:v>2395.3904526785004</c:v>
                </c:pt>
                <c:pt idx="14">
                  <c:v>2361.7718753230206</c:v>
                </c:pt>
                <c:pt idx="15">
                  <c:v>2347.5124914434418</c:v>
                </c:pt>
                <c:pt idx="16">
                  <c:v>2335.3957138172623</c:v>
                </c:pt>
                <c:pt idx="17">
                  <c:v>2323.9692276920682</c:v>
                </c:pt>
                <c:pt idx="18">
                  <c:v>2313.2757523831469</c:v>
                </c:pt>
                <c:pt idx="19">
                  <c:v>2303.3151004723404</c:v>
                </c:pt>
                <c:pt idx="20">
                  <c:v>2293.7861030771487</c:v>
                </c:pt>
                <c:pt idx="21">
                  <c:v>2284.6651765800134</c:v>
                </c:pt>
                <c:pt idx="22">
                  <c:v>2275.8735014157064</c:v>
                </c:pt>
                <c:pt idx="23">
                  <c:v>2267.4006861623916</c:v>
                </c:pt>
                <c:pt idx="24">
                  <c:v>2259.4424476995164</c:v>
                </c:pt>
                <c:pt idx="25">
                  <c:v>2252.5685436612594</c:v>
                </c:pt>
                <c:pt idx="26">
                  <c:v>2246.8247262336781</c:v>
                </c:pt>
                <c:pt idx="27">
                  <c:v>2242.0644627902607</c:v>
                </c:pt>
                <c:pt idx="28">
                  <c:v>2238.0662814759462</c:v>
                </c:pt>
                <c:pt idx="29">
                  <c:v>2234.9732955928589</c:v>
                </c:pt>
                <c:pt idx="30">
                  <c:v>2232.656959178817</c:v>
                </c:pt>
                <c:pt idx="31">
                  <c:v>2231.1137507521612</c:v>
                </c:pt>
                <c:pt idx="32">
                  <c:v>2230.4454393019564</c:v>
                </c:pt>
                <c:pt idx="33">
                  <c:v>2230.3077870701713</c:v>
                </c:pt>
                <c:pt idx="34">
                  <c:v>2231.0659322818074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'KU AnnualIndices'!$H$1</c:f>
              <c:strCache>
                <c:ptCount val="1"/>
                <c:pt idx="0">
                  <c:v>NonHVAC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'KU AnnualIndices'!$A$2:$A$42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'KU AnnualIndices'!$H$2:$H$42</c:f>
              <c:numCache>
                <c:formatCode>_(* #,##0_);_(* \(#,##0\);_(* "-"??_);_(@_)</c:formatCode>
                <c:ptCount val="35"/>
                <c:pt idx="0">
                  <c:v>9421.4339902755673</c:v>
                </c:pt>
                <c:pt idx="1">
                  <c:v>9521.0024068717266</c:v>
                </c:pt>
                <c:pt idx="2">
                  <c:v>9620.5498787768556</c:v>
                </c:pt>
                <c:pt idx="3">
                  <c:v>9720.0764059909525</c:v>
                </c:pt>
                <c:pt idx="4">
                  <c:v>9902.8829751378544</c:v>
                </c:pt>
                <c:pt idx="5">
                  <c:v>10166.958383068217</c:v>
                </c:pt>
                <c:pt idx="6">
                  <c:v>10263.560944343566</c:v>
                </c:pt>
                <c:pt idx="7">
                  <c:v>10571.217042119149</c:v>
                </c:pt>
                <c:pt idx="8">
                  <c:v>10450.192167739242</c:v>
                </c:pt>
                <c:pt idx="9">
                  <c:v>10629.419301755304</c:v>
                </c:pt>
                <c:pt idx="10">
                  <c:v>10464.15049258159</c:v>
                </c:pt>
                <c:pt idx="11">
                  <c:v>10349.005748402829</c:v>
                </c:pt>
                <c:pt idx="12">
                  <c:v>10091.005022988154</c:v>
                </c:pt>
                <c:pt idx="13">
                  <c:v>10029.265271531933</c:v>
                </c:pt>
                <c:pt idx="14">
                  <c:v>9989.5962920961574</c:v>
                </c:pt>
                <c:pt idx="15">
                  <c:v>10025.311842866107</c:v>
                </c:pt>
                <c:pt idx="16">
                  <c:v>10073.866657429395</c:v>
                </c:pt>
                <c:pt idx="17">
                  <c:v>10140.709866066516</c:v>
                </c:pt>
                <c:pt idx="18">
                  <c:v>10220.279059930988</c:v>
                </c:pt>
                <c:pt idx="19">
                  <c:v>10258.090266366402</c:v>
                </c:pt>
                <c:pt idx="20">
                  <c:v>10319.851012761035</c:v>
                </c:pt>
                <c:pt idx="21">
                  <c:v>10400.398462133149</c:v>
                </c:pt>
                <c:pt idx="22">
                  <c:v>10490.473780916727</c:v>
                </c:pt>
                <c:pt idx="23">
                  <c:v>10588.633191291989</c:v>
                </c:pt>
                <c:pt idx="24">
                  <c:v>10696.891658716482</c:v>
                </c:pt>
                <c:pt idx="25">
                  <c:v>10801.582879168722</c:v>
                </c:pt>
                <c:pt idx="26">
                  <c:v>10913.780992632068</c:v>
                </c:pt>
                <c:pt idx="27">
                  <c:v>11030.161916098383</c:v>
                </c:pt>
                <c:pt idx="28">
                  <c:v>11146.021604089801</c:v>
                </c:pt>
                <c:pt idx="29">
                  <c:v>11273.400722603385</c:v>
                </c:pt>
                <c:pt idx="30">
                  <c:v>11392.329337292436</c:v>
                </c:pt>
                <c:pt idx="31">
                  <c:v>11498.86079589059</c:v>
                </c:pt>
                <c:pt idx="32">
                  <c:v>11594.752025605219</c:v>
                </c:pt>
                <c:pt idx="33">
                  <c:v>11683.663058455861</c:v>
                </c:pt>
                <c:pt idx="34">
                  <c:v>11774.493861471132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93984"/>
        <c:axId val="230722944"/>
      </c:lineChart>
      <c:catAx>
        <c:axId val="1759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72294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30722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993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615837950811981"/>
          <c:y val="0.41008438651050982"/>
          <c:w val="0.11458345484592203"/>
          <c:h val="0.204165708550834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'KU AnnualIndices'!$O$1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2"/>
              </c:numCache>
            </c:numRef>
          </c:cat>
          <c:val>
            <c:numRef>
              <c:f>'KU AnnualIndices'!$O$2:$O$48</c:f>
              <c:numCache>
                <c:formatCode>_(* #,##0_);_(* \(#,##0\);_(* "-"??_);_(@_)</c:formatCode>
                <c:ptCount val="41"/>
              </c:numCache>
            </c:numRef>
          </c:val>
          <c:smooth val="0"/>
        </c:ser>
        <c:ser>
          <c:idx val="1"/>
          <c:order val="1"/>
          <c:tx>
            <c:strRef>
              <c:f>'KU AnnualIndices'!$Q$1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2"/>
              </c:numCache>
            </c:numRef>
          </c:cat>
          <c:val>
            <c:numRef>
              <c:f>'KU AnnualIndices'!$Q$2:$Q$48</c:f>
              <c:numCache>
                <c:formatCode>_(* #,##0_);_(* \(#,##0\);_(* "-"??_);_(@_)</c:formatCode>
                <c:ptCount val="41"/>
              </c:numCache>
            </c:numRef>
          </c:val>
          <c:smooth val="0"/>
        </c:ser>
        <c:ser>
          <c:idx val="2"/>
          <c:order val="2"/>
          <c:tx>
            <c:strRef>
              <c:f>'KU AnnualIndices'!$S$1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2"/>
              </c:numCache>
            </c:numRef>
          </c:cat>
          <c:val>
            <c:numRef>
              <c:f>'KU AnnualIndices'!$S$2:$S$48</c:f>
              <c:numCache>
                <c:formatCode>_(* #,##0_);_(* \(#,##0\);_(* "-"??_);_(@_)</c:formatCode>
                <c:ptCount val="41"/>
              </c:numCache>
            </c:numRef>
          </c:val>
          <c:smooth val="0"/>
        </c:ser>
        <c:ser>
          <c:idx val="3"/>
          <c:order val="3"/>
          <c:tx>
            <c:strRef>
              <c:f>'KU AnnualIndices'!$U$1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2"/>
              </c:numCache>
            </c:numRef>
          </c:cat>
          <c:val>
            <c:numRef>
              <c:f>'KU AnnualIndices'!$U$2:$U$48</c:f>
              <c:numCache>
                <c:formatCode>_(* #,##0_);_(* \(#,##0\);_(* "-"??_);_(@_)</c:formatCode>
                <c:ptCount val="41"/>
              </c:numCache>
            </c:numRef>
          </c:val>
          <c:smooth val="0"/>
        </c:ser>
        <c:ser>
          <c:idx val="4"/>
          <c:order val="4"/>
          <c:tx>
            <c:strRef>
              <c:f>'KU AnnualIndices'!$W$1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2"/>
              </c:numCache>
            </c:numRef>
          </c:cat>
          <c:val>
            <c:numRef>
              <c:f>'KU AnnualIndices'!$W$2:$W$48</c:f>
              <c:numCache>
                <c:formatCode>_(* #,##0_);_(* \(#,##0\);_(* "-"??_);_(@_)</c:formatCode>
                <c:ptCount val="4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182720"/>
        <c:axId val="233184640"/>
      </c:lineChart>
      <c:catAx>
        <c:axId val="2331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33184640"/>
        <c:crosses val="autoZero"/>
        <c:auto val="1"/>
        <c:lblAlgn val="ctr"/>
        <c:lblOffset val="100"/>
        <c:noMultiLvlLbl val="0"/>
      </c:catAx>
      <c:valAx>
        <c:axId val="23318464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3318272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'KU Shares'!$P$1</c:f>
              <c:strCache>
                <c:ptCount val="1"/>
                <c:pt idx="0">
                  <c:v>Dish2</c:v>
                </c:pt>
              </c:strCache>
            </c:strRef>
          </c:tx>
          <c:marker>
            <c:symbol val="none"/>
          </c:marker>
          <c:cat>
            <c:numRef>
              <c:f>'KU Shares'!$A$2:$A$42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'KU Shares'!$P$2:$P$42</c:f>
              <c:numCache>
                <c:formatCode>0.0%</c:formatCode>
                <c:ptCount val="41"/>
                <c:pt idx="0">
                  <c:v>0.64</c:v>
                </c:pt>
                <c:pt idx="1">
                  <c:v>0.64249999999999996</c:v>
                </c:pt>
                <c:pt idx="2">
                  <c:v>0.64499999999999991</c:v>
                </c:pt>
                <c:pt idx="3">
                  <c:v>0.64749999999999985</c:v>
                </c:pt>
                <c:pt idx="4">
                  <c:v>0.6499999999999998</c:v>
                </c:pt>
                <c:pt idx="5">
                  <c:v>0.65249999999999975</c:v>
                </c:pt>
                <c:pt idx="6">
                  <c:v>0.65499999999999969</c:v>
                </c:pt>
                <c:pt idx="7">
                  <c:v>0.65749999999999964</c:v>
                </c:pt>
                <c:pt idx="8">
                  <c:v>0.65999999999999959</c:v>
                </c:pt>
                <c:pt idx="9">
                  <c:v>0.66249999999999953</c:v>
                </c:pt>
                <c:pt idx="10">
                  <c:v>0.66499999999999948</c:v>
                </c:pt>
                <c:pt idx="11">
                  <c:v>0.66749999999999943</c:v>
                </c:pt>
                <c:pt idx="12">
                  <c:v>0.56999999999999995</c:v>
                </c:pt>
                <c:pt idx="13">
                  <c:v>0.60333333333333328</c:v>
                </c:pt>
                <c:pt idx="14">
                  <c:v>0.6366666666666666</c:v>
                </c:pt>
                <c:pt idx="15">
                  <c:v>0.67</c:v>
                </c:pt>
                <c:pt idx="16">
                  <c:v>0.67505417185426275</c:v>
                </c:pt>
                <c:pt idx="17">
                  <c:v>0.68184326786268101</c:v>
                </c:pt>
                <c:pt idx="18">
                  <c:v>0.68634347050591626</c:v>
                </c:pt>
                <c:pt idx="19">
                  <c:v>0.69225058462087541</c:v>
                </c:pt>
                <c:pt idx="20">
                  <c:v>0.69908344778876697</c:v>
                </c:pt>
                <c:pt idx="21">
                  <c:v>0.70629413571616395</c:v>
                </c:pt>
                <c:pt idx="22">
                  <c:v>0.71359375595865726</c:v>
                </c:pt>
                <c:pt idx="23">
                  <c:v>0.72083439468864452</c:v>
                </c:pt>
                <c:pt idx="24">
                  <c:v>0.72798305968114885</c:v>
                </c:pt>
                <c:pt idx="25">
                  <c:v>0.73499050970083746</c:v>
                </c:pt>
                <c:pt idx="26">
                  <c:v>0.74178091877878061</c:v>
                </c:pt>
                <c:pt idx="27">
                  <c:v>0.74847142661572763</c:v>
                </c:pt>
                <c:pt idx="28">
                  <c:v>0.75521110839341665</c:v>
                </c:pt>
                <c:pt idx="29">
                  <c:v>0.76201896162286042</c:v>
                </c:pt>
                <c:pt idx="30">
                  <c:v>0.76882675736056239</c:v>
                </c:pt>
                <c:pt idx="31">
                  <c:v>0.7755606636549689</c:v>
                </c:pt>
                <c:pt idx="32">
                  <c:v>0.78200457050947902</c:v>
                </c:pt>
                <c:pt idx="33">
                  <c:v>0.78814880004089238</c:v>
                </c:pt>
                <c:pt idx="34">
                  <c:v>0.79407304328020667</c:v>
                </c:pt>
                <c:pt idx="35">
                  <c:v>0.79985764855124286</c:v>
                </c:pt>
                <c:pt idx="36">
                  <c:v>0.80547662716896118</c:v>
                </c:pt>
                <c:pt idx="37">
                  <c:v>0.81089301393811508</c:v>
                </c:pt>
                <c:pt idx="38">
                  <c:v>0.81619643578038403</c:v>
                </c:pt>
                <c:pt idx="39">
                  <c:v>0.82143608725413741</c:v>
                </c:pt>
                <c:pt idx="40">
                  <c:v>0.82662365276735705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67328"/>
        <c:axId val="240069248"/>
      </c:lineChart>
      <c:catAx>
        <c:axId val="2400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0069248"/>
        <c:crosses val="autoZero"/>
        <c:auto val="1"/>
        <c:lblAlgn val="ctr"/>
        <c:lblOffset val="100"/>
        <c:tickLblSkip val="3"/>
        <c:noMultiLvlLbl val="0"/>
      </c:catAx>
      <c:valAx>
        <c:axId val="240069248"/>
        <c:scaling>
          <c:orientation val="minMax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00673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'KU Efficiencies'!$X$1</c:f>
              <c:strCache>
                <c:ptCount val="1"/>
                <c:pt idx="0">
                  <c:v>Misc</c:v>
                </c:pt>
              </c:strCache>
            </c:strRef>
          </c:tx>
          <c:marker>
            <c:symbol val="none"/>
          </c:marker>
          <c:cat>
            <c:numRef>
              <c:f>'KU Efficiencies'!$A$12:$A$49</c:f>
              <c:numCache>
                <c:formatCode>General</c:formatCode>
                <c:ptCount val="3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</c:numCache>
            </c:numRef>
          </c:cat>
          <c:val>
            <c:numRef>
              <c:f>'KU Efficiencies'!$X$12:$X$49</c:f>
              <c:numCache>
                <c:formatCode>_(* #,##0.00_);_(* \(#,##0.00\);_(* "-"??_);_(@_)</c:formatCode>
                <c:ptCount val="38"/>
                <c:pt idx="0">
                  <c:v>3997.88904540354</c:v>
                </c:pt>
                <c:pt idx="1">
                  <c:v>4248.1497410769371</c:v>
                </c:pt>
                <c:pt idx="2">
                  <c:v>4571.464236516189</c:v>
                </c:pt>
                <c:pt idx="3">
                  <c:v>4808.0565437272035</c:v>
                </c:pt>
                <c:pt idx="4">
                  <c:v>4671.1573105174311</c:v>
                </c:pt>
                <c:pt idx="5">
                  <c:v>4821.2668852520537</c:v>
                </c:pt>
                <c:pt idx="6">
                  <c:v>4753.8685520336949</c:v>
                </c:pt>
                <c:pt idx="7">
                  <c:v>4822.2004181737066</c:v>
                </c:pt>
                <c:pt idx="8">
                  <c:v>4817.8438226066828</c:v>
                </c:pt>
                <c:pt idx="9">
                  <c:v>4886.6071724942231</c:v>
                </c:pt>
                <c:pt idx="10">
                  <c:v>4952.0930850566565</c:v>
                </c:pt>
                <c:pt idx="11">
                  <c:v>5047.970631620412</c:v>
                </c:pt>
                <c:pt idx="12">
                  <c:v>5140.8390598840633</c:v>
                </c:pt>
                <c:pt idx="13">
                  <c:v>5241.4794264165421</c:v>
                </c:pt>
                <c:pt idx="14">
                  <c:v>5346.734848924134</c:v>
                </c:pt>
                <c:pt idx="15">
                  <c:v>5445.7501732501569</c:v>
                </c:pt>
                <c:pt idx="16">
                  <c:v>5539.901750820366</c:v>
                </c:pt>
                <c:pt idx="17">
                  <c:v>5644.4992880601931</c:v>
                </c:pt>
                <c:pt idx="18">
                  <c:v>5752.3842247948132</c:v>
                </c:pt>
                <c:pt idx="19">
                  <c:v>5864.2265284275773</c:v>
                </c:pt>
                <c:pt idx="20">
                  <c:v>5982.0669409221155</c:v>
                </c:pt>
                <c:pt idx="21">
                  <c:v>6093.2371875187528</c:v>
                </c:pt>
                <c:pt idx="22">
                  <c:v>6208.6636278159976</c:v>
                </c:pt>
                <c:pt idx="23">
                  <c:v>6324.2277980935451</c:v>
                </c:pt>
                <c:pt idx="24">
                  <c:v>6436.1394421853329</c:v>
                </c:pt>
                <c:pt idx="25">
                  <c:v>6557.0254113105611</c:v>
                </c:pt>
                <c:pt idx="26">
                  <c:v>6668.5344909009173</c:v>
                </c:pt>
                <c:pt idx="27">
                  <c:v>6768.2896021059323</c:v>
                </c:pt>
                <c:pt idx="28">
                  <c:v>6859.0788715097469</c:v>
                </c:pt>
                <c:pt idx="29">
                  <c:v>6942.7783611515397</c:v>
                </c:pt>
                <c:pt idx="30">
                  <c:v>7026.4279933769449</c:v>
                </c:pt>
                <c:pt idx="31">
                  <c:v>7111.0854729809435</c:v>
                </c:pt>
                <c:pt idx="32">
                  <c:v>7196.7629429498402</c:v>
                </c:pt>
                <c:pt idx="33">
                  <c:v>7283.4726925739569</c:v>
                </c:pt>
                <c:pt idx="34">
                  <c:v>7371.2271592103561</c:v>
                </c:pt>
                <c:pt idx="35">
                  <c:v>7460.0389300668276</c:v>
                </c:pt>
                <c:pt idx="36">
                  <c:v>7549.9207440073469</c:v>
                </c:pt>
                <c:pt idx="37">
                  <c:v>7640.8854933793009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41696"/>
        <c:axId val="335059584"/>
      </c:lineChart>
      <c:catAx>
        <c:axId val="2461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5059584"/>
        <c:crosses val="autoZero"/>
        <c:auto val="1"/>
        <c:lblAlgn val="ctr"/>
        <c:lblOffset val="100"/>
        <c:tickLblSkip val="3"/>
        <c:noMultiLvlLbl val="0"/>
      </c:catAx>
      <c:valAx>
        <c:axId val="335059584"/>
        <c:scaling>
          <c:orientation val="minMax"/>
          <c:min val="0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614169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Sierra Club 1.3-#11 Residential SAE Inputs.xlsx]PVT Economic Data!PivotTable5</c:name>
    <c:fmtId val="2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Economic Data'!$B$3:$B$4</c:f>
              <c:strCache>
                <c:ptCount val="1"/>
                <c:pt idx="0">
                  <c:v>Average of Households_2014BP</c:v>
                </c:pt>
              </c:strCache>
            </c:strRef>
          </c:tx>
          <c:marker>
            <c:symbol val="none"/>
          </c:marker>
          <c:cat>
            <c:strRef>
              <c:f>'PVT Economic Data'!$A$5:$A$48</c:f>
              <c:strCache>
                <c:ptCount val="4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</c:strCache>
            </c:strRef>
          </c:cat>
          <c:val>
            <c:numRef>
              <c:f>'PVT Economic Data'!$B$5:$B$48</c:f>
              <c:numCache>
                <c:formatCode>General</c:formatCode>
                <c:ptCount val="43"/>
                <c:pt idx="0">
                  <c:v>469.01572286297949</c:v>
                </c:pt>
                <c:pt idx="1">
                  <c:v>474.1403937426486</c:v>
                </c:pt>
                <c:pt idx="2">
                  <c:v>480.04261977452012</c:v>
                </c:pt>
                <c:pt idx="3">
                  <c:v>486.01110607398061</c:v>
                </c:pt>
                <c:pt idx="4">
                  <c:v>491.35835441576796</c:v>
                </c:pt>
                <c:pt idx="5">
                  <c:v>494.4743861889807</c:v>
                </c:pt>
                <c:pt idx="6">
                  <c:v>497.69687626040223</c:v>
                </c:pt>
                <c:pt idx="7">
                  <c:v>504.51956861312931</c:v>
                </c:pt>
                <c:pt idx="8">
                  <c:v>509.30726314868986</c:v>
                </c:pt>
                <c:pt idx="9">
                  <c:v>514.45070434236538</c:v>
                </c:pt>
                <c:pt idx="10">
                  <c:v>513.19236800133854</c:v>
                </c:pt>
                <c:pt idx="11">
                  <c:v>516.55345023435598</c:v>
                </c:pt>
                <c:pt idx="12">
                  <c:v>521.38801694453969</c:v>
                </c:pt>
                <c:pt idx="13">
                  <c:v>527.73301159535708</c:v>
                </c:pt>
                <c:pt idx="14">
                  <c:v>534.4447087859163</c:v>
                </c:pt>
                <c:pt idx="15">
                  <c:v>540.53500799412609</c:v>
                </c:pt>
                <c:pt idx="16">
                  <c:v>546.65996950336671</c:v>
                </c:pt>
                <c:pt idx="17">
                  <c:v>552.676676443406</c:v>
                </c:pt>
                <c:pt idx="18">
                  <c:v>558.30711506002876</c:v>
                </c:pt>
                <c:pt idx="19">
                  <c:v>563.77654981407557</c:v>
                </c:pt>
                <c:pt idx="20">
                  <c:v>569.36779445327682</c:v>
                </c:pt>
                <c:pt idx="21">
                  <c:v>574.38603798890199</c:v>
                </c:pt>
                <c:pt idx="22">
                  <c:v>578.77694462476734</c:v>
                </c:pt>
                <c:pt idx="23">
                  <c:v>583.1277472040764</c:v>
                </c:pt>
                <c:pt idx="24">
                  <c:v>588.22893131651415</c:v>
                </c:pt>
                <c:pt idx="25">
                  <c:v>593.6414538792925</c:v>
                </c:pt>
                <c:pt idx="26">
                  <c:v>599.32574163440358</c:v>
                </c:pt>
                <c:pt idx="27">
                  <c:v>604.19240574424816</c:v>
                </c:pt>
                <c:pt idx="28">
                  <c:v>609.15383409356457</c:v>
                </c:pt>
                <c:pt idx="29">
                  <c:v>614.36410340118675</c:v>
                </c:pt>
                <c:pt idx="30">
                  <c:v>619.50252515097168</c:v>
                </c:pt>
                <c:pt idx="31">
                  <c:v>624.78324443271595</c:v>
                </c:pt>
                <c:pt idx="32">
                  <c:v>629.93280296316789</c:v>
                </c:pt>
                <c:pt idx="33">
                  <c:v>635.20220282649495</c:v>
                </c:pt>
                <c:pt idx="34">
                  <c:v>640.27502654106661</c:v>
                </c:pt>
                <c:pt idx="35">
                  <c:v>645.17881602835791</c:v>
                </c:pt>
                <c:pt idx="36">
                  <c:v>650.28592649404959</c:v>
                </c:pt>
                <c:pt idx="37">
                  <c:v>654.81050635582744</c:v>
                </c:pt>
                <c:pt idx="38">
                  <c:v>659.42592717790353</c:v>
                </c:pt>
                <c:pt idx="39">
                  <c:v>664.0427387715672</c:v>
                </c:pt>
                <c:pt idx="40">
                  <c:v>669.00373654914267</c:v>
                </c:pt>
                <c:pt idx="41">
                  <c:v>672.76772665604312</c:v>
                </c:pt>
                <c:pt idx="42">
                  <c:v>676.80531923264562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'PVT Economic Data'!$C$3:$C$4</c:f>
              <c:strCache>
                <c:ptCount val="1"/>
                <c:pt idx="0">
                  <c:v>Average of Households (thousands)</c:v>
                </c:pt>
              </c:strCache>
            </c:strRef>
          </c:tx>
          <c:marker>
            <c:symbol val="none"/>
          </c:marker>
          <c:cat>
            <c:strRef>
              <c:f>'PVT Economic Data'!$A$5:$A$48</c:f>
              <c:strCache>
                <c:ptCount val="4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</c:strCache>
            </c:strRef>
          </c:cat>
          <c:val>
            <c:numRef>
              <c:f>'PVT Economic Data'!$C$5:$C$48</c:f>
              <c:numCache>
                <c:formatCode>General</c:formatCode>
                <c:ptCount val="43"/>
                <c:pt idx="0">
                  <c:v>469.01572286297949</c:v>
                </c:pt>
                <c:pt idx="1">
                  <c:v>474.1403937426486</c:v>
                </c:pt>
                <c:pt idx="2">
                  <c:v>480.04261977452012</c:v>
                </c:pt>
                <c:pt idx="3">
                  <c:v>486.01110607398061</c:v>
                </c:pt>
                <c:pt idx="4">
                  <c:v>491.35835441576796</c:v>
                </c:pt>
                <c:pt idx="5">
                  <c:v>494.4743861889807</c:v>
                </c:pt>
                <c:pt idx="6">
                  <c:v>497.69687626040223</c:v>
                </c:pt>
                <c:pt idx="7">
                  <c:v>504.51956861312931</c:v>
                </c:pt>
                <c:pt idx="8">
                  <c:v>509.30726314868986</c:v>
                </c:pt>
                <c:pt idx="9">
                  <c:v>515.51143388527134</c:v>
                </c:pt>
                <c:pt idx="10">
                  <c:v>518.9120344079688</c:v>
                </c:pt>
                <c:pt idx="11">
                  <c:v>523.25877968705311</c:v>
                </c:pt>
                <c:pt idx="12">
                  <c:v>528.02224159307116</c:v>
                </c:pt>
                <c:pt idx="13">
                  <c:v>533.31987261278562</c:v>
                </c:pt>
                <c:pt idx="14">
                  <c:v>539.02058319178218</c:v>
                </c:pt>
                <c:pt idx="15">
                  <c:v>544.00771554227936</c:v>
                </c:pt>
                <c:pt idx="16">
                  <c:v>548.1308521617475</c:v>
                </c:pt>
                <c:pt idx="17">
                  <c:v>552.24252656430212</c:v>
                </c:pt>
                <c:pt idx="18">
                  <c:v>556.91012093768677</c:v>
                </c:pt>
                <c:pt idx="19">
                  <c:v>561.68076242609686</c:v>
                </c:pt>
                <c:pt idx="20">
                  <c:v>566.42577331778591</c:v>
                </c:pt>
                <c:pt idx="21">
                  <c:v>571.10691726614994</c:v>
                </c:pt>
                <c:pt idx="22">
                  <c:v>575.98601624793298</c:v>
                </c:pt>
                <c:pt idx="23">
                  <c:v>580.95005428908269</c:v>
                </c:pt>
                <c:pt idx="24">
                  <c:v>586.03218800895547</c:v>
                </c:pt>
                <c:pt idx="25">
                  <c:v>591.42449748447518</c:v>
                </c:pt>
                <c:pt idx="26">
                  <c:v>597.08755724412481</c:v>
                </c:pt>
                <c:pt idx="27">
                  <c:v>601.93604677729638</c:v>
                </c:pt>
                <c:pt idx="28">
                  <c:v>606.87894665250678</c:v>
                </c:pt>
                <c:pt idx="29">
                  <c:v>612.06975818846445</c:v>
                </c:pt>
                <c:pt idx="30">
                  <c:v>617.18899048157823</c:v>
                </c:pt>
                <c:pt idx="31">
                  <c:v>622.44998889594626</c:v>
                </c:pt>
                <c:pt idx="32">
                  <c:v>627.58031637937495</c:v>
                </c:pt>
                <c:pt idx="33">
                  <c:v>632.83003764773935</c:v>
                </c:pt>
                <c:pt idx="34">
                  <c:v>637.88391688176591</c:v>
                </c:pt>
                <c:pt idx="35">
                  <c:v>642.76939314751303</c:v>
                </c:pt>
                <c:pt idx="36">
                  <c:v>647.85743108864972</c:v>
                </c:pt>
                <c:pt idx="37">
                  <c:v>652.36511388875374</c:v>
                </c:pt>
                <c:pt idx="38">
                  <c:v>656.96329840322448</c:v>
                </c:pt>
                <c:pt idx="39">
                  <c:v>661.56286849544085</c:v>
                </c:pt>
                <c:pt idx="40">
                  <c:v>666.50533940688229</c:v>
                </c:pt>
                <c:pt idx="41">
                  <c:v>670.25527287760451</c:v>
                </c:pt>
                <c:pt idx="42">
                  <c:v>674.2777870485063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03712"/>
        <c:axId val="346132864"/>
      </c:lineChart>
      <c:catAx>
        <c:axId val="34600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46132864"/>
        <c:crosses val="autoZero"/>
        <c:auto val="1"/>
        <c:lblAlgn val="ctr"/>
        <c:lblOffset val="100"/>
        <c:noMultiLvlLbl val="0"/>
      </c:catAx>
      <c:valAx>
        <c:axId val="346132864"/>
        <c:scaling>
          <c:orientation val="minMax"/>
          <c:min val="4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003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Average of ElecPrice</c:v>
          </c:tx>
          <c:marker>
            <c:symbol val="none"/>
          </c:marker>
          <c:cat>
            <c:strLit>
              <c:ptCount val="14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</c:strLit>
          </c:cat>
          <c:val>
            <c:numLit>
              <c:formatCode>General</c:formatCode>
              <c:ptCount val="14"/>
              <c:pt idx="0">
                <c:v>6.4065135612233277</c:v>
              </c:pt>
              <c:pt idx="1">
                <c:v>6.6378619567564625</c:v>
              </c:pt>
              <c:pt idx="2">
                <c:v>6.8778619567564609</c:v>
              </c:pt>
              <c:pt idx="3">
                <c:v>7.1562642176594835</c:v>
              </c:pt>
              <c:pt idx="4">
                <c:v>7.2900558232403219</c:v>
              </c:pt>
              <c:pt idx="5">
                <c:v>7.4759202235333779</c:v>
              </c:pt>
              <c:pt idx="6">
                <c:v>8.2894638037513477</c:v>
              </c:pt>
              <c:pt idx="7">
                <c:v>8.8999885401544248</c:v>
              </c:pt>
              <c:pt idx="8">
                <c:v>9.7259169494704008</c:v>
              </c:pt>
              <c:pt idx="9">
                <c:v>11.003830034113447</c:v>
              </c:pt>
              <c:pt idx="10">
                <c:v>12.063906523553113</c:v>
              </c:pt>
              <c:pt idx="11">
                <c:v>12.772604561174989</c:v>
              </c:pt>
              <c:pt idx="12">
                <c:v>13.276189156742456</c:v>
              </c:pt>
              <c:pt idx="13">
                <c:v>13.372037505036209</c:v>
              </c:pt>
            </c:numLit>
          </c:val>
          <c:smooth val="0"/>
        </c:ser>
        <c:ser>
          <c:idx val="1"/>
          <c:order val="1"/>
          <c:tx>
            <c:v>Average of ElecPrice2</c:v>
          </c:tx>
          <c:marker>
            <c:symbol val="none"/>
          </c:marker>
          <c:cat>
            <c:strLit>
              <c:ptCount val="14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</c:strLit>
          </c:cat>
          <c:val>
            <c:numLit>
              <c:formatCode>General</c:formatCode>
              <c:ptCount val="14"/>
              <c:pt idx="0">
                <c:v>6.4065135612233277</c:v>
              </c:pt>
              <c:pt idx="1">
                <c:v>6.6378619567564625</c:v>
              </c:pt>
              <c:pt idx="2">
                <c:v>6.8778619567564609</c:v>
              </c:pt>
              <c:pt idx="3">
                <c:v>7.1562642176594835</c:v>
              </c:pt>
              <c:pt idx="4">
                <c:v>7.2900558232403219</c:v>
              </c:pt>
              <c:pt idx="5">
                <c:v>7.4759202235333779</c:v>
              </c:pt>
              <c:pt idx="6">
                <c:v>8.2894638037513477</c:v>
              </c:pt>
              <c:pt idx="7">
                <c:v>8.5772101877244911</c:v>
              </c:pt>
              <c:pt idx="8">
                <c:v>9.5861743542818498</c:v>
              </c:pt>
              <c:pt idx="9">
                <c:v>10.291964184589402</c:v>
              </c:pt>
              <c:pt idx="10">
                <c:v>11.410251224331203</c:v>
              </c:pt>
              <c:pt idx="11">
                <c:v>12.3600856287173</c:v>
              </c:pt>
              <c:pt idx="12">
                <c:v>12.60728734129165</c:v>
              </c:pt>
              <c:pt idx="13">
                <c:v>12.859433088117479</c:v>
              </c:pt>
            </c:numLit>
          </c:val>
          <c:smooth val="0"/>
        </c:ser>
        <c:ser>
          <c:idx val="2"/>
          <c:order val="2"/>
          <c:tx>
            <c:v>Average of ElecPrice_2014BP</c:v>
          </c:tx>
          <c:marker>
            <c:symbol val="none"/>
          </c:marker>
          <c:cat>
            <c:strLit>
              <c:ptCount val="14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</c:strLit>
          </c:cat>
          <c:val>
            <c:numLit>
              <c:formatCode>General</c:formatCode>
              <c:ptCount val="14"/>
              <c:pt idx="0">
                <c:v>6.4065135612233277</c:v>
              </c:pt>
              <c:pt idx="1">
                <c:v>6.6378619567564625</c:v>
              </c:pt>
              <c:pt idx="2">
                <c:v>6.8778619567564609</c:v>
              </c:pt>
              <c:pt idx="3">
                <c:v>7.1562642176594835</c:v>
              </c:pt>
              <c:pt idx="4">
                <c:v>7.2900558232403219</c:v>
              </c:pt>
              <c:pt idx="5">
                <c:v>7.4759202235333779</c:v>
              </c:pt>
              <c:pt idx="6">
                <c:v>8.2894638037513477</c:v>
              </c:pt>
              <c:pt idx="7">
                <c:v>8.8300509383118992</c:v>
              </c:pt>
              <c:pt idx="8">
                <c:v>9.145248787594797</c:v>
              </c:pt>
              <c:pt idx="9">
                <c:v>9.4872430219052877</c:v>
              </c:pt>
              <c:pt idx="10">
                <c:v>10.3149120957642</c:v>
              </c:pt>
              <c:pt idx="11">
                <c:v>10.9739050105853</c:v>
              </c:pt>
              <c:pt idx="12">
                <c:v>11.193383110797003</c:v>
              </c:pt>
              <c:pt idx="13">
                <c:v>11.417250773012951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966848"/>
        <c:axId val="348357760"/>
      </c:lineChart>
      <c:catAx>
        <c:axId val="347966848"/>
        <c:scaling>
          <c:orientation val="minMax"/>
        </c:scaling>
        <c:delete val="0"/>
        <c:axPos val="b"/>
        <c:majorTickMark val="none"/>
        <c:minorTickMark val="none"/>
        <c:tickLblPos val="nextTo"/>
        <c:crossAx val="348357760"/>
        <c:crosses val="autoZero"/>
        <c:auto val="1"/>
        <c:lblAlgn val="ctr"/>
        <c:lblOffset val="100"/>
        <c:noMultiLvlLbl val="0"/>
      </c:catAx>
      <c:valAx>
        <c:axId val="3483577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347966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  <c:extLst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8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8</xdr:row>
      <xdr:rowOff>114300</xdr:rowOff>
    </xdr:from>
    <xdr:to>
      <xdr:col>12</xdr:col>
      <xdr:colOff>28575</xdr:colOff>
      <xdr:row>25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525780</xdr:colOff>
      <xdr:row>0</xdr:row>
      <xdr:rowOff>30480</xdr:rowOff>
    </xdr:from>
    <xdr:to>
      <xdr:col>10</xdr:col>
      <xdr:colOff>220980</xdr:colOff>
      <xdr:row>16</xdr:row>
      <xdr:rowOff>91440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30</xdr:row>
      <xdr:rowOff>138112</xdr:rowOff>
    </xdr:from>
    <xdr:to>
      <xdr:col>10</xdr:col>
      <xdr:colOff>57150</xdr:colOff>
      <xdr:row>47</xdr:row>
      <xdr:rowOff>128587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447675</xdr:colOff>
      <xdr:row>29</xdr:row>
      <xdr:rowOff>157162</xdr:rowOff>
    </xdr:from>
    <xdr:to>
      <xdr:col>15</xdr:col>
      <xdr:colOff>19050</xdr:colOff>
      <xdr:row>46</xdr:row>
      <xdr:rowOff>147637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68580</xdr:colOff>
      <xdr:row>20</xdr:row>
      <xdr:rowOff>87630</xdr:rowOff>
    </xdr:from>
    <xdr:to>
      <xdr:col>34</xdr:col>
      <xdr:colOff>461010</xdr:colOff>
      <xdr:row>41</xdr:row>
      <xdr:rowOff>53340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487680</xdr:colOff>
      <xdr:row>0</xdr:row>
      <xdr:rowOff>60960</xdr:rowOff>
    </xdr:from>
    <xdr:to>
      <xdr:col>32</xdr:col>
      <xdr:colOff>60960</xdr:colOff>
      <xdr:row>16</xdr:row>
      <xdr:rowOff>7620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60960</xdr:colOff>
      <xdr:row>23</xdr:row>
      <xdr:rowOff>15240</xdr:rowOff>
    </xdr:from>
    <xdr:to>
      <xdr:col>29</xdr:col>
      <xdr:colOff>228600</xdr:colOff>
      <xdr:row>25</xdr:row>
      <xdr:rowOff>160020</xdr:rowOff>
    </xdr:to>
    <xdr:sp macro="" textlink="">
      <xdr:nvSpPr>
        <xdr:cNvPr id="4" name="Rectangle 3"/>
        <xdr:cNvSpPr/>
      </xdr:nvSpPr>
      <xdr:spPr bwMode="auto">
        <a:xfrm>
          <a:off x="16082010" y="3739515"/>
          <a:ext cx="777240" cy="46863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0000"/>
              </a:solidFill>
            </a:rPr>
            <a:t>lighting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601980</xdr:colOff>
      <xdr:row>23</xdr:row>
      <xdr:rowOff>66675</xdr:rowOff>
    </xdr:from>
    <xdr:to>
      <xdr:col>36</xdr:col>
      <xdr:colOff>346710</xdr:colOff>
      <xdr:row>42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300990</xdr:colOff>
      <xdr:row>35</xdr:row>
      <xdr:rowOff>15240</xdr:rowOff>
    </xdr:from>
    <xdr:to>
      <xdr:col>76</xdr:col>
      <xdr:colOff>270510</xdr:colOff>
      <xdr:row>54</xdr:row>
      <xdr:rowOff>68580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525780</xdr:colOff>
      <xdr:row>0</xdr:row>
      <xdr:rowOff>30480</xdr:rowOff>
    </xdr:from>
    <xdr:to>
      <xdr:col>10</xdr:col>
      <xdr:colOff>220980</xdr:colOff>
      <xdr:row>16</xdr:row>
      <xdr:rowOff>91440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438150</xdr:colOff>
      <xdr:row>8</xdr:row>
      <xdr:rowOff>158115</xdr:rowOff>
    </xdr:from>
    <xdr:to>
      <xdr:col>32</xdr:col>
      <xdr:colOff>457200</xdr:colOff>
      <xdr:row>26</xdr:row>
      <xdr:rowOff>49530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8</xdr:row>
      <xdr:rowOff>114300</xdr:rowOff>
    </xdr:from>
    <xdr:to>
      <xdr:col>12</xdr:col>
      <xdr:colOff>28575</xdr:colOff>
      <xdr:row>25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8</xdr:row>
      <xdr:rowOff>114300</xdr:rowOff>
    </xdr:from>
    <xdr:to>
      <xdr:col>12</xdr:col>
      <xdr:colOff>28575</xdr:colOff>
      <xdr:row>25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68580</xdr:colOff>
      <xdr:row>20</xdr:row>
      <xdr:rowOff>87630</xdr:rowOff>
    </xdr:from>
    <xdr:to>
      <xdr:col>34</xdr:col>
      <xdr:colOff>461010</xdr:colOff>
      <xdr:row>41</xdr:row>
      <xdr:rowOff>53340</xdr:rowOff>
    </xdr:to>
    <xdr:graphicFrame macro="">
      <xdr:nvGraphicFramePr>
        <xdr:cNvPr id="928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487680</xdr:colOff>
      <xdr:row>0</xdr:row>
      <xdr:rowOff>60960</xdr:rowOff>
    </xdr:from>
    <xdr:to>
      <xdr:col>32</xdr:col>
      <xdr:colOff>60960</xdr:colOff>
      <xdr:row>16</xdr:row>
      <xdr:rowOff>7620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60960</xdr:colOff>
      <xdr:row>23</xdr:row>
      <xdr:rowOff>15240</xdr:rowOff>
    </xdr:from>
    <xdr:to>
      <xdr:col>29</xdr:col>
      <xdr:colOff>228600</xdr:colOff>
      <xdr:row>25</xdr:row>
      <xdr:rowOff>160020</xdr:rowOff>
    </xdr:to>
    <xdr:sp macro="" textlink="">
      <xdr:nvSpPr>
        <xdr:cNvPr id="4" name="Rectangle 3"/>
        <xdr:cNvSpPr/>
      </xdr:nvSpPr>
      <xdr:spPr bwMode="auto">
        <a:xfrm>
          <a:off x="12230100" y="4038600"/>
          <a:ext cx="792480" cy="4953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0000"/>
              </a:solidFill>
            </a:rPr>
            <a:t>lighting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300990</xdr:colOff>
      <xdr:row>35</xdr:row>
      <xdr:rowOff>15240</xdr:rowOff>
    </xdr:from>
    <xdr:to>
      <xdr:col>64</xdr:col>
      <xdr:colOff>270510</xdr:colOff>
      <xdr:row>54</xdr:row>
      <xdr:rowOff>68580</xdr:rowOff>
    </xdr:to>
    <xdr:graphicFrame macro="">
      <xdr:nvGraphicFramePr>
        <xdr:cNvPr id="82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447675</xdr:colOff>
      <xdr:row>13</xdr:row>
      <xdr:rowOff>6725</xdr:rowOff>
    </xdr:from>
    <xdr:to>
      <xdr:col>33</xdr:col>
      <xdr:colOff>176212</xdr:colOff>
      <xdr:row>28</xdr:row>
      <xdr:rowOff>57095</xdr:rowOff>
    </xdr:to>
    <xdr:graphicFrame macro="">
      <xdr:nvGraphicFramePr>
        <xdr:cNvPr id="12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826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19</xdr:row>
      <xdr:rowOff>95250</xdr:rowOff>
    </xdr:from>
    <xdr:to>
      <xdr:col>12</xdr:col>
      <xdr:colOff>466725</xdr:colOff>
      <xdr:row>36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300990</xdr:colOff>
      <xdr:row>35</xdr:row>
      <xdr:rowOff>15240</xdr:rowOff>
    </xdr:from>
    <xdr:to>
      <xdr:col>75</xdr:col>
      <xdr:colOff>270510</xdr:colOff>
      <xdr:row>54</xdr:row>
      <xdr:rowOff>68580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2014BP%20LE%20Res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2014BP%20LE%20Res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2014BP%20LE%20Res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2014BP%20OD%20Res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2014BP%20OD%20Res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1408.614570717589" createdVersion="3" refreshedVersion="4" minRefreshableVersion="3" recordCount="504">
  <cacheSource type="worksheet">
    <worksheetSource ref="A1:R505" sheet="KU UtilityData"/>
  </cacheSource>
  <cacheFields count="18">
    <cacheField name="Year" numFmtId="0">
      <sharedItems containsSemiMixedTypes="0" containsString="0" containsNumber="1" containsInteger="1" minValue="2001" maxValue="2042" count="42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</sharedItems>
    </cacheField>
    <cacheField name="Month" numFmtId="0">
      <sharedItems containsSemiMixedTypes="0" containsString="0" containsNumber="1" containsInteger="1" minValue="1" maxValue="12"/>
    </cacheField>
    <cacheField name="Sales" numFmtId="0">
      <sharedItems containsString="0" containsBlank="1" containsNumber="1" minValue="325728.20699999999" maxValue="850990.94400000002"/>
    </cacheField>
    <cacheField name="ElecPrice" numFmtId="4">
      <sharedItems containsSemiMixedTypes="0" containsString="0" containsNumber="1" minValue="4.2694402357305536" maxValue="17.502190575908205"/>
    </cacheField>
    <cacheField name="ElecPrice_2014BP" numFmtId="4">
      <sharedItems containsSemiMixedTypes="0" containsString="0" containsNumber="1" minValue="4.2694402357305536" maxValue="17.592570879138762"/>
    </cacheField>
    <cacheField name="BillingDays" numFmtId="4">
      <sharedItems containsSemiMixedTypes="0" containsString="0" containsNumber="1" minValue="28" maxValue="33.35"/>
    </cacheField>
    <cacheField name="Population_2012MTP" numFmtId="0">
      <sharedItems containsString="0" containsBlank="1" containsNumber="1" minValue="0" maxValue="4379.0649160901758"/>
    </cacheField>
    <cacheField name="Population" numFmtId="167">
      <sharedItems containsSemiMixedTypes="0" containsString="0" containsNumber="1" minValue="4063346" maxValue="4993338"/>
    </cacheField>
    <cacheField name="Population 2013BP" numFmtId="167">
      <sharedItems containsSemiMixedTypes="0" containsString="0" containsNumber="1" minValue="4063346" maxValue="5312945"/>
    </cacheField>
    <cacheField name="Households (thousands)" numFmtId="167">
      <sharedItems containsSemiMixedTypes="0" containsString="0" containsNumber="1" minValue="1603592" maxValue="2153400"/>
    </cacheField>
    <cacheField name="Customers" numFmtId="0">
      <sharedItems containsSemiMixedTypes="0" containsString="0" containsNumber="1" minValue="391327" maxValue="512363.59"/>
    </cacheField>
    <cacheField name="Real Personal Income (millions) 2013 BP" numFmtId="167">
      <sharedItems containsSemiMixedTypes="0" containsString="0" containsNumber="1" minValue="112373.137" maxValue="256144.82551"/>
    </cacheField>
    <cacheField name="Real Personal Income (millions)" numFmtId="167">
      <sharedItems containsSemiMixedTypes="0" containsString="0" containsNumber="1" minValue="112373.13660868235" maxValue="258320.39435679643"/>
    </cacheField>
    <cacheField name="HDD" numFmtId="0">
      <sharedItems containsSemiMixedTypes="0" containsString="0" containsNumber="1" minValue="0" maxValue="1283.4000000000001"/>
    </cacheField>
    <cacheField name="CDD" numFmtId="0">
      <sharedItems containsSemiMixedTypes="0" containsString="0" containsNumber="1" minValue="0" maxValue="435.95000000000005"/>
    </cacheField>
    <cacheField name="AnnHDD2005" numFmtId="1">
      <sharedItems containsSemiMixedTypes="0" containsString="0" containsNumber="1" containsInteger="1" minValue="4512" maxValue="4512"/>
    </cacheField>
    <cacheField name="AnnCDD2005" numFmtId="1">
      <sharedItems containsSemiMixedTypes="0" containsString="0" containsNumber="1" containsInteger="1" minValue="1455" maxValue="1455"/>
    </cacheField>
    <cacheField name="kpc" numFmtId="43">
      <sharedItems containsBlank="1" containsMixedTypes="1" containsNumber="1" minValue="809.06057678384491" maxValue="1630.4939991972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1422.519168634259" createdVersion="4" refreshedVersion="4" minRefreshableVersion="3" recordCount="172">
  <cacheSource type="worksheet">
    <worksheetSource ref="M1:U173" sheet="Inputs" r:id="rId2"/>
  </cacheSource>
  <cacheFields count="9">
    <cacheField name="Y" numFmtId="0">
      <sharedItems containsSemiMixedTypes="0" containsString="0" containsNumber="1" containsInteger="1" minValue="2001" maxValue="2043" count="43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</sharedItems>
    </cacheField>
    <cacheField name="Q" numFmtId="0">
      <sharedItems/>
    </cacheField>
    <cacheField name="YQ" numFmtId="0">
      <sharedItems/>
    </cacheField>
    <cacheField name="Real Personal Income (millions)" numFmtId="0">
      <sharedItems containsSemiMixedTypes="0" containsString="0" containsNumber="1" minValue="39277.008375261939" maxValue="96589.945387319196"/>
    </cacheField>
    <cacheField name="Real Personal Income (millions)_2014BP" numFmtId="2">
      <sharedItems containsSemiMixedTypes="0" containsString="0" containsNumber="1" minValue="39277.008421259088" maxValue="97780.72742814252"/>
    </cacheField>
    <cacheField name="Change in income" numFmtId="2">
      <sharedItems containsSemiMixedTypes="0" containsString="0" containsNumber="1" minValue="-6.8825660817362078E-3" maxValue="1.8367768564453435E-2"/>
    </cacheField>
    <cacheField name="Households (thousands)" numFmtId="0">
      <sharedItems containsSemiMixedTypes="0" containsString="0" containsNumber="1" minValue="467.18474541524114" maxValue="676.22743828280875"/>
    </cacheField>
    <cacheField name="Households_2014BP" numFmtId="2">
      <sharedItems containsSemiMixedTypes="0" containsString="0" containsNumber="1" minValue="467.18474541524114" maxValue="678.76227874009192"/>
    </cacheField>
    <cacheField name="Real Disposable Personal Income" numFmtId="0">
      <sharedItems containsSemiMixedTypes="0" containsString="0" containsNumber="1" minValue="34399.937636938055" maxValue="84138.6118492389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1381.590005787039" createdVersion="4" refreshedVersion="4" minRefreshableVersion="3" recordCount="516">
  <cacheSource type="worksheet">
    <worksheetSource ref="A1:G517" sheet="UtilityData" r:id="rId2"/>
  </cacheSource>
  <cacheFields count="7">
    <cacheField name="Year" numFmtId="0">
      <sharedItems containsSemiMixedTypes="0" containsString="0" containsNumber="1" containsInteger="1" minValue="2001" maxValue="2043" count="43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</sharedItems>
    </cacheField>
    <cacheField name="Month" numFmtId="0">
      <sharedItems containsSemiMixedTypes="0" containsString="0" containsNumber="1" containsInteger="1" minValue="1" maxValue="12"/>
    </cacheField>
    <cacheField name="Sales_2012MTP" numFmtId="0">
      <sharedItems containsString="0" containsBlank="1" containsNumber="1" minValue="222305.33499999999" maxValue="561920.38600000006"/>
    </cacheField>
    <cacheField name="Sales" numFmtId="0">
      <sharedItems containsString="0" containsBlank="1" containsNumber="1" minValue="222305.33499999999" maxValue="580187.17200000002"/>
    </cacheField>
    <cacheField name="ElecPrice" numFmtId="4">
      <sharedItems containsString="0" containsBlank="1" containsNumber="1" minValue="5.6" maxValue="23.111012635783954"/>
    </cacheField>
    <cacheField name="ElecPrice2" numFmtId="4">
      <sharedItems containsSemiMixedTypes="0" containsString="0" containsNumber="1" minValue="5.6" maxValue="21.097263009783632"/>
    </cacheField>
    <cacheField name="ElecPrice_2014BP" numFmtId="4">
      <sharedItems containsSemiMixedTypes="0" containsString="0" containsNumber="1" minValue="5.6" maxValue="18.7312100585121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0995.620970370372" createdVersion="3" refreshedVersion="4" minRefreshableVersion="3" recordCount="48">
  <cacheSource type="worksheet">
    <worksheetSource ref="A1:T49" sheet="Efficiencies" r:id="rId2"/>
  </cacheSource>
  <cacheFields count="22">
    <cacheField name="Year" numFmtId="0">
      <sharedItems containsSemiMixedTypes="0" containsString="0" containsNumber="1" containsInteger="1" minValue="1995" maxValue="2042" count="4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</sharedItems>
    </cacheField>
    <cacheField name="EFurn" numFmtId="43">
      <sharedItems containsSemiMixedTypes="0" containsString="0" containsNumber="1" minValue="3.4119999999999999" maxValue="3.4119999999999999"/>
    </cacheField>
    <cacheField name="HPHeat" numFmtId="0">
      <sharedItems containsSemiMixedTypes="0" containsString="0" containsNumber="1" minValue="6.6145431549056699" maxValue="8.4538133701754781"/>
    </cacheField>
    <cacheField name="GHPHeat" numFmtId="43">
      <sharedItems containsSemiMixedTypes="0" containsString="0" containsNumber="1" minValue="3.22" maxValue="3.8794320000000004"/>
    </cacheField>
    <cacheField name="SecHt" numFmtId="43">
      <sharedItems containsSemiMixedTypes="0" containsString="0" containsNumber="1" minValue="226.00513259657671" maxValue="672.80825918693779"/>
    </cacheField>
    <cacheField name="CAC" numFmtId="43">
      <sharedItems containsSemiMixedTypes="0" containsString="0" containsNumber="1" minValue="9.0326946012654545" maxValue="14.544586519591396"/>
    </cacheField>
    <cacheField name="HPCool" numFmtId="43">
      <sharedItems containsSemiMixedTypes="0" containsString="0" containsNumber="1" minValue="10.100210866762" maxValue="14.496620194401077"/>
    </cacheField>
    <cacheField name="GHPCool" numFmtId="43">
      <sharedItems containsSemiMixedTypes="0" containsString="0" containsNumber="1" minValue="12.759999999999987" maxValue="18.681554000000006"/>
    </cacheField>
    <cacheField name="RAC" numFmtId="43">
      <sharedItems containsSemiMixedTypes="0" containsString="0" containsNumber="1" minValue="8.2767889420950311" maxValue="11.06150710486053"/>
    </cacheField>
    <cacheField name="EWHeat" numFmtId="43">
      <sharedItems containsSemiMixedTypes="0" containsString="0" containsNumber="1" minValue="0.86162231376373388" maxValue="1.0082054730380194"/>
    </cacheField>
    <cacheField name="ECook" numFmtId="43">
      <sharedItems containsSemiMixedTypes="0" containsString="0" containsNumber="1" minValue="328.55904780990846" maxValue="332.28448403002676"/>
    </cacheField>
    <cacheField name="Ref1" numFmtId="43">
      <sharedItems containsSemiMixedTypes="0" containsString="0" containsNumber="1" minValue="431.74364938506972" maxValue="785.42382844601207"/>
    </cacheField>
    <cacheField name="Ref2" numFmtId="43">
      <sharedItems containsSemiMixedTypes="0" containsString="0" containsNumber="1" minValue="388.56928444656273" maxValue="706.88144560141018"/>
    </cacheField>
    <cacheField name="Frz" numFmtId="43">
      <sharedItems containsSemiMixedTypes="0" containsString="0" containsNumber="1" minValue="398.89313390605867" maxValue="597.8861696134619"/>
    </cacheField>
    <cacheField name="Dish" numFmtId="43">
      <sharedItems containsSemiMixedTypes="0" containsString="0" containsNumber="1" minValue="315.35039504397855" maxValue="516.35370934786215"/>
    </cacheField>
    <cacheField name="CWash" numFmtId="43">
      <sharedItems containsSemiMixedTypes="0" containsString="0" containsNumber="1" minValue="69.088351765119057" maxValue="121.61550489098488"/>
    </cacheField>
    <cacheField name="EDry" numFmtId="43">
      <sharedItems containsSemiMixedTypes="0" containsString="0" containsNumber="1" minValue="673.74294545438158" maxValue="974.17608841809999"/>
    </cacheField>
    <cacheField name="TV" numFmtId="43">
      <sharedItems containsSemiMixedTypes="0" containsString="0" containsNumber="1" minValue="192.30104310978115" maxValue="226.60685190050145"/>
    </cacheField>
    <cacheField name="FurnFan" numFmtId="43">
      <sharedItems containsSemiMixedTypes="0" containsString="0" containsNumber="1" minValue="417.63542342875638" maxValue="664.09491960269349"/>
    </cacheField>
    <cacheField name="Light" numFmtId="43">
      <sharedItems containsSemiMixedTypes="0" containsString="0" containsNumber="1" minValue="1130.9268049418979" maxValue="2009.4019042164659"/>
    </cacheField>
    <cacheField name="delta LT" numFmtId="0">
      <sharedItems containsString="0" containsBlank="1" containsNumber="1" minValue="-3.9512093874904397E-2" maxValue="8.5802232094622788E-4"/>
    </cacheField>
    <cacheField name="Misc_2012MTP" numFmtId="43">
      <sharedItems containsSemiMixedTypes="0" containsString="0" containsNumber="1" minValue="2926.6635745911367" maxValue="6409.2899815614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41397.613642592594" createdVersion="4" refreshedVersion="4" minRefreshableVersion="3" recordCount="516">
  <cacheSource type="worksheet">
    <worksheetSource ref="A1:S517" sheet="UtilityData" r:id="rId2"/>
  </cacheSource>
  <cacheFields count="19">
    <cacheField name="Year" numFmtId="0">
      <sharedItems containsSemiMixedTypes="0" containsString="0" containsNumber="1" containsInteger="1" minValue="2001" maxValue="2043" count="43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</sharedItems>
    </cacheField>
    <cacheField name="Month" numFmtId="0">
      <sharedItems containsSemiMixedTypes="0" containsString="0" containsNumber="1" containsInteger="1" minValue="1" maxValue="12"/>
    </cacheField>
    <cacheField name="Sales" numFmtId="0">
      <sharedItems containsString="0" containsBlank="1" containsNumber="1" minValue="21082.337" maxValue="70343.077000000005"/>
    </cacheField>
    <cacheField name="ElecPrice 2012 BP" numFmtId="4">
      <sharedItems containsString="0" containsBlank="1" containsNumber="1" minValue="4.2694402357305536" maxValue="18.524739425734207"/>
    </cacheField>
    <cacheField name="ElecPrice 2013 BP" numFmtId="4">
      <sharedItems containsString="0" containsBlank="1" containsNumber="1" minValue="4.2694402357305536" maxValue="18.66051546965182"/>
    </cacheField>
    <cacheField name="ElecPrice 2014 BP" numFmtId="4">
      <sharedItems containsSemiMixedTypes="0" containsString="0" containsNumber="1" minValue="4.2694402357305536" maxValue="17.627220930941927"/>
    </cacheField>
    <cacheField name="BillingDays" numFmtId="4">
      <sharedItems containsSemiMixedTypes="0" containsString="0" containsNumber="1" minValue="28" maxValue="33.35"/>
    </cacheField>
    <cacheField name="Population_2012MTP" numFmtId="0">
      <sharedItems containsSemiMixedTypes="0" containsString="0" containsNumber="1" minValue="136.34601402000001" maxValue="141.95052955379862"/>
    </cacheField>
    <cacheField name="Population" numFmtId="167">
      <sharedItems containsSemiMixedTypes="0" containsString="0" containsNumber="1" minValue="136.34601402000001" maxValue="141.95052955379862"/>
    </cacheField>
    <cacheField name="Households (thousands)" numFmtId="167">
      <sharedItems containsSemiMixedTypes="0" containsString="0" containsNumber="1" minValue="53.371643408056705" maxValue="56.820479986063098"/>
    </cacheField>
    <cacheField name="Customers_2012MTP" numFmtId="0">
      <sharedItems containsSemiMixedTypes="0" containsString="0" containsNumber="1" minValue="23948.161542256628" maxValue="25448"/>
    </cacheField>
    <cacheField name="Customers" numFmtId="0">
      <sharedItems containsSemiMixedTypes="0" containsString="0" containsNumber="1" containsInteger="1" minValue="24138" maxValue="25219"/>
    </cacheField>
    <cacheField name="IncomePersonal" numFmtId="0">
      <sharedItems containsSemiMixedTypes="0" containsString="0" containsNumber="1" minValue="5307.0153343999991" maxValue="27273.562016315449"/>
    </cacheField>
    <cacheField name="Real Personal Income (millions)" numFmtId="167">
      <sharedItems containsSemiMixedTypes="0" containsString="0" containsNumber="1" minValue="5307.0153343999991" maxValue="27273.562016315449"/>
    </cacheField>
    <cacheField name="HDD" numFmtId="0">
      <sharedItems containsSemiMixedTypes="0" containsString="0" containsNumber="1" minValue="0" maxValue="1166.2"/>
    </cacheField>
    <cacheField name="CDD" numFmtId="0">
      <sharedItems containsSemiMixedTypes="0" containsString="0" containsNumber="1" minValue="0" maxValue="453.15"/>
    </cacheField>
    <cacheField name="AnnHDD2005" numFmtId="1">
      <sharedItems containsSemiMixedTypes="0" containsString="0" containsNumber="1" containsInteger="1" minValue="4200" maxValue="4200"/>
    </cacheField>
    <cacheField name="AnnCDD2005" numFmtId="1">
      <sharedItems containsSemiMixedTypes="0" containsString="0" containsNumber="1" containsInteger="1" minValue="1161" maxValue="1161"/>
    </cacheField>
    <cacheField name="kpc" numFmtId="0">
      <sharedItems containsSemiMixedTypes="0" containsString="0" containsNumber="1" minValue="0" maxValue="2818.23225160256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uthor" refreshedDate="40998.440491898145" createdVersion="3" refreshedVersion="4" minRefreshableVersion="3" recordCount="48">
  <cacheSource type="worksheet">
    <worksheetSource ref="A1:V49" sheet="Efficiencies" r:id="rId2"/>
  </cacheSource>
  <cacheFields count="22">
    <cacheField name="Year" numFmtId="0">
      <sharedItems containsSemiMixedTypes="0" containsString="0" containsNumber="1" containsInteger="1" minValue="1995" maxValue="2042" count="4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</sharedItems>
    </cacheField>
    <cacheField name="EFurn" numFmtId="43">
      <sharedItems containsSemiMixedTypes="0" containsString="0" containsNumber="1" minValue="3.4119999999999999" maxValue="3.4119999999999999"/>
    </cacheField>
    <cacheField name="HPHeat" numFmtId="0">
      <sharedItems containsSemiMixedTypes="0" containsString="0" containsNumber="1" minValue="6.6145431549056699" maxValue="8.4538133701754781"/>
    </cacheField>
    <cacheField name="GHPHeat" numFmtId="43">
      <sharedItems containsSemiMixedTypes="0" containsString="0" containsNumber="1" minValue="3.22" maxValue="3.8794320000000004"/>
    </cacheField>
    <cacheField name="SecHt" numFmtId="43">
      <sharedItems containsSemiMixedTypes="0" containsString="0" containsNumber="1" minValue="226.00513259657671" maxValue="672.80825918693779"/>
    </cacheField>
    <cacheField name="CAC" numFmtId="43">
      <sharedItems containsSemiMixedTypes="0" containsString="0" containsNumber="1" minValue="9.0326946012654545" maxValue="14.544586519591396"/>
    </cacheField>
    <cacheField name="HPCool" numFmtId="43">
      <sharedItems containsSemiMixedTypes="0" containsString="0" containsNumber="1" minValue="10.100210866762" maxValue="14.496620194401077"/>
    </cacheField>
    <cacheField name="GHPCool" numFmtId="43">
      <sharedItems containsSemiMixedTypes="0" containsString="0" containsNumber="1" minValue="12.759999999999987" maxValue="18.681554000000006"/>
    </cacheField>
    <cacheField name="RAC" numFmtId="43">
      <sharedItems containsSemiMixedTypes="0" containsString="0" containsNumber="1" minValue="8.2767889420950311" maxValue="11.06150710486053"/>
    </cacheField>
    <cacheField name="EWHeat" numFmtId="43">
      <sharedItems containsSemiMixedTypes="0" containsString="0" containsNumber="1" minValue="0.86162231376373388" maxValue="1.0082054730380194"/>
    </cacheField>
    <cacheField name="ECook" numFmtId="43">
      <sharedItems containsSemiMixedTypes="0" containsString="0" containsNumber="1" minValue="328.55904780990846" maxValue="332.28448403002676"/>
    </cacheField>
    <cacheField name="Ref1" numFmtId="43">
      <sharedItems containsSemiMixedTypes="0" containsString="0" containsNumber="1" minValue="431.74364938506972" maxValue="785.42382844601207"/>
    </cacheField>
    <cacheField name="Ref2" numFmtId="43">
      <sharedItems containsSemiMixedTypes="0" containsString="0" containsNumber="1" minValue="388.56928444656273" maxValue="706.88144560141018"/>
    </cacheField>
    <cacheField name="Frz" numFmtId="43">
      <sharedItems containsSemiMixedTypes="0" containsString="0" containsNumber="1" minValue="398.89313390605867" maxValue="597.8861696134619"/>
    </cacheField>
    <cacheField name="Dish" numFmtId="43">
      <sharedItems containsSemiMixedTypes="0" containsString="0" containsNumber="1" minValue="315.35039504397855" maxValue="516.35370934786215"/>
    </cacheField>
    <cacheField name="CWash" numFmtId="43">
      <sharedItems containsSemiMixedTypes="0" containsString="0" containsNumber="1" minValue="69.088351765119057" maxValue="121.61550489098488"/>
    </cacheField>
    <cacheField name="EDry" numFmtId="43">
      <sharedItems containsSemiMixedTypes="0" containsString="0" containsNumber="1" minValue="673.74294545438158" maxValue="974.17608841809999"/>
    </cacheField>
    <cacheField name="TV" numFmtId="43">
      <sharedItems containsSemiMixedTypes="0" containsString="0" containsNumber="1" minValue="192.30104310978115" maxValue="226.60685190050145"/>
    </cacheField>
    <cacheField name="FurnFan" numFmtId="43">
      <sharedItems containsSemiMixedTypes="0" containsString="0" containsNumber="1" minValue="417.63542342875638" maxValue="664.09491960269349"/>
    </cacheField>
    <cacheField name="Light" numFmtId="43">
      <sharedItems containsSemiMixedTypes="0" containsString="0" containsNumber="1" minValue="1130.9268049418979" maxValue="2009.4019042164659"/>
    </cacheField>
    <cacheField name="delta LT" numFmtId="0">
      <sharedItems containsString="0" containsBlank="1" containsNumber="1" minValue="-3.9512093874904397E-2" maxValue="8.5802232094622788E-4"/>
    </cacheField>
    <cacheField name="Misc_2012MTP" numFmtId="43">
      <sharedItems containsSemiMixedTypes="0" containsString="0" containsNumber="1" minValue="2926.6635745911367" maxValue="6409.2899815614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4">
  <r>
    <x v="0"/>
    <n v="1"/>
    <n v="735535.00800000003"/>
    <n v="4.2694402357305536"/>
    <n v="4.2694402357305536"/>
    <n v="32.33"/>
    <n v="0"/>
    <n v="4063346"/>
    <n v="4063346"/>
    <n v="1603592"/>
    <n v="393204"/>
    <n v="113069.322"/>
    <n v="113069.32213241505"/>
    <n v="1283.4000000000001"/>
    <n v="0"/>
    <n v="4512"/>
    <n v="1455"/>
    <e v="#REF!"/>
  </r>
  <r>
    <x v="0"/>
    <n v="2"/>
    <n v="530191.82200000004"/>
    <n v="4.2694402357305536"/>
    <n v="4.2694402357305536"/>
    <n v="29.81"/>
    <n v="0"/>
    <n v="4063346"/>
    <n v="4063346"/>
    <n v="1603592"/>
    <n v="391327"/>
    <n v="113069.322"/>
    <n v="113069.32213241505"/>
    <n v="842.3"/>
    <n v="0"/>
    <n v="4512"/>
    <n v="1455"/>
    <e v="#REF!"/>
  </r>
  <r>
    <x v="0"/>
    <n v="3"/>
    <n v="466800.62599999999"/>
    <n v="4.2694402357305536"/>
    <n v="4.2694402357305536"/>
    <n v="30.29"/>
    <n v="0"/>
    <n v="4063346"/>
    <n v="4063346"/>
    <n v="1603592"/>
    <n v="392005"/>
    <n v="113069.322"/>
    <n v="113069.32213241505"/>
    <n v="721.85"/>
    <n v="0"/>
    <n v="4512"/>
    <n v="1455"/>
    <e v="#REF!"/>
  </r>
  <r>
    <x v="0"/>
    <n v="4"/>
    <n v="397306.68400000001"/>
    <n v="4.2694402357305536"/>
    <n v="4.2694402357305536"/>
    <n v="30.29"/>
    <n v="0"/>
    <n v="4068132"/>
    <n v="4068132"/>
    <n v="1606740"/>
    <n v="392162"/>
    <n v="112494.27"/>
    <n v="112494.2696849964"/>
    <n v="472.3"/>
    <n v="46.55"/>
    <n v="4512"/>
    <n v="1455"/>
    <e v="#REF!"/>
  </r>
  <r>
    <x v="0"/>
    <n v="5"/>
    <n v="333455.40399999998"/>
    <n v="4.2694402357305536"/>
    <n v="4.2694402357305536"/>
    <n v="30.05"/>
    <n v="0"/>
    <n v="4068132"/>
    <n v="4068132"/>
    <n v="1606740"/>
    <n v="391549"/>
    <n v="112494.27"/>
    <n v="112494.2696849964"/>
    <n v="119.3"/>
    <n v="98.55"/>
    <n v="4512"/>
    <n v="1455"/>
    <e v="#REF!"/>
  </r>
  <r>
    <x v="0"/>
    <n v="6"/>
    <n v="370035.22499999998"/>
    <n v="4.2694402357305536"/>
    <n v="4.2694402357305536"/>
    <n v="30.62"/>
    <n v="0"/>
    <n v="4068132"/>
    <n v="4068132"/>
    <n v="1606740"/>
    <n v="391331"/>
    <n v="112494.27"/>
    <n v="112494.2696849964"/>
    <n v="56.1"/>
    <n v="136.6"/>
    <n v="4512"/>
    <n v="1455"/>
    <e v="#REF!"/>
  </r>
  <r>
    <x v="0"/>
    <n v="7"/>
    <n v="476322.60200000001"/>
    <n v="4.2694402357305536"/>
    <n v="4.2694402357305536"/>
    <n v="30.76"/>
    <n v="0"/>
    <n v="4073557"/>
    <n v="4073557"/>
    <n v="1609894"/>
    <n v="391916"/>
    <n v="112373.137"/>
    <n v="112373.13660868235"/>
    <n v="2.1"/>
    <n v="262.60000000000002"/>
    <n v="4512"/>
    <n v="1455"/>
    <e v="#REF!"/>
  </r>
  <r>
    <x v="0"/>
    <n v="8"/>
    <n v="531500.745"/>
    <n v="4.2694402357305536"/>
    <n v="4.2694402357305536"/>
    <n v="29.48"/>
    <n v="0"/>
    <n v="4073557"/>
    <n v="4073557"/>
    <n v="1609894"/>
    <n v="391486"/>
    <n v="112373.137"/>
    <n v="112373.13660868235"/>
    <n v="0"/>
    <n v="356"/>
    <n v="4512"/>
    <n v="1455"/>
    <e v="#REF!"/>
  </r>
  <r>
    <x v="0"/>
    <n v="9"/>
    <n v="467764.255"/>
    <n v="4.2694402357305536"/>
    <n v="4.2694402357305536"/>
    <n v="30.62"/>
    <n v="0"/>
    <n v="4073557"/>
    <n v="4073557"/>
    <n v="1609894"/>
    <n v="391681"/>
    <n v="112373.137"/>
    <n v="112373.13660868235"/>
    <n v="11.15"/>
    <n v="262.14999999999998"/>
    <n v="4512"/>
    <n v="1455"/>
    <e v="#REF!"/>
  </r>
  <r>
    <x v="0"/>
    <n v="10"/>
    <n v="325728.20699999999"/>
    <n v="4.2694402357305536"/>
    <n v="4.2694402357305536"/>
    <n v="29.67"/>
    <n v="0"/>
    <n v="4078989"/>
    <n v="4078989"/>
    <n v="1613055"/>
    <n v="392693"/>
    <n v="112983.58500000001"/>
    <n v="112983.5851011616"/>
    <n v="155.94999999999999"/>
    <n v="50.85"/>
    <n v="4512"/>
    <n v="1455"/>
    <e v="#REF!"/>
  </r>
  <r>
    <x v="0"/>
    <n v="11"/>
    <n v="341927.77500000002"/>
    <n v="4.2694402357305536"/>
    <n v="4.2694402357305536"/>
    <n v="30"/>
    <n v="0"/>
    <n v="4078989"/>
    <n v="4078989"/>
    <n v="1613055"/>
    <n v="392884"/>
    <n v="112983.58500000001"/>
    <n v="112983.5851011616"/>
    <n v="350.9"/>
    <n v="12.4"/>
    <n v="4512"/>
    <n v="1455"/>
    <e v="#REF!"/>
  </r>
  <r>
    <x v="0"/>
    <n v="12"/>
    <n v="411043.07199999999"/>
    <n v="4.2694402357305536"/>
    <n v="4.2694402357305536"/>
    <n v="31.43"/>
    <n v="0"/>
    <n v="4078989"/>
    <n v="4078989"/>
    <n v="1613055"/>
    <n v="393409"/>
    <n v="112983.58500000001"/>
    <n v="112983.5851011616"/>
    <n v="465.95"/>
    <n v="0.3"/>
    <n v="4512"/>
    <n v="1455"/>
    <e v="#REF!"/>
  </r>
  <r>
    <x v="1"/>
    <n v="1"/>
    <n v="629385.50399999996"/>
    <n v="4.457008293679027"/>
    <n v="4.457008293679027"/>
    <n v="32.380000000000003"/>
    <n v="3399.819"/>
    <n v="4084428"/>
    <n v="4084428"/>
    <n v="1616222"/>
    <n v="395618"/>
    <n v="113421.694"/>
    <n v="113421.69408897014"/>
    <n v="1001"/>
    <n v="0"/>
    <n v="4512"/>
    <n v="1455"/>
    <e v="#REF!"/>
  </r>
  <r>
    <x v="1"/>
    <n v="2"/>
    <n v="497877.69300000003"/>
    <n v="4.457008293679027"/>
    <n v="4.457008293679027"/>
    <n v="29.9"/>
    <n v="3402.067"/>
    <n v="4084428"/>
    <n v="4084428"/>
    <n v="1616222"/>
    <n v="394645"/>
    <n v="113421.694"/>
    <n v="113421.69408897014"/>
    <n v="746.35"/>
    <n v="0"/>
    <n v="4512"/>
    <n v="1455"/>
    <e v="#REF!"/>
  </r>
  <r>
    <x v="1"/>
    <n v="3"/>
    <n v="478100.77100000001"/>
    <n v="4.457008293679027"/>
    <n v="4.457008293679027"/>
    <n v="30.52"/>
    <n v="3404.3150000000001"/>
    <n v="4084428"/>
    <n v="4084428"/>
    <n v="1616222"/>
    <n v="395080"/>
    <n v="113421.694"/>
    <n v="113421.69408897014"/>
    <n v="672.1"/>
    <n v="0"/>
    <n v="4512"/>
    <n v="1455"/>
    <e v="#REF!"/>
  </r>
  <r>
    <x v="1"/>
    <n v="4"/>
    <n v="398085.96500000003"/>
    <n v="4.457008293679027"/>
    <n v="4.457008293679027"/>
    <n v="30.57"/>
    <n v="3406.5630000000001"/>
    <n v="4089875"/>
    <n v="4089875"/>
    <n v="1619394"/>
    <n v="395723"/>
    <n v="114074.546"/>
    <n v="114074.54596497289"/>
    <n v="452.65"/>
    <n v="20.350000000000001"/>
    <n v="4512"/>
    <n v="1455"/>
    <e v="#REF!"/>
  </r>
  <r>
    <x v="1"/>
    <n v="5"/>
    <n v="337871.52899999998"/>
    <n v="4.457008293679027"/>
    <n v="4.457008293679027"/>
    <n v="29.57"/>
    <n v="3408.8110000000001"/>
    <n v="4089875"/>
    <n v="4089875"/>
    <n v="1619394"/>
    <n v="395741"/>
    <n v="114074.546"/>
    <n v="114074.54596497289"/>
    <n v="198.55"/>
    <n v="45.7"/>
    <n v="4512"/>
    <n v="1455"/>
    <e v="#REF!"/>
  </r>
  <r>
    <x v="1"/>
    <n v="6"/>
    <n v="430108.217"/>
    <n v="4.457008293679027"/>
    <n v="4.457008293679027"/>
    <n v="30.67"/>
    <n v="3411.0590000000002"/>
    <n v="4089875"/>
    <n v="4089875"/>
    <n v="1619394"/>
    <n v="394223"/>
    <n v="114074.546"/>
    <n v="114074.54596497289"/>
    <n v="80.900000000000006"/>
    <n v="194.75"/>
    <n v="4512"/>
    <n v="1455"/>
    <e v="#REF!"/>
  </r>
  <r>
    <x v="1"/>
    <n v="7"/>
    <n v="551654.24800000002"/>
    <n v="4.457008293679027"/>
    <n v="4.457008293679027"/>
    <n v="30.67"/>
    <n v="3413.3069166666664"/>
    <n v="4096682"/>
    <n v="4096682"/>
    <n v="1622574"/>
    <n v="396306"/>
    <n v="114002.70699999999"/>
    <n v="114002.70729034615"/>
    <n v="0.5"/>
    <n v="377.2"/>
    <n v="4512"/>
    <n v="1455"/>
    <e v="#REF!"/>
  </r>
  <r>
    <x v="1"/>
    <n v="8"/>
    <n v="567815.27"/>
    <n v="4.457008293679027"/>
    <n v="4.457008293679027"/>
    <n v="29.48"/>
    <n v="3415.5548333333331"/>
    <n v="4096682"/>
    <n v="4096682"/>
    <n v="1622574"/>
    <n v="395621"/>
    <n v="114002.70699999999"/>
    <n v="114002.70729034615"/>
    <n v="0"/>
    <n v="428.9"/>
    <n v="4512"/>
    <n v="1455"/>
    <e v="#REF!"/>
  </r>
  <r>
    <x v="1"/>
    <n v="9"/>
    <n v="521406.56300000002"/>
    <n v="4.457008293679027"/>
    <n v="4.457008293679027"/>
    <n v="30.76"/>
    <n v="3417.8027499999994"/>
    <n v="4096682"/>
    <n v="4096682"/>
    <n v="1622574"/>
    <n v="395714"/>
    <n v="114002.70699999999"/>
    <n v="114002.70729034615"/>
    <n v="2.95"/>
    <n v="354.7"/>
    <n v="4512"/>
    <n v="1455"/>
    <e v="#REF!"/>
  </r>
  <r>
    <x v="1"/>
    <n v="10"/>
    <n v="375349.815"/>
    <n v="4.457008293679027"/>
    <n v="4.457008293679027"/>
    <n v="29.52"/>
    <n v="3420.0506666666661"/>
    <n v="4103500"/>
    <n v="4103500"/>
    <n v="1625759"/>
    <n v="396205"/>
    <n v="114407.613"/>
    <n v="114407.6133447391"/>
    <n v="107.05"/>
    <n v="119.2"/>
    <n v="4512"/>
    <n v="1455"/>
    <e v="#REF!"/>
  </r>
  <r>
    <x v="1"/>
    <n v="11"/>
    <n v="371218.49"/>
    <n v="4.457008293679027"/>
    <n v="4.457008293679027"/>
    <n v="29.43"/>
    <n v="3422.2985833333328"/>
    <n v="4103500"/>
    <n v="4103500"/>
    <n v="1625759"/>
    <n v="396445"/>
    <n v="114407.613"/>
    <n v="114407.6133447391"/>
    <n v="464.25"/>
    <n v="5.8"/>
    <n v="4512"/>
    <n v="1455"/>
    <e v="#REF!"/>
  </r>
  <r>
    <x v="1"/>
    <n v="12"/>
    <n v="570626.49800000002"/>
    <n v="4.457008293679027"/>
    <n v="4.457008293679027"/>
    <n v="32.049999999999997"/>
    <n v="3424.546499999999"/>
    <n v="4103500"/>
    <n v="4103500"/>
    <n v="1625759"/>
    <n v="398222"/>
    <n v="114407.613"/>
    <n v="114407.6133447391"/>
    <n v="864.3"/>
    <n v="0.4"/>
    <n v="4512"/>
    <n v="1455"/>
    <e v="#REF!"/>
  </r>
  <r>
    <x v="2"/>
    <n v="1"/>
    <n v="664533.50600000005"/>
    <n v="4.5960275764781944"/>
    <n v="4.5960275764781944"/>
    <n v="33.33"/>
    <n v="3426.7944166666657"/>
    <n v="4110328.9999999995"/>
    <n v="4110328.9999999995"/>
    <n v="1628951"/>
    <n v="400053"/>
    <n v="113801.59699999999"/>
    <n v="113801.59673857653"/>
    <n v="1027.9000000000001"/>
    <n v="0"/>
    <n v="4512"/>
    <n v="1455"/>
    <e v="#REF!"/>
  </r>
  <r>
    <x v="2"/>
    <n v="2"/>
    <n v="678837.00199999998"/>
    <n v="4.5960275764781944"/>
    <n v="4.5960275764781944"/>
    <n v="31"/>
    <n v="3429.042333333332"/>
    <n v="4110328.9999999995"/>
    <n v="4110328.9999999995"/>
    <n v="1628951"/>
    <n v="397920"/>
    <n v="113801.59699999999"/>
    <n v="113801.59673857653"/>
    <n v="1138.75"/>
    <n v="0"/>
    <n v="4512"/>
    <n v="1455"/>
    <e v="#REF!"/>
  </r>
  <r>
    <x v="2"/>
    <n v="3"/>
    <n v="526324.24100000004"/>
    <n v="4.5960275764781944"/>
    <n v="4.5960275764781944"/>
    <n v="31.19"/>
    <n v="3431.2902499999987"/>
    <n v="4110328.9999999995"/>
    <n v="4110328.9999999995"/>
    <n v="1628951"/>
    <n v="398788"/>
    <n v="113801.59699999999"/>
    <n v="113801.59673857653"/>
    <n v="743.75"/>
    <n v="0"/>
    <n v="4512"/>
    <n v="1455"/>
    <e v="#REF!"/>
  </r>
  <r>
    <x v="2"/>
    <n v="4"/>
    <n v="360442.18900000001"/>
    <n v="4.5960275764781944"/>
    <n v="4.5960275764781944"/>
    <n v="31"/>
    <n v="3433.5381666666649"/>
    <n v="4117170"/>
    <n v="4117170"/>
    <n v="1632148"/>
    <n v="397434"/>
    <n v="114321.784"/>
    <n v="114321.78396384545"/>
    <n v="335.05"/>
    <n v="7.5"/>
    <n v="4512"/>
    <n v="1455"/>
    <e v="#REF!"/>
  </r>
  <r>
    <x v="2"/>
    <n v="5"/>
    <n v="336675.74900000001"/>
    <n v="4.5960275764781944"/>
    <n v="4.5960275764781944"/>
    <n v="31.48"/>
    <n v="3435.7860833333316"/>
    <n v="4117170"/>
    <n v="4117170"/>
    <n v="1632148"/>
    <n v="397954"/>
    <n v="114321.784"/>
    <n v="114321.78396384545"/>
    <n v="147.44999999999999"/>
    <n v="49.15"/>
    <n v="4512"/>
    <n v="1455"/>
    <e v="#REF!"/>
  </r>
  <r>
    <x v="2"/>
    <n v="6"/>
    <n v="345184.80699999997"/>
    <n v="4.5960275764781944"/>
    <n v="4.5960275764781944"/>
    <n v="31.52"/>
    <n v="3438.0340000000006"/>
    <n v="4117170"/>
    <n v="4117170"/>
    <n v="1632148"/>
    <n v="397537"/>
    <n v="114321.784"/>
    <n v="114321.78396384545"/>
    <n v="71.55"/>
    <n v="75.5"/>
    <n v="4512"/>
    <n v="1455"/>
    <e v="#REF!"/>
  </r>
  <r>
    <x v="2"/>
    <n v="7"/>
    <n v="500726.78399999999"/>
    <n v="4.5960275764781944"/>
    <n v="4.5960275764781944"/>
    <n v="31.67"/>
    <n v="3440.5087500000004"/>
    <n v="4124384"/>
    <n v="4124384"/>
    <n v="1635353"/>
    <n v="398838"/>
    <n v="114399.553"/>
    <n v="114399.5530773366"/>
    <n v="4"/>
    <n v="284.05"/>
    <n v="4512"/>
    <n v="1455"/>
    <e v="#REF!"/>
  </r>
  <r>
    <x v="2"/>
    <n v="8"/>
    <n v="500182.27"/>
    <n v="4.5960275764781944"/>
    <n v="4.5960275764781944"/>
    <n v="30.48"/>
    <n v="3442.9835000000003"/>
    <n v="4124384"/>
    <n v="4124384"/>
    <n v="1635353"/>
    <n v="397899"/>
    <n v="114399.553"/>
    <n v="114399.5530773366"/>
    <n v="0"/>
    <n v="280.2"/>
    <n v="4512"/>
    <n v="1455"/>
    <e v="#REF!"/>
  </r>
  <r>
    <x v="2"/>
    <n v="9"/>
    <n v="493363.09499999997"/>
    <n v="4.5960275764781944"/>
    <n v="4.5960275764781944"/>
    <n v="31.86"/>
    <n v="3445.4582500000006"/>
    <n v="4124384"/>
    <n v="4124384"/>
    <n v="1635353"/>
    <n v="399116"/>
    <n v="114399.553"/>
    <n v="114399.5530773366"/>
    <n v="7.3"/>
    <n v="243.15"/>
    <n v="4512"/>
    <n v="1455"/>
    <e v="#REF!"/>
  </r>
  <r>
    <x v="2"/>
    <n v="10"/>
    <n v="334700.14600000001"/>
    <n v="4.5960275764781944"/>
    <n v="4.5960275764781944"/>
    <n v="30.38"/>
    <n v="3447.9330000000004"/>
    <n v="4131609.9999999995"/>
    <n v="4131609.9999999995"/>
    <n v="1638563"/>
    <n v="399289"/>
    <n v="115855.962"/>
    <n v="115855.96172409452"/>
    <n v="173.2"/>
    <n v="20.45"/>
    <n v="4512"/>
    <n v="1455"/>
    <e v="#REF!"/>
  </r>
  <r>
    <x v="2"/>
    <n v="11"/>
    <n v="341222.022"/>
    <n v="4.5960275764781944"/>
    <n v="4.5960275764781944"/>
    <n v="30.62"/>
    <n v="3450.4077500000003"/>
    <n v="4131609.9999999995"/>
    <n v="4131609.9999999995"/>
    <n v="1638563"/>
    <n v="398826"/>
    <n v="115855.962"/>
    <n v="115855.96172409452"/>
    <n v="303.8"/>
    <n v="6.55"/>
    <n v="4512"/>
    <n v="1455"/>
    <e v="#REF!"/>
  </r>
  <r>
    <x v="2"/>
    <n v="12"/>
    <n v="530946.74800000002"/>
    <n v="4.5960275764781944"/>
    <n v="4.5960275764781944"/>
    <n v="32.81"/>
    <n v="3452.8825000000006"/>
    <n v="4131609.9999999995"/>
    <n v="4131609.9999999995"/>
    <n v="1638563"/>
    <n v="401162"/>
    <n v="115855.962"/>
    <n v="115855.96172409452"/>
    <n v="714.95"/>
    <n v="0.45"/>
    <n v="4512"/>
    <n v="1455"/>
    <e v="#REF!"/>
  </r>
  <r>
    <x v="3"/>
    <n v="1"/>
    <n v="682257.12"/>
    <n v="5"/>
    <n v="5"/>
    <n v="32.450000000000003"/>
    <n v="3455.3572500000005"/>
    <n v="4138849"/>
    <n v="4138849"/>
    <n v="1641780"/>
    <n v="403119"/>
    <n v="116263.073"/>
    <n v="116263.07300067642"/>
    <n v="995.05"/>
    <n v="0"/>
    <n v="4512"/>
    <n v="1455"/>
    <e v="#REF!"/>
  </r>
  <r>
    <x v="3"/>
    <n v="2"/>
    <n v="654596.57200000004"/>
    <n v="5"/>
    <n v="5"/>
    <n v="30.15"/>
    <n v="3457.8320000000003"/>
    <n v="4138849"/>
    <n v="4138849"/>
    <n v="1641780"/>
    <n v="402126"/>
    <n v="116263.073"/>
    <n v="116263.07300067642"/>
    <n v="1026.55"/>
    <n v="0"/>
    <n v="4512"/>
    <n v="1455"/>
    <e v="#REF!"/>
  </r>
  <r>
    <x v="3"/>
    <n v="3"/>
    <n v="488775.788"/>
    <n v="5"/>
    <n v="5"/>
    <n v="30.05"/>
    <n v="3460.3067500000006"/>
    <n v="4138849"/>
    <n v="4138849"/>
    <n v="1641780"/>
    <n v="402171"/>
    <n v="116263.073"/>
    <n v="116263.07300067642"/>
    <n v="662.6"/>
    <n v="0.4"/>
    <n v="4512"/>
    <n v="1455"/>
    <e v="#REF!"/>
  </r>
  <r>
    <x v="3"/>
    <n v="4"/>
    <n v="424797.68599999999"/>
    <n v="5"/>
    <n v="5"/>
    <n v="30.45"/>
    <n v="3462.7815000000005"/>
    <n v="4146100.9999999995"/>
    <n v="4146100.9999999995"/>
    <n v="1645002"/>
    <n v="402767"/>
    <n v="116694.558"/>
    <n v="116694.55807611256"/>
    <n v="449.2"/>
    <n v="7.55"/>
    <n v="4512"/>
    <n v="1455"/>
    <e v="#REF!"/>
  </r>
  <r>
    <x v="3"/>
    <n v="5"/>
    <n v="365898.78200000001"/>
    <n v="5"/>
    <n v="5"/>
    <n v="29.8"/>
    <n v="3465.2562500000004"/>
    <n v="4146100.9999999995"/>
    <n v="4146100.9999999995"/>
    <n v="1645002"/>
    <n v="401362"/>
    <n v="116694.558"/>
    <n v="116694.55807611256"/>
    <n v="149.94999999999999"/>
    <n v="80.400000000000006"/>
    <n v="4512"/>
    <n v="1455"/>
    <e v="#REF!"/>
  </r>
  <r>
    <x v="3"/>
    <n v="6"/>
    <n v="447174.71100000001"/>
    <n v="5"/>
    <n v="5"/>
    <n v="30.75"/>
    <n v="3467.7310000000007"/>
    <n v="4146100.9999999995"/>
    <n v="4146100.9999999995"/>
    <n v="1645002"/>
    <n v="402477"/>
    <n v="116694.558"/>
    <n v="116694.55807611256"/>
    <n v="4.8"/>
    <n v="195.7"/>
    <n v="4512"/>
    <n v="1455"/>
    <e v="#REF!"/>
  </r>
  <r>
    <x v="3"/>
    <n v="7"/>
    <n v="521545.85499999998"/>
    <n v="5"/>
    <n v="5"/>
    <n v="30.65"/>
    <n v="3470.6730000000007"/>
    <n v="4155231"/>
    <n v="4155231"/>
    <n v="1648232"/>
    <n v="403573"/>
    <n v="117551.33500000001"/>
    <n v="117551.33470225871"/>
    <n v="0.6"/>
    <n v="262.64999999999998"/>
    <n v="4512"/>
    <n v="1455"/>
    <e v="#REF!"/>
  </r>
  <r>
    <x v="3"/>
    <n v="8"/>
    <n v="473871.16600000003"/>
    <n v="5"/>
    <n v="5"/>
    <n v="29.55"/>
    <n v="3473.6150000000007"/>
    <n v="4155231"/>
    <n v="4155231"/>
    <n v="1648232"/>
    <n v="401757"/>
    <n v="117551.33500000001"/>
    <n v="117551.33470225871"/>
    <n v="7.6"/>
    <n v="196.55"/>
    <n v="4512"/>
    <n v="1455"/>
    <e v="#REF!"/>
  </r>
  <r>
    <x v="3"/>
    <n v="9"/>
    <n v="456567.098"/>
    <n v="5"/>
    <n v="5"/>
    <n v="30.55"/>
    <n v="3476.5570000000002"/>
    <n v="4155231"/>
    <n v="4155231"/>
    <n v="1648232"/>
    <n v="400716"/>
    <n v="117551.33500000001"/>
    <n v="117551.33470225871"/>
    <n v="10.1"/>
    <n v="192.55"/>
    <n v="4512"/>
    <n v="1455"/>
    <e v="#REF!"/>
  </r>
  <r>
    <x v="3"/>
    <n v="10"/>
    <n v="355424.22700000001"/>
    <n v="5"/>
    <n v="5"/>
    <n v="29.65"/>
    <n v="3479.4990000000003"/>
    <n v="4164381.0000000005"/>
    <n v="4164381.0000000005"/>
    <n v="1651467"/>
    <n v="401100"/>
    <n v="118914.68"/>
    <n v="118914.67973070695"/>
    <n v="119.1"/>
    <n v="50.2"/>
    <n v="4512"/>
    <n v="1455"/>
    <e v="#REF!"/>
  </r>
  <r>
    <x v="3"/>
    <n v="11"/>
    <n v="344393.125"/>
    <n v="5"/>
    <n v="5"/>
    <n v="29.8"/>
    <n v="3482.4410000000003"/>
    <n v="4164381.0000000005"/>
    <n v="4164381.0000000005"/>
    <n v="1651467"/>
    <n v="400268"/>
    <n v="118914.68"/>
    <n v="118914.67973070695"/>
    <n v="266.45"/>
    <n v="8.85"/>
    <n v="4512"/>
    <n v="1455"/>
    <e v="#REF!"/>
  </r>
  <r>
    <x v="3"/>
    <n v="12"/>
    <n v="521174.141"/>
    <n v="5"/>
    <n v="5"/>
    <n v="31.5"/>
    <n v="3485.3830000000003"/>
    <n v="4164381.0000000005"/>
    <n v="4164381.0000000005"/>
    <n v="1651467"/>
    <n v="400971"/>
    <n v="118914.68"/>
    <n v="118914.67973070695"/>
    <n v="652.20000000000005"/>
    <n v="0.15"/>
    <n v="4512"/>
    <n v="1455"/>
    <e v="#REF!"/>
  </r>
  <r>
    <x v="4"/>
    <n v="1"/>
    <n v="652167.62399999995"/>
    <n v="5.1824420638157411"/>
    <n v="5.1824420638157411"/>
    <n v="32.5"/>
    <n v="3488.3250000000003"/>
    <n v="4173551.9999999995"/>
    <n v="4173551.9999999995"/>
    <n v="1654709"/>
    <n v="402833"/>
    <n v="118334.43"/>
    <n v="118334.43021313217"/>
    <n v="869.65"/>
    <n v="0"/>
    <n v="4512"/>
    <n v="1455"/>
    <e v="#REF!"/>
  </r>
  <r>
    <x v="4"/>
    <n v="2"/>
    <n v="601921.18799999997"/>
    <n v="5.1824420638157411"/>
    <n v="5.1824420638157411"/>
    <n v="29.4"/>
    <n v="3491.2670000000003"/>
    <n v="4173551.9999999995"/>
    <n v="4173551.9999999995"/>
    <n v="1654709"/>
    <n v="400431"/>
    <n v="118334.43"/>
    <n v="118334.43021313217"/>
    <n v="856.3"/>
    <n v="0"/>
    <n v="4512"/>
    <n v="1455"/>
    <e v="#REF!"/>
  </r>
  <r>
    <x v="4"/>
    <n v="3"/>
    <n v="557602.72"/>
    <n v="5.1824420638157411"/>
    <n v="5.1824420638157411"/>
    <n v="29.7"/>
    <n v="3494.2090000000003"/>
    <n v="4173551.9999999995"/>
    <n v="4173551.9999999995"/>
    <n v="1654709"/>
    <n v="401220"/>
    <n v="118334.43"/>
    <n v="118334.43021313217"/>
    <n v="793.35"/>
    <n v="0"/>
    <n v="4512"/>
    <n v="1455"/>
    <e v="#REF!"/>
  </r>
  <r>
    <x v="4"/>
    <n v="4"/>
    <n v="430368.53600000002"/>
    <n v="5.1824420638157411"/>
    <n v="5.1824420638157411"/>
    <n v="30.5"/>
    <n v="3497.1510000000003"/>
    <n v="4182742"/>
    <n v="4182742"/>
    <n v="1657957"/>
    <n v="400997"/>
    <n v="119333.414"/>
    <n v="119333.41383890837"/>
    <n v="429.25"/>
    <n v="5.85"/>
    <n v="4512"/>
    <n v="1455"/>
    <e v="#REF!"/>
  </r>
  <r>
    <x v="4"/>
    <n v="5"/>
    <n v="361076.33"/>
    <n v="5.1824420638157411"/>
    <n v="5.1824420638157411"/>
    <n v="28"/>
    <n v="3500.0930000000003"/>
    <n v="4182742"/>
    <n v="4182742"/>
    <n v="1657957"/>
    <n v="400723"/>
    <n v="119333.414"/>
    <n v="119333.41383890837"/>
    <n v="249.4"/>
    <n v="25.3"/>
    <n v="4512"/>
    <n v="1455"/>
    <e v="#REF!"/>
  </r>
  <r>
    <x v="4"/>
    <n v="6"/>
    <n v="424942.36200000002"/>
    <n v="5.1824420638157411"/>
    <n v="5.1824420638157411"/>
    <n v="30.8"/>
    <n v="3503.0349999999999"/>
    <n v="4182742"/>
    <n v="4182742"/>
    <n v="1657957"/>
    <n v="401251"/>
    <n v="119333.414"/>
    <n v="119333.41383890837"/>
    <n v="39.6"/>
    <n v="153.44999999999999"/>
    <n v="4512"/>
    <n v="1455"/>
    <e v="#REF!"/>
  </r>
  <r>
    <x v="4"/>
    <n v="7"/>
    <n v="585237.576"/>
    <n v="5.1824420638157411"/>
    <n v="5.1824420638157411"/>
    <n v="30.6"/>
    <n v="3504.9511666666667"/>
    <n v="4191837.0000000005"/>
    <n v="4191837.0000000005"/>
    <n v="1657652"/>
    <n v="402025"/>
    <n v="119379.652"/>
    <n v="119379.65211161086"/>
    <n v="0"/>
    <n v="379"/>
    <n v="4512"/>
    <n v="1455"/>
    <e v="#REF!"/>
  </r>
  <r>
    <x v="4"/>
    <n v="8"/>
    <n v="583771.62"/>
    <n v="5.1824420638157411"/>
    <n v="5.1824420638157411"/>
    <n v="29.6"/>
    <n v="3506.8673333333331"/>
    <n v="4191837.0000000005"/>
    <n v="4191837.0000000005"/>
    <n v="1657652"/>
    <n v="401556"/>
    <n v="119379.652"/>
    <n v="119379.65211161086"/>
    <n v="0"/>
    <n v="407.1"/>
    <n v="4512"/>
    <n v="1455"/>
    <e v="#REF!"/>
  </r>
  <r>
    <x v="4"/>
    <n v="9"/>
    <n v="552628"/>
    <n v="5.1824420638157411"/>
    <n v="5.1824420638157411"/>
    <n v="30.55"/>
    <n v="3508.7834999999995"/>
    <n v="4191837.0000000005"/>
    <n v="4191837.0000000005"/>
    <n v="1657652"/>
    <n v="403062"/>
    <n v="119379.652"/>
    <n v="119379.65211161086"/>
    <n v="0"/>
    <n v="326"/>
    <n v="4512"/>
    <n v="1455"/>
    <e v="#REF!"/>
  </r>
  <r>
    <x v="4"/>
    <n v="10"/>
    <n v="409184.223"/>
    <n v="5.1824420638157411"/>
    <n v="5.1824420638157411"/>
    <n v="29.75"/>
    <n v="3510.699666666666"/>
    <n v="4200951"/>
    <n v="4200951"/>
    <n v="1657348"/>
    <n v="402703"/>
    <n v="119542.07799999999"/>
    <n v="119542.07810912392"/>
    <n v="67.2"/>
    <n v="150.94999999999999"/>
    <n v="4512"/>
    <n v="1455"/>
    <e v="#REF!"/>
  </r>
  <r>
    <x v="4"/>
    <n v="11"/>
    <n v="381632.25799999997"/>
    <n v="5.1824420638157411"/>
    <n v="5.1824420638157411"/>
    <n v="29.75"/>
    <n v="3512.6158333333324"/>
    <n v="4200951"/>
    <n v="4200951"/>
    <n v="1657348"/>
    <n v="403470"/>
    <n v="119542.07799999999"/>
    <n v="119542.07810912392"/>
    <n v="374.1"/>
    <n v="8.35"/>
    <n v="4512"/>
    <n v="1455"/>
    <e v="#REF!"/>
  </r>
  <r>
    <x v="4"/>
    <n v="12"/>
    <n v="608430.19700000004"/>
    <n v="5.1824420638157411"/>
    <n v="5.1824420638157411"/>
    <n v="32.4"/>
    <n v="3514.5319999999992"/>
    <n v="4200951"/>
    <n v="4200951"/>
    <n v="1657348"/>
    <n v="405006"/>
    <n v="119542.07799999999"/>
    <n v="119542.07810912392"/>
    <n v="833.75"/>
    <n v="0"/>
    <n v="4512"/>
    <n v="1455"/>
    <e v="#REF!"/>
  </r>
  <r>
    <x v="5"/>
    <n v="1"/>
    <n v="676286.88199999998"/>
    <n v="5.7326028990148874"/>
    <n v="5.7326028990148874"/>
    <n v="33.25"/>
    <n v="3516.4481666666657"/>
    <n v="4210085"/>
    <n v="4210085"/>
    <n v="1657043"/>
    <n v="407135"/>
    <n v="121891.27099999999"/>
    <n v="121891.27060534019"/>
    <n v="874.05"/>
    <n v="0"/>
    <n v="4512"/>
    <n v="1455"/>
    <e v="#REF!"/>
  </r>
  <r>
    <x v="5"/>
    <n v="2"/>
    <n v="578669.86499999999"/>
    <n v="5.7326028990148874"/>
    <n v="5.7326028990148874"/>
    <n v="29.35"/>
    <n v="3518.3643333333321"/>
    <n v="4210085"/>
    <n v="4210085"/>
    <n v="1657043"/>
    <n v="405353"/>
    <n v="121891.27099999999"/>
    <n v="121891.27060534019"/>
    <n v="777.9"/>
    <n v="0"/>
    <n v="4512"/>
    <n v="1455"/>
    <e v="#REF!"/>
  </r>
  <r>
    <x v="5"/>
    <n v="3"/>
    <n v="540729.00600000005"/>
    <n v="5.7326028990148874"/>
    <n v="5.7326028990148874"/>
    <n v="29.45"/>
    <n v="3520.2804999999985"/>
    <n v="4210085"/>
    <n v="4210085"/>
    <n v="1657043"/>
    <n v="406594"/>
    <n v="121891.27099999999"/>
    <n v="121891.27060534019"/>
    <n v="713.9"/>
    <n v="0"/>
    <n v="4512"/>
    <n v="1455"/>
    <e v="#REF!"/>
  </r>
  <r>
    <x v="5"/>
    <n v="4"/>
    <n v="433400.75699999998"/>
    <n v="5.7326028990148874"/>
    <n v="5.7326028990148874"/>
    <n v="30"/>
    <n v="3522.1966666666649"/>
    <n v="4219239"/>
    <n v="4219239"/>
    <n v="1656738"/>
    <n v="406329"/>
    <n v="123006.787"/>
    <n v="123006.7870655693"/>
    <n v="437.55"/>
    <n v="14.7"/>
    <n v="4512"/>
    <n v="1455"/>
    <e v="#REF!"/>
  </r>
  <r>
    <x v="5"/>
    <n v="5"/>
    <n v="346852.65600000002"/>
    <n v="5.7326028990148874"/>
    <n v="5.7326028990148874"/>
    <n v="30.95"/>
    <n v="3524.1128333333318"/>
    <n v="4219239"/>
    <n v="4219239"/>
    <n v="1656738"/>
    <n v="407533"/>
    <n v="123006.787"/>
    <n v="123006.7870655693"/>
    <n v="166.95"/>
    <n v="24.1"/>
    <n v="4512"/>
    <n v="1455"/>
    <e v="#REF!"/>
  </r>
  <r>
    <x v="5"/>
    <n v="6"/>
    <n v="431787.72200000001"/>
    <n v="5.7326028990148874"/>
    <n v="5.7326028990148874"/>
    <n v="31.35"/>
    <n v="3526.029"/>
    <n v="4219239"/>
    <n v="4219239"/>
    <n v="1656738"/>
    <n v="407620"/>
    <n v="123006.787"/>
    <n v="123006.7870655693"/>
    <n v="64.25"/>
    <n v="140.35"/>
    <n v="4512"/>
    <n v="1455"/>
    <e v="#REF!"/>
  </r>
  <r>
    <x v="5"/>
    <n v="7"/>
    <n v="535597.69299999997"/>
    <n v="5.7326028990148874"/>
    <n v="5.7326028990148874"/>
    <n v="30.75"/>
    <n v="3528.4263333333333"/>
    <n v="4228566"/>
    <n v="4228566"/>
    <n v="1657897"/>
    <n v="407855"/>
    <n v="123530.77899999999"/>
    <n v="123530.77861472027"/>
    <n v="0.35"/>
    <n v="299.35000000000002"/>
    <n v="4512"/>
    <n v="1455"/>
    <e v="#REF!"/>
  </r>
  <r>
    <x v="5"/>
    <n v="8"/>
    <n v="600834.49399999995"/>
    <n v="5.7326028990148874"/>
    <n v="5.7326028990148874"/>
    <n v="29.5"/>
    <n v="3530.8236666666671"/>
    <n v="4228566"/>
    <n v="4228566"/>
    <n v="1657897"/>
    <n v="407129"/>
    <n v="123530.77899999999"/>
    <n v="123530.77861472027"/>
    <n v="0"/>
    <n v="393.4"/>
    <n v="4512"/>
    <n v="1455"/>
    <e v="#REF!"/>
  </r>
  <r>
    <x v="5"/>
    <n v="9"/>
    <n v="482079.32699999999"/>
    <n v="5.7326028990148874"/>
    <n v="5.7326028990148874"/>
    <n v="30.55"/>
    <n v="3533.2210000000005"/>
    <n v="4228566"/>
    <n v="4228566"/>
    <n v="1657897"/>
    <n v="408424"/>
    <n v="123530.77899999999"/>
    <n v="123530.77861472027"/>
    <n v="20.25"/>
    <n v="216.8"/>
    <n v="4512"/>
    <n v="1455"/>
    <e v="#REF!"/>
  </r>
  <r>
    <x v="5"/>
    <n v="10"/>
    <n v="359332.43699999998"/>
    <n v="5.7326028990148874"/>
    <n v="5.7326028990148874"/>
    <n v="29.75"/>
    <n v="3535.6183333333338"/>
    <n v="4237914"/>
    <n v="4237914"/>
    <n v="1659057"/>
    <n v="408696"/>
    <n v="124988.379"/>
    <n v="124988.37929965912"/>
    <n v="178.95"/>
    <n v="32.65"/>
    <n v="4512"/>
    <n v="1455"/>
    <e v="#REF!"/>
  </r>
  <r>
    <x v="5"/>
    <n v="11"/>
    <n v="434049.48800000001"/>
    <n v="5.7326028990148874"/>
    <n v="5.7326028990148874"/>
    <n v="29.75"/>
    <n v="3538.0156666666676"/>
    <n v="4237914"/>
    <n v="4237914"/>
    <n v="1659057"/>
    <n v="408556"/>
    <n v="124988.379"/>
    <n v="124988.37929965912"/>
    <n v="488.95"/>
    <n v="1.1499999999999999"/>
    <n v="4512"/>
    <n v="1455"/>
    <e v="#REF!"/>
  </r>
  <r>
    <x v="5"/>
    <n v="12"/>
    <n v="558042.30700000003"/>
    <n v="5.7326028990148874"/>
    <n v="5.7326028990148874"/>
    <n v="30.6"/>
    <n v="3540.4130000000009"/>
    <n v="4237914"/>
    <n v="4237914"/>
    <n v="1659057"/>
    <n v="410499"/>
    <n v="124988.379"/>
    <n v="124988.37929965912"/>
    <n v="629.15"/>
    <n v="0"/>
    <n v="4512"/>
    <n v="1455"/>
    <e v="#REF!"/>
  </r>
  <r>
    <x v="6"/>
    <n v="1"/>
    <n v="610021.201"/>
    <n v="6.2826028990148872"/>
    <n v="6.2826028990148872"/>
    <n v="33.35"/>
    <n v="3542.8103333333343"/>
    <n v="4247283"/>
    <n v="4247283"/>
    <n v="1660218"/>
    <n v="412264"/>
    <n v="125421.274"/>
    <n v="125421.27422866292"/>
    <n v="735.15"/>
    <n v="0"/>
    <n v="4512"/>
    <n v="1455"/>
    <e v="#REF!"/>
  </r>
  <r>
    <x v="6"/>
    <n v="2"/>
    <n v="751898.35499999998"/>
    <n v="6.2826028990148872"/>
    <n v="6.2826028990148872"/>
    <n v="29.35"/>
    <n v="3545.207666666668"/>
    <n v="4247283"/>
    <n v="4247283"/>
    <n v="1660218"/>
    <n v="410727"/>
    <n v="125421.274"/>
    <n v="125421.27422866292"/>
    <n v="1088"/>
    <n v="0"/>
    <n v="4512"/>
    <n v="1455"/>
    <e v="#REF!"/>
  </r>
  <r>
    <x v="6"/>
    <n v="3"/>
    <n v="601547.09499999997"/>
    <n v="6.2826028990148872"/>
    <n v="6.2826028990148872"/>
    <n v="29.45"/>
    <n v="3547.6050000000014"/>
    <n v="4247283"/>
    <n v="4247283"/>
    <n v="1660218"/>
    <n v="411731"/>
    <n v="125421.274"/>
    <n v="125421.27422866292"/>
    <n v="729.75"/>
    <n v="5.3"/>
    <n v="4512"/>
    <n v="1455"/>
    <e v="#REF!"/>
  </r>
  <r>
    <x v="6"/>
    <n v="4"/>
    <n v="433539.62099999998"/>
    <n v="6.2826028990148872"/>
    <n v="6.2826028990148872"/>
    <n v="30.55"/>
    <n v="3550.0023333333347"/>
    <n v="4256672"/>
    <n v="4256672"/>
    <n v="1661379"/>
    <n v="411166"/>
    <n v="125696.571"/>
    <n v="125696.57087430343"/>
    <n v="361"/>
    <n v="25.75"/>
    <n v="4512"/>
    <n v="1455"/>
    <e v="#REF!"/>
  </r>
  <r>
    <x v="6"/>
    <n v="5"/>
    <n v="390060.02399999998"/>
    <n v="6.2826028990148872"/>
    <n v="6.2826028990148872"/>
    <n v="29.75"/>
    <n v="3552.3996666666685"/>
    <n v="4256672"/>
    <n v="4256672"/>
    <n v="1661379"/>
    <n v="411177"/>
    <n v="125696.571"/>
    <n v="125696.57087430343"/>
    <n v="160.25"/>
    <n v="69.45"/>
    <n v="4512"/>
    <n v="1455"/>
    <e v="#REF!"/>
  </r>
  <r>
    <x v="6"/>
    <n v="6"/>
    <n v="474783.136"/>
    <n v="6.2826028990148872"/>
    <n v="6.2826028990148872"/>
    <n v="30.7"/>
    <n v="3554.797"/>
    <n v="4256672"/>
    <n v="4256672"/>
    <n v="1661379"/>
    <n v="410932"/>
    <n v="125696.571"/>
    <n v="125696.57087430343"/>
    <n v="26.6"/>
    <n v="238.35"/>
    <n v="4512"/>
    <n v="1455"/>
    <e v="#REF!"/>
  </r>
  <r>
    <x v="6"/>
    <n v="7"/>
    <n v="546854.30000000005"/>
    <n v="6.2826028990148872"/>
    <n v="6.2826028990148872"/>
    <n v="30.7"/>
    <n v="3557.0427500000001"/>
    <n v="4264949"/>
    <n v="4264949"/>
    <n v="1669175"/>
    <n v="412225"/>
    <n v="125601.717"/>
    <n v="125601.71743632907"/>
    <n v="0"/>
    <n v="312.35000000000002"/>
    <n v="4512"/>
    <n v="1455"/>
    <e v="#REF!"/>
  </r>
  <r>
    <x v="6"/>
    <n v="8"/>
    <n v="602578.93799999997"/>
    <n v="6.2826028990148872"/>
    <n v="6.2826028990148872"/>
    <n v="30.2"/>
    <n v="3559.2885000000001"/>
    <n v="4264949"/>
    <n v="4264949"/>
    <n v="1669175"/>
    <n v="411997"/>
    <n v="125601.717"/>
    <n v="125601.71743632907"/>
    <n v="0"/>
    <n v="399"/>
    <n v="4512"/>
    <n v="1455"/>
    <e v="#REF!"/>
  </r>
  <r>
    <x v="6"/>
    <n v="9"/>
    <n v="618222.55700000003"/>
    <n v="6.2826028990148872"/>
    <n v="6.2826028990148872"/>
    <n v="31.3"/>
    <n v="3561.5342500000002"/>
    <n v="4264949"/>
    <n v="4264949"/>
    <n v="1669175"/>
    <n v="411703"/>
    <n v="125601.717"/>
    <n v="125601.71743632907"/>
    <n v="5.5"/>
    <n v="382.75"/>
    <n v="4512"/>
    <n v="1455"/>
    <e v="#REF!"/>
  </r>
  <r>
    <x v="6"/>
    <n v="10"/>
    <n v="431007.451"/>
    <n v="6.2826028990148872"/>
    <n v="6.2826028990148872"/>
    <n v="29.6"/>
    <n v="3563.78"/>
    <n v="4273243"/>
    <n v="4273243"/>
    <n v="1677007"/>
    <n v="412483"/>
    <n v="126411.315"/>
    <n v="126411.31485589659"/>
    <n v="50.3"/>
    <n v="178"/>
    <n v="4512"/>
    <n v="1455"/>
    <e v="#REF!"/>
  </r>
  <r>
    <x v="6"/>
    <n v="11"/>
    <n v="401915.174"/>
    <n v="6.2826028990148872"/>
    <n v="6.2826028990148872"/>
    <n v="29.95"/>
    <n v="3566.0257499999998"/>
    <n v="4273243"/>
    <n v="4273243"/>
    <n v="1677007"/>
    <n v="412654"/>
    <n v="126411.315"/>
    <n v="126411.31485589659"/>
    <n v="373.15"/>
    <n v="23"/>
    <n v="4512"/>
    <n v="1455"/>
    <e v="#REF!"/>
  </r>
  <r>
    <x v="6"/>
    <n v="12"/>
    <n v="559332.47499999998"/>
    <n v="6.2826028990148872"/>
    <n v="6.2826028990148872"/>
    <n v="30.7"/>
    <n v="3568.2714999999998"/>
    <n v="4273243"/>
    <n v="4273243"/>
    <n v="1677007"/>
    <n v="413378"/>
    <n v="126411.315"/>
    <n v="126411.31485589659"/>
    <n v="687.1"/>
    <n v="0"/>
    <n v="4512"/>
    <n v="1455"/>
    <e v="#REF!"/>
  </r>
  <r>
    <x v="7"/>
    <n v="1"/>
    <n v="727455.55799999996"/>
    <n v="6.8191285113595219"/>
    <n v="6.8191285113595219"/>
    <n v="33.15"/>
    <n v="3570.5172499999999"/>
    <n v="4281552"/>
    <n v="4281552"/>
    <n v="1684875"/>
    <n v="415541"/>
    <n v="128364.796"/>
    <n v="128374.99536401736"/>
    <n v="908"/>
    <n v="0"/>
    <n v="4512"/>
    <n v="1455"/>
    <e v="#REF!"/>
  </r>
  <r>
    <x v="7"/>
    <n v="2"/>
    <n v="698141.01500000001"/>
    <n v="6.8191285113595219"/>
    <n v="6.8191285113595219"/>
    <n v="29.35"/>
    <n v="3572.7629999999999"/>
    <n v="4281552"/>
    <n v="4281552"/>
    <n v="1684875"/>
    <n v="414147"/>
    <n v="128364.796"/>
    <n v="128374.99536401736"/>
    <n v="909.1"/>
    <n v="0"/>
    <n v="4512"/>
    <n v="1455"/>
    <e v="#REF!"/>
  </r>
  <r>
    <x v="7"/>
    <n v="3"/>
    <n v="619483"/>
    <n v="6.8191285113595219"/>
    <n v="6.8191285113595219"/>
    <n v="29.9"/>
    <n v="3575.00875"/>
    <n v="4281552"/>
    <n v="4281552"/>
    <n v="1684875"/>
    <n v="414028"/>
    <n v="128364.796"/>
    <n v="128374.99536401736"/>
    <n v="802"/>
    <n v="0"/>
    <n v="4512"/>
    <n v="1455"/>
    <e v="#REF!"/>
  </r>
  <r>
    <x v="7"/>
    <n v="4"/>
    <n v="450443.674"/>
    <n v="6.8191285113595219"/>
    <n v="6.8191285113595219"/>
    <n v="30.3"/>
    <n v="3577.2545"/>
    <n v="4289878"/>
    <n v="4289878"/>
    <n v="1692781"/>
    <n v="413228"/>
    <n v="129399.736"/>
    <n v="129347.46726332392"/>
    <n v="454"/>
    <n v="3"/>
    <n v="4512"/>
    <n v="1455"/>
    <e v="#REF!"/>
  </r>
  <r>
    <x v="7"/>
    <n v="5"/>
    <n v="346552.73100000003"/>
    <n v="6.8191285113595219"/>
    <n v="6.8191285113595219"/>
    <n v="29.57"/>
    <n v="3579.5002500000001"/>
    <n v="4289878"/>
    <n v="4289878"/>
    <n v="1692781"/>
    <n v="413348"/>
    <n v="129399.736"/>
    <n v="129347.46726332392"/>
    <n v="220.85"/>
    <n v="18.649999999999999"/>
    <n v="4512"/>
    <n v="1455"/>
    <e v="#REF!"/>
  </r>
  <r>
    <x v="7"/>
    <n v="6"/>
    <n v="431303.158"/>
    <n v="6.8191285113595219"/>
    <n v="6.8191285113595219"/>
    <n v="30.67"/>
    <n v="3581.7460000000001"/>
    <n v="4289878"/>
    <n v="4289878"/>
    <n v="1692781"/>
    <n v="413120"/>
    <n v="129399.736"/>
    <n v="129347.46726332392"/>
    <n v="62.4"/>
    <n v="170.75"/>
    <n v="4512"/>
    <n v="1455"/>
    <e v="#REF!"/>
  </r>
  <r>
    <x v="7"/>
    <n v="7"/>
    <n v="538081.12800000003"/>
    <n v="6.8191285113595219"/>
    <n v="6.8191285113595219"/>
    <n v="30.62"/>
    <n v="3583.3619166666667"/>
    <n v="4296661"/>
    <n v="4296661"/>
    <n v="1694962"/>
    <n v="414507"/>
    <n v="126756.973"/>
    <n v="126688.01829102325"/>
    <n v="0"/>
    <n v="284"/>
    <n v="4512"/>
    <n v="1455"/>
    <e v="#REF!"/>
  </r>
  <r>
    <x v="7"/>
    <n v="8"/>
    <n v="544448.42500000005"/>
    <n v="6.8191285113595219"/>
    <n v="6.8191285113595219"/>
    <n v="29.52"/>
    <n v="3584.9778333333329"/>
    <n v="4296661"/>
    <n v="4296661"/>
    <n v="1694962"/>
    <n v="413096"/>
    <n v="126756.973"/>
    <n v="126688.01829102325"/>
    <n v="0"/>
    <n v="315"/>
    <n v="4512"/>
    <n v="1455"/>
    <e v="#REF!"/>
  </r>
  <r>
    <x v="7"/>
    <n v="9"/>
    <n v="526327.11600000004"/>
    <n v="6.8191285113595219"/>
    <n v="6.8191285113595219"/>
    <n v="30.71"/>
    <n v="3586.5937499999995"/>
    <n v="4296661"/>
    <n v="4296661"/>
    <n v="1694962"/>
    <n v="413969"/>
    <n v="126756.973"/>
    <n v="126688.01829102325"/>
    <n v="1"/>
    <n v="295.14999999999998"/>
    <n v="4512"/>
    <n v="1455"/>
    <e v="#REF!"/>
  </r>
  <r>
    <x v="7"/>
    <n v="10"/>
    <n v="376636.53100000002"/>
    <n v="6.8191285113595219"/>
    <n v="6.8191285113595219"/>
    <n v="29.52"/>
    <n v="3588.2096666666662"/>
    <n v="4303455"/>
    <n v="4303455"/>
    <n v="1697147"/>
    <n v="413875"/>
    <n v="127793.833"/>
    <n v="127768.98297284859"/>
    <n v="73"/>
    <n v="98"/>
    <n v="4512"/>
    <n v="1455"/>
    <e v="#REF!"/>
  </r>
  <r>
    <x v="7"/>
    <n v="11"/>
    <n v="403306.239"/>
    <n v="6.8191285113595219"/>
    <n v="6.8191285113595219"/>
    <n v="29.38"/>
    <n v="3589.8255833333324"/>
    <n v="4303455"/>
    <n v="4303455"/>
    <n v="1697147"/>
    <n v="412987"/>
    <n v="127793.833"/>
    <n v="127768.98297284859"/>
    <n v="411"/>
    <n v="15"/>
    <n v="4512"/>
    <n v="1455"/>
    <e v="#REF!"/>
  </r>
  <r>
    <x v="7"/>
    <n v="12"/>
    <n v="663425.48800000001"/>
    <n v="6.8191285113595219"/>
    <n v="6.8191285113595219"/>
    <n v="32.81"/>
    <n v="3591.441499999999"/>
    <n v="4303455"/>
    <n v="4303455"/>
    <n v="1697147"/>
    <n v="415778"/>
    <n v="127793.833"/>
    <n v="127768.98297284859"/>
    <n v="881.55"/>
    <n v="0"/>
    <n v="4512"/>
    <n v="1455"/>
    <e v="#REF!"/>
  </r>
  <r>
    <x v="8"/>
    <n v="1"/>
    <n v="763578.95400000003"/>
    <n v="6.8549750593316237"/>
    <n v="6.8549750593316237"/>
    <n v="32.950000000000003"/>
    <n v="3593.0574166666656"/>
    <n v="4310259"/>
    <n v="4310259"/>
    <n v="1699334"/>
    <n v="414456"/>
    <n v="126804.629"/>
    <n v="126528.96921240388"/>
    <n v="1008.15"/>
    <n v="0"/>
    <n v="4512"/>
    <n v="1455"/>
    <e v="#REF!"/>
  </r>
  <r>
    <x v="8"/>
    <n v="2"/>
    <n v="700940.31599999999"/>
    <n v="6.8549750593316237"/>
    <n v="6.8549750593316237"/>
    <n v="30.19"/>
    <n v="3594.6733333333323"/>
    <n v="4310259"/>
    <n v="4310259"/>
    <n v="1699334"/>
    <n v="416366"/>
    <n v="126804.629"/>
    <n v="126528.96921240388"/>
    <n v="951"/>
    <n v="0"/>
    <n v="4512"/>
    <n v="1455"/>
    <e v="#REF!"/>
  </r>
  <r>
    <x v="8"/>
    <n v="3"/>
    <n v="520849.36700000003"/>
    <n v="6.8549750593316237"/>
    <n v="6.8549750593316237"/>
    <n v="30.05"/>
    <n v="3596.2892499999984"/>
    <n v="4310259"/>
    <n v="4310259"/>
    <n v="1699334"/>
    <n v="413089"/>
    <n v="126804.629"/>
    <n v="126528.96921240388"/>
    <n v="652.4"/>
    <n v="0"/>
    <n v="4512"/>
    <n v="1455"/>
    <e v="#REF!"/>
  </r>
  <r>
    <x v="8"/>
    <n v="4"/>
    <n v="486363.99699999997"/>
    <n v="6.8549750593316237"/>
    <n v="6.8549750593316237"/>
    <n v="30.38"/>
    <n v="3597.9051666666651"/>
    <n v="4317074"/>
    <n v="4317074"/>
    <n v="1701524"/>
    <n v="417844"/>
    <n v="127078.37"/>
    <n v="126577.93835717444"/>
    <n v="444"/>
    <n v="2"/>
    <n v="4512"/>
    <n v="1455"/>
    <e v="#REF!"/>
  </r>
  <r>
    <x v="8"/>
    <n v="5"/>
    <n v="349813.93099999998"/>
    <n v="6.8549750593316237"/>
    <n v="6.8549750593316237"/>
    <n v="30.24"/>
    <n v="3599.5210833333317"/>
    <n v="4317074"/>
    <n v="4317074"/>
    <n v="1701524"/>
    <n v="417385"/>
    <n v="127078.37"/>
    <n v="126577.93835717444"/>
    <n v="198.7"/>
    <n v="48.2"/>
    <n v="4512"/>
    <n v="1455"/>
    <e v="#REF!"/>
  </r>
  <r>
    <x v="8"/>
    <n v="6"/>
    <n v="445749.39399999997"/>
    <n v="6.8549750593316237"/>
    <n v="6.8549750593316237"/>
    <n v="30.38"/>
    <n v="3601.1370000000002"/>
    <n v="4317074"/>
    <n v="4317074"/>
    <n v="1701524"/>
    <n v="419411"/>
    <n v="127078.37"/>
    <n v="126577.93835717444"/>
    <n v="44"/>
    <n v="168"/>
    <n v="4512"/>
    <n v="1455"/>
    <e v="#REF!"/>
  </r>
  <r>
    <x v="8"/>
    <n v="7"/>
    <n v="519283.15"/>
    <n v="6.8549750593316237"/>
    <n v="6.8549750593316237"/>
    <n v="30.71"/>
    <n v="3603.1294136904762"/>
    <n v="4324502"/>
    <n v="4324505"/>
    <n v="1707499"/>
    <n v="419168"/>
    <n v="125951.257"/>
    <n v="125084.38915061975"/>
    <n v="2.5499999999999998"/>
    <n v="275.7"/>
    <n v="4512"/>
    <n v="1455"/>
    <e v="#REF!"/>
  </r>
  <r>
    <x v="8"/>
    <n v="8"/>
    <n v="490804.217"/>
    <n v="6.8549750593316237"/>
    <n v="6.8549750593316237"/>
    <n v="29.52"/>
    <n v="3605.1218273809523"/>
    <n v="4324502"/>
    <n v="4324505"/>
    <n v="1707499"/>
    <n v="419609"/>
    <n v="125951.257"/>
    <n v="125084.38915061975"/>
    <n v="2"/>
    <n v="248"/>
    <n v="4512"/>
    <n v="1455"/>
    <e v="#REF!"/>
  </r>
  <r>
    <x v="8"/>
    <n v="9"/>
    <n v="473412.82900000003"/>
    <n v="6.8549750593316237"/>
    <n v="6.8549750593316237"/>
    <n v="30.48"/>
    <n v="3607.1142410714288"/>
    <n v="4324502"/>
    <n v="4324505"/>
    <n v="1707499"/>
    <n v="419004"/>
    <n v="125951.257"/>
    <n v="125084.38915061975"/>
    <n v="3.9"/>
    <n v="210.15"/>
    <n v="4512"/>
    <n v="1455"/>
    <e v="#REF!"/>
  </r>
  <r>
    <x v="8"/>
    <n v="10"/>
    <n v="377414.3"/>
    <n v="6.8549750593316237"/>
    <n v="6.8549750593316237"/>
    <n v="29.67"/>
    <n v="3609.1066547619048"/>
    <n v="4331929"/>
    <n v="4331936"/>
    <n v="1713644"/>
    <n v="419358"/>
    <n v="125669.07"/>
    <n v="124877.88491220424"/>
    <n v="159"/>
    <n v="77.050000000000011"/>
    <n v="4512"/>
    <n v="1455"/>
    <e v="#REF!"/>
  </r>
  <r>
    <x v="8"/>
    <n v="11"/>
    <n v="382254.54399999999"/>
    <n v="6.8549750593316237"/>
    <n v="6.8549750593316237"/>
    <n v="29.76"/>
    <n v="3611.0990684523813"/>
    <n v="4331929"/>
    <n v="4331936"/>
    <n v="1713644"/>
    <n v="419994"/>
    <n v="125669.07"/>
    <n v="124877.88491220424"/>
    <n v="399.8"/>
    <n v="6"/>
    <n v="4512"/>
    <n v="1455"/>
    <e v="#REF!"/>
  </r>
  <r>
    <x v="8"/>
    <n v="12"/>
    <n v="590186.25699999998"/>
    <n v="6.8549750593316237"/>
    <n v="6.8549750593316237"/>
    <n v="31.57"/>
    <n v="3613.0914821428573"/>
    <n v="4331929"/>
    <n v="4331936"/>
    <n v="1713644"/>
    <n v="420911"/>
    <n v="125669.07"/>
    <n v="124877.88491220424"/>
    <n v="718"/>
    <n v="1"/>
    <n v="4512"/>
    <n v="1455"/>
    <e v="#REF!"/>
  </r>
  <r>
    <x v="9"/>
    <n v="1"/>
    <n v="843332.54799999995"/>
    <n v="7.05998860191138"/>
    <n v="7.05998860191138"/>
    <n v="32.520000000000003"/>
    <n v="3615.0838958333334"/>
    <n v="4339357"/>
    <n v="4339367"/>
    <n v="1719965"/>
    <n v="420814"/>
    <n v="124919.205"/>
    <n v="125922.34413694619"/>
    <n v="1096.8000000000002"/>
    <n v="0"/>
    <n v="4512"/>
    <n v="1455"/>
    <e v="#REF!"/>
  </r>
  <r>
    <x v="9"/>
    <n v="2"/>
    <n v="718201.08799999999"/>
    <n v="7.05998860191138"/>
    <n v="7.05998860191138"/>
    <n v="30.14"/>
    <n v="3617.0763095238099"/>
    <n v="4339357"/>
    <n v="4339367"/>
    <n v="1719965"/>
    <n v="420768"/>
    <n v="124919.205"/>
    <n v="125922.34413694619"/>
    <n v="990"/>
    <n v="0"/>
    <n v="4512"/>
    <n v="1455"/>
    <e v="#REF!"/>
  </r>
  <r>
    <x v="9"/>
    <n v="3"/>
    <n v="640593.848"/>
    <n v="7.05998860191138"/>
    <n v="7.05998860191138"/>
    <n v="30"/>
    <n v="3619.0687232142859"/>
    <n v="4339357"/>
    <n v="4339367"/>
    <n v="1719965"/>
    <n v="421606"/>
    <n v="124919.205"/>
    <n v="125922.34413694619"/>
    <n v="891"/>
    <n v="0"/>
    <n v="4512"/>
    <n v="1455"/>
    <e v="#REF!"/>
  </r>
  <r>
    <x v="9"/>
    <n v="4"/>
    <n v="414730.73"/>
    <n v="7.05998860191138"/>
    <n v="7.05998860191138"/>
    <n v="30.86"/>
    <n v="3621.061136904762"/>
    <n v="4346655"/>
    <n v="4347223"/>
    <n v="1722129"/>
    <n v="420651"/>
    <n v="126480.192"/>
    <n v="127253.61010830327"/>
    <n v="365.6"/>
    <n v="24.8"/>
    <n v="4512"/>
    <n v="1455"/>
    <e v="#REF!"/>
  </r>
  <r>
    <x v="9"/>
    <n v="5"/>
    <n v="343043.68699999998"/>
    <n v="7.05998860191138"/>
    <n v="7.05998860191138"/>
    <n v="30.48"/>
    <n v="3623.0535505952384"/>
    <n v="4346655"/>
    <n v="4347223"/>
    <n v="1722129"/>
    <n v="420639"/>
    <n v="126480.192"/>
    <n v="127253.61010830327"/>
    <n v="167.25"/>
    <n v="46.900000000000006"/>
    <n v="4512"/>
    <n v="1455"/>
    <e v="#REF!"/>
  </r>
  <r>
    <x v="9"/>
    <n v="6"/>
    <n v="497970.86700000003"/>
    <n v="7.05998860191138"/>
    <n v="7.05998860191138"/>
    <n v="30.67"/>
    <n v="3625.0459642857127"/>
    <n v="4346655"/>
    <n v="4347223"/>
    <n v="1722129"/>
    <n v="421909"/>
    <n v="126480.192"/>
    <n v="127253.61010830327"/>
    <n v="35.5"/>
    <n v="241.10000000000002"/>
    <n v="4512"/>
    <n v="1455"/>
    <e v="#REF!"/>
  </r>
  <r>
    <x v="9"/>
    <n v="7"/>
    <n v="612322.51300000004"/>
    <n v="7.05998860191138"/>
    <n v="7.05998860191138"/>
    <n v="30.71"/>
    <n v="3626.8494751984113"/>
    <n v="4351695"/>
    <n v="4352756"/>
    <n v="1719077"/>
    <n v="421060"/>
    <n v="127650.806"/>
    <n v="127891.93371358656"/>
    <n v="0"/>
    <n v="381.4"/>
    <n v="4512"/>
    <n v="1455"/>
    <e v="#REF!"/>
  </r>
  <r>
    <x v="9"/>
    <n v="8"/>
    <n v="639552.73400000005"/>
    <n v="7.05998860191138"/>
    <n v="7.05998860191138"/>
    <n v="29.52"/>
    <n v="3628.6529861111103"/>
    <n v="4351695"/>
    <n v="4352756"/>
    <n v="1719077"/>
    <n v="422802"/>
    <n v="127650.806"/>
    <n v="127891.93371358656"/>
    <n v="0"/>
    <n v="435.95000000000005"/>
    <n v="4512"/>
    <n v="1455"/>
    <e v="#REF!"/>
  </r>
  <r>
    <x v="9"/>
    <n v="9"/>
    <n v="548693.46"/>
    <n v="7.05998860191138"/>
    <n v="7.05998860191138"/>
    <n v="30.52"/>
    <n v="3630.4564970238089"/>
    <n v="4351695"/>
    <n v="4352756"/>
    <n v="1719077"/>
    <n v="421107"/>
    <n v="127650.806"/>
    <n v="127891.93371358656"/>
    <n v="2.9"/>
    <n v="327.5"/>
    <n v="4512"/>
    <n v="1455"/>
    <e v="#REF!"/>
  </r>
  <r>
    <x v="9"/>
    <n v="10"/>
    <n v="385659.34899999999"/>
    <n v="7.05998860191138"/>
    <n v="7.05998860191138"/>
    <n v="29.62"/>
    <n v="3632.2600079365075"/>
    <n v="4356735"/>
    <n v="4358290"/>
    <n v="1716024"/>
    <n v="420489"/>
    <n v="127503.515"/>
    <n v="127723.24185018479"/>
    <n v="100.1"/>
    <n v="119.2"/>
    <n v="4512"/>
    <n v="1455"/>
    <e v="#REF!"/>
  </r>
  <r>
    <x v="9"/>
    <n v="11"/>
    <n v="364022.15299999999"/>
    <n v="7.05998860191138"/>
    <n v="7.05998860191138"/>
    <n v="29.6"/>
    <n v="3634.063518849206"/>
    <n v="4356735"/>
    <n v="4358290"/>
    <n v="1716024"/>
    <n v="420832"/>
    <n v="127503.515"/>
    <n v="127723.24185018479"/>
    <n v="321"/>
    <n v="10"/>
    <n v="4512"/>
    <n v="1455"/>
    <e v="#REF!"/>
  </r>
  <r>
    <x v="9"/>
    <n v="12"/>
    <n v="640553.13399999996"/>
    <n v="7.05998860191138"/>
    <n v="7.05998860191138"/>
    <n v="31.17"/>
    <n v="3635.8670297619046"/>
    <n v="4356735"/>
    <n v="4358290"/>
    <n v="1716024"/>
    <n v="420931"/>
    <n v="127503.515"/>
    <n v="127723.24185018479"/>
    <n v="822.75"/>
    <n v="0"/>
    <n v="4512"/>
    <n v="1455"/>
    <e v="#REF!"/>
  </r>
  <r>
    <x v="10"/>
    <n v="1"/>
    <n v="850990.94400000002"/>
    <n v="7.05998860191138"/>
    <n v="8.16"/>
    <n v="32.71"/>
    <n v="3637.6705406746037"/>
    <n v="4361774"/>
    <n v="4363823"/>
    <n v="1712972"/>
    <n v="421768"/>
    <n v="128893.008"/>
    <n v="130619.67329545454"/>
    <n v="1213.5999999999999"/>
    <n v="0"/>
    <n v="4512"/>
    <n v="1455"/>
    <e v="#REF!"/>
  </r>
  <r>
    <x v="10"/>
    <n v="2"/>
    <n v="691197.25199999998"/>
    <n v="7.05998860191138"/>
    <n v="8.16"/>
    <n v="29.81"/>
    <n v="3639.4740515873023"/>
    <n v="4361774"/>
    <n v="4363823"/>
    <n v="1712972"/>
    <n v="421555"/>
    <n v="128893.008"/>
    <n v="130619.67329545454"/>
    <n v="949.84999999999991"/>
    <n v="0"/>
    <n v="4512"/>
    <n v="1455"/>
    <e v="#REF!"/>
  </r>
  <r>
    <x v="10"/>
    <n v="3"/>
    <n v="532338.09699999995"/>
    <n v="7.05998860191138"/>
    <n v="8.16"/>
    <n v="30.33"/>
    <n v="3641.2775625000008"/>
    <n v="4361774"/>
    <n v="4363823"/>
    <n v="1712972"/>
    <n v="421752"/>
    <n v="128893.008"/>
    <n v="130619.67329545454"/>
    <n v="643.70000000000005"/>
    <n v="1.1499999999999999"/>
    <n v="4512"/>
    <n v="1455"/>
    <e v="#REF!"/>
  </r>
  <r>
    <x v="10"/>
    <n v="4"/>
    <n v="438271.37699999998"/>
    <n v="7.05998860191138"/>
    <n v="8.16"/>
    <n v="29.86"/>
    <n v="3643.0810734126994"/>
    <n v="4366814"/>
    <n v="4369356"/>
    <n v="1709920"/>
    <n v="420307"/>
    <n v="129036.827"/>
    <n v="130512.26316298962"/>
    <n v="443.45"/>
    <n v="12.65"/>
    <n v="4512"/>
    <n v="1455"/>
    <e v="#REF!"/>
  </r>
  <r>
    <x v="10"/>
    <n v="5"/>
    <n v="360909.25599999999"/>
    <n v="7.05998860191138"/>
    <n v="8.16"/>
    <n v="30.48"/>
    <n v="3644.8845843253985"/>
    <n v="4366814"/>
    <n v="4369356"/>
    <n v="1709920"/>
    <n v="421495"/>
    <n v="129036.827"/>
    <n v="130512.26316298962"/>
    <n v="195.89999999999998"/>
    <n v="43.5"/>
    <n v="4512"/>
    <n v="1455"/>
    <e v="#REF!"/>
  </r>
  <r>
    <x v="10"/>
    <n v="6"/>
    <n v="486266.201"/>
    <n v="7.05998860191138"/>
    <n v="8.16"/>
    <n v="30.67"/>
    <n v="3646.6880952380948"/>
    <n v="4366814"/>
    <n v="4369356"/>
    <n v="1709920"/>
    <n v="420875"/>
    <n v="129036.827"/>
    <n v="130512.26316298962"/>
    <n v="53.85"/>
    <n v="224.7"/>
    <n v="4512"/>
    <n v="1455"/>
    <e v="#REF!"/>
  </r>
  <r>
    <x v="10"/>
    <n v="7"/>
    <n v="539548.81999999995"/>
    <n v="7.05998860191138"/>
    <n v="8.16"/>
    <n v="30.71"/>
    <n v="3648.6168561507934"/>
    <n v="4370210"/>
    <n v="4375233"/>
    <n v="1712452"/>
    <n v="420192"/>
    <n v="128885.583"/>
    <n v="130388.56272912602"/>
    <n v="0"/>
    <n v="307.14999999999998"/>
    <n v="4512"/>
    <n v="1455"/>
    <e v="#REF!"/>
  </r>
  <r>
    <x v="10"/>
    <n v="8"/>
    <n v="631263.21"/>
    <n v="7.05998860191138"/>
    <n v="8.16"/>
    <n v="29.52"/>
    <n v="3650.545617063492"/>
    <n v="4370210"/>
    <n v="4375233"/>
    <n v="1712452"/>
    <n v="422280"/>
    <n v="128885.583"/>
    <n v="130388.56272912602"/>
    <n v="0"/>
    <n v="427.1"/>
    <n v="4512"/>
    <n v="1455"/>
    <e v="#REF!"/>
  </r>
  <r>
    <x v="10"/>
    <n v="9"/>
    <n v="511784.92800000001"/>
    <n v="7.05998860191138"/>
    <n v="8.16"/>
    <n v="30.52"/>
    <n v="3652.4743779761907"/>
    <n v="4370210"/>
    <n v="4375233"/>
    <n v="1712452"/>
    <n v="419766"/>
    <n v="128885.583"/>
    <n v="130388.56272912602"/>
    <n v="27.9"/>
    <n v="254.25"/>
    <n v="4512"/>
    <n v="1455"/>
    <e v="#REF!"/>
  </r>
  <r>
    <x v="10"/>
    <n v="10"/>
    <n v="345989.92599999998"/>
    <n v="7.05998860191138"/>
    <n v="8.16"/>
    <n v="29.62"/>
    <n v="3654.4031388888893"/>
    <n v="4373609"/>
    <n v="4381482"/>
    <n v="1714989"/>
    <n v="419584"/>
    <n v="129177.128"/>
    <n v="130530.66068608029"/>
    <n v="155.5"/>
    <n v="39.65"/>
    <n v="4512"/>
    <n v="1455"/>
    <e v="#REF!"/>
  </r>
  <r>
    <x v="10"/>
    <n v="11"/>
    <n v="367820.48100000003"/>
    <n v="7.05998860191138"/>
    <n v="8.16"/>
    <n v="29.95"/>
    <n v="3656.331899801588"/>
    <n v="4373609"/>
    <n v="4381482"/>
    <n v="1714989"/>
    <n v="418506"/>
    <n v="129177.128"/>
    <n v="130530.66068608029"/>
    <n v="378.85"/>
    <n v="2.0500000000000003"/>
    <n v="4512"/>
    <n v="1455"/>
    <e v="#REF!"/>
  </r>
  <r>
    <x v="10"/>
    <n v="12"/>
    <n v="508652.88299999997"/>
    <n v="7.05998860191138"/>
    <n v="8.16"/>
    <n v="31.24"/>
    <n v="3658.260660714287"/>
    <n v="4373609"/>
    <n v="4381482"/>
    <n v="1714989"/>
    <n v="418702"/>
    <n v="129177.128"/>
    <n v="130530.66068608029"/>
    <n v="592.15"/>
    <n v="0.55000000000000004"/>
    <n v="4512"/>
    <n v="1455"/>
    <e v="#REF!"/>
  </r>
  <r>
    <x v="11"/>
    <n v="1"/>
    <n v="669739.03099999996"/>
    <n v="8.91213305899789"/>
    <n v="7.9304926468565"/>
    <n v="32.549999999999997"/>
    <n v="3660.1894216269857"/>
    <n v="4377011"/>
    <n v="4387829"/>
    <n v="1717530"/>
    <n v="419980"/>
    <n v="129516.13400000001"/>
    <n v="131895.05637467475"/>
    <n v="867.75"/>
    <n v="0"/>
    <n v="4512"/>
    <n v="1455"/>
    <e v="#REF!"/>
  </r>
  <r>
    <x v="11"/>
    <n v="2"/>
    <n v="592845.11499999999"/>
    <n v="8.91213305899789"/>
    <n v="7.9304926468565"/>
    <n v="29.75"/>
    <n v="3662.1181825396843"/>
    <n v="4377011"/>
    <n v="4387829"/>
    <n v="1717530"/>
    <n v="419853"/>
    <n v="129516.13400000001"/>
    <n v="131895.05637467475"/>
    <n v="777.09999999999991"/>
    <n v="0"/>
    <n v="4512"/>
    <n v="1455"/>
    <e v="#REF!"/>
  </r>
  <r>
    <x v="11"/>
    <n v="3"/>
    <n v="491154.14399999997"/>
    <n v="8.91213305899789"/>
    <n v="7.9304926468565"/>
    <n v="30.38"/>
    <n v="3664.0469434523829"/>
    <n v="4377011"/>
    <n v="4387829"/>
    <n v="1717530"/>
    <n v="419754"/>
    <n v="129516.13400000001"/>
    <n v="131895.05637467475"/>
    <n v="558.75"/>
    <n v="9.4499999999999993"/>
    <n v="4512"/>
    <n v="1455"/>
    <e v="#REF!"/>
  </r>
  <r>
    <x v="11"/>
    <n v="4"/>
    <n v="350190.57299999997"/>
    <n v="8.91213305899789"/>
    <n v="7.9304926468565"/>
    <n v="30.67"/>
    <n v="3665.9757043650816"/>
    <n v="4380415"/>
    <n v="4394317"/>
    <n v="1720075"/>
    <n v="419898"/>
    <n v="130403.818"/>
    <n v="132479.04689339892"/>
    <n v="250"/>
    <n v="31"/>
    <n v="4512"/>
    <n v="1455"/>
    <e v="#REF!"/>
  </r>
  <r>
    <x v="11"/>
    <n v="5"/>
    <n v="378938.06800000003"/>
    <n v="8.91213305899789"/>
    <n v="7.9304926468565"/>
    <n v="29.71"/>
    <n v="3667.9044652777802"/>
    <n v="4380415"/>
    <n v="4394317"/>
    <n v="1720075"/>
    <n v="420263"/>
    <n v="130403.818"/>
    <n v="132479.04689339892"/>
    <n v="173.5"/>
    <n v="66.2"/>
    <n v="4512"/>
    <n v="1455"/>
    <n v="901.66887877352997"/>
  </r>
  <r>
    <x v="11"/>
    <n v="6"/>
    <n v="460295.98"/>
    <n v="8.91213305899789"/>
    <n v="7.9304926468565"/>
    <n v="30.62"/>
    <n v="3669.8332261904766"/>
    <n v="4380415"/>
    <n v="4394317"/>
    <n v="1720075"/>
    <n v="419991"/>
    <n v="130403.818"/>
    <n v="132479.04689339892"/>
    <n v="29.25"/>
    <n v="165.14999999999998"/>
    <n v="4512"/>
    <n v="1455"/>
    <n v="1095.9662945158348"/>
  </r>
  <r>
    <x v="11"/>
    <n v="7"/>
    <n v="610018.90599999996"/>
    <n v="8.91213305899789"/>
    <n v="7.9304926468565"/>
    <n v="30.76"/>
    <n v="3671.9181537698414"/>
    <n v="4384090"/>
    <n v="4400950"/>
    <n v="1722731"/>
    <n v="421922"/>
    <n v="131166.87299999999"/>
    <n v="132178.83262039465"/>
    <n v="1.5"/>
    <n v="420.1"/>
    <n v="4512"/>
    <n v="1455"/>
    <n v="1445.8096662416276"/>
  </r>
  <r>
    <x v="11"/>
    <n v="8"/>
    <n v="586895.88100000005"/>
    <n v="8.91213305899789"/>
    <n v="7.9304926468565"/>
    <n v="29.48"/>
    <n v="3674.0030813492062"/>
    <n v="4384090"/>
    <n v="4400950"/>
    <n v="1722731"/>
    <n v="421764"/>
    <n v="131166.87299999999"/>
    <n v="132178.83262039465"/>
    <n v="0"/>
    <n v="381"/>
    <n v="4512"/>
    <n v="1455"/>
    <n v="1391.5267329596647"/>
  </r>
  <r>
    <x v="11"/>
    <n v="9"/>
    <n v="497203.87900000002"/>
    <n v="8.91213305899789"/>
    <n v="7.9304926468565"/>
    <n v="30.57"/>
    <n v="3676.0880089285711"/>
    <n v="4384090"/>
    <n v="4400950"/>
    <n v="1722731"/>
    <n v="420330"/>
    <n v="131166.87299999999"/>
    <n v="132178.83262039465"/>
    <n v="18.05"/>
    <n v="246.6"/>
    <n v="4512"/>
    <n v="1455"/>
    <n v="1182.889346465872"/>
  </r>
  <r>
    <x v="11"/>
    <n v="10"/>
    <n v="340830.522"/>
    <n v="8.91213305899789"/>
    <n v="7.9304926468565"/>
    <n v="29.67"/>
    <n v="3678.1729365079354"/>
    <n v="4388065"/>
    <n v="4407728"/>
    <n v="1725054"/>
    <n v="421267"/>
    <n v="132095.09099999999"/>
    <n v="133690.68480912619"/>
    <n v="177.4"/>
    <n v="37.400000000000006"/>
    <n v="4512"/>
    <n v="1455"/>
    <n v="809.06057678384491"/>
  </r>
  <r>
    <x v="11"/>
    <n v="11"/>
    <n v="418739.08"/>
    <n v="8.91213305899789"/>
    <n v="7.9304926468565"/>
    <n v="29.95"/>
    <n v="3680.2578640873003"/>
    <n v="4388065"/>
    <n v="4407728"/>
    <n v="1725054"/>
    <n v="419905"/>
    <n v="132095.09099999999"/>
    <n v="133690.68480912619"/>
    <n v="474.05"/>
    <n v="3.9"/>
    <n v="4512"/>
    <n v="1455"/>
    <n v="997.22337195317994"/>
  </r>
  <r>
    <x v="11"/>
    <n v="12"/>
    <n v="518023.935"/>
    <n v="8.91213305899789"/>
    <n v="7.9304926468565"/>
    <n v="31.1"/>
    <n v="3682.3427916666651"/>
    <n v="4388065"/>
    <n v="4407728"/>
    <n v="1725054"/>
    <n v="419738"/>
    <n v="132095.09099999999"/>
    <n v="133690.68480912619"/>
    <n v="625.70000000000005"/>
    <n v="0"/>
    <n v="4512"/>
    <n v="1455"/>
    <n v="1234.1602023166834"/>
  </r>
  <r>
    <x v="12"/>
    <n v="1"/>
    <n v="686481.99699999997"/>
    <n v="9.5096351679229407"/>
    <n v="8.6765936468828109"/>
    <n v="32.71"/>
    <n v="3684.4277192460299"/>
    <n v="4392338"/>
    <n v="4414694"/>
    <n v="1728127"/>
    <n v="421027"/>
    <n v="132729.997"/>
    <n v="132634.41351828325"/>
    <n v="1009.8"/>
    <n v="0"/>
    <n v="4512"/>
    <n v="1455"/>
    <n v="1630.4939991972012"/>
  </r>
  <r>
    <x v="12"/>
    <n v="2"/>
    <n v="655747.93099999998"/>
    <n v="9.5096351679229407"/>
    <n v="8.6765936468828109"/>
    <n v="29.9"/>
    <n v="3686.5126468253948"/>
    <n v="4392338"/>
    <n v="4414694"/>
    <n v="1728127"/>
    <n v="420650"/>
    <n v="132729.997"/>
    <n v="132634.41351828325"/>
    <n v="841.7"/>
    <n v="0"/>
    <n v="4512"/>
    <n v="1455"/>
    <n v="1558.8920266254604"/>
  </r>
  <r>
    <x v="12"/>
    <n v="3"/>
    <n v="606814.25"/>
    <n v="9.5096351679229407"/>
    <n v="8.6765936468828109"/>
    <n v="30.52"/>
    <n v="3688.5975744047591"/>
    <n v="4392338"/>
    <n v="4414694"/>
    <n v="1728127"/>
    <n v="421370"/>
    <n v="132729.997"/>
    <n v="132634.41351828325"/>
    <n v="767.59999999999991"/>
    <n v="0"/>
    <n v="4512"/>
    <n v="1455"/>
    <n v="1440.0983696039111"/>
  </r>
  <r>
    <x v="12"/>
    <n v="4"/>
    <n v="492581"/>
    <n v="9.5096351679229407"/>
    <n v="8.6765936468828109"/>
    <n v="30.57"/>
    <n v="3690.682501984124"/>
    <n v="4396873"/>
    <n v="4421845"/>
    <n v="1731874"/>
    <n v="422203"/>
    <n v="133712.25599999999"/>
    <n v="133793.329456562"/>
    <n v="555"/>
    <n v="17"/>
    <n v="4512"/>
    <n v="1455"/>
    <n v="1166.6923257295659"/>
  </r>
  <r>
    <x v="12"/>
    <n v="5"/>
    <m/>
    <n v="9.5096351679229407"/>
    <n v="8.6765936468828109"/>
    <n v="29.57"/>
    <n v="3692.7674295634888"/>
    <n v="4396873"/>
    <n v="4421845"/>
    <n v="1731874"/>
    <n v="425822.96"/>
    <n v="133712.25599999999"/>
    <n v="133793.329456562"/>
    <n v="189.125"/>
    <n v="46.06"/>
    <n v="4512"/>
    <n v="1455"/>
    <m/>
  </r>
  <r>
    <x v="12"/>
    <n v="6"/>
    <m/>
    <n v="9.5096351679229407"/>
    <n v="8.6765936468828109"/>
    <n v="30.67"/>
    <n v="3694.852357142855"/>
    <n v="4396873"/>
    <n v="4421845"/>
    <n v="1731874"/>
    <n v="425888.36"/>
    <n v="133712.25599999999"/>
    <n v="133793.329456562"/>
    <n v="50.362499999999997"/>
    <n v="166.4075"/>
    <n v="4512"/>
    <n v="1455"/>
    <m/>
  </r>
  <r>
    <x v="12"/>
    <n v="7"/>
    <m/>
    <n v="9.5096351679229407"/>
    <n v="8.6765936468828109"/>
    <n v="30.67"/>
    <n v="3697.0577013888865"/>
    <n v="4401670"/>
    <n v="4429177"/>
    <n v="1735721"/>
    <n v="426581.64"/>
    <n v="134397.17499999999"/>
    <n v="134725.28851443794"/>
    <n v="1.625"/>
    <n v="326.005"/>
    <n v="4512"/>
    <n v="1455"/>
    <m/>
  </r>
  <r>
    <x v="12"/>
    <n v="8"/>
    <m/>
    <n v="9.5096351679229407"/>
    <n v="8.6765936468828109"/>
    <n v="29.48"/>
    <n v="3699.2630456349184"/>
    <n v="4401670"/>
    <n v="4429177"/>
    <n v="1735721"/>
    <n v="426630.82"/>
    <n v="134397.17499999999"/>
    <n v="134725.28851443794"/>
    <n v="0.75"/>
    <n v="348.8175"/>
    <n v="4512"/>
    <n v="1455"/>
    <m/>
  </r>
  <r>
    <x v="12"/>
    <n v="9"/>
    <m/>
    <n v="9.5096351679229407"/>
    <n v="8.6765936468828109"/>
    <n v="30.71"/>
    <n v="3701.4683898809499"/>
    <n v="4401670"/>
    <n v="4429177"/>
    <n v="1735721"/>
    <n v="426673.47"/>
    <n v="134397.17499999999"/>
    <n v="134725.28851443794"/>
    <n v="11.752500000000001"/>
    <n v="258.88"/>
    <n v="4512"/>
    <n v="1455"/>
    <m/>
  </r>
  <r>
    <x v="12"/>
    <n v="10"/>
    <m/>
    <n v="9.5096351679229407"/>
    <n v="8.6765936468828109"/>
    <n v="29.52"/>
    <n v="3703.6737341269818"/>
    <n v="4406728"/>
    <n v="4436708"/>
    <n v="1739767"/>
    <n v="427443.89"/>
    <n v="135147.93599999999"/>
    <n v="136078.24768430213"/>
    <n v="134.87"/>
    <n v="71.42"/>
    <n v="4512"/>
    <n v="1455"/>
    <m/>
  </r>
  <r>
    <x v="12"/>
    <n v="11"/>
    <m/>
    <n v="9.5096351679229407"/>
    <n v="8.6765936468828109"/>
    <n v="29.38"/>
    <n v="3705.8790783730137"/>
    <n v="4406728"/>
    <n v="4436708"/>
    <n v="1739767"/>
    <n v="427475.96"/>
    <n v="135147.93599999999"/>
    <n v="136078.24768430213"/>
    <n v="396.30250000000001"/>
    <n v="6.6950000000000003"/>
    <n v="4512"/>
    <n v="1455"/>
    <m/>
  </r>
  <r>
    <x v="12"/>
    <n v="12"/>
    <m/>
    <n v="9.5096351679229407"/>
    <n v="8.6765936468828109"/>
    <n v="32.049999999999997"/>
    <n v="3708.0844226190452"/>
    <n v="4406728"/>
    <n v="4436708"/>
    <n v="1739767"/>
    <n v="427503.77"/>
    <n v="135147.93599999999"/>
    <n v="136078.24768430213"/>
    <n v="714.28500000000008"/>
    <n v="0.25"/>
    <n v="4512"/>
    <n v="1455"/>
    <m/>
  </r>
  <r>
    <x v="13"/>
    <n v="1"/>
    <m/>
    <n v="10.005974436365699"/>
    <n v="9.0210113707989308"/>
    <n v="32.33"/>
    <n v="3710.2897668650771"/>
    <n v="4412046"/>
    <n v="4444359"/>
    <n v="1744053"/>
    <n v="428256.29"/>
    <n v="136646.935"/>
    <n v="137729.87198391245"/>
    <n v="991.4375"/>
    <n v="0"/>
    <n v="4512"/>
    <n v="1455"/>
    <m/>
  </r>
  <r>
    <x v="13"/>
    <n v="2"/>
    <m/>
    <n v="10.005974436365699"/>
    <n v="9.0210113707989308"/>
    <n v="30.05"/>
    <n v="3712.4951111111086"/>
    <n v="4412046"/>
    <n v="4444359"/>
    <n v="1744053"/>
    <n v="428277.2"/>
    <n v="136646.935"/>
    <n v="137729.87198391245"/>
    <n v="890.05499999999995"/>
    <n v="0"/>
    <n v="4512"/>
    <n v="1455"/>
    <m/>
  </r>
  <r>
    <x v="13"/>
    <n v="3"/>
    <m/>
    <n v="10.005974436365699"/>
    <n v="9.0210113707989308"/>
    <n v="30.19"/>
    <n v="3714.7004553571405"/>
    <n v="4412046"/>
    <n v="4444359"/>
    <n v="1744053"/>
    <n v="428295.34"/>
    <n v="136646.935"/>
    <n v="137729.87198391245"/>
    <n v="724.63750000000005"/>
    <n v="0.92249999999999999"/>
    <n v="4512"/>
    <n v="1455"/>
    <m/>
  </r>
  <r>
    <x v="13"/>
    <n v="4"/>
    <m/>
    <n v="10.005974436365699"/>
    <n v="9.0210113707989308"/>
    <n v="30"/>
    <n v="3716.905799603172"/>
    <n v="4417623"/>
    <n v="4452112"/>
    <n v="1748413"/>
    <n v="429028.97"/>
    <n v="137566.70699999999"/>
    <n v="138587.15317635782"/>
    <n v="433.4375"/>
    <n v="13.477500000000001"/>
    <n v="4512"/>
    <n v="1455"/>
    <m/>
  </r>
  <r>
    <x v="13"/>
    <n v="5"/>
    <m/>
    <n v="10.005974436365699"/>
    <n v="9.0210113707989308"/>
    <n v="30.48"/>
    <n v="3719.1111438492039"/>
    <n v="4417623"/>
    <n v="4452112"/>
    <n v="1748413"/>
    <n v="429042.61"/>
    <n v="137566.70699999999"/>
    <n v="138587.15317635782"/>
    <n v="189.125"/>
    <n v="46.06"/>
    <n v="4512"/>
    <n v="1455"/>
    <m/>
  </r>
  <r>
    <x v="13"/>
    <n v="6"/>
    <m/>
    <n v="10.005974436365699"/>
    <n v="9.0210113707989308"/>
    <n v="30.52"/>
    <n v="3721.3164880952368"/>
    <n v="4417623"/>
    <n v="4452112"/>
    <n v="1748413"/>
    <n v="429054.43"/>
    <n v="137566.70699999999"/>
    <n v="138587.15317635782"/>
    <n v="50.362499999999997"/>
    <n v="166.4075"/>
    <n v="4512"/>
    <n v="1455"/>
    <m/>
  </r>
  <r>
    <x v="13"/>
    <n v="7"/>
    <m/>
    <n v="10.005974436365699"/>
    <n v="9.0210113707989308"/>
    <n v="30.67"/>
    <n v="3723.5414990079353"/>
    <n v="4423458"/>
    <n v="4459964"/>
    <n v="1752981"/>
    <n v="429860.67"/>
    <n v="138505.228"/>
    <n v="139504.7139044202"/>
    <n v="1.625"/>
    <n v="326.005"/>
    <n v="4512"/>
    <n v="1455"/>
    <m/>
  </r>
  <r>
    <x v="13"/>
    <n v="8"/>
    <m/>
    <n v="10.005974436365699"/>
    <n v="9.0210113707989308"/>
    <n v="29.48"/>
    <n v="3725.7665099206333"/>
    <n v="4423458"/>
    <n v="4459964"/>
    <n v="1752981"/>
    <n v="429869.56"/>
    <n v="138505.228"/>
    <n v="139504.7139044202"/>
    <n v="0.75"/>
    <n v="348.8175"/>
    <n v="4512"/>
    <n v="1455"/>
    <m/>
  </r>
  <r>
    <x v="13"/>
    <n v="9"/>
    <m/>
    <n v="10.005974436365699"/>
    <n v="9.0210113707989308"/>
    <n v="30.86"/>
    <n v="3727.9915208333318"/>
    <n v="4423458"/>
    <n v="4459964"/>
    <n v="1752981"/>
    <n v="429877.27"/>
    <n v="138505.228"/>
    <n v="139504.7139044202"/>
    <n v="11.752500000000001"/>
    <n v="258.88"/>
    <n v="4512"/>
    <n v="1455"/>
    <m/>
  </r>
  <r>
    <x v="13"/>
    <n v="10"/>
    <m/>
    <n v="10.005974436365699"/>
    <n v="9.0210113707989308"/>
    <n v="29.38"/>
    <n v="3730.2165317460299"/>
    <n v="4429549"/>
    <n v="4467912"/>
    <n v="1757552"/>
    <n v="430651.51"/>
    <n v="139445.223"/>
    <n v="140534.52334076585"/>
    <n v="134.87"/>
    <n v="71.42"/>
    <n v="4512"/>
    <n v="1455"/>
    <m/>
  </r>
  <r>
    <x v="13"/>
    <n v="11"/>
    <m/>
    <n v="10.005974436365699"/>
    <n v="9.0210113707989308"/>
    <n v="29.57"/>
    <n v="3732.4415426587279"/>
    <n v="4429549"/>
    <n v="4467912"/>
    <n v="1757552"/>
    <n v="430657.31"/>
    <n v="139445.223"/>
    <n v="140534.52334076585"/>
    <n v="396.30250000000001"/>
    <n v="6.6950000000000003"/>
    <n v="4512"/>
    <n v="1455"/>
    <m/>
  </r>
  <r>
    <x v="13"/>
    <n v="12"/>
    <m/>
    <n v="10.005974436365699"/>
    <n v="9.0210113707989308"/>
    <n v="31.81"/>
    <n v="3734.6665535714264"/>
    <n v="4429549"/>
    <n v="4467912"/>
    <n v="1757552"/>
    <n v="430662.34"/>
    <n v="139445.223"/>
    <n v="140534.52334076585"/>
    <n v="714.28500000000008"/>
    <n v="0.25"/>
    <n v="4512"/>
    <n v="1455"/>
    <m/>
  </r>
  <r>
    <x v="14"/>
    <n v="1"/>
    <m/>
    <n v="10.4589465273384"/>
    <n v="9.7932922253285799"/>
    <n v="32.380000000000003"/>
    <n v="3736.8915644841245"/>
    <n v="4435782"/>
    <n v="4475968"/>
    <n v="1762186"/>
    <n v="431491.33"/>
    <n v="140510.76300000001"/>
    <n v="142116.67062181202"/>
    <n v="991.4375"/>
    <n v="0"/>
    <n v="4512"/>
    <n v="1455"/>
    <m/>
  </r>
  <r>
    <x v="14"/>
    <n v="2"/>
    <m/>
    <n v="10.4589465273384"/>
    <n v="9.7932922253285799"/>
    <n v="30.19"/>
    <n v="3739.1165753968226"/>
    <n v="4435782"/>
    <n v="4475968"/>
    <n v="1762186"/>
    <n v="431495.11"/>
    <n v="140510.76300000001"/>
    <n v="142116.67062181202"/>
    <n v="890.05499999999995"/>
    <n v="0"/>
    <n v="4512"/>
    <n v="1455"/>
    <m/>
  </r>
  <r>
    <x v="14"/>
    <n v="3"/>
    <m/>
    <n v="10.4589465273384"/>
    <n v="9.7932922253285799"/>
    <n v="30.05"/>
    <n v="3741.3415863095211"/>
    <n v="4435782"/>
    <n v="4475968"/>
    <n v="1762186"/>
    <n v="431498.39"/>
    <n v="140510.76300000001"/>
    <n v="142116.67062181202"/>
    <n v="724.63750000000005"/>
    <n v="0.92249999999999999"/>
    <n v="4512"/>
    <n v="1455"/>
    <m/>
  </r>
  <r>
    <x v="14"/>
    <n v="4"/>
    <m/>
    <n v="10.4589465273384"/>
    <n v="9.7932922253285799"/>
    <n v="30.71"/>
    <n v="3743.5665972222191"/>
    <n v="4442158"/>
    <n v="4484131"/>
    <n v="1766858"/>
    <n v="432375.93"/>
    <n v="141224.63399999999"/>
    <n v="142965.68227593292"/>
    <n v="433.4375"/>
    <n v="13.477500000000001"/>
    <n v="4512"/>
    <n v="1455"/>
    <m/>
  </r>
  <r>
    <x v="14"/>
    <n v="5"/>
    <m/>
    <n v="10.4589465273384"/>
    <n v="9.7932922253285799"/>
    <n v="29.9"/>
    <n v="3745.7916081349176"/>
    <n v="4442158"/>
    <n v="4484131"/>
    <n v="1766858"/>
    <n v="432378.4"/>
    <n v="141224.63399999999"/>
    <n v="142965.68227593292"/>
    <n v="189.125"/>
    <n v="46.06"/>
    <n v="4512"/>
    <n v="1455"/>
    <m/>
  </r>
  <r>
    <x v="14"/>
    <n v="6"/>
    <m/>
    <n v="10.4589465273384"/>
    <n v="9.7932922253285799"/>
    <n v="30.38"/>
    <n v="3748.016619047617"/>
    <n v="4442158"/>
    <n v="4484131"/>
    <n v="1766858"/>
    <n v="432380.54"/>
    <n v="141224.63399999999"/>
    <n v="142965.68227593292"/>
    <n v="50.362499999999997"/>
    <n v="166.4075"/>
    <n v="4512"/>
    <n v="1455"/>
    <m/>
  </r>
  <r>
    <x v="14"/>
    <n v="7"/>
    <m/>
    <n v="10.4589465273384"/>
    <n v="9.7932922253285799"/>
    <n v="30.71"/>
    <n v="3750.2684354753933"/>
    <n v="4448678"/>
    <n v="4492400"/>
    <n v="1771377"/>
    <n v="433226.92"/>
    <n v="141992.24600000001"/>
    <n v="143852.26078152558"/>
    <n v="1.625"/>
    <n v="326.005"/>
    <n v="4512"/>
    <n v="1455"/>
    <m/>
  </r>
  <r>
    <x v="14"/>
    <n v="8"/>
    <m/>
    <n v="10.4589465273384"/>
    <n v="9.7932922253285799"/>
    <n v="29.52"/>
    <n v="3752.5202519031695"/>
    <n v="4448678"/>
    <n v="4492400"/>
    <n v="1771377"/>
    <n v="433228.53"/>
    <n v="141992.24600000001"/>
    <n v="143852.26078152558"/>
    <n v="0.75"/>
    <n v="348.8175"/>
    <n v="4512"/>
    <n v="1455"/>
    <m/>
  </r>
  <r>
    <x v="14"/>
    <n v="9"/>
    <m/>
    <n v="10.4589465273384"/>
    <n v="9.7932922253285799"/>
    <n v="30.48"/>
    <n v="3754.7720683309453"/>
    <n v="4448678"/>
    <n v="4492400"/>
    <n v="1771377"/>
    <n v="433229.92"/>
    <n v="141992.24600000001"/>
    <n v="143852.26078152558"/>
    <n v="11.752500000000001"/>
    <n v="258.88"/>
    <n v="4512"/>
    <n v="1455"/>
    <m/>
  </r>
  <r>
    <x v="14"/>
    <n v="10"/>
    <m/>
    <n v="10.4589465273384"/>
    <n v="9.7932922253285799"/>
    <n v="29.67"/>
    <n v="3757.0238847587216"/>
    <n v="4455342"/>
    <n v="4500777"/>
    <n v="1776053"/>
    <n v="434056.63"/>
    <n v="142772.34400000001"/>
    <n v="144607.8510273135"/>
    <n v="134.87"/>
    <n v="71.42"/>
    <n v="4512"/>
    <n v="1455"/>
    <m/>
  </r>
  <r>
    <x v="14"/>
    <n v="11"/>
    <m/>
    <n v="10.4589465273384"/>
    <n v="9.7932922253285799"/>
    <n v="29.76"/>
    <n v="3759.2757011864978"/>
    <n v="4455342"/>
    <n v="4500777"/>
    <n v="1776053"/>
    <n v="434057.68"/>
    <n v="142772.34400000001"/>
    <n v="144607.8510273135"/>
    <n v="396.30250000000001"/>
    <n v="6.6950000000000003"/>
    <n v="4512"/>
    <n v="1455"/>
    <m/>
  </r>
  <r>
    <x v="14"/>
    <n v="12"/>
    <m/>
    <n v="10.4589465273384"/>
    <n v="9.7932922253285799"/>
    <n v="31.57"/>
    <n v="3761.5275176142736"/>
    <n v="4455342"/>
    <n v="4500777"/>
    <n v="1776053"/>
    <n v="434058.59"/>
    <n v="142772.34400000001"/>
    <n v="144607.8510273135"/>
    <n v="714.28500000000008"/>
    <n v="0.25"/>
    <n v="4512"/>
    <n v="1455"/>
    <m/>
  </r>
  <r>
    <x v="15"/>
    <n v="1"/>
    <m/>
    <n v="10.4589465273384"/>
    <n v="10.128431840664"/>
    <n v="32.520000000000003"/>
    <n v="3763.7793340420499"/>
    <n v="4462148"/>
    <n v="4509174"/>
    <n v="1780728"/>
    <n v="434861.27"/>
    <n v="144227.636"/>
    <n v="146296.92551622883"/>
    <n v="991.4375"/>
    <n v="0"/>
    <n v="4512"/>
    <n v="1455"/>
    <m/>
  </r>
  <r>
    <x v="15"/>
    <n v="2"/>
    <m/>
    <n v="10.4589465273384"/>
    <n v="10.128431840664"/>
    <n v="30.14"/>
    <n v="3766.0311504698261"/>
    <n v="4462148"/>
    <n v="4509174"/>
    <n v="1780728"/>
    <n v="434861.95"/>
    <n v="144227.636"/>
    <n v="146296.92551622883"/>
    <n v="890.05499999999995"/>
    <n v="0"/>
    <n v="4512"/>
    <n v="1455"/>
    <m/>
  </r>
  <r>
    <x v="15"/>
    <n v="3"/>
    <m/>
    <n v="10.4589465273384"/>
    <n v="10.128431840664"/>
    <n v="30.33"/>
    <n v="3768.2829668976024"/>
    <n v="4462148"/>
    <n v="4509174"/>
    <n v="1780728"/>
    <n v="434862.54"/>
    <n v="144227.636"/>
    <n v="146296.92551622883"/>
    <n v="724.63750000000005"/>
    <n v="0.92249999999999999"/>
    <n v="4512"/>
    <n v="1455"/>
    <m/>
  </r>
  <r>
    <x v="15"/>
    <n v="4"/>
    <m/>
    <n v="10.4589465273384"/>
    <n v="10.128431840664"/>
    <n v="30.52"/>
    <n v="3770.5347833253782"/>
    <n v="4468982"/>
    <n v="4517592"/>
    <n v="1785376"/>
    <n v="435657.51"/>
    <n v="145000.861"/>
    <n v="147022.06988722185"/>
    <n v="433.4375"/>
    <n v="13.477500000000001"/>
    <n v="4512"/>
    <n v="1455"/>
    <m/>
  </r>
  <r>
    <x v="15"/>
    <n v="5"/>
    <m/>
    <n v="10.4589465273384"/>
    <n v="10.128431840664"/>
    <n v="29.48"/>
    <n v="3772.7865997531544"/>
    <n v="4468982"/>
    <n v="4517592"/>
    <n v="1785376"/>
    <n v="435657.95"/>
    <n v="145000.861"/>
    <n v="147022.06988722185"/>
    <n v="189.125"/>
    <n v="46.06"/>
    <n v="4512"/>
    <n v="1455"/>
    <m/>
  </r>
  <r>
    <x v="15"/>
    <n v="6"/>
    <m/>
    <n v="10.4589465273384"/>
    <n v="10.128431840664"/>
    <n v="30.67"/>
    <n v="3775.0384161809293"/>
    <n v="4468982"/>
    <n v="4517592"/>
    <n v="1785376"/>
    <n v="435658.34"/>
    <n v="145000.861"/>
    <n v="147022.06988722185"/>
    <n v="50.362499999999997"/>
    <n v="166.4075"/>
    <n v="4512"/>
    <n v="1455"/>
    <m/>
  </r>
  <r>
    <x v="15"/>
    <n v="7"/>
    <m/>
    <n v="10.4589465273384"/>
    <n v="10.128431840664"/>
    <n v="30.71"/>
    <n v="3777.3023081798965"/>
    <n v="4475848"/>
    <n v="4526031"/>
    <n v="1790032"/>
    <n v="436452.03"/>
    <n v="145740.07199999999"/>
    <n v="147730.40867742006"/>
    <n v="1.625"/>
    <n v="326.005"/>
    <n v="4512"/>
    <n v="1455"/>
    <m/>
  </r>
  <r>
    <x v="15"/>
    <n v="8"/>
    <m/>
    <n v="10.4589465273384"/>
    <n v="10.128431840664"/>
    <n v="29.52"/>
    <n v="3779.5662001788633"/>
    <n v="4475848"/>
    <n v="4526031"/>
    <n v="1790032"/>
    <n v="436452.32"/>
    <n v="145740.07199999999"/>
    <n v="147730.40867742006"/>
    <n v="0.75"/>
    <n v="348.8175"/>
    <n v="4512"/>
    <n v="1455"/>
    <m/>
  </r>
  <r>
    <x v="15"/>
    <n v="9"/>
    <m/>
    <n v="10.4589465273384"/>
    <n v="10.128431840664"/>
    <n v="30.52"/>
    <n v="3781.8300921778305"/>
    <n v="4475848"/>
    <n v="4526031"/>
    <n v="1790032"/>
    <n v="436452.58"/>
    <n v="145740.07199999999"/>
    <n v="147730.40867742006"/>
    <n v="11.752500000000001"/>
    <n v="258.88"/>
    <n v="4512"/>
    <n v="1455"/>
    <m/>
  </r>
  <r>
    <x v="15"/>
    <n v="10"/>
    <m/>
    <n v="10.4589465273384"/>
    <n v="10.128431840664"/>
    <n v="29.62"/>
    <n v="3784.0939841767977"/>
    <n v="4482697"/>
    <n v="4534489"/>
    <n v="1794642"/>
    <n v="437249.87"/>
    <n v="146638.23699999999"/>
    <n v="148618.41551285889"/>
    <n v="134.87"/>
    <n v="71.42"/>
    <n v="4512"/>
    <n v="1455"/>
    <m/>
  </r>
  <r>
    <x v="15"/>
    <n v="11"/>
    <m/>
    <n v="10.4589465273384"/>
    <n v="10.128431840664"/>
    <n v="29.95"/>
    <n v="3786.3578761757649"/>
    <n v="4482697"/>
    <n v="4534489"/>
    <n v="1794642"/>
    <n v="437250.06"/>
    <n v="146638.23699999999"/>
    <n v="148618.41551285889"/>
    <n v="396.30250000000001"/>
    <n v="6.6950000000000003"/>
    <n v="4512"/>
    <n v="1455"/>
    <m/>
  </r>
  <r>
    <x v="15"/>
    <n v="12"/>
    <m/>
    <n v="10.4589465273384"/>
    <n v="10.128431840664"/>
    <n v="31.24"/>
    <n v="3788.6217681747321"/>
    <n v="4482697"/>
    <n v="4534489"/>
    <n v="1794642"/>
    <n v="437250.22"/>
    <n v="146638.23699999999"/>
    <n v="148618.41551285889"/>
    <n v="714.28500000000008"/>
    <n v="0.25"/>
    <n v="4512"/>
    <n v="1455"/>
    <m/>
  </r>
  <r>
    <x v="16"/>
    <n v="1"/>
    <m/>
    <n v="10.668125457885168"/>
    <n v="10.7232150427919"/>
    <n v="32.67"/>
    <n v="3790.8856601736993"/>
    <n v="4489502"/>
    <n v="4542939"/>
    <n v="1799248"/>
    <n v="437805.15"/>
    <n v="147397.973"/>
    <n v="149938.26865747903"/>
    <n v="991.4375"/>
    <n v="0"/>
    <n v="4512"/>
    <n v="1455"/>
    <m/>
  </r>
  <r>
    <x v="16"/>
    <n v="2"/>
    <m/>
    <n v="10.668125457885168"/>
    <n v="10.7232150427919"/>
    <n v="29.86"/>
    <n v="3793.1495521726665"/>
    <n v="4489502"/>
    <n v="4542939"/>
    <n v="1799248"/>
    <n v="437805.27"/>
    <n v="147397.973"/>
    <n v="149938.26865747903"/>
    <n v="890.05499999999995"/>
    <n v="0"/>
    <n v="4512"/>
    <n v="1455"/>
    <m/>
  </r>
  <r>
    <x v="16"/>
    <n v="3"/>
    <m/>
    <n v="10.668125457885168"/>
    <n v="10.7232150427919"/>
    <n v="30.29"/>
    <n v="3795.4134441716337"/>
    <n v="4489502"/>
    <n v="4542939"/>
    <n v="1799248"/>
    <n v="437805.38"/>
    <n v="147397.973"/>
    <n v="149938.26865747903"/>
    <n v="724.63750000000005"/>
    <n v="0.92249999999999999"/>
    <n v="4512"/>
    <n v="1455"/>
    <m/>
  </r>
  <r>
    <x v="16"/>
    <n v="4"/>
    <m/>
    <n v="10.668125457885168"/>
    <n v="10.7232150427919"/>
    <n v="30.33"/>
    <n v="3797.6773361706009"/>
    <n v="4496267"/>
    <n v="4551380"/>
    <n v="1803860"/>
    <n v="438364.41"/>
    <n v="148169.18"/>
    <n v="150944.25327886257"/>
    <n v="433.4375"/>
    <n v="13.477500000000001"/>
    <n v="4512"/>
    <n v="1455"/>
    <m/>
  </r>
  <r>
    <x v="16"/>
    <n v="5"/>
    <m/>
    <n v="10.668125457885168"/>
    <n v="10.7232150427919"/>
    <n v="30.05"/>
    <n v="3799.9412281695677"/>
    <n v="4496267"/>
    <n v="4551380"/>
    <n v="1803860"/>
    <n v="438364.49"/>
    <n v="148169.18"/>
    <n v="150944.25327886257"/>
    <n v="189.125"/>
    <n v="46.06"/>
    <n v="4512"/>
    <n v="1455"/>
    <m/>
  </r>
  <r>
    <x v="16"/>
    <n v="6"/>
    <m/>
    <n v="10.668125457885168"/>
    <n v="10.7232150427919"/>
    <n v="30.62"/>
    <n v="3802.2051201685322"/>
    <n v="4496267"/>
    <n v="4551380"/>
    <n v="1803860"/>
    <n v="438364.56"/>
    <n v="148169.18"/>
    <n v="150944.25327886257"/>
    <n v="50.362499999999997"/>
    <n v="166.4075"/>
    <n v="4512"/>
    <n v="1455"/>
    <m/>
  </r>
  <r>
    <x v="16"/>
    <n v="7"/>
    <m/>
    <n v="10.668125457885168"/>
    <n v="10.7232150427919"/>
    <n v="30.81"/>
    <n v="3804.4647787775989"/>
    <n v="4502992"/>
    <n v="4559813"/>
    <n v="1808479"/>
    <n v="438919.62"/>
    <n v="149003.10200000001"/>
    <n v="151980.08033488106"/>
    <n v="1.625"/>
    <n v="326.005"/>
    <n v="4512"/>
    <n v="1455"/>
    <m/>
  </r>
  <r>
    <x v="16"/>
    <n v="8"/>
    <m/>
    <n v="10.668125457885168"/>
    <n v="10.7232150427919"/>
    <n v="29.43"/>
    <n v="3806.7244373866656"/>
    <n v="4502992"/>
    <n v="4559813"/>
    <n v="1808479"/>
    <n v="438919.67"/>
    <n v="149003.10200000001"/>
    <n v="151980.08033488106"/>
    <n v="0.75"/>
    <n v="348.8175"/>
    <n v="4512"/>
    <n v="1455"/>
    <m/>
  </r>
  <r>
    <x v="16"/>
    <n v="9"/>
    <m/>
    <n v="10.668125457885168"/>
    <n v="10.7232150427919"/>
    <n v="30.57"/>
    <n v="3808.9840959957323"/>
    <n v="4502992"/>
    <n v="4559813"/>
    <n v="1808479"/>
    <n v="438919.72"/>
    <n v="149003.10200000001"/>
    <n v="151980.08033488106"/>
    <n v="11.752500000000001"/>
    <n v="258.88"/>
    <n v="4512"/>
    <n v="1455"/>
    <m/>
  </r>
  <r>
    <x v="16"/>
    <n v="10"/>
    <m/>
    <n v="10.668125457885168"/>
    <n v="10.7232150427919"/>
    <n v="29.67"/>
    <n v="3811.2437546047986"/>
    <n v="4509666"/>
    <n v="4568225"/>
    <n v="1813129"/>
    <n v="439455.52"/>
    <n v="149821.88399999999"/>
    <n v="152964.93235419173"/>
    <n v="134.87"/>
    <n v="71.42"/>
    <n v="4512"/>
    <n v="1455"/>
    <m/>
  </r>
  <r>
    <x v="16"/>
    <n v="11"/>
    <m/>
    <n v="10.668125457885168"/>
    <n v="10.7232150427919"/>
    <n v="30.05"/>
    <n v="3813.5034132138653"/>
    <n v="4509666"/>
    <n v="4568225"/>
    <n v="1813129"/>
    <n v="439455.55"/>
    <n v="149821.88399999999"/>
    <n v="152964.93235419173"/>
    <n v="396.30250000000001"/>
    <n v="6.6950000000000003"/>
    <n v="4512"/>
    <n v="1455"/>
    <m/>
  </r>
  <r>
    <x v="16"/>
    <n v="12"/>
    <m/>
    <n v="10.668125457885168"/>
    <n v="10.7232150427919"/>
    <n v="30.67"/>
    <n v="3815.763071822932"/>
    <n v="4509666"/>
    <n v="4568225"/>
    <n v="1813129"/>
    <n v="439455.58"/>
    <n v="149821.88399999999"/>
    <n v="152964.93235419173"/>
    <n v="714.28500000000008"/>
    <n v="0.25"/>
    <n v="4512"/>
    <n v="1455"/>
    <m/>
  </r>
  <r>
    <x v="17"/>
    <n v="1"/>
    <m/>
    <n v="10.881487967042871"/>
    <n v="10.937679343647737"/>
    <n v="32.67"/>
    <n v="3818.0227304319988"/>
    <n v="4516303"/>
    <n v="4576630"/>
    <n v="1817775"/>
    <n v="440203.92"/>
    <n v="151159.774"/>
    <n v="154212.04835504587"/>
    <n v="991.4375"/>
    <n v="0"/>
    <n v="4512"/>
    <n v="1455"/>
    <m/>
  </r>
  <r>
    <x v="17"/>
    <n v="2"/>
    <m/>
    <n v="10.881487967042871"/>
    <n v="10.937679343647737"/>
    <n v="29.86"/>
    <n v="3820.282389041065"/>
    <n v="4516303"/>
    <n v="4576630"/>
    <n v="1817775"/>
    <n v="440203.94"/>
    <n v="151159.774"/>
    <n v="154212.04835504587"/>
    <n v="890.05499999999995"/>
    <n v="0"/>
    <n v="4512"/>
    <n v="1455"/>
    <m/>
  </r>
  <r>
    <x v="17"/>
    <n v="3"/>
    <m/>
    <n v="10.881487967042871"/>
    <n v="10.937679343647737"/>
    <n v="30.43"/>
    <n v="3822.5420476501317"/>
    <n v="4516303"/>
    <n v="4576630"/>
    <n v="1817775"/>
    <n v="440203.96"/>
    <n v="151159.774"/>
    <n v="154212.04835504587"/>
    <n v="724.63750000000005"/>
    <n v="0.92249999999999999"/>
    <n v="4512"/>
    <n v="1455"/>
    <m/>
  </r>
  <r>
    <x v="17"/>
    <n v="4"/>
    <m/>
    <n v="10.881487967042871"/>
    <n v="10.937679343647737"/>
    <n v="30.71"/>
    <n v="3824.8017062591985"/>
    <n v="4522903"/>
    <n v="4585030"/>
    <n v="1822423"/>
    <n v="440942.66"/>
    <n v="152014.81099999999"/>
    <n v="155100.12846503858"/>
    <n v="433.4375"/>
    <n v="13.477500000000001"/>
    <n v="4512"/>
    <n v="1455"/>
    <m/>
  </r>
  <r>
    <x v="17"/>
    <n v="5"/>
    <m/>
    <n v="10.881487967042871"/>
    <n v="10.937679343647737"/>
    <n v="29.52"/>
    <n v="3827.0613648682652"/>
    <n v="4522903"/>
    <n v="4585030"/>
    <n v="1822423"/>
    <n v="440942.68"/>
    <n v="152014.81099999999"/>
    <n v="155100.12846503858"/>
    <n v="189.125"/>
    <n v="46.06"/>
    <n v="4512"/>
    <n v="1455"/>
    <m/>
  </r>
  <r>
    <x v="17"/>
    <n v="6"/>
    <m/>
    <n v="10.881487967042871"/>
    <n v="10.937679343647737"/>
    <n v="30.62"/>
    <n v="3829.3210234773323"/>
    <n v="4522903"/>
    <n v="4585030"/>
    <n v="1822423"/>
    <n v="440942.69"/>
    <n v="152014.81099999999"/>
    <n v="155100.12846503858"/>
    <n v="50.362499999999997"/>
    <n v="166.4075"/>
    <n v="4512"/>
    <n v="1455"/>
    <m/>
  </r>
  <r>
    <x v="17"/>
    <n v="7"/>
    <m/>
    <n v="10.881487967042871"/>
    <n v="10.937679343647737"/>
    <n v="30.76"/>
    <n v="3831.5749219001409"/>
    <n v="4529466"/>
    <n v="4593423"/>
    <n v="1827065"/>
    <n v="441682.27"/>
    <n v="152840.09"/>
    <n v="155927.40730593662"/>
    <n v="1.625"/>
    <n v="326.005"/>
    <n v="4512"/>
    <n v="1455"/>
    <m/>
  </r>
  <r>
    <x v="17"/>
    <n v="8"/>
    <m/>
    <n v="10.881487967042871"/>
    <n v="10.937679343647737"/>
    <n v="29.48"/>
    <n v="3833.8288203229499"/>
    <n v="4529466"/>
    <n v="4593423"/>
    <n v="1827065"/>
    <n v="441682.27"/>
    <n v="152840.09"/>
    <n v="155927.40730593662"/>
    <n v="0.75"/>
    <n v="348.8175"/>
    <n v="4512"/>
    <n v="1455"/>
    <m/>
  </r>
  <r>
    <x v="17"/>
    <n v="9"/>
    <m/>
    <n v="10.881487967042871"/>
    <n v="10.937679343647737"/>
    <n v="30.57"/>
    <n v="3836.0827187457589"/>
    <n v="4529466"/>
    <n v="4593423"/>
    <n v="1827065"/>
    <n v="441682.28"/>
    <n v="152840.09"/>
    <n v="155927.40730593662"/>
    <n v="11.752500000000001"/>
    <n v="258.88"/>
    <n v="4512"/>
    <n v="1455"/>
    <m/>
  </r>
  <r>
    <x v="17"/>
    <n v="10"/>
    <m/>
    <n v="10.881487967042871"/>
    <n v="10.937679343647737"/>
    <n v="29.67"/>
    <n v="3838.3366171685675"/>
    <n v="4535991"/>
    <n v="4601809"/>
    <n v="1831710"/>
    <n v="442419.01"/>
    <n v="153691.45300000001"/>
    <n v="156771.37492461284"/>
    <n v="134.87"/>
    <n v="71.42"/>
    <n v="4512"/>
    <n v="1455"/>
    <m/>
  </r>
  <r>
    <x v="17"/>
    <n v="11"/>
    <m/>
    <n v="10.881487967042871"/>
    <n v="10.937679343647737"/>
    <n v="29.95"/>
    <n v="3840.5905155913765"/>
    <n v="4535991"/>
    <n v="4601809"/>
    <n v="1831710"/>
    <n v="442419.02"/>
    <n v="153691.45300000001"/>
    <n v="156771.37492461284"/>
    <n v="396.30250000000001"/>
    <n v="6.6950000000000003"/>
    <n v="4512"/>
    <n v="1455"/>
    <m/>
  </r>
  <r>
    <x v="17"/>
    <n v="12"/>
    <m/>
    <n v="10.881487967042871"/>
    <n v="10.937679343647737"/>
    <n v="31.1"/>
    <n v="3842.8444140141855"/>
    <n v="4535991"/>
    <n v="4601809"/>
    <n v="1831710"/>
    <n v="442419.02"/>
    <n v="153691.45300000001"/>
    <n v="156771.37492461284"/>
    <n v="714.28500000000008"/>
    <n v="0.25"/>
    <n v="4512"/>
    <n v="1455"/>
    <m/>
  </r>
  <r>
    <x v="18"/>
    <n v="1"/>
    <m/>
    <n v="11.099117726383728"/>
    <n v="11.156432930520692"/>
    <n v="32.71"/>
    <n v="3845.0983124369941"/>
    <n v="4542478"/>
    <n v="4610188"/>
    <n v="1835561"/>
    <n v="443157.72"/>
    <n v="155062.20000000001"/>
    <n v="158291.77883579931"/>
    <n v="991.4375"/>
    <n v="0"/>
    <n v="4512"/>
    <n v="1455"/>
    <m/>
  </r>
  <r>
    <x v="18"/>
    <n v="2"/>
    <m/>
    <n v="11.099117726383728"/>
    <n v="11.156432930520692"/>
    <n v="29.9"/>
    <n v="3847.3522108598031"/>
    <n v="4542478"/>
    <n v="4610188"/>
    <n v="1835561"/>
    <n v="443157.72"/>
    <n v="155062.20000000001"/>
    <n v="158291.77883579931"/>
    <n v="890.05499999999995"/>
    <n v="0"/>
    <n v="4512"/>
    <n v="1455"/>
    <m/>
  </r>
  <r>
    <x v="18"/>
    <n v="3"/>
    <m/>
    <n v="11.099117726383728"/>
    <n v="11.156432930520692"/>
    <n v="30.33"/>
    <n v="3849.6061092826117"/>
    <n v="4542478"/>
    <n v="4610188"/>
    <n v="1835561"/>
    <n v="443157.72"/>
    <n v="155062.20000000001"/>
    <n v="158291.77883579931"/>
    <n v="724.63750000000005"/>
    <n v="0.92249999999999999"/>
    <n v="4512"/>
    <n v="1455"/>
    <m/>
  </r>
  <r>
    <x v="18"/>
    <n v="4"/>
    <m/>
    <n v="11.099117726383728"/>
    <n v="11.156432930520692"/>
    <n v="29.95"/>
    <n v="3851.8600077054207"/>
    <n v="4548927"/>
    <n v="4618558"/>
    <n v="1839490"/>
    <n v="443893.14"/>
    <n v="155893.33300000001"/>
    <n v="159230.34596708155"/>
    <n v="433.4375"/>
    <n v="13.477500000000001"/>
    <n v="4512"/>
    <n v="1455"/>
    <m/>
  </r>
  <r>
    <x v="18"/>
    <n v="5"/>
    <m/>
    <n v="11.099117726383728"/>
    <n v="11.156432930520692"/>
    <n v="30.38"/>
    <n v="3854.1139061282297"/>
    <n v="4548927"/>
    <n v="4618558"/>
    <n v="1839490"/>
    <n v="443893.14"/>
    <n v="155893.33300000001"/>
    <n v="159230.34596708155"/>
    <n v="189.125"/>
    <n v="46.06"/>
    <n v="4512"/>
    <n v="1455"/>
    <m/>
  </r>
  <r>
    <x v="18"/>
    <n v="6"/>
    <m/>
    <n v="11.099117726383728"/>
    <n v="11.156432930520692"/>
    <n v="30.67"/>
    <n v="3856.3678045510387"/>
    <n v="4548927"/>
    <n v="4618558"/>
    <n v="1839490"/>
    <n v="443893.14"/>
    <n v="155893.33300000001"/>
    <n v="159230.34596708155"/>
    <n v="50.362499999999997"/>
    <n v="166.4075"/>
    <n v="4512"/>
    <n v="1455"/>
    <m/>
  </r>
  <r>
    <x v="18"/>
    <n v="7"/>
    <m/>
    <n v="11.099117726383728"/>
    <n v="11.156432930520692"/>
    <n v="30.67"/>
    <n v="3858.6123339961996"/>
    <n v="4555326"/>
    <n v="4626907"/>
    <n v="1843323"/>
    <n v="444626.58"/>
    <n v="156697.22099999999"/>
    <n v="160108.3311445929"/>
    <n v="1.625"/>
    <n v="326.005"/>
    <n v="4512"/>
    <n v="1455"/>
    <m/>
  </r>
  <r>
    <x v="18"/>
    <n v="8"/>
    <m/>
    <n v="11.099117726383728"/>
    <n v="11.156432930520692"/>
    <n v="29.48"/>
    <n v="3860.85686344136"/>
    <n v="4555326"/>
    <n v="4626907"/>
    <n v="1843323"/>
    <n v="444626.59"/>
    <n v="156697.22099999999"/>
    <n v="160108.3311445929"/>
    <n v="0.75"/>
    <n v="348.8175"/>
    <n v="4512"/>
    <n v="1455"/>
    <m/>
  </r>
  <r>
    <x v="18"/>
    <n v="9"/>
    <m/>
    <n v="11.099117726383728"/>
    <n v="11.156432930520692"/>
    <n v="30.71"/>
    <n v="3863.1013928865209"/>
    <n v="4555326"/>
    <n v="4626907"/>
    <n v="1843323"/>
    <n v="444626.59"/>
    <n v="156697.22099999999"/>
    <n v="160108.3311445929"/>
    <n v="11.752500000000001"/>
    <n v="258.88"/>
    <n v="4512"/>
    <n v="1455"/>
    <m/>
  </r>
  <r>
    <x v="18"/>
    <n v="10"/>
    <m/>
    <n v="11.099117726383728"/>
    <n v="11.156432930520692"/>
    <n v="29.52"/>
    <n v="3865.3459223316813"/>
    <n v="4561686"/>
    <n v="4635247"/>
    <n v="1847130"/>
    <n v="445355.22"/>
    <n v="157503.777"/>
    <n v="160936.89801138837"/>
    <n v="134.87"/>
    <n v="71.42"/>
    <n v="4512"/>
    <n v="1455"/>
    <m/>
  </r>
  <r>
    <x v="18"/>
    <n v="11"/>
    <m/>
    <n v="11.099117726383728"/>
    <n v="11.156432930520692"/>
    <n v="29.38"/>
    <n v="3867.5904517768422"/>
    <n v="4561686"/>
    <n v="4635247"/>
    <n v="1847130"/>
    <n v="445355.22"/>
    <n v="157503.777"/>
    <n v="160936.89801138837"/>
    <n v="396.30250000000001"/>
    <n v="6.6950000000000003"/>
    <n v="4512"/>
    <n v="1455"/>
    <m/>
  </r>
  <r>
    <x v="18"/>
    <n v="12"/>
    <m/>
    <n v="11.099117726383728"/>
    <n v="11.156432930520692"/>
    <n v="32.049999999999997"/>
    <n v="3869.8349812220026"/>
    <n v="4561686"/>
    <n v="4635247"/>
    <n v="1847130"/>
    <n v="445355.22"/>
    <n v="157503.777"/>
    <n v="160936.89801138837"/>
    <n v="714.28500000000008"/>
    <n v="0.25"/>
    <n v="4512"/>
    <n v="1455"/>
    <m/>
  </r>
  <r>
    <x v="19"/>
    <n v="1"/>
    <m/>
    <n v="11.321100080911403"/>
    <n v="11.379561589131105"/>
    <n v="32.33"/>
    <n v="3872.0795106671635"/>
    <n v="4568006"/>
    <n v="4643577"/>
    <n v="1850925"/>
    <n v="446087.13"/>
    <n v="158898.726"/>
    <n v="162345.66322771218"/>
    <n v="991.4375"/>
    <n v="0"/>
    <n v="4512"/>
    <n v="1455"/>
    <m/>
  </r>
  <r>
    <x v="19"/>
    <n v="2"/>
    <m/>
    <n v="11.321100080911403"/>
    <n v="11.379561589131105"/>
    <n v="30.05"/>
    <n v="3874.3240401123239"/>
    <n v="4568006"/>
    <n v="4643577"/>
    <n v="1850925"/>
    <n v="446087.13"/>
    <n v="158898.726"/>
    <n v="162345.66322771218"/>
    <n v="890.05499999999995"/>
    <n v="0"/>
    <n v="4512"/>
    <n v="1455"/>
    <m/>
  </r>
  <r>
    <x v="19"/>
    <n v="3"/>
    <m/>
    <n v="11.321100080911403"/>
    <n v="11.379561589131105"/>
    <n v="30.19"/>
    <n v="3876.5685695574848"/>
    <n v="4568006"/>
    <n v="4643577"/>
    <n v="1850925"/>
    <n v="446087.13"/>
    <n v="158898.726"/>
    <n v="162345.66322771218"/>
    <n v="724.63750000000005"/>
    <n v="0.92249999999999999"/>
    <n v="4512"/>
    <n v="1455"/>
    <m/>
  </r>
  <r>
    <x v="19"/>
    <n v="4"/>
    <m/>
    <n v="11.321100080911403"/>
    <n v="11.379561589131105"/>
    <n v="30.33"/>
    <n v="3878.8130990026452"/>
    <n v="4574287"/>
    <n v="4651897"/>
    <n v="1854689"/>
    <n v="446766.12"/>
    <n v="159849.41"/>
    <n v="163364.39585983477"/>
    <n v="433.4375"/>
    <n v="13.477500000000001"/>
    <n v="4512"/>
    <n v="1455"/>
    <m/>
  </r>
  <r>
    <x v="19"/>
    <n v="5"/>
    <m/>
    <n v="11.321100080911403"/>
    <n v="11.379561589131105"/>
    <n v="30.14"/>
    <n v="3881.0576284478061"/>
    <n v="4574287"/>
    <n v="4651897"/>
    <n v="1854689"/>
    <n v="446766.12"/>
    <n v="159849.41"/>
    <n v="163364.39585983477"/>
    <n v="189.125"/>
    <n v="46.06"/>
    <n v="4512"/>
    <n v="1455"/>
    <m/>
  </r>
  <r>
    <x v="19"/>
    <n v="6"/>
    <m/>
    <n v="11.321100080911403"/>
    <n v="11.379561589131105"/>
    <n v="30.52"/>
    <n v="3883.3021578929679"/>
    <n v="4574287"/>
    <n v="4651897"/>
    <n v="1854689"/>
    <n v="446766.12"/>
    <n v="159849.41"/>
    <n v="163364.39585983477"/>
    <n v="50.362499999999997"/>
    <n v="166.4075"/>
    <n v="4512"/>
    <n v="1455"/>
    <m/>
  </r>
  <r>
    <x v="19"/>
    <n v="7"/>
    <m/>
    <n v="11.321100080911403"/>
    <n v="11.379561589131105"/>
    <n v="30.67"/>
    <n v="3885.535930363792"/>
    <n v="4580526"/>
    <n v="4660206"/>
    <n v="1858519"/>
    <n v="447440.74"/>
    <n v="160644.163"/>
    <n v="164150.30890120674"/>
    <n v="1.625"/>
    <n v="326.005"/>
    <n v="4512"/>
    <n v="1455"/>
    <m/>
  </r>
  <r>
    <x v="19"/>
    <n v="8"/>
    <m/>
    <n v="11.321100080911403"/>
    <n v="11.379561589131105"/>
    <n v="29.48"/>
    <n v="3887.7697028346161"/>
    <n v="4580526"/>
    <n v="4660206"/>
    <n v="1858519"/>
    <n v="447440.74"/>
    <n v="160644.163"/>
    <n v="164150.30890120674"/>
    <n v="0.75"/>
    <n v="348.8175"/>
    <n v="4512"/>
    <n v="1455"/>
    <m/>
  </r>
  <r>
    <x v="19"/>
    <n v="9"/>
    <m/>
    <n v="11.321100080911403"/>
    <n v="11.379561589131105"/>
    <n v="30.52"/>
    <n v="3890.0034753054397"/>
    <n v="4580526"/>
    <n v="4660206"/>
    <n v="1858519"/>
    <n v="447440.74"/>
    <n v="160644.163"/>
    <n v="164150.30890120674"/>
    <n v="11.752500000000001"/>
    <n v="258.88"/>
    <n v="4512"/>
    <n v="1455"/>
    <m/>
  </r>
  <r>
    <x v="19"/>
    <n v="10"/>
    <m/>
    <n v="11.321100080911403"/>
    <n v="11.379561589131105"/>
    <n v="29.71"/>
    <n v="3892.2372477762638"/>
    <n v="4586725"/>
    <n v="4668504"/>
    <n v="1862254"/>
    <n v="448112.73"/>
    <n v="161348.13399999999"/>
    <n v="164769.80057959011"/>
    <n v="134.87"/>
    <n v="71.42"/>
    <n v="4512"/>
    <n v="1455"/>
    <m/>
  </r>
  <r>
    <x v="19"/>
    <n v="11"/>
    <m/>
    <n v="11.321100080911403"/>
    <n v="11.379561589131105"/>
    <n v="29.57"/>
    <n v="3894.4710202470878"/>
    <n v="4586725"/>
    <n v="4668504"/>
    <n v="1862254"/>
    <n v="448112.73"/>
    <n v="161348.13399999999"/>
    <n v="164769.80057959011"/>
    <n v="396.30250000000001"/>
    <n v="6.6950000000000003"/>
    <n v="4512"/>
    <n v="1455"/>
    <m/>
  </r>
  <r>
    <x v="19"/>
    <n v="12"/>
    <m/>
    <n v="11.321100080911403"/>
    <n v="11.379561589131105"/>
    <n v="32.619999999999997"/>
    <n v="3896.7047927179119"/>
    <n v="4586725"/>
    <n v="4668504"/>
    <n v="1862254"/>
    <n v="448112.73"/>
    <n v="161348.13399999999"/>
    <n v="164769.80057959011"/>
    <n v="714.28500000000008"/>
    <n v="0.25"/>
    <n v="4512"/>
    <n v="1455"/>
    <m/>
  </r>
  <r>
    <x v="20"/>
    <n v="1"/>
    <m/>
    <n v="11.547522082529632"/>
    <n v="11.607152820913727"/>
    <n v="33.049999999999997"/>
    <n v="3898.9385651887355"/>
    <n v="4592883"/>
    <n v="4676790"/>
    <n v="1865962"/>
    <n v="448739.24"/>
    <n v="162475.66899999999"/>
    <n v="165937.30888812992"/>
    <n v="991.4375"/>
    <n v="0"/>
    <n v="4512"/>
    <n v="1455"/>
    <m/>
  </r>
  <r>
    <x v="20"/>
    <n v="2"/>
    <m/>
    <n v="11.547522082529632"/>
    <n v="11.607152820913727"/>
    <n v="30.14"/>
    <n v="3901.1723376595596"/>
    <n v="4592883"/>
    <n v="4676790"/>
    <n v="1865962"/>
    <n v="448739.24"/>
    <n v="162475.66899999999"/>
    <n v="165937.30888812992"/>
    <n v="890.05499999999995"/>
    <n v="0"/>
    <n v="4512"/>
    <n v="1455"/>
    <m/>
  </r>
  <r>
    <x v="20"/>
    <n v="3"/>
    <m/>
    <n v="11.547522082529632"/>
    <n v="11.607152820913727"/>
    <n v="30"/>
    <n v="3903.4061101303837"/>
    <n v="4592883"/>
    <n v="4676790"/>
    <n v="1865962"/>
    <n v="448739.24"/>
    <n v="162475.66899999999"/>
    <n v="165937.30888812992"/>
    <n v="724.63750000000005"/>
    <n v="0.92249999999999999"/>
    <n v="4512"/>
    <n v="1455"/>
    <m/>
  </r>
  <r>
    <x v="20"/>
    <n v="4"/>
    <m/>
    <n v="11.547522082529632"/>
    <n v="11.607152820913727"/>
    <n v="30.86"/>
    <n v="3905.6398826012078"/>
    <n v="4598987"/>
    <n v="4685051"/>
    <n v="1869652"/>
    <n v="449384.34"/>
    <n v="163161.704"/>
    <n v="166704.94952080987"/>
    <n v="433.4375"/>
    <n v="13.477500000000001"/>
    <n v="4512"/>
    <n v="1455"/>
    <m/>
  </r>
  <r>
    <x v="20"/>
    <n v="5"/>
    <m/>
    <n v="11.547522082529632"/>
    <n v="11.607152820913727"/>
    <n v="29.48"/>
    <n v="3907.8736550720314"/>
    <n v="4598987"/>
    <n v="4685051"/>
    <n v="1869652"/>
    <n v="449384.34"/>
    <n v="163161.704"/>
    <n v="166704.94952080987"/>
    <n v="189.125"/>
    <n v="46.06"/>
    <n v="4512"/>
    <n v="1455"/>
    <m/>
  </r>
  <r>
    <x v="20"/>
    <n v="6"/>
    <m/>
    <n v="11.547522082529632"/>
    <n v="11.607152820913727"/>
    <n v="30.67"/>
    <n v="3910.1074275428555"/>
    <n v="4598987"/>
    <n v="4685051"/>
    <n v="1869652"/>
    <n v="449384.34"/>
    <n v="163161.704"/>
    <n v="166704.94952080987"/>
    <n v="50.362499999999997"/>
    <n v="166.4075"/>
    <n v="4512"/>
    <n v="1455"/>
    <m/>
  </r>
  <r>
    <x v="20"/>
    <n v="7"/>
    <m/>
    <n v="11.547522082529632"/>
    <n v="11.607152820913727"/>
    <n v="30.71"/>
    <n v="3912.3264178489458"/>
    <n v="4605050"/>
    <n v="4693299"/>
    <n v="1873307"/>
    <n v="450018.94"/>
    <n v="163854.01199999999"/>
    <n v="167495.73989521823"/>
    <n v="1.625"/>
    <n v="326.005"/>
    <n v="4512"/>
    <n v="1455"/>
    <m/>
  </r>
  <r>
    <x v="20"/>
    <n v="8"/>
    <m/>
    <n v="11.547522082529632"/>
    <n v="11.607152820913727"/>
    <n v="29.52"/>
    <n v="3914.5454081550356"/>
    <n v="4605050"/>
    <n v="4693299"/>
    <n v="1873307"/>
    <n v="450018.94"/>
    <n v="163854.01199999999"/>
    <n v="167495.73989521823"/>
    <n v="0.75"/>
    <n v="348.8175"/>
    <n v="4512"/>
    <n v="1455"/>
    <m/>
  </r>
  <r>
    <x v="20"/>
    <n v="9"/>
    <m/>
    <n v="11.547522082529632"/>
    <n v="11.607152820913727"/>
    <n v="30.52"/>
    <n v="3916.7643984611259"/>
    <n v="4605050"/>
    <n v="4693299"/>
    <n v="1873307"/>
    <n v="450018.94"/>
    <n v="163854.01199999999"/>
    <n v="167495.73989521823"/>
    <n v="11.752500000000001"/>
    <n v="258.88"/>
    <n v="4512"/>
    <n v="1455"/>
    <m/>
  </r>
  <r>
    <x v="20"/>
    <n v="10"/>
    <m/>
    <n v="11.547522082529632"/>
    <n v="11.607152820913727"/>
    <n v="29.62"/>
    <n v="3918.9833887672157"/>
    <n v="4611069"/>
    <n v="4701533"/>
    <n v="1877029"/>
    <n v="450942.19"/>
    <n v="164597.87899999999"/>
    <n v="168282.95005042473"/>
    <n v="134.87"/>
    <n v="71.42"/>
    <n v="4512"/>
    <n v="1455"/>
    <m/>
  </r>
  <r>
    <x v="20"/>
    <n v="11"/>
    <m/>
    <n v="11.547522082529632"/>
    <n v="11.607152820913727"/>
    <n v="29.1"/>
    <n v="3921.202379073306"/>
    <n v="4611069"/>
    <n v="4701533"/>
    <n v="1877029"/>
    <n v="450942.19"/>
    <n v="164597.87899999999"/>
    <n v="168282.95005042473"/>
    <n v="396.30250000000001"/>
    <n v="6.6950000000000003"/>
    <n v="4512"/>
    <n v="1455"/>
    <m/>
  </r>
  <r>
    <x v="20"/>
    <n v="12"/>
    <m/>
    <n v="11.547522082529632"/>
    <n v="11.607152820913727"/>
    <n v="31.67"/>
    <n v="3923.4213693793963"/>
    <n v="4611069"/>
    <n v="4701533"/>
    <n v="1877029"/>
    <n v="450942.19"/>
    <n v="164597.87899999999"/>
    <n v="168282.95005042473"/>
    <n v="714.28500000000008"/>
    <n v="0.25"/>
    <n v="4512"/>
    <n v="1455"/>
    <m/>
  </r>
  <r>
    <x v="21"/>
    <n v="1"/>
    <m/>
    <n v="11.778472524180225"/>
    <n v="11.839295877332003"/>
    <n v="32.71"/>
    <n v="3925.6403596854861"/>
    <n v="4617046"/>
    <n v="4709753"/>
    <n v="1880136"/>
    <n v="451400.1"/>
    <n v="165857.508"/>
    <n v="169537.54043155216"/>
    <n v="991.4375"/>
    <n v="0"/>
    <n v="4512"/>
    <n v="1455"/>
    <m/>
  </r>
  <r>
    <x v="21"/>
    <n v="2"/>
    <m/>
    <n v="11.778472524180225"/>
    <n v="11.839295877332003"/>
    <n v="29.81"/>
    <n v="3927.8593499915764"/>
    <n v="4617046"/>
    <n v="4709753"/>
    <n v="1880136"/>
    <n v="451400.1"/>
    <n v="165857.508"/>
    <n v="169537.54043155216"/>
    <n v="890.05499999999995"/>
    <n v="0"/>
    <n v="4512"/>
    <n v="1455"/>
    <m/>
  </r>
  <r>
    <x v="21"/>
    <n v="3"/>
    <m/>
    <n v="11.778472524180225"/>
    <n v="11.839295877332003"/>
    <n v="30.33"/>
    <n v="3930.0783402976663"/>
    <n v="4617046"/>
    <n v="4709753"/>
    <n v="1880136"/>
    <n v="451400.1"/>
    <n v="165857.508"/>
    <n v="169537.54043155216"/>
    <n v="724.63750000000005"/>
    <n v="0.92249999999999999"/>
    <n v="4512"/>
    <n v="1455"/>
    <m/>
  </r>
  <r>
    <x v="21"/>
    <n v="4"/>
    <m/>
    <n v="11.778472524180225"/>
    <n v="11.839295877332003"/>
    <n v="30.19"/>
    <n v="3932.2973306037566"/>
    <n v="4622977"/>
    <n v="4717958"/>
    <n v="1883181"/>
    <n v="452079.74"/>
    <n v="166796.47399999999"/>
    <n v="170340.13867575288"/>
    <n v="433.4375"/>
    <n v="13.477500000000001"/>
    <n v="4512"/>
    <n v="1455"/>
    <m/>
  </r>
  <r>
    <x v="21"/>
    <n v="5"/>
    <m/>
    <n v="11.778472524180225"/>
    <n v="11.839295877332003"/>
    <n v="30.14"/>
    <n v="3934.5163209098464"/>
    <n v="4622977"/>
    <n v="4717958"/>
    <n v="1883181"/>
    <n v="452079.74"/>
    <n v="166796.47399999999"/>
    <n v="170340.13867575288"/>
    <n v="189.125"/>
    <n v="46.06"/>
    <n v="4512"/>
    <n v="1455"/>
    <m/>
  </r>
  <r>
    <x v="21"/>
    <n v="6"/>
    <m/>
    <n v="11.778472524180225"/>
    <n v="11.839295877332003"/>
    <n v="30.67"/>
    <n v="3936.7353112159381"/>
    <n v="4622977"/>
    <n v="4717958"/>
    <n v="1883181"/>
    <n v="452079.75"/>
    <n v="166796.47399999999"/>
    <n v="170340.13867575288"/>
    <n v="50.362499999999997"/>
    <n v="166.4075"/>
    <n v="4512"/>
    <n v="1455"/>
    <m/>
  </r>
  <r>
    <x v="21"/>
    <n v="7"/>
    <m/>
    <n v="11.778472524180225"/>
    <n v="11.839295877332003"/>
    <n v="30.71"/>
    <n v="3938.9357023664011"/>
    <n v="4628852"/>
    <n v="4726133"/>
    <n v="1886179"/>
    <n v="452753.05"/>
    <n v="167787.24299999999"/>
    <n v="171251.59311398395"/>
    <n v="1.625"/>
    <n v="326.005"/>
    <n v="4512"/>
    <n v="1455"/>
    <m/>
  </r>
  <r>
    <x v="21"/>
    <n v="8"/>
    <m/>
    <n v="11.778472524180225"/>
    <n v="11.839295877332003"/>
    <n v="29.52"/>
    <n v="3941.1360935168641"/>
    <n v="4628852"/>
    <n v="4726133"/>
    <n v="1886179"/>
    <n v="452753.05"/>
    <n v="167787.24299999999"/>
    <n v="171251.59311398395"/>
    <n v="0.75"/>
    <n v="348.8175"/>
    <n v="4512"/>
    <n v="1455"/>
    <m/>
  </r>
  <r>
    <x v="21"/>
    <n v="9"/>
    <m/>
    <n v="11.778472524180225"/>
    <n v="11.839295877332003"/>
    <n v="30.52"/>
    <n v="3943.3364846673267"/>
    <n v="4628852"/>
    <n v="4726133"/>
    <n v="1886179"/>
    <n v="452753.05"/>
    <n v="167787.24299999999"/>
    <n v="171251.59311398395"/>
    <n v="11.752500000000001"/>
    <n v="258.88"/>
    <n v="4512"/>
    <n v="1455"/>
    <m/>
  </r>
  <r>
    <x v="21"/>
    <n v="10"/>
    <m/>
    <n v="11.778472524180225"/>
    <n v="11.839295877332003"/>
    <n v="29.62"/>
    <n v="3945.5368758177897"/>
    <n v="4634681"/>
    <n v="4734292"/>
    <n v="1889012"/>
    <n v="453444.29"/>
    <n v="168781.15"/>
    <n v="172124.28850790611"/>
    <n v="134.87"/>
    <n v="71.42"/>
    <n v="4512"/>
    <n v="1455"/>
    <m/>
  </r>
  <r>
    <x v="21"/>
    <n v="11"/>
    <m/>
    <n v="11.778472524180225"/>
    <n v="11.839295877332003"/>
    <n v="29.95"/>
    <n v="3947.7372669682527"/>
    <n v="4634681"/>
    <n v="4734292"/>
    <n v="1889012"/>
    <n v="453444.29"/>
    <n v="168781.15"/>
    <n v="172124.28850790611"/>
    <n v="396.30250000000001"/>
    <n v="6.6950000000000003"/>
    <n v="4512"/>
    <n v="1455"/>
    <m/>
  </r>
  <r>
    <x v="21"/>
    <n v="12"/>
    <m/>
    <n v="11.778472524180225"/>
    <n v="11.839295877332003"/>
    <n v="31.24"/>
    <n v="3949.9376581187157"/>
    <n v="4634681"/>
    <n v="4734292"/>
    <n v="1889012"/>
    <n v="453444.29"/>
    <n v="168781.15"/>
    <n v="172124.28850790611"/>
    <n v="714.28500000000008"/>
    <n v="0.25"/>
    <n v="4512"/>
    <n v="1455"/>
    <m/>
  </r>
  <r>
    <x v="22"/>
    <n v="1"/>
    <m/>
    <n v="12.014041974663829"/>
    <n v="12.076081794878643"/>
    <n v="32.67"/>
    <n v="3952.1380492691783"/>
    <n v="4640466"/>
    <n v="4742434"/>
    <n v="1892016"/>
    <n v="454158.7"/>
    <n v="170138.21400000001"/>
    <n v="173475.42312358608"/>
    <n v="991.4375"/>
    <n v="0"/>
    <n v="4512"/>
    <n v="1455"/>
    <m/>
  </r>
  <r>
    <x v="22"/>
    <n v="2"/>
    <m/>
    <n v="12.014041974663829"/>
    <n v="12.076081794878643"/>
    <n v="29.86"/>
    <n v="3954.3384404196413"/>
    <n v="4640466"/>
    <n v="4742434"/>
    <n v="1892016"/>
    <n v="454158.7"/>
    <n v="170138.21400000001"/>
    <n v="173475.42312358608"/>
    <n v="890.05499999999995"/>
    <n v="0"/>
    <n v="4512"/>
    <n v="1455"/>
    <m/>
  </r>
  <r>
    <x v="22"/>
    <n v="3"/>
    <m/>
    <n v="12.014041974663829"/>
    <n v="12.076081794878643"/>
    <n v="30.29"/>
    <n v="3956.5388315701043"/>
    <n v="4640466"/>
    <n v="4742434"/>
    <n v="1892016"/>
    <n v="454158.7"/>
    <n v="170138.21400000001"/>
    <n v="173475.42312358608"/>
    <n v="724.63750000000005"/>
    <n v="0.92249999999999999"/>
    <n v="4512"/>
    <n v="1455"/>
    <m/>
  </r>
  <r>
    <x v="22"/>
    <n v="4"/>
    <m/>
    <n v="12.014041974663829"/>
    <n v="12.076081794878643"/>
    <n v="30.67"/>
    <n v="3958.7392227205673"/>
    <n v="4646202"/>
    <n v="4750558"/>
    <n v="1894974"/>
    <n v="454889.74"/>
    <n v="171101.02100000001"/>
    <n v="174492.75194418832"/>
    <n v="433.4375"/>
    <n v="13.477500000000001"/>
    <n v="4512"/>
    <n v="1455"/>
    <m/>
  </r>
  <r>
    <x v="22"/>
    <n v="5"/>
    <m/>
    <n v="12.014041974663829"/>
    <n v="12.076081794878643"/>
    <n v="29.71"/>
    <n v="3960.9396138710299"/>
    <n v="4646202"/>
    <n v="4750558"/>
    <n v="1894974"/>
    <n v="454889.74"/>
    <n v="171101.02100000001"/>
    <n v="174492.75194418832"/>
    <n v="189.125"/>
    <n v="46.06"/>
    <n v="4512"/>
    <n v="1455"/>
    <m/>
  </r>
  <r>
    <x v="22"/>
    <n v="6"/>
    <m/>
    <n v="12.014041974663829"/>
    <n v="12.076081794878643"/>
    <n v="30.62"/>
    <n v="3963.1400050214911"/>
    <n v="4646202"/>
    <n v="4750558"/>
    <n v="1894974"/>
    <n v="454889.74"/>
    <n v="171101.02100000001"/>
    <n v="174492.75194418832"/>
    <n v="50.362499999999997"/>
    <n v="166.4075"/>
    <n v="4512"/>
    <n v="1455"/>
    <m/>
  </r>
  <r>
    <x v="22"/>
    <n v="7"/>
    <m/>
    <n v="12.014041974663829"/>
    <n v="12.076081794878643"/>
    <n v="30.81"/>
    <n v="3965.3174248267569"/>
    <n v="4651880"/>
    <n v="4758649"/>
    <n v="1897896"/>
    <n v="455610.93"/>
    <n v="172007.791"/>
    <n v="175470.4051019061"/>
    <n v="1.625"/>
    <n v="326.005"/>
    <n v="4512"/>
    <n v="1455"/>
    <m/>
  </r>
  <r>
    <x v="22"/>
    <n v="8"/>
    <m/>
    <n v="12.014041974663829"/>
    <n v="12.076081794878643"/>
    <n v="29.43"/>
    <n v="3967.4948446320232"/>
    <n v="4651880"/>
    <n v="4758649"/>
    <n v="1897896"/>
    <n v="455610.93"/>
    <n v="172007.791"/>
    <n v="175470.4051019061"/>
    <n v="0.75"/>
    <n v="348.8175"/>
    <n v="4512"/>
    <n v="1455"/>
    <m/>
  </r>
  <r>
    <x v="22"/>
    <n v="9"/>
    <m/>
    <n v="12.014041974663829"/>
    <n v="12.076081794878643"/>
    <n v="30.57"/>
    <n v="3969.672264437289"/>
    <n v="4651880"/>
    <n v="4758649"/>
    <n v="1897896"/>
    <n v="455610.93"/>
    <n v="172007.791"/>
    <n v="175470.4051019061"/>
    <n v="11.752500000000001"/>
    <n v="258.88"/>
    <n v="4512"/>
    <n v="1455"/>
    <m/>
  </r>
  <r>
    <x v="22"/>
    <n v="10"/>
    <m/>
    <n v="12.014041974663829"/>
    <n v="12.076081794878643"/>
    <n v="29.67"/>
    <n v="3971.8496842425548"/>
    <n v="4657498"/>
    <n v="4766709"/>
    <n v="1900654"/>
    <n v="456727.71"/>
    <n v="172918.79399999999"/>
    <n v="176432.43907674521"/>
    <n v="134.87"/>
    <n v="71.42"/>
    <n v="4512"/>
    <n v="1455"/>
    <m/>
  </r>
  <r>
    <x v="22"/>
    <n v="11"/>
    <m/>
    <n v="12.014041974663829"/>
    <n v="12.076081794878643"/>
    <n v="30.05"/>
    <n v="3974.027104047821"/>
    <n v="4657498"/>
    <n v="4766709"/>
    <n v="1900654"/>
    <n v="456727.71"/>
    <n v="172918.79399999999"/>
    <n v="176432.43907674521"/>
    <n v="396.30250000000001"/>
    <n v="6.6950000000000003"/>
    <n v="4512"/>
    <n v="1455"/>
    <m/>
  </r>
  <r>
    <x v="22"/>
    <n v="12"/>
    <m/>
    <n v="12.014041974663829"/>
    <n v="12.076081794878643"/>
    <n v="30.67"/>
    <n v="3976.2045238530868"/>
    <n v="4657498"/>
    <n v="4766709"/>
    <n v="1900654"/>
    <n v="456727.71"/>
    <n v="172918.79399999999"/>
    <n v="176432.43907674521"/>
    <n v="714.28500000000008"/>
    <n v="0.25"/>
    <n v="4512"/>
    <n v="1455"/>
    <m/>
  </r>
  <r>
    <x v="23"/>
    <n v="1"/>
    <m/>
    <n v="12.254322814157106"/>
    <n v="12.317603430776217"/>
    <n v="32.67"/>
    <n v="3978.3819436583526"/>
    <n v="4663069"/>
    <n v="4774749"/>
    <n v="1904035"/>
    <n v="457266.53"/>
    <n v="174458.15100000001"/>
    <n v="178033.21975543263"/>
    <n v="991.4375"/>
    <n v="0"/>
    <n v="4512"/>
    <n v="1455"/>
    <m/>
  </r>
  <r>
    <x v="23"/>
    <n v="2"/>
    <m/>
    <n v="12.254322814157106"/>
    <n v="12.317603430776217"/>
    <n v="29.86"/>
    <n v="3980.5593634636189"/>
    <n v="4663069"/>
    <n v="4774749"/>
    <n v="1904035"/>
    <n v="457266.53"/>
    <n v="174458.15100000001"/>
    <n v="178033.21975543263"/>
    <n v="890.05499999999995"/>
    <n v="0"/>
    <n v="4512"/>
    <n v="1455"/>
    <m/>
  </r>
  <r>
    <x v="23"/>
    <n v="3"/>
    <m/>
    <n v="12.254322814157106"/>
    <n v="12.317603430776217"/>
    <n v="30.43"/>
    <n v="3982.7367832688847"/>
    <n v="4663069"/>
    <n v="4774749"/>
    <n v="1904035"/>
    <n v="457266.53"/>
    <n v="174458.15100000001"/>
    <n v="178033.21975543263"/>
    <n v="724.63750000000005"/>
    <n v="0.92249999999999999"/>
    <n v="4512"/>
    <n v="1455"/>
    <m/>
  </r>
  <r>
    <x v="23"/>
    <n v="4"/>
    <m/>
    <n v="12.254322814157106"/>
    <n v="12.317603430776217"/>
    <n v="30.71"/>
    <n v="3984.9142030741509"/>
    <n v="4668591"/>
    <n v="4782770"/>
    <n v="1907376"/>
    <n v="457841.65"/>
    <n v="175426.49799999999"/>
    <n v="179011.21783820438"/>
    <n v="433.4375"/>
    <n v="13.477500000000001"/>
    <n v="4512"/>
    <n v="1455"/>
    <m/>
  </r>
  <r>
    <x v="23"/>
    <n v="5"/>
    <m/>
    <n v="12.254322814157106"/>
    <n v="12.317603430776217"/>
    <n v="29.52"/>
    <n v="3987.0916228794167"/>
    <n v="4668591"/>
    <n v="4782770"/>
    <n v="1907376"/>
    <n v="457841.65"/>
    <n v="175426.49799999999"/>
    <n v="179011.21783820438"/>
    <n v="189.125"/>
    <n v="46.06"/>
    <n v="4512"/>
    <n v="1455"/>
    <m/>
  </r>
  <r>
    <x v="23"/>
    <n v="6"/>
    <m/>
    <n v="12.254322814157106"/>
    <n v="12.317603430776217"/>
    <n v="30.62"/>
    <n v="3989.2690426846852"/>
    <n v="4668591"/>
    <n v="4782770"/>
    <n v="1907376"/>
    <n v="457841.65"/>
    <n v="175426.49799999999"/>
    <n v="179011.21783820438"/>
    <n v="50.362499999999997"/>
    <n v="166.4075"/>
    <n v="4512"/>
    <n v="1455"/>
    <m/>
  </r>
  <r>
    <x v="23"/>
    <n v="7"/>
    <m/>
    <n v="12.254322814157106"/>
    <n v="12.317603430776217"/>
    <n v="30.71"/>
    <n v="3991.4243239427683"/>
    <n v="4674053"/>
    <n v="4790758"/>
    <n v="1910717"/>
    <n v="458401.24"/>
    <n v="176369.43100000001"/>
    <n v="179957.81109507804"/>
    <n v="1.625"/>
    <n v="326.005"/>
    <n v="4512"/>
    <n v="1455"/>
    <m/>
  </r>
  <r>
    <x v="23"/>
    <n v="8"/>
    <m/>
    <n v="12.254322814157106"/>
    <n v="12.317603430776217"/>
    <n v="29.52"/>
    <n v="3993.5796052008513"/>
    <n v="4674053"/>
    <n v="4790758"/>
    <n v="1910717"/>
    <n v="458401.24"/>
    <n v="176369.43100000001"/>
    <n v="179957.81109507804"/>
    <n v="0.75"/>
    <n v="348.8175"/>
    <n v="4512"/>
    <n v="1455"/>
    <m/>
  </r>
  <r>
    <x v="23"/>
    <n v="9"/>
    <m/>
    <n v="12.254322814157106"/>
    <n v="12.317603430776217"/>
    <n v="30.57"/>
    <n v="3995.7348864589344"/>
    <n v="4674053"/>
    <n v="4790758"/>
    <n v="1910717"/>
    <n v="458401.24"/>
    <n v="176369.43100000001"/>
    <n v="179957.81109507804"/>
    <n v="11.752500000000001"/>
    <n v="258.88"/>
    <n v="4512"/>
    <n v="1455"/>
    <m/>
  </r>
  <r>
    <x v="23"/>
    <n v="10"/>
    <m/>
    <n v="12.254322814157106"/>
    <n v="12.317603430776217"/>
    <n v="29.67"/>
    <n v="3997.8901677170174"/>
    <n v="4679467"/>
    <n v="4798725"/>
    <n v="1913933"/>
    <n v="458955.81"/>
    <n v="177331.9"/>
    <n v="180913.45966094849"/>
    <n v="134.87"/>
    <n v="71.42"/>
    <n v="4512"/>
    <n v="1455"/>
    <m/>
  </r>
  <r>
    <x v="23"/>
    <n v="11"/>
    <m/>
    <n v="12.254322814157106"/>
    <n v="12.317603430776217"/>
    <n v="29.38"/>
    <n v="4000.0454489751"/>
    <n v="4679467"/>
    <n v="4798725"/>
    <n v="1913933"/>
    <n v="458955.81"/>
    <n v="177331.9"/>
    <n v="180913.45966094849"/>
    <n v="396.30250000000001"/>
    <n v="6.6950000000000003"/>
    <n v="4512"/>
    <n v="1455"/>
    <m/>
  </r>
  <r>
    <x v="23"/>
    <n v="12"/>
    <m/>
    <n v="12.254322814157106"/>
    <n v="12.317603430776217"/>
    <n v="32.43"/>
    <n v="4002.2007302331831"/>
    <n v="4679467"/>
    <n v="4798725"/>
    <n v="1913933"/>
    <n v="458955.81"/>
    <n v="177331.9"/>
    <n v="180913.45966094849"/>
    <n v="714.28500000000008"/>
    <n v="0.25"/>
    <n v="4512"/>
    <n v="1455"/>
    <m/>
  </r>
  <r>
    <x v="24"/>
    <n v="1"/>
    <m/>
    <n v="12.499409270440248"/>
    <n v="12.56395549939174"/>
    <n v="32.33"/>
    <n v="4004.3560114912661"/>
    <n v="4684833"/>
    <n v="4806673"/>
    <n v="1917356"/>
    <n v="459780.22"/>
    <n v="178892.09099999999"/>
    <n v="182514.28815460778"/>
    <n v="991.4375"/>
    <n v="0"/>
    <n v="4512"/>
    <n v="1455"/>
    <m/>
  </r>
  <r>
    <x v="24"/>
    <n v="2"/>
    <m/>
    <n v="12.499409270440248"/>
    <n v="12.56395549939174"/>
    <n v="30.05"/>
    <n v="4006.5112927493492"/>
    <n v="4684833"/>
    <n v="4806673"/>
    <n v="1917356"/>
    <n v="459780.22"/>
    <n v="178892.09099999999"/>
    <n v="182514.28815460778"/>
    <n v="890.05499999999995"/>
    <n v="0"/>
    <n v="4512"/>
    <n v="1455"/>
    <m/>
  </r>
  <r>
    <x v="24"/>
    <n v="3"/>
    <m/>
    <n v="12.499409270440248"/>
    <n v="12.56395549939174"/>
    <n v="30.19"/>
    <n v="4008.6665740074318"/>
    <n v="4684833"/>
    <n v="4806673"/>
    <n v="1917356"/>
    <n v="459780.22"/>
    <n v="178892.09099999999"/>
    <n v="182514.28815460778"/>
    <n v="724.63750000000005"/>
    <n v="0.92249999999999999"/>
    <n v="4512"/>
    <n v="1455"/>
    <m/>
  </r>
  <r>
    <x v="24"/>
    <n v="4"/>
    <m/>
    <n v="12.499409270440248"/>
    <n v="12.56395549939174"/>
    <n v="30"/>
    <n v="4010.8218552655148"/>
    <n v="4690175"/>
    <n v="4814601"/>
    <n v="1920764"/>
    <n v="460620.37"/>
    <n v="179884.057"/>
    <n v="183531.89977430113"/>
    <n v="433.4375"/>
    <n v="13.477500000000001"/>
    <n v="4512"/>
    <n v="1455"/>
    <m/>
  </r>
  <r>
    <x v="24"/>
    <n v="5"/>
    <m/>
    <n v="12.499409270440248"/>
    <n v="12.56395549939174"/>
    <n v="30.48"/>
    <n v="4012.9771365235979"/>
    <n v="4690175"/>
    <n v="4814601"/>
    <n v="1920764"/>
    <n v="460620.37"/>
    <n v="179884.057"/>
    <n v="183531.89977430113"/>
    <n v="189.125"/>
    <n v="46.06"/>
    <n v="4512"/>
    <n v="1455"/>
    <m/>
  </r>
  <r>
    <x v="24"/>
    <n v="6"/>
    <m/>
    <n v="12.499409270440248"/>
    <n v="12.56395549939174"/>
    <n v="30.52"/>
    <n v="4015.1324177816782"/>
    <n v="4690175"/>
    <n v="4814601"/>
    <n v="1920764"/>
    <n v="460620.37"/>
    <n v="179884.057"/>
    <n v="183531.89977430113"/>
    <n v="50.362499999999997"/>
    <n v="166.4075"/>
    <n v="4512"/>
    <n v="1455"/>
    <m/>
  </r>
  <r>
    <x v="24"/>
    <n v="7"/>
    <m/>
    <n v="12.499409270440248"/>
    <n v="12.56395549939174"/>
    <n v="30.67"/>
    <n v="4017.2615353021802"/>
    <n v="4695482"/>
    <n v="4822495"/>
    <n v="1924183"/>
    <n v="461445.44"/>
    <n v="180786.26300000001"/>
    <n v="184449.74067686254"/>
    <n v="1.625"/>
    <n v="326.005"/>
    <n v="4512"/>
    <n v="1455"/>
    <m/>
  </r>
  <r>
    <x v="24"/>
    <n v="8"/>
    <m/>
    <n v="12.499409270440248"/>
    <n v="12.56395549939174"/>
    <n v="29.48"/>
    <n v="4019.3906528226826"/>
    <n v="4695482"/>
    <n v="4822495"/>
    <n v="1924183"/>
    <n v="461445.44"/>
    <n v="180786.26300000001"/>
    <n v="184449.74067686254"/>
    <n v="0.75"/>
    <n v="348.8175"/>
    <n v="4512"/>
    <n v="1455"/>
    <m/>
  </r>
  <r>
    <x v="24"/>
    <n v="9"/>
    <m/>
    <n v="12.499409270440248"/>
    <n v="12.56395549939174"/>
    <n v="30.86"/>
    <n v="4021.519770343185"/>
    <n v="4695482"/>
    <n v="4822495"/>
    <n v="1924183"/>
    <n v="461445.44"/>
    <n v="180786.26300000001"/>
    <n v="184449.74067686254"/>
    <n v="11.752500000000001"/>
    <n v="258.88"/>
    <n v="4512"/>
    <n v="1455"/>
    <m/>
  </r>
  <r>
    <x v="24"/>
    <n v="10"/>
    <m/>
    <n v="12.499409270440248"/>
    <n v="12.56395549939174"/>
    <n v="29.38"/>
    <n v="4023.6488878636874"/>
    <n v="4700775"/>
    <n v="4830368"/>
    <n v="1927490"/>
    <n v="462277.28"/>
    <n v="181695.31"/>
    <n v="185371.51588601226"/>
    <n v="134.87"/>
    <n v="71.42"/>
    <n v="4512"/>
    <n v="1455"/>
    <m/>
  </r>
  <r>
    <x v="24"/>
    <n v="11"/>
    <m/>
    <n v="12.499409270440248"/>
    <n v="12.56395549939174"/>
    <n v="29.57"/>
    <n v="4025.7780053841893"/>
    <n v="4700775"/>
    <n v="4830368"/>
    <n v="1927490"/>
    <n v="462277.28"/>
    <n v="181695.31"/>
    <n v="185371.51588601226"/>
    <n v="396.30250000000001"/>
    <n v="6.6950000000000003"/>
    <n v="4512"/>
    <n v="1455"/>
    <m/>
  </r>
  <r>
    <x v="24"/>
    <n v="12"/>
    <m/>
    <n v="12.499409270440248"/>
    <n v="12.56395549939174"/>
    <n v="31.81"/>
    <n v="4027.9071229046917"/>
    <n v="4700775"/>
    <n v="4830368"/>
    <n v="1927490"/>
    <n v="462277.28"/>
    <n v="181695.31"/>
    <n v="185371.51588601226"/>
    <n v="714.28500000000008"/>
    <n v="0.25"/>
    <n v="4512"/>
    <n v="1455"/>
    <m/>
  </r>
  <r>
    <x v="25"/>
    <n v="1"/>
    <m/>
    <n v="12.749397455849053"/>
    <n v="12.815234609379575"/>
    <n v="32.380000000000003"/>
    <n v="4030.0362404251941"/>
    <n v="4706046"/>
    <n v="4838222"/>
    <n v="1931021"/>
    <n v="463097.1"/>
    <n v="183193.88699999999"/>
    <n v="186895.25767533827"/>
    <n v="991.4375"/>
    <n v="0"/>
    <n v="4512"/>
    <n v="1455"/>
    <m/>
  </r>
  <r>
    <x v="25"/>
    <n v="2"/>
    <m/>
    <n v="12.749397455849053"/>
    <n v="12.815234609379575"/>
    <n v="30.19"/>
    <n v="4032.1653579456965"/>
    <n v="4706046"/>
    <n v="4838222"/>
    <n v="1931021"/>
    <n v="463097.1"/>
    <n v="183193.88699999999"/>
    <n v="186895.25767533827"/>
    <n v="890.05499999999995"/>
    <n v="0"/>
    <n v="4512"/>
    <n v="1455"/>
    <m/>
  </r>
  <r>
    <x v="25"/>
    <n v="3"/>
    <m/>
    <n v="12.749397455849053"/>
    <n v="12.815234609379575"/>
    <n v="30.05"/>
    <n v="4034.2944754661989"/>
    <n v="4706046"/>
    <n v="4838222"/>
    <n v="1931021"/>
    <n v="463097.1"/>
    <n v="183193.88699999999"/>
    <n v="186895.25767533827"/>
    <n v="724.63750000000005"/>
    <n v="0.92249999999999999"/>
    <n v="4512"/>
    <n v="1455"/>
    <m/>
  </r>
  <r>
    <x v="25"/>
    <n v="4"/>
    <m/>
    <n v="12.749397455849053"/>
    <n v="12.815234609379575"/>
    <n v="30.71"/>
    <n v="4036.4235929867009"/>
    <n v="4711295"/>
    <n v="4846054"/>
    <n v="1934539"/>
    <n v="463930.48"/>
    <n v="184162.48300000001"/>
    <n v="187882.63416620754"/>
    <n v="433.4375"/>
    <n v="13.477500000000001"/>
    <n v="4512"/>
    <n v="1455"/>
    <m/>
  </r>
  <r>
    <x v="25"/>
    <n v="5"/>
    <m/>
    <n v="12.749397455849053"/>
    <n v="12.815234609379575"/>
    <n v="29.9"/>
    <n v="4038.5527105072033"/>
    <n v="4711295"/>
    <n v="4846054"/>
    <n v="1934539"/>
    <n v="463930.48"/>
    <n v="184162.48300000001"/>
    <n v="187882.63416620754"/>
    <n v="189.125"/>
    <n v="46.06"/>
    <n v="4512"/>
    <n v="1455"/>
    <m/>
  </r>
  <r>
    <x v="25"/>
    <n v="6"/>
    <m/>
    <n v="12.749397455849053"/>
    <n v="12.815234609379575"/>
    <n v="30.38"/>
    <n v="4040.6818280277062"/>
    <n v="4711295"/>
    <n v="4846054"/>
    <n v="1934539"/>
    <n v="463930.48"/>
    <n v="184162.48300000001"/>
    <n v="187882.63416620754"/>
    <n v="50.362499999999997"/>
    <n v="166.4075"/>
    <n v="4512"/>
    <n v="1455"/>
    <m/>
  </r>
  <r>
    <x v="25"/>
    <n v="7"/>
    <m/>
    <n v="12.749397455849053"/>
    <n v="12.815234609379575"/>
    <n v="30.71"/>
    <n v="4042.7753434331453"/>
    <n v="4716497"/>
    <n v="4853840"/>
    <n v="1938073"/>
    <n v="464748.33"/>
    <n v="185034.74600000001"/>
    <n v="188752.79950890908"/>
    <n v="1.625"/>
    <n v="326.005"/>
    <n v="4512"/>
    <n v="1455"/>
    <m/>
  </r>
  <r>
    <x v="25"/>
    <n v="8"/>
    <m/>
    <n v="12.749397455849053"/>
    <n v="12.815234609379575"/>
    <n v="29.52"/>
    <n v="4044.8688588385849"/>
    <n v="4716497"/>
    <n v="4853840"/>
    <n v="1938073"/>
    <n v="464748.33"/>
    <n v="185034.74600000001"/>
    <n v="188752.79950890908"/>
    <n v="0.75"/>
    <n v="348.8175"/>
    <n v="4512"/>
    <n v="1455"/>
    <m/>
  </r>
  <r>
    <x v="25"/>
    <n v="9"/>
    <m/>
    <n v="12.749397455849053"/>
    <n v="12.815234609379575"/>
    <n v="30.48"/>
    <n v="4046.962374244024"/>
    <n v="4716497"/>
    <n v="4853840"/>
    <n v="1938073"/>
    <n v="464748.33"/>
    <n v="185034.74600000001"/>
    <n v="188752.79950890908"/>
    <n v="11.752500000000001"/>
    <n v="258.88"/>
    <n v="4512"/>
    <n v="1455"/>
    <m/>
  </r>
  <r>
    <x v="25"/>
    <n v="10"/>
    <m/>
    <n v="12.749397455849053"/>
    <n v="12.815234609379575"/>
    <n v="29.67"/>
    <n v="4049.0558896494636"/>
    <n v="4721676"/>
    <n v="4861604"/>
    <n v="1941453"/>
    <n v="465568.8"/>
    <n v="185915.33600000001"/>
    <n v="189619.49178872365"/>
    <n v="134.87"/>
    <n v="71.42"/>
    <n v="4512"/>
    <n v="1455"/>
    <m/>
  </r>
  <r>
    <x v="25"/>
    <n v="11"/>
    <m/>
    <n v="12.749397455849053"/>
    <n v="12.815234609379575"/>
    <n v="29.76"/>
    <n v="4051.1494050549027"/>
    <n v="4721676"/>
    <n v="4861604"/>
    <n v="1941453"/>
    <n v="465568.8"/>
    <n v="185915.33600000001"/>
    <n v="189619.49178872365"/>
    <n v="396.30250000000001"/>
    <n v="6.6950000000000003"/>
    <n v="4512"/>
    <n v="1455"/>
    <m/>
  </r>
  <r>
    <x v="25"/>
    <n v="12"/>
    <m/>
    <n v="12.749397455849053"/>
    <n v="12.815234609379575"/>
    <n v="31.57"/>
    <n v="4053.2429204603418"/>
    <n v="4721676"/>
    <n v="4861604"/>
    <n v="1941453"/>
    <n v="465568.8"/>
    <n v="185915.33600000001"/>
    <n v="189619.49178872365"/>
    <n v="714.28500000000008"/>
    <n v="0.25"/>
    <n v="4512"/>
    <n v="1455"/>
    <m/>
  </r>
  <r>
    <x v="26"/>
    <n v="1"/>
    <m/>
    <n v="13.004385404966033"/>
    <n v="13.071539301567165"/>
    <n v="32.520000000000003"/>
    <n v="4055.3364358657814"/>
    <n v="4726833"/>
    <n v="4869349"/>
    <n v="1945152"/>
    <n v="466382.71"/>
    <n v="187484.08600000001"/>
    <n v="191175.42449455697"/>
    <n v="991.4375"/>
    <n v="0"/>
    <n v="4512"/>
    <n v="1455"/>
    <m/>
  </r>
  <r>
    <x v="26"/>
    <n v="2"/>
    <m/>
    <n v="13.004385404966033"/>
    <n v="13.071539301567165"/>
    <n v="30.14"/>
    <n v="4057.4299512712205"/>
    <n v="4726833"/>
    <n v="4869349"/>
    <n v="1945152"/>
    <n v="466382.71"/>
    <n v="187484.08600000001"/>
    <n v="191175.42449455697"/>
    <n v="890.05499999999995"/>
    <n v="0"/>
    <n v="4512"/>
    <n v="1455"/>
    <m/>
  </r>
  <r>
    <x v="26"/>
    <n v="3"/>
    <m/>
    <n v="13.004385404966033"/>
    <n v="13.071539301567165"/>
    <n v="30.33"/>
    <n v="4059.5234666766601"/>
    <n v="4726833"/>
    <n v="4869349"/>
    <n v="1945152"/>
    <n v="466382.71"/>
    <n v="187484.08600000001"/>
    <n v="191175.42449455697"/>
    <n v="724.63750000000005"/>
    <n v="0.92249999999999999"/>
    <n v="4512"/>
    <n v="1455"/>
    <m/>
  </r>
  <r>
    <x v="26"/>
    <n v="4"/>
    <m/>
    <n v="13.004385404966033"/>
    <n v="13.071539301567165"/>
    <n v="30.52"/>
    <n v="4061.6169820820992"/>
    <n v="4731966"/>
    <n v="4877072"/>
    <n v="1948812"/>
    <n v="467209.75"/>
    <n v="188450.351"/>
    <n v="192138.18473751959"/>
    <n v="433.4375"/>
    <n v="13.477500000000001"/>
    <n v="4512"/>
    <n v="1455"/>
    <m/>
  </r>
  <r>
    <x v="26"/>
    <n v="5"/>
    <m/>
    <n v="13.004385404966033"/>
    <n v="13.071539301567165"/>
    <n v="29.48"/>
    <n v="4063.7104974875383"/>
    <n v="4731966"/>
    <n v="4877072"/>
    <n v="1948812"/>
    <n v="467209.75"/>
    <n v="188450.351"/>
    <n v="192138.18473751959"/>
    <n v="189.125"/>
    <n v="46.06"/>
    <n v="4512"/>
    <n v="1455"/>
    <m/>
  </r>
  <r>
    <x v="26"/>
    <n v="6"/>
    <m/>
    <n v="13.004385404966033"/>
    <n v="13.071539301567165"/>
    <n v="30.67"/>
    <n v="4065.8040128929783"/>
    <n v="4731966"/>
    <n v="4877072"/>
    <n v="1948812"/>
    <n v="467209.75"/>
    <n v="188450.351"/>
    <n v="192138.18473751959"/>
    <n v="50.362499999999997"/>
    <n v="166.4075"/>
    <n v="4512"/>
    <n v="1455"/>
    <m/>
  </r>
  <r>
    <x v="26"/>
    <n v="7"/>
    <m/>
    <n v="13.004385404966033"/>
    <n v="13.071539301567165"/>
    <n v="30.71"/>
    <n v="4067.8642857777254"/>
    <n v="4737064"/>
    <n v="4884762"/>
    <n v="1952454"/>
    <n v="468563.14"/>
    <n v="189344.48499999999"/>
    <n v="193022.21135572455"/>
    <n v="1.625"/>
    <n v="326.005"/>
    <n v="4512"/>
    <n v="1455"/>
    <m/>
  </r>
  <r>
    <x v="26"/>
    <n v="8"/>
    <m/>
    <n v="13.004385404966033"/>
    <n v="13.071539301567165"/>
    <n v="29.52"/>
    <n v="4069.9245586624725"/>
    <n v="4737064"/>
    <n v="4884762"/>
    <n v="1952454"/>
    <n v="468563.14"/>
    <n v="189344.48499999999"/>
    <n v="193022.21135572455"/>
    <n v="0.75"/>
    <n v="348.8175"/>
    <n v="4512"/>
    <n v="1455"/>
    <m/>
  </r>
  <r>
    <x v="26"/>
    <n v="9"/>
    <m/>
    <n v="13.004385404966033"/>
    <n v="13.071539301567165"/>
    <n v="30.52"/>
    <n v="4071.9848315472195"/>
    <n v="4737064"/>
    <n v="4884762"/>
    <n v="1952454"/>
    <n v="468563.14"/>
    <n v="189344.48499999999"/>
    <n v="193022.21135572455"/>
    <n v="11.752500000000001"/>
    <n v="258.88"/>
    <n v="4512"/>
    <n v="1455"/>
    <m/>
  </r>
  <r>
    <x v="26"/>
    <n v="10"/>
    <m/>
    <n v="13.004385404966033"/>
    <n v="13.071539301567165"/>
    <n v="29.62"/>
    <n v="4074.0451044319661"/>
    <n v="4742139"/>
    <n v="4892430"/>
    <n v="1955959"/>
    <n v="469115.29"/>
    <n v="190254.26500000001"/>
    <n v="193888.56063320147"/>
    <n v="134.87"/>
    <n v="71.42"/>
    <n v="4512"/>
    <n v="1455"/>
    <m/>
  </r>
  <r>
    <x v="26"/>
    <n v="11"/>
    <m/>
    <n v="13.004385404966033"/>
    <n v="13.071539301567165"/>
    <n v="29.1"/>
    <n v="4076.1053773167132"/>
    <n v="4742139"/>
    <n v="4892430"/>
    <n v="1955959"/>
    <n v="469115.29"/>
    <n v="190254.26500000001"/>
    <n v="193888.56063320147"/>
    <n v="396.30250000000001"/>
    <n v="6.6950000000000003"/>
    <n v="4512"/>
    <n v="1455"/>
    <m/>
  </r>
  <r>
    <x v="26"/>
    <n v="12"/>
    <m/>
    <n v="13.004385404966033"/>
    <n v="13.071539301567165"/>
    <n v="31.67"/>
    <n v="4078.1656502014603"/>
    <n v="4742139"/>
    <n v="4892430"/>
    <n v="1955959"/>
    <n v="469115.29"/>
    <n v="190254.26500000001"/>
    <n v="193888.56063320147"/>
    <n v="714.28500000000008"/>
    <n v="0.25"/>
    <n v="4512"/>
    <n v="1455"/>
    <m/>
  </r>
  <r>
    <x v="27"/>
    <n v="1"/>
    <m/>
    <n v="13.264473113065353"/>
    <n v="13.332970087598509"/>
    <n v="32.71"/>
    <n v="4080.2259230862073"/>
    <n v="4747211"/>
    <n v="4900099"/>
    <n v="1959669"/>
    <n v="469682.32"/>
    <n v="191884.976"/>
    <n v="195475.00888551428"/>
    <n v="991.4375"/>
    <n v="0"/>
    <n v="4512"/>
    <n v="1455"/>
    <m/>
  </r>
  <r>
    <x v="27"/>
    <n v="2"/>
    <m/>
    <n v="13.264473113065353"/>
    <n v="13.332970087598509"/>
    <n v="29.81"/>
    <n v="4082.2861959709544"/>
    <n v="4747211"/>
    <n v="4900099"/>
    <n v="1959669"/>
    <n v="469682.32"/>
    <n v="191884.976"/>
    <n v="195475.00888551428"/>
    <n v="890.05499999999995"/>
    <n v="0"/>
    <n v="4512"/>
    <n v="1455"/>
    <m/>
  </r>
  <r>
    <x v="27"/>
    <n v="3"/>
    <m/>
    <n v="13.264473113065353"/>
    <n v="13.332970087598509"/>
    <n v="30.33"/>
    <n v="4084.3464688557015"/>
    <n v="4747211"/>
    <n v="4900099"/>
    <n v="1959669"/>
    <n v="469682.32"/>
    <n v="191884.976"/>
    <n v="195475.00888551428"/>
    <n v="724.63750000000005"/>
    <n v="0.92249999999999999"/>
    <n v="4512"/>
    <n v="1455"/>
    <m/>
  </r>
  <r>
    <x v="27"/>
    <n v="4"/>
    <m/>
    <n v="13.264473113065353"/>
    <n v="13.332970087598509"/>
    <n v="30.19"/>
    <n v="4086.4067417404485"/>
    <n v="4752245"/>
    <n v="4907734"/>
    <n v="1963346"/>
    <n v="470256.13"/>
    <n v="192867.91899999999"/>
    <n v="196440.61636787187"/>
    <n v="433.4375"/>
    <n v="13.477500000000001"/>
    <n v="4512"/>
    <n v="1455"/>
    <m/>
  </r>
  <r>
    <x v="27"/>
    <n v="5"/>
    <m/>
    <n v="13.264473113065353"/>
    <n v="13.332970087598509"/>
    <n v="30.14"/>
    <n v="4088.4670146251956"/>
    <n v="4752245"/>
    <n v="4907734"/>
    <n v="1963346"/>
    <n v="470256.13"/>
    <n v="192867.91899999999"/>
    <n v="196440.61636787187"/>
    <n v="189.125"/>
    <n v="46.06"/>
    <n v="4512"/>
    <n v="1455"/>
    <m/>
  </r>
  <r>
    <x v="27"/>
    <n v="6"/>
    <m/>
    <n v="13.264473113065353"/>
    <n v="13.332970087598509"/>
    <n v="30.67"/>
    <n v="4090.5272875099427"/>
    <n v="4752245"/>
    <n v="4907734"/>
    <n v="1963346"/>
    <n v="470256.13"/>
    <n v="192867.91899999999"/>
    <n v="196440.61636787187"/>
    <n v="50.362499999999997"/>
    <n v="166.4075"/>
    <n v="4512"/>
    <n v="1455"/>
    <m/>
  </r>
  <r>
    <x v="27"/>
    <n v="7"/>
    <m/>
    <n v="13.264473113065353"/>
    <n v="13.332970087598509"/>
    <n v="30.67"/>
    <n v="4092.5431445006539"/>
    <n v="4757232"/>
    <n v="4915322"/>
    <n v="1966865"/>
    <n v="470801.95"/>
    <n v="193808.63"/>
    <n v="197345.13943870092"/>
    <n v="1.625"/>
    <n v="326.005"/>
    <n v="4512"/>
    <n v="1455"/>
    <m/>
  </r>
  <r>
    <x v="27"/>
    <n v="8"/>
    <m/>
    <n v="13.264473113065353"/>
    <n v="13.332970087598509"/>
    <n v="29.57"/>
    <n v="4094.5590014913651"/>
    <n v="4757232"/>
    <n v="4915322"/>
    <n v="1966865"/>
    <n v="470801.95"/>
    <n v="193808.63"/>
    <n v="197345.13943870092"/>
    <n v="0.75"/>
    <n v="348.8175"/>
    <n v="4512"/>
    <n v="1455"/>
    <m/>
  </r>
  <r>
    <x v="27"/>
    <n v="9"/>
    <m/>
    <n v="13.264473113065353"/>
    <n v="13.332970087598509"/>
    <n v="30.52"/>
    <n v="4096.5748584820767"/>
    <n v="4757232"/>
    <n v="4915322"/>
    <n v="1966865"/>
    <n v="470801.95"/>
    <n v="193808.63"/>
    <n v="197345.13943870092"/>
    <n v="11.752500000000001"/>
    <n v="258.88"/>
    <n v="4512"/>
    <n v="1455"/>
    <m/>
  </r>
  <r>
    <x v="27"/>
    <n v="10"/>
    <m/>
    <n v="13.264473113065353"/>
    <n v="13.332970087598509"/>
    <n v="29.62"/>
    <n v="4098.5907154727875"/>
    <n v="4762182"/>
    <n v="4922876"/>
    <n v="1970585"/>
    <n v="471564.47"/>
    <n v="194786.40400000001"/>
    <n v="198269.78198241198"/>
    <n v="134.87"/>
    <n v="71.42"/>
    <n v="4512"/>
    <n v="1455"/>
    <m/>
  </r>
  <r>
    <x v="27"/>
    <n v="11"/>
    <m/>
    <n v="13.264473113065353"/>
    <n v="13.332970087598509"/>
    <n v="29.95"/>
    <n v="4100.6065724634991"/>
    <n v="4762182"/>
    <n v="4922876"/>
    <n v="1970585"/>
    <n v="471564.47"/>
    <n v="194786.40400000001"/>
    <n v="198269.78198241198"/>
    <n v="396.30250000000001"/>
    <n v="6.6950000000000003"/>
    <n v="4512"/>
    <n v="1455"/>
    <m/>
  </r>
  <r>
    <x v="27"/>
    <n v="12"/>
    <m/>
    <n v="13.264473113065353"/>
    <n v="13.332970087598509"/>
    <n v="31.24"/>
    <n v="4102.6224294542099"/>
    <n v="4762182"/>
    <n v="4922876"/>
    <n v="1970585"/>
    <n v="471564.47"/>
    <n v="194786.40400000001"/>
    <n v="198269.78198241198"/>
    <n v="714.28500000000008"/>
    <n v="0.25"/>
    <n v="4512"/>
    <n v="1455"/>
    <m/>
  </r>
  <r>
    <x v="28"/>
    <n v="1"/>
    <m/>
    <n v="13.529762575326661"/>
    <n v="13.59962948935048"/>
    <n v="32.67"/>
    <n v="4104.6382864449215"/>
    <n v="4767096"/>
    <n v="4930397"/>
    <n v="1974136"/>
    <n v="472323.5"/>
    <n v="196497.82699999999"/>
    <n v="199927.886460448"/>
    <n v="991.4375"/>
    <n v="0"/>
    <n v="4512"/>
    <n v="1455"/>
    <m/>
  </r>
  <r>
    <x v="28"/>
    <n v="2"/>
    <m/>
    <n v="13.529762575326661"/>
    <n v="13.59962948935048"/>
    <n v="29.86"/>
    <n v="4106.6541434356332"/>
    <n v="4767096"/>
    <n v="4930397"/>
    <n v="1974136"/>
    <n v="472323.5"/>
    <n v="196497.82699999999"/>
    <n v="199927.886460448"/>
    <n v="890.05499999999995"/>
    <n v="0"/>
    <n v="4512"/>
    <n v="1455"/>
    <m/>
  </r>
  <r>
    <x v="28"/>
    <n v="3"/>
    <m/>
    <n v="13.529762575326661"/>
    <n v="13.59962948935048"/>
    <n v="30.43"/>
    <n v="4108.6700004263439"/>
    <n v="4767096"/>
    <n v="4930397"/>
    <n v="1974136"/>
    <n v="472323.5"/>
    <n v="196497.82699999999"/>
    <n v="199927.886460448"/>
    <n v="724.63750000000005"/>
    <n v="0.92249999999999999"/>
    <n v="4512"/>
    <n v="1455"/>
    <m/>
  </r>
  <r>
    <x v="28"/>
    <n v="4"/>
    <m/>
    <n v="13.529762575326661"/>
    <n v="13.59962948935048"/>
    <n v="30.71"/>
    <n v="4110.6858574170556"/>
    <n v="4771973"/>
    <n v="4937885"/>
    <n v="1977677"/>
    <n v="473081.87"/>
    <n v="197549.33600000001"/>
    <n v="200956.51136853037"/>
    <n v="433.4375"/>
    <n v="13.477500000000001"/>
    <n v="4512"/>
    <n v="1455"/>
    <m/>
  </r>
  <r>
    <x v="28"/>
    <n v="5"/>
    <m/>
    <n v="13.529762575326661"/>
    <n v="13.59962948935048"/>
    <n v="29.52"/>
    <n v="4112.7017144077663"/>
    <n v="4771973"/>
    <n v="4937885"/>
    <n v="1977677"/>
    <n v="473081.87"/>
    <n v="197549.33600000001"/>
    <n v="200956.51136853037"/>
    <n v="189.125"/>
    <n v="46.06"/>
    <n v="4512"/>
    <n v="1455"/>
    <m/>
  </r>
  <r>
    <x v="28"/>
    <n v="6"/>
    <m/>
    <n v="13.529762575326661"/>
    <n v="13.59962948935048"/>
    <n v="30.62"/>
    <n v="4114.717571398478"/>
    <n v="4771973"/>
    <n v="4937885"/>
    <n v="1977677"/>
    <n v="473081.87"/>
    <n v="197549.33600000001"/>
    <n v="200956.51136853037"/>
    <n v="50.362499999999997"/>
    <n v="166.4075"/>
    <n v="4512"/>
    <n v="1455"/>
    <m/>
  </r>
  <r>
    <x v="28"/>
    <n v="7"/>
    <m/>
    <n v="13.529762575326661"/>
    <n v="13.59962948935048"/>
    <n v="30.76"/>
    <n v="4116.6849179049223"/>
    <n v="4776815"/>
    <n v="4945340"/>
    <n v="1981048"/>
    <n v="473831.27"/>
    <n v="198516.981"/>
    <n v="201885.88888616659"/>
    <n v="1.625"/>
    <n v="326.005"/>
    <n v="4512"/>
    <n v="1455"/>
    <m/>
  </r>
  <r>
    <x v="28"/>
    <n v="8"/>
    <m/>
    <n v="13.529762575326661"/>
    <n v="13.59962948935048"/>
    <n v="29.48"/>
    <n v="4118.6522644113656"/>
    <n v="4776815"/>
    <n v="4945340"/>
    <n v="1981048"/>
    <n v="473831.27"/>
    <n v="198516.981"/>
    <n v="201885.88888616659"/>
    <n v="0.75"/>
    <n v="348.8175"/>
    <n v="4512"/>
    <n v="1455"/>
    <m/>
  </r>
  <r>
    <x v="28"/>
    <n v="9"/>
    <m/>
    <n v="13.529762575326661"/>
    <n v="13.59962948935048"/>
    <n v="30.57"/>
    <n v="4120.61961091781"/>
    <n v="4776815"/>
    <n v="4945340"/>
    <n v="1981048"/>
    <n v="473831.27"/>
    <n v="198516.981"/>
    <n v="201885.88888616659"/>
    <n v="11.752500000000001"/>
    <n v="258.88"/>
    <n v="4512"/>
    <n v="1455"/>
    <m/>
  </r>
  <r>
    <x v="28"/>
    <n v="10"/>
    <m/>
    <n v="13.529762575326661"/>
    <n v="13.59962948935048"/>
    <n v="29.67"/>
    <n v="4122.5869574242543"/>
    <n v="4781608"/>
    <n v="4952749"/>
    <n v="1984584"/>
    <n v="474582.21"/>
    <n v="199480.13399999999"/>
    <n v="202812.58824760609"/>
    <n v="134.87"/>
    <n v="71.42"/>
    <n v="4512"/>
    <n v="1455"/>
    <m/>
  </r>
  <r>
    <x v="28"/>
    <n v="11"/>
    <m/>
    <n v="13.529762575326661"/>
    <n v="13.59962948935048"/>
    <n v="29.95"/>
    <n v="4124.5543039306986"/>
    <n v="4781608"/>
    <n v="4952749"/>
    <n v="1984584"/>
    <n v="474582.21"/>
    <n v="199480.13399999999"/>
    <n v="202812.58824760609"/>
    <n v="396.30250000000001"/>
    <n v="6.6950000000000003"/>
    <n v="4512"/>
    <n v="1455"/>
    <m/>
  </r>
  <r>
    <x v="28"/>
    <n v="12"/>
    <m/>
    <n v="13.529762575326661"/>
    <n v="13.59962948935048"/>
    <n v="31.1"/>
    <n v="4126.5216504371429"/>
    <n v="4781608"/>
    <n v="4952749"/>
    <n v="1984584"/>
    <n v="474582.21"/>
    <n v="199480.13399999999"/>
    <n v="202812.58824760609"/>
    <n v="714.28500000000008"/>
    <n v="0.25"/>
    <n v="4512"/>
    <n v="1455"/>
    <m/>
  </r>
  <r>
    <x v="29"/>
    <n v="1"/>
    <m/>
    <n v="13.800357826833194"/>
    <n v="13.87162207913749"/>
    <n v="32.71"/>
    <n v="4128.4889969435872"/>
    <n v="4786366"/>
    <n v="4960126"/>
    <n v="1987894"/>
    <n v="475343.2"/>
    <n v="201210.11900000001"/>
    <n v="204499.34153231149"/>
    <n v="991.4375"/>
    <n v="0"/>
    <n v="4512"/>
    <n v="1455"/>
    <m/>
  </r>
  <r>
    <x v="29"/>
    <n v="2"/>
    <m/>
    <n v="13.800357826833194"/>
    <n v="13.87162207913749"/>
    <n v="29.9"/>
    <n v="4130.4563434500315"/>
    <n v="4786366"/>
    <n v="4960126"/>
    <n v="1987894"/>
    <n v="475343.2"/>
    <n v="201210.11900000001"/>
    <n v="204499.34153231149"/>
    <n v="890.05499999999995"/>
    <n v="0"/>
    <n v="4512"/>
    <n v="1455"/>
    <m/>
  </r>
  <r>
    <x v="29"/>
    <n v="3"/>
    <m/>
    <n v="13.800357826833194"/>
    <n v="13.87162207913749"/>
    <n v="30.33"/>
    <n v="4132.4236899564758"/>
    <n v="4786366"/>
    <n v="4960126"/>
    <n v="1987894"/>
    <n v="475343.2"/>
    <n v="201210.11900000001"/>
    <n v="204499.34153231149"/>
    <n v="724.63750000000005"/>
    <n v="0.92249999999999999"/>
    <n v="4512"/>
    <n v="1455"/>
    <m/>
  </r>
  <r>
    <x v="29"/>
    <n v="4"/>
    <m/>
    <n v="13.800357826833194"/>
    <n v="13.87162207913749"/>
    <n v="29.95"/>
    <n v="4134.3910364629201"/>
    <n v="4791089"/>
    <n v="4967471"/>
    <n v="1991102"/>
    <n v="476117.97"/>
    <n v="202357.96400000001"/>
    <n v="205741.98846032468"/>
    <n v="433.4375"/>
    <n v="13.477500000000001"/>
    <n v="4512"/>
    <n v="1455"/>
    <m/>
  </r>
  <r>
    <x v="29"/>
    <n v="5"/>
    <m/>
    <n v="13.800357826833194"/>
    <n v="13.87162207913749"/>
    <n v="30.38"/>
    <n v="4136.3583829693644"/>
    <n v="4791089"/>
    <n v="4967471"/>
    <n v="1991102"/>
    <n v="476117.97"/>
    <n v="202357.96400000001"/>
    <n v="205741.98846032468"/>
    <n v="189.125"/>
    <n v="46.06"/>
    <n v="4512"/>
    <n v="1455"/>
    <m/>
  </r>
  <r>
    <x v="29"/>
    <n v="6"/>
    <m/>
    <n v="13.800357826833194"/>
    <n v="13.87162207913749"/>
    <n v="30.67"/>
    <n v="4138.3257294758077"/>
    <n v="4791089"/>
    <n v="4967471"/>
    <n v="1991102"/>
    <n v="476117.97"/>
    <n v="202357.96400000001"/>
    <n v="205741.98846032468"/>
    <n v="50.362499999999997"/>
    <n v="166.4075"/>
    <n v="4512"/>
    <n v="1455"/>
    <m/>
  </r>
  <r>
    <x v="29"/>
    <n v="7"/>
    <m/>
    <n v="13.800357826833194"/>
    <n v="13.87162207913749"/>
    <n v="30.67"/>
    <n v="4140.2453982959978"/>
    <n v="4795776"/>
    <n v="4974784"/>
    <n v="1994064"/>
    <n v="476887.27"/>
    <n v="203321.337"/>
    <n v="206672.53609009832"/>
    <n v="1.625"/>
    <n v="326.005"/>
    <n v="4512"/>
    <n v="1455"/>
    <m/>
  </r>
  <r>
    <x v="29"/>
    <n v="8"/>
    <m/>
    <n v="13.800357826833194"/>
    <n v="13.87162207913749"/>
    <n v="29.48"/>
    <n v="4142.1650671161879"/>
    <n v="4795776"/>
    <n v="4974784"/>
    <n v="1994064"/>
    <n v="476887.27"/>
    <n v="203321.337"/>
    <n v="206672.53609009832"/>
    <n v="0.75"/>
    <n v="348.8175"/>
    <n v="4512"/>
    <n v="1455"/>
    <m/>
  </r>
  <r>
    <x v="29"/>
    <n v="9"/>
    <m/>
    <n v="13.800357826833194"/>
    <n v="13.87162207913749"/>
    <n v="30.71"/>
    <n v="4144.0847359363779"/>
    <n v="4795776"/>
    <n v="4974784"/>
    <n v="1994064"/>
    <n v="476887.27"/>
    <n v="203321.337"/>
    <n v="206672.53609009832"/>
    <n v="11.752500000000001"/>
    <n v="258.88"/>
    <n v="4512"/>
    <n v="1455"/>
    <m/>
  </r>
  <r>
    <x v="29"/>
    <n v="10"/>
    <m/>
    <n v="13.800357826833194"/>
    <n v="13.87162207913749"/>
    <n v="29.52"/>
    <n v="4146.004404756568"/>
    <n v="4800416"/>
    <n v="4982053"/>
    <n v="1997139"/>
    <n v="477647.61"/>
    <n v="204205.139"/>
    <n v="207462.50934658892"/>
    <n v="134.87"/>
    <n v="71.42"/>
    <n v="4512"/>
    <n v="1455"/>
    <m/>
  </r>
  <r>
    <x v="29"/>
    <n v="11"/>
    <m/>
    <n v="13.800357826833194"/>
    <n v="13.87162207913749"/>
    <n v="29.38"/>
    <n v="4147.9240735767589"/>
    <n v="4800416"/>
    <n v="4982053"/>
    <n v="1997139"/>
    <n v="477647.61"/>
    <n v="204205.139"/>
    <n v="207462.50934658892"/>
    <n v="396.30250000000001"/>
    <n v="6.6950000000000003"/>
    <n v="4512"/>
    <n v="1455"/>
    <m/>
  </r>
  <r>
    <x v="29"/>
    <n v="12"/>
    <m/>
    <n v="13.800357826833194"/>
    <n v="13.87162207913749"/>
    <n v="32.049999999999997"/>
    <n v="4149.843742396949"/>
    <n v="4800416"/>
    <n v="4982053"/>
    <n v="1997139"/>
    <n v="477647.61"/>
    <n v="204205.139"/>
    <n v="207462.50934658892"/>
    <n v="714.28500000000008"/>
    <n v="0.25"/>
    <n v="4512"/>
    <n v="1455"/>
    <m/>
  </r>
  <r>
    <x v="30"/>
    <n v="1"/>
    <m/>
    <n v="14.076364983369858"/>
    <n v="14.14905452072024"/>
    <n v="32.33"/>
    <n v="4151.763411217139"/>
    <n v="4805021"/>
    <n v="4989290"/>
    <n v="2000124"/>
    <n v="478398.55"/>
    <n v="205835.74900000001"/>
    <n v="209009.6160817015"/>
    <n v="991.4375"/>
    <n v="0"/>
    <n v="4512"/>
    <n v="1455"/>
    <m/>
  </r>
  <r>
    <x v="30"/>
    <n v="2"/>
    <m/>
    <n v="14.076364983369858"/>
    <n v="14.14905452072024"/>
    <n v="30.05"/>
    <n v="4153.6830800373291"/>
    <n v="4805021"/>
    <n v="4989290"/>
    <n v="2000124"/>
    <n v="478398.55"/>
    <n v="205835.74900000001"/>
    <n v="209009.6160817015"/>
    <n v="890.05499999999995"/>
    <n v="0"/>
    <n v="4512"/>
    <n v="1455"/>
    <m/>
  </r>
  <r>
    <x v="30"/>
    <n v="3"/>
    <m/>
    <n v="14.076364983369858"/>
    <n v="14.14905452072024"/>
    <n v="30.19"/>
    <n v="4155.6027488575191"/>
    <n v="4805021"/>
    <n v="4989290"/>
    <n v="2000124"/>
    <n v="478398.55"/>
    <n v="205835.74900000001"/>
    <n v="209009.6160817015"/>
    <n v="724.63750000000005"/>
    <n v="0.92249999999999999"/>
    <n v="4512"/>
    <n v="1455"/>
    <m/>
  </r>
  <r>
    <x v="30"/>
    <n v="4"/>
    <m/>
    <n v="14.076364983369858"/>
    <n v="14.14905452072024"/>
    <n v="30.33"/>
    <n v="4157.5224176777101"/>
    <n v="4809591"/>
    <n v="4996497"/>
    <n v="2002932"/>
    <n v="479146.42"/>
    <n v="206821.26699999999"/>
    <n v="209936.64567950155"/>
    <n v="433.4375"/>
    <n v="13.477500000000001"/>
    <n v="4512"/>
    <n v="1455"/>
    <m/>
  </r>
  <r>
    <x v="30"/>
    <n v="5"/>
    <m/>
    <n v="14.076364983369858"/>
    <n v="14.14905452072024"/>
    <n v="30.14"/>
    <n v="4159.4420864979002"/>
    <n v="4809591"/>
    <n v="4996497"/>
    <n v="2002932"/>
    <n v="479146.42"/>
    <n v="206821.26699999999"/>
    <n v="209936.64567950155"/>
    <n v="189.125"/>
    <n v="46.06"/>
    <n v="4512"/>
    <n v="1455"/>
    <m/>
  </r>
  <r>
    <x v="30"/>
    <n v="6"/>
    <m/>
    <n v="14.076364983369858"/>
    <n v="14.14905452072024"/>
    <n v="30.52"/>
    <n v="4161.3617553180902"/>
    <n v="4809591"/>
    <n v="4996497"/>
    <n v="2002932"/>
    <n v="479146.42"/>
    <n v="206821.26699999999"/>
    <n v="209936.64567950155"/>
    <n v="50.362499999999997"/>
    <n v="166.4075"/>
    <n v="4512"/>
    <n v="1455"/>
    <m/>
  </r>
  <r>
    <x v="30"/>
    <n v="7"/>
    <m/>
    <n v="14.076364983369858"/>
    <n v="14.14905452072024"/>
    <n v="30.67"/>
    <n v="4163.2369388444095"/>
    <n v="4814139"/>
    <n v="5003686"/>
    <n v="2005965"/>
    <n v="479889.48"/>
    <n v="207691.48499999999"/>
    <n v="210749.84113046917"/>
    <n v="1.625"/>
    <n v="326.005"/>
    <n v="4512"/>
    <n v="1455"/>
    <m/>
  </r>
  <r>
    <x v="30"/>
    <n v="8"/>
    <m/>
    <n v="14.076364983369858"/>
    <n v="14.14905452072024"/>
    <n v="29.48"/>
    <n v="4165.1121223707296"/>
    <n v="4814139"/>
    <n v="5003686"/>
    <n v="2005965"/>
    <n v="479889.48"/>
    <n v="207691.48499999999"/>
    <n v="210749.84113046917"/>
    <n v="0.75"/>
    <n v="348.8175"/>
    <n v="4512"/>
    <n v="1455"/>
    <m/>
  </r>
  <r>
    <x v="30"/>
    <n v="9"/>
    <m/>
    <n v="14.076364983369858"/>
    <n v="14.14905452072024"/>
    <n v="30.86"/>
    <n v="4166.9873058970497"/>
    <n v="4814139"/>
    <n v="5003686"/>
    <n v="2005965"/>
    <n v="479889.48"/>
    <n v="207691.48499999999"/>
    <n v="210749.84113046917"/>
    <n v="11.752500000000001"/>
    <n v="258.88"/>
    <n v="4512"/>
    <n v="1455"/>
    <m/>
  </r>
  <r>
    <x v="30"/>
    <n v="10"/>
    <m/>
    <n v="14.076364983369858"/>
    <n v="14.14905452072024"/>
    <n v="29.38"/>
    <n v="4168.8624894233699"/>
    <n v="4818641"/>
    <n v="5010833"/>
    <n v="2008960"/>
    <n v="480632.76"/>
    <n v="208506.54"/>
    <n v="211523.95326625914"/>
    <n v="134.87"/>
    <n v="71.42"/>
    <n v="4512"/>
    <n v="1455"/>
    <m/>
  </r>
  <r>
    <x v="30"/>
    <n v="11"/>
    <m/>
    <n v="14.076364983369858"/>
    <n v="14.14905452072024"/>
    <n v="29.57"/>
    <n v="4170.7376729496891"/>
    <n v="4818641"/>
    <n v="5010833"/>
    <n v="2008960"/>
    <n v="480632.76"/>
    <n v="208506.54"/>
    <n v="211523.95326625914"/>
    <n v="396.30250000000001"/>
    <n v="6.6950000000000003"/>
    <n v="4512"/>
    <n v="1455"/>
    <m/>
  </r>
  <r>
    <x v="30"/>
    <n v="12"/>
    <m/>
    <n v="14.076364983369858"/>
    <n v="14.14905452072024"/>
    <n v="31.81"/>
    <n v="4172.6128564760093"/>
    <n v="4818641"/>
    <n v="5010833"/>
    <n v="2008960"/>
    <n v="480632.76"/>
    <n v="208506.54"/>
    <n v="211523.95326625914"/>
    <n v="714.28500000000008"/>
    <n v="0.25"/>
    <n v="4512"/>
    <n v="1455"/>
    <m/>
  </r>
  <r>
    <x v="31"/>
    <n v="1"/>
    <m/>
    <n v="14.357892283037256"/>
    <n v="14.432035611134644"/>
    <n v="32.380000000000003"/>
    <n v="4174.4880400023294"/>
    <n v="4823109"/>
    <n v="5017950"/>
    <n v="2012056"/>
    <n v="481372.11"/>
    <n v="210181.51699999999"/>
    <n v="213155.65241113378"/>
    <n v="991.4375"/>
    <n v="0"/>
    <n v="4512"/>
    <n v="1455"/>
    <m/>
  </r>
  <r>
    <x v="31"/>
    <n v="2"/>
    <m/>
    <n v="14.357892283037256"/>
    <n v="14.432035611134644"/>
    <n v="30.19"/>
    <n v="4176.3632235286495"/>
    <n v="4823109"/>
    <n v="5017950"/>
    <n v="2012056"/>
    <n v="481372.11"/>
    <n v="210181.51699999999"/>
    <n v="213155.65241113378"/>
    <n v="890.05499999999995"/>
    <n v="0"/>
    <n v="4512"/>
    <n v="1455"/>
    <m/>
  </r>
  <r>
    <x v="31"/>
    <n v="3"/>
    <m/>
    <n v="14.357892283037256"/>
    <n v="14.432035611134644"/>
    <n v="30.33"/>
    <n v="4178.2384070549688"/>
    <n v="4823109"/>
    <n v="5017950"/>
    <n v="2012056"/>
    <n v="481372.11"/>
    <n v="210181.51699999999"/>
    <n v="213155.65241113378"/>
    <n v="724.63750000000005"/>
    <n v="0.92249999999999999"/>
    <n v="4512"/>
    <n v="1455"/>
    <m/>
  </r>
  <r>
    <x v="31"/>
    <n v="4"/>
    <m/>
    <n v="14.357892283037256"/>
    <n v="14.432035611134644"/>
    <n v="30.48"/>
    <n v="4180.1135905812889"/>
    <n v="4827543"/>
    <n v="5025037"/>
    <n v="2014974"/>
    <n v="482121.51"/>
    <n v="211132.98300000001"/>
    <n v="214086.18553219383"/>
    <n v="433.4375"/>
    <n v="13.477500000000001"/>
    <n v="4512"/>
    <n v="1455"/>
    <m/>
  </r>
  <r>
    <x v="31"/>
    <n v="5"/>
    <m/>
    <n v="14.357892283037256"/>
    <n v="14.432035611134644"/>
    <n v="29.52"/>
    <n v="4181.9887741076091"/>
    <n v="4827543"/>
    <n v="5025037"/>
    <n v="2014974"/>
    <n v="482121.51"/>
    <n v="211132.98300000001"/>
    <n v="214086.18553219383"/>
    <n v="189.125"/>
    <n v="46.06"/>
    <n v="4512"/>
    <n v="1455"/>
    <m/>
  </r>
  <r>
    <x v="31"/>
    <n v="6"/>
    <m/>
    <n v="14.357892283037256"/>
    <n v="14.432035611134644"/>
    <n v="30.71"/>
    <n v="4183.8639576339301"/>
    <n v="4827543"/>
    <n v="5025037"/>
    <n v="2014974"/>
    <n v="482121.51"/>
    <n v="211132.98300000001"/>
    <n v="214086.18553219383"/>
    <n v="50.362499999999997"/>
    <n v="166.4075"/>
    <n v="4512"/>
    <n v="1455"/>
    <m/>
  </r>
  <r>
    <x v="31"/>
    <n v="7"/>
    <m/>
    <n v="14.357892283037256"/>
    <n v="14.432035611134644"/>
    <n v="30.57"/>
    <n v="4185.6933372695257"/>
    <n v="4831944"/>
    <n v="5032096"/>
    <n v="2018083"/>
    <n v="483270.44"/>
    <n v="211990.587"/>
    <n v="214869.38531819571"/>
    <n v="1.625"/>
    <n v="326.005"/>
    <n v="4512"/>
    <n v="1455"/>
    <m/>
  </r>
  <r>
    <x v="31"/>
    <n v="8"/>
    <m/>
    <n v="14.357892283037256"/>
    <n v="14.432035611134644"/>
    <n v="29.67"/>
    <n v="4187.5227169051213"/>
    <n v="4831944"/>
    <n v="5032096"/>
    <n v="2018083"/>
    <n v="483270.44"/>
    <n v="211990.587"/>
    <n v="214869.38531819571"/>
    <n v="0.75"/>
    <n v="348.8175"/>
    <n v="4512"/>
    <n v="1455"/>
    <m/>
  </r>
  <r>
    <x v="31"/>
    <n v="9"/>
    <m/>
    <n v="14.357892283037256"/>
    <n v="14.432035611134644"/>
    <n v="30.48"/>
    <n v="4189.352096540717"/>
    <n v="4831944"/>
    <n v="5032096"/>
    <n v="2018083"/>
    <n v="483270.44"/>
    <n v="211990.587"/>
    <n v="214869.38531819571"/>
    <n v="11.752500000000001"/>
    <n v="258.88"/>
    <n v="4512"/>
    <n v="1455"/>
    <m/>
  </r>
  <r>
    <x v="31"/>
    <n v="10"/>
    <m/>
    <n v="14.357892283037256"/>
    <n v="14.432035611134644"/>
    <n v="29.67"/>
    <n v="4191.1814761763135"/>
    <n v="4836300"/>
    <n v="5039113"/>
    <n v="2021147"/>
    <n v="483811.66"/>
    <n v="212819.59099999999"/>
    <n v="215638.64605623233"/>
    <n v="134.87"/>
    <n v="71.42"/>
    <n v="4512"/>
    <n v="1455"/>
    <m/>
  </r>
  <r>
    <x v="31"/>
    <n v="11"/>
    <m/>
    <n v="14.357892283037256"/>
    <n v="14.432035611134644"/>
    <n v="29.76"/>
    <n v="4193.0108558119091"/>
    <n v="4836300"/>
    <n v="5039113"/>
    <n v="2021147"/>
    <n v="483811.66"/>
    <n v="212819.59099999999"/>
    <n v="215638.64605623233"/>
    <n v="396.30250000000001"/>
    <n v="6.6950000000000003"/>
    <n v="4512"/>
    <n v="1455"/>
    <m/>
  </r>
  <r>
    <x v="31"/>
    <n v="12"/>
    <m/>
    <n v="14.357892283037256"/>
    <n v="14.432035611134644"/>
    <n v="31.38"/>
    <n v="4194.8402354475047"/>
    <n v="4836300"/>
    <n v="5039113"/>
    <n v="2021147"/>
    <n v="483811.66"/>
    <n v="212819.59099999999"/>
    <n v="215638.64605623233"/>
    <n v="714.28500000000008"/>
    <n v="0.25"/>
    <n v="4512"/>
    <n v="1455"/>
    <m/>
  </r>
  <r>
    <x v="32"/>
    <n v="1"/>
    <m/>
    <n v="14.645050128698001"/>
    <n v="14.720676323357337"/>
    <n v="32.71"/>
    <n v="4196.6696150831003"/>
    <n v="4840623"/>
    <n v="5046103"/>
    <n v="2024240"/>
    <n v="484572.88"/>
    <n v="214486.36799999999"/>
    <n v="217240.60032855472"/>
    <n v="991.4375"/>
    <n v="0"/>
    <n v="4512"/>
    <n v="1455"/>
    <m/>
  </r>
  <r>
    <x v="32"/>
    <n v="2"/>
    <m/>
    <n v="14.645050128698001"/>
    <n v="14.720676323357337"/>
    <n v="29.81"/>
    <n v="4198.4989947186959"/>
    <n v="4840623"/>
    <n v="5046103"/>
    <n v="2024240"/>
    <n v="484572.88"/>
    <n v="214486.36799999999"/>
    <n v="217240.60032855472"/>
    <n v="890.05499999999995"/>
    <n v="0"/>
    <n v="4512"/>
    <n v="1455"/>
    <m/>
  </r>
  <r>
    <x v="32"/>
    <n v="3"/>
    <m/>
    <n v="14.645050128698001"/>
    <n v="14.720676323357337"/>
    <n v="30.33"/>
    <n v="4200.3283743542916"/>
    <n v="4840623"/>
    <n v="5046103"/>
    <n v="2024240"/>
    <n v="484572.88"/>
    <n v="214486.36799999999"/>
    <n v="217240.60032855472"/>
    <n v="724.63750000000005"/>
    <n v="0.92249999999999999"/>
    <n v="4512"/>
    <n v="1455"/>
    <m/>
  </r>
  <r>
    <x v="32"/>
    <n v="4"/>
    <m/>
    <n v="14.645050128698001"/>
    <n v="14.720676323357337"/>
    <n v="30.19"/>
    <n v="4202.1577539898872"/>
    <n v="4844915"/>
    <n v="5053065"/>
    <n v="2027264"/>
    <n v="485332.34"/>
    <n v="215382.42600000001"/>
    <n v="218100.32282001979"/>
    <n v="433.4375"/>
    <n v="13.477500000000001"/>
    <n v="4512"/>
    <n v="1455"/>
    <m/>
  </r>
  <r>
    <x v="32"/>
    <n v="5"/>
    <m/>
    <n v="14.645050128698001"/>
    <n v="14.720676323357337"/>
    <n v="30.14"/>
    <n v="4203.9871336254828"/>
    <n v="4844915"/>
    <n v="5053065"/>
    <n v="2027264"/>
    <n v="485332.34"/>
    <n v="215382.42600000001"/>
    <n v="218100.32282001979"/>
    <n v="189.125"/>
    <n v="46.06"/>
    <n v="4512"/>
    <n v="1455"/>
    <m/>
  </r>
  <r>
    <x v="32"/>
    <n v="6"/>
    <m/>
    <n v="14.645050128698001"/>
    <n v="14.720676323357337"/>
    <n v="30.67"/>
    <n v="4205.8165132610793"/>
    <n v="4844915"/>
    <n v="5053065"/>
    <n v="2027264"/>
    <n v="485332.34"/>
    <n v="215382.42600000001"/>
    <n v="218100.32282001979"/>
    <n v="50.362499999999997"/>
    <n v="166.4075"/>
    <n v="4512"/>
    <n v="1455"/>
    <m/>
  </r>
  <r>
    <x v="32"/>
    <n v="7"/>
    <m/>
    <n v="14.645050128698001"/>
    <n v="14.720676323357337"/>
    <n v="30.71"/>
    <n v="4207.6022404008172"/>
    <n v="4849174"/>
    <n v="5060000"/>
    <n v="2030610"/>
    <n v="486085.9"/>
    <n v="216207.60200000001"/>
    <n v="218857.93449476099"/>
    <n v="1.625"/>
    <n v="326.005"/>
    <n v="4512"/>
    <n v="1455"/>
    <m/>
  </r>
  <r>
    <x v="32"/>
    <n v="8"/>
    <m/>
    <n v="14.645050128698001"/>
    <n v="14.720676323357337"/>
    <n v="29.52"/>
    <n v="4209.387967540556"/>
    <n v="4849174"/>
    <n v="5060000"/>
    <n v="2030610"/>
    <n v="486085.9"/>
    <n v="216207.60200000001"/>
    <n v="218857.93449476099"/>
    <n v="0.75"/>
    <n v="348.8175"/>
    <n v="4512"/>
    <n v="1455"/>
    <m/>
  </r>
  <r>
    <x v="32"/>
    <n v="9"/>
    <m/>
    <n v="14.645050128698001"/>
    <n v="14.720676323357337"/>
    <n v="30.52"/>
    <n v="4211.1736946802939"/>
    <n v="4849174"/>
    <n v="5060000"/>
    <n v="2030610"/>
    <n v="486085.9"/>
    <n v="216207.60200000001"/>
    <n v="218857.93449476099"/>
    <n v="11.752500000000001"/>
    <n v="258.88"/>
    <n v="4512"/>
    <n v="1455"/>
    <m/>
  </r>
  <r>
    <x v="32"/>
    <n v="10"/>
    <m/>
    <n v="14.645050128698001"/>
    <n v="14.720676323357337"/>
    <n v="29.62"/>
    <n v="4212.9594218200327"/>
    <n v="4853390"/>
    <n v="5066896"/>
    <n v="2034003"/>
    <n v="486849.52"/>
    <n v="217023.29399999999"/>
    <n v="219617.17998724207"/>
    <n v="134.87"/>
    <n v="71.42"/>
    <n v="4512"/>
    <n v="1455"/>
    <m/>
  </r>
  <r>
    <x v="32"/>
    <n v="11"/>
    <m/>
    <n v="14.645050128698001"/>
    <n v="14.720676323357337"/>
    <n v="29.95"/>
    <n v="4214.7451489597706"/>
    <n v="4853390"/>
    <n v="5066896"/>
    <n v="2034003"/>
    <n v="486849.52"/>
    <n v="217023.29399999999"/>
    <n v="219617.17998724207"/>
    <n v="396.30250000000001"/>
    <n v="6.6950000000000003"/>
    <n v="4512"/>
    <n v="1455"/>
    <m/>
  </r>
  <r>
    <x v="32"/>
    <n v="12"/>
    <m/>
    <n v="14.645050128698001"/>
    <n v="14.720676323357337"/>
    <n v="32"/>
    <n v="4216.5308760995094"/>
    <n v="4853390"/>
    <n v="5066896"/>
    <n v="2034003"/>
    <n v="486849.52"/>
    <n v="217023.29399999999"/>
    <n v="219617.17998724207"/>
    <n v="714.28500000000008"/>
    <n v="0.25"/>
    <n v="4512"/>
    <n v="1455"/>
    <m/>
  </r>
  <r>
    <x v="33"/>
    <n v="1"/>
    <m/>
    <n v="14.937951131271962"/>
    <n v="15.015089849824484"/>
    <n v="31.9"/>
    <n v="4218.3166032392473"/>
    <n v="4857575"/>
    <n v="5073765"/>
    <n v="2037278"/>
    <n v="487602.86"/>
    <n v="218712.25599999999"/>
    <n v="221265.80377058705"/>
    <n v="991.4375"/>
    <n v="0"/>
    <n v="4512"/>
    <n v="1455"/>
    <m/>
  </r>
  <r>
    <x v="33"/>
    <n v="2"/>
    <m/>
    <n v="14.937951131271962"/>
    <n v="15.015089849824484"/>
    <n v="31.29"/>
    <n v="4220.1023303789862"/>
    <n v="4857575"/>
    <n v="5073765"/>
    <n v="2037278"/>
    <n v="487602.86"/>
    <n v="218712.25599999999"/>
    <n v="221265.80377058705"/>
    <n v="890.05499999999995"/>
    <n v="0"/>
    <n v="4512"/>
    <n v="1455"/>
    <m/>
  </r>
  <r>
    <x v="33"/>
    <n v="3"/>
    <m/>
    <n v="14.937951131271962"/>
    <n v="15.015089849824484"/>
    <n v="30.33"/>
    <n v="4221.8880575187241"/>
    <n v="4857575"/>
    <n v="5073765"/>
    <n v="2037278"/>
    <n v="487602.86"/>
    <n v="218712.25599999999"/>
    <n v="221265.80377058705"/>
    <n v="724.63750000000005"/>
    <n v="0.92249999999999999"/>
    <n v="4512"/>
    <n v="1455"/>
    <m/>
  </r>
  <r>
    <x v="33"/>
    <n v="4"/>
    <m/>
    <n v="14.937951131271962"/>
    <n v="15.015089849824484"/>
    <n v="30.65"/>
    <n v="4223.6737846584629"/>
    <n v="4861730"/>
    <n v="5080609"/>
    <n v="2040769"/>
    <n v="488361.66"/>
    <n v="219678.68900000001"/>
    <n v="222192.47658107537"/>
    <n v="433.4375"/>
    <n v="13.477500000000001"/>
    <n v="4512"/>
    <n v="1455"/>
    <m/>
  </r>
  <r>
    <x v="33"/>
    <n v="5"/>
    <m/>
    <n v="14.937951131271962"/>
    <n v="15.015089849824484"/>
    <n v="29.71"/>
    <n v="4225.4595117982008"/>
    <n v="4861730"/>
    <n v="5080609"/>
    <n v="2040769"/>
    <n v="488361.66"/>
    <n v="219678.68900000001"/>
    <n v="222192.47658107537"/>
    <n v="189.125"/>
    <n v="46.06"/>
    <n v="4512"/>
    <n v="1455"/>
    <m/>
  </r>
  <r>
    <x v="33"/>
    <n v="6"/>
    <m/>
    <n v="14.937951131271962"/>
    <n v="15.015089849824484"/>
    <n v="30.62"/>
    <n v="4227.2452389379441"/>
    <n v="4861730"/>
    <n v="5080609"/>
    <n v="2040769"/>
    <n v="488361.66"/>
    <n v="219678.68900000001"/>
    <n v="222192.47658107537"/>
    <n v="50.362499999999997"/>
    <n v="166.4075"/>
    <n v="4512"/>
    <n v="1455"/>
    <m/>
  </r>
  <r>
    <x v="33"/>
    <n v="7"/>
    <m/>
    <n v="14.937951131271962"/>
    <n v="15.015089849824484"/>
    <n v="30.81"/>
    <n v="4228.9908529733821"/>
    <n v="4865865"/>
    <n v="5087441"/>
    <n v="2044178"/>
    <n v="489525.9"/>
    <n v="220588.57"/>
    <n v="223003.41070905284"/>
    <n v="1.625"/>
    <n v="326.005"/>
    <n v="4512"/>
    <n v="1455"/>
    <m/>
  </r>
  <r>
    <x v="33"/>
    <n v="8"/>
    <m/>
    <n v="14.937951131271962"/>
    <n v="15.015089849824484"/>
    <n v="29.43"/>
    <n v="4230.73646700882"/>
    <n v="4865865"/>
    <n v="5087441"/>
    <n v="2044178"/>
    <n v="489525.9"/>
    <n v="220588.57"/>
    <n v="223003.41070905284"/>
    <n v="0.75"/>
    <n v="348.8175"/>
    <n v="4512"/>
    <n v="1455"/>
    <m/>
  </r>
  <r>
    <x v="33"/>
    <n v="9"/>
    <m/>
    <n v="14.937951131271962"/>
    <n v="15.015089849824484"/>
    <n v="30.57"/>
    <n v="4232.4820810442579"/>
    <n v="4865865"/>
    <n v="5087441"/>
    <n v="2044178"/>
    <n v="489525.9"/>
    <n v="220588.57"/>
    <n v="223003.41070905284"/>
    <n v="11.752500000000001"/>
    <n v="258.88"/>
    <n v="4512"/>
    <n v="1455"/>
    <m/>
  </r>
  <r>
    <x v="33"/>
    <n v="10"/>
    <m/>
    <n v="14.937951131271962"/>
    <n v="15.015089849824484"/>
    <n v="29.67"/>
    <n v="4234.2276950796959"/>
    <n v="4869960"/>
    <n v="5094236"/>
    <n v="2047549"/>
    <n v="490058.37"/>
    <n v="221480.42499999999"/>
    <n v="223817.31951943206"/>
    <n v="134.87"/>
    <n v="71.42"/>
    <n v="4512"/>
    <n v="1455"/>
    <m/>
  </r>
  <r>
    <x v="33"/>
    <n v="11"/>
    <m/>
    <n v="14.937951131271962"/>
    <n v="15.015089849824484"/>
    <n v="29.05"/>
    <n v="4235.9733091151329"/>
    <n v="4869960"/>
    <n v="5094236"/>
    <n v="2047549"/>
    <n v="490058.37"/>
    <n v="221480.42499999999"/>
    <n v="223817.31951943206"/>
    <n v="396.30250000000001"/>
    <n v="6.6950000000000003"/>
    <n v="4512"/>
    <n v="1455"/>
    <m/>
  </r>
  <r>
    <x v="33"/>
    <n v="12"/>
    <m/>
    <n v="14.937951131271962"/>
    <n v="15.015089849824484"/>
    <n v="31"/>
    <n v="4237.7189231505708"/>
    <n v="4869960"/>
    <n v="5094236"/>
    <n v="2047549"/>
    <n v="490058.37"/>
    <n v="221480.42499999999"/>
    <n v="223817.31951943206"/>
    <n v="714.28500000000008"/>
    <n v="0.25"/>
    <n v="4512"/>
    <n v="1455"/>
    <m/>
  </r>
  <r>
    <x v="34"/>
    <n v="1"/>
    <m/>
    <n v="15.236710153897402"/>
    <n v="15.315391646820974"/>
    <n v="32.33"/>
    <n v="4239.4645371860088"/>
    <n v="4874023"/>
    <n v="5101006"/>
    <n v="2050752"/>
    <n v="490779.57"/>
    <n v="223274.90299999999"/>
    <n v="225527.41153885462"/>
    <n v="991.4375"/>
    <n v="0"/>
    <n v="4512"/>
    <n v="1455"/>
    <m/>
  </r>
  <r>
    <x v="34"/>
    <n v="2"/>
    <m/>
    <n v="15.236710153897402"/>
    <n v="15.315391646820974"/>
    <n v="29.86"/>
    <n v="4241.2101512214467"/>
    <n v="4874023"/>
    <n v="5101006"/>
    <n v="2050752"/>
    <n v="490779.57"/>
    <n v="223274.90299999999"/>
    <n v="225527.41153885462"/>
    <n v="890.05499999999995"/>
    <n v="0"/>
    <n v="4512"/>
    <n v="1455"/>
    <m/>
  </r>
  <r>
    <x v="34"/>
    <n v="3"/>
    <m/>
    <n v="15.236710153897402"/>
    <n v="15.315391646820974"/>
    <n v="30.76"/>
    <n v="4242.9557652568847"/>
    <n v="4874023"/>
    <n v="5101006"/>
    <n v="2050752"/>
    <n v="490779.57"/>
    <n v="223274.90299999999"/>
    <n v="225527.41153885462"/>
    <n v="724.63750000000005"/>
    <n v="0.92249999999999999"/>
    <n v="4512"/>
    <n v="1455"/>
    <m/>
  </r>
  <r>
    <x v="34"/>
    <n v="4"/>
    <m/>
    <n v="15.236710153897402"/>
    <n v="15.315391646820974"/>
    <n v="30.38"/>
    <n v="4244.7013792923226"/>
    <n v="4878057"/>
    <n v="5107751"/>
    <n v="2054154"/>
    <n v="491499.45"/>
    <n v="224274.87700000001"/>
    <n v="226461.76289008776"/>
    <n v="433.4375"/>
    <n v="13.477500000000001"/>
    <n v="4512"/>
    <n v="1455"/>
    <m/>
  </r>
  <r>
    <x v="34"/>
    <n v="5"/>
    <m/>
    <n v="15.236710153897402"/>
    <n v="15.315391646820974"/>
    <n v="29.52"/>
    <n v="4246.4469933277605"/>
    <n v="4878057"/>
    <n v="5107751"/>
    <n v="2054154"/>
    <n v="491499.45"/>
    <n v="224274.87700000001"/>
    <n v="226461.76289008776"/>
    <n v="189.125"/>
    <n v="46.06"/>
    <n v="4512"/>
    <n v="1455"/>
    <m/>
  </r>
  <r>
    <x v="34"/>
    <n v="6"/>
    <m/>
    <n v="15.236710153897402"/>
    <n v="15.315391646820974"/>
    <n v="30.62"/>
    <n v="4248.1926073631976"/>
    <n v="4878057"/>
    <n v="5107751"/>
    <n v="2054154"/>
    <n v="491499.45"/>
    <n v="224274.87700000001"/>
    <n v="226461.76289008776"/>
    <n v="50.362499999999997"/>
    <n v="166.4075"/>
    <n v="4512"/>
    <n v="1455"/>
    <m/>
  </r>
  <r>
    <x v="34"/>
    <n v="7"/>
    <m/>
    <n v="15.236710153897402"/>
    <n v="15.315391646820974"/>
    <n v="30.76"/>
    <n v="4249.9035214814203"/>
    <n v="4882061"/>
    <n v="5114472"/>
    <n v="2057520"/>
    <n v="492216.71"/>
    <n v="225199.902"/>
    <n v="227297.86248107164"/>
    <n v="1.625"/>
    <n v="326.005"/>
    <n v="4512"/>
    <n v="1455"/>
    <m/>
  </r>
  <r>
    <x v="34"/>
    <n v="8"/>
    <m/>
    <n v="15.236710153897402"/>
    <n v="15.315391646820974"/>
    <n v="29.48"/>
    <n v="4251.6144355996421"/>
    <n v="4882061"/>
    <n v="5114472"/>
    <n v="2057520"/>
    <n v="492216.71"/>
    <n v="225199.902"/>
    <n v="227297.86248107164"/>
    <n v="0.75"/>
    <n v="348.8175"/>
    <n v="4512"/>
    <n v="1455"/>
    <m/>
  </r>
  <r>
    <x v="34"/>
    <n v="9"/>
    <m/>
    <n v="15.236710153897402"/>
    <n v="15.315391646820974"/>
    <n v="30.57"/>
    <n v="4253.3253497178639"/>
    <n v="4882061"/>
    <n v="5114472"/>
    <n v="2057520"/>
    <n v="492216.71"/>
    <n v="225199.902"/>
    <n v="227297.86248107164"/>
    <n v="11.752500000000001"/>
    <n v="258.88"/>
    <n v="4512"/>
    <n v="1455"/>
    <m/>
  </r>
  <r>
    <x v="34"/>
    <n v="10"/>
    <m/>
    <n v="15.236710153897402"/>
    <n v="15.315391646820974"/>
    <n v="29.67"/>
    <n v="4255.0362638360857"/>
    <n v="4886025"/>
    <n v="5121157"/>
    <n v="2060862"/>
    <n v="492935.94"/>
    <n v="226081.57399999999"/>
    <n v="228101.47806925458"/>
    <n v="134.87"/>
    <n v="71.42"/>
    <n v="4512"/>
    <n v="1455"/>
    <m/>
  </r>
  <r>
    <x v="34"/>
    <n v="11"/>
    <m/>
    <n v="15.236710153897402"/>
    <n v="15.315391646820974"/>
    <n v="29.95"/>
    <n v="4256.7471779543075"/>
    <n v="4886025"/>
    <n v="5121157"/>
    <n v="2060862"/>
    <n v="492935.94"/>
    <n v="226081.57399999999"/>
    <n v="228101.47806925458"/>
    <n v="396.30250000000001"/>
    <n v="6.6950000000000003"/>
    <n v="4512"/>
    <n v="1455"/>
    <m/>
  </r>
  <r>
    <x v="34"/>
    <n v="12"/>
    <m/>
    <n v="15.236710153897402"/>
    <n v="15.315391646820974"/>
    <n v="31.38"/>
    <n v="4258.4580920725293"/>
    <n v="4886025"/>
    <n v="5121157"/>
    <n v="2060862"/>
    <n v="492935.94"/>
    <n v="226081.57399999999"/>
    <n v="228101.47806925458"/>
    <n v="714.28500000000008"/>
    <n v="0.25"/>
    <n v="4512"/>
    <n v="1455"/>
    <m/>
  </r>
  <r>
    <x v="35"/>
    <n v="1"/>
    <m/>
    <n v="15.541444356975351"/>
    <n v="15.621699479757394"/>
    <n v="32.43"/>
    <n v="4260.169006190752"/>
    <n v="4889974"/>
    <n v="5127834"/>
    <n v="2064051"/>
    <n v="493663.25"/>
    <n v="227897.829"/>
    <n v="229844.3734857724"/>
    <n v="991.4375"/>
    <n v="0"/>
    <n v="4512"/>
    <n v="1455"/>
    <m/>
  </r>
  <r>
    <x v="35"/>
    <n v="2"/>
    <m/>
    <n v="15.541444356975351"/>
    <n v="15.621699479757394"/>
    <n v="29.9"/>
    <n v="4261.8799203089739"/>
    <n v="4889974"/>
    <n v="5127834"/>
    <n v="2064051"/>
    <n v="493663.25"/>
    <n v="227897.829"/>
    <n v="229844.3734857724"/>
    <n v="890.05499999999995"/>
    <n v="0"/>
    <n v="4512"/>
    <n v="1455"/>
    <m/>
  </r>
  <r>
    <x v="35"/>
    <n v="3"/>
    <m/>
    <n v="15.541444356975351"/>
    <n v="15.621699479757394"/>
    <n v="30.33"/>
    <n v="4263.5908344271957"/>
    <n v="4889974"/>
    <n v="5127834"/>
    <n v="2064051"/>
    <n v="493663.25"/>
    <n v="227897.829"/>
    <n v="229844.3734857724"/>
    <n v="724.63750000000005"/>
    <n v="0.92249999999999999"/>
    <n v="4512"/>
    <n v="1455"/>
    <m/>
  </r>
  <r>
    <x v="35"/>
    <n v="4"/>
    <m/>
    <n v="15.541444356975351"/>
    <n v="15.621699479757394"/>
    <n v="30.29"/>
    <n v="4265.3017485454175"/>
    <n v="4893921"/>
    <n v="5134516"/>
    <n v="2067456.0000000002"/>
    <n v="494380.73"/>
    <n v="228888.74400000001"/>
    <n v="230765.78295090122"/>
    <n v="433.4375"/>
    <n v="13.477500000000001"/>
    <n v="4512"/>
    <n v="1455"/>
    <m/>
  </r>
  <r>
    <x v="35"/>
    <n v="5"/>
    <m/>
    <n v="15.541444356975351"/>
    <n v="15.621699479757394"/>
    <n v="30.05"/>
    <n v="4267.0126626636393"/>
    <n v="4893921"/>
    <n v="5134516"/>
    <n v="2067456.0000000002"/>
    <n v="494380.73"/>
    <n v="228888.74400000001"/>
    <n v="230765.78295090122"/>
    <n v="189.125"/>
    <n v="46.06"/>
    <n v="4512"/>
    <n v="1455"/>
    <m/>
  </r>
  <r>
    <x v="35"/>
    <n v="6"/>
    <m/>
    <n v="15.541444356975351"/>
    <n v="15.621699479757394"/>
    <n v="30.67"/>
    <n v="4268.7235767818665"/>
    <n v="4893921"/>
    <n v="5134516"/>
    <n v="2067456.0000000002"/>
    <n v="494380.73"/>
    <n v="228888.74400000001"/>
    <n v="230765.78295090122"/>
    <n v="50.362499999999997"/>
    <n v="166.4075"/>
    <n v="4512"/>
    <n v="1455"/>
    <m/>
  </r>
  <r>
    <x v="35"/>
    <n v="7"/>
    <m/>
    <n v="15.541444356975351"/>
    <n v="15.621699479757394"/>
    <n v="30.62"/>
    <n v="4270.4142261484349"/>
    <n v="4897855"/>
    <n v="5141193"/>
    <n v="2070819"/>
    <n v="495096.68"/>
    <n v="229812.7"/>
    <n v="231582.87755786235"/>
    <n v="1.625"/>
    <n v="326.005"/>
    <n v="4512"/>
    <n v="1455"/>
    <m/>
  </r>
  <r>
    <x v="35"/>
    <n v="8"/>
    <m/>
    <n v="15.541444356975351"/>
    <n v="15.621699479757394"/>
    <n v="29.52"/>
    <n v="4272.1048755150041"/>
    <n v="4897855"/>
    <n v="5141193"/>
    <n v="2070819"/>
    <n v="495096.68"/>
    <n v="229812.7"/>
    <n v="231582.87755786235"/>
    <n v="0.75"/>
    <n v="348.8175"/>
    <n v="4512"/>
    <n v="1455"/>
    <m/>
  </r>
  <r>
    <x v="35"/>
    <n v="9"/>
    <m/>
    <n v="15.541444356975351"/>
    <n v="15.621699479757394"/>
    <n v="30.71"/>
    <n v="4273.7955248815724"/>
    <n v="4897855"/>
    <n v="5141193"/>
    <n v="2070819"/>
    <n v="495096.68"/>
    <n v="229812.7"/>
    <n v="231582.87755786235"/>
    <n v="11.752500000000001"/>
    <n v="258.88"/>
    <n v="4512"/>
    <n v="1455"/>
    <m/>
  </r>
  <r>
    <x v="35"/>
    <n v="10"/>
    <m/>
    <n v="15.541444356975351"/>
    <n v="15.621699479757394"/>
    <n v="29.52"/>
    <n v="4275.4861742481417"/>
    <n v="4901766"/>
    <n v="5147851"/>
    <n v="2074005.9999999998"/>
    <n v="495807.81"/>
    <n v="230688.69399999999"/>
    <n v="232376.24896003361"/>
    <n v="134.87"/>
    <n v="71.42"/>
    <n v="4512"/>
    <n v="1455"/>
    <m/>
  </r>
  <r>
    <x v="35"/>
    <n v="11"/>
    <m/>
    <n v="15.541444356975351"/>
    <n v="15.621699479757394"/>
    <n v="29.38"/>
    <n v="4277.17682361471"/>
    <n v="4901766"/>
    <n v="5147851"/>
    <n v="2074005.9999999998"/>
    <n v="495807.81"/>
    <n v="230688.69399999999"/>
    <n v="232376.24896003361"/>
    <n v="396.30250000000001"/>
    <n v="6.6950000000000003"/>
    <n v="4512"/>
    <n v="1455"/>
    <m/>
  </r>
  <r>
    <x v="35"/>
    <n v="12"/>
    <m/>
    <n v="15.541444356975351"/>
    <n v="15.621699479757394"/>
    <n v="32.81"/>
    <n v="4278.8674729812792"/>
    <n v="4901766"/>
    <n v="5147851"/>
    <n v="2074005.9999999998"/>
    <n v="495807.81"/>
    <n v="230688.69399999999"/>
    <n v="232376.24896003361"/>
    <n v="714.28500000000008"/>
    <n v="0.25"/>
    <n v="4512"/>
    <n v="1455"/>
    <m/>
  </r>
  <r>
    <x v="36"/>
    <n v="1"/>
    <m/>
    <n v="15.852273244114858"/>
    <n v="15.934133469352542"/>
    <n v="32.43"/>
    <n v="4280.5581223478475"/>
    <n v="4905664"/>
    <n v="5154503"/>
    <n v="2077406"/>
    <n v="496881.08"/>
    <n v="232435.19899999999"/>
    <n v="234041.8878051943"/>
    <n v="991.4375"/>
    <n v="0"/>
    <n v="4512"/>
    <n v="1455"/>
    <m/>
  </r>
  <r>
    <x v="36"/>
    <n v="2"/>
    <m/>
    <n v="15.852273244114858"/>
    <n v="15.934133469352542"/>
    <n v="29.9"/>
    <n v="4282.2487717144168"/>
    <n v="4905664"/>
    <n v="5154503"/>
    <n v="2077406"/>
    <n v="496881.08"/>
    <n v="232435.19899999999"/>
    <n v="234041.8878051943"/>
    <n v="890.05499999999995"/>
    <n v="0"/>
    <n v="4512"/>
    <n v="1455"/>
    <m/>
  </r>
  <r>
    <x v="36"/>
    <n v="3"/>
    <m/>
    <n v="15.852273244114858"/>
    <n v="15.934133469352542"/>
    <n v="30.33"/>
    <n v="4283.9394210809851"/>
    <n v="4905664"/>
    <n v="5154503"/>
    <n v="2077406"/>
    <n v="496881.08"/>
    <n v="232435.19899999999"/>
    <n v="234041.8878051943"/>
    <n v="724.63750000000005"/>
    <n v="0.92249999999999999"/>
    <n v="4512"/>
    <n v="1455"/>
    <m/>
  </r>
  <r>
    <x v="36"/>
    <n v="4"/>
    <m/>
    <n v="15.852273244114858"/>
    <n v="15.934133469352542"/>
    <n v="30.29"/>
    <n v="4285.6300704475543"/>
    <n v="4909552"/>
    <n v="5161152"/>
    <n v="2080764.9999999998"/>
    <n v="497416.84"/>
    <n v="233443.413"/>
    <n v="235014.92108753874"/>
    <n v="433.4375"/>
    <n v="13.477500000000001"/>
    <n v="4512"/>
    <n v="1455"/>
    <m/>
  </r>
  <r>
    <x v="36"/>
    <n v="5"/>
    <m/>
    <n v="15.852273244114858"/>
    <n v="15.934133469352542"/>
    <n v="30.05"/>
    <n v="4287.3207198141226"/>
    <n v="4909552"/>
    <n v="5161152"/>
    <n v="2080764.9999999998"/>
    <n v="497416.84"/>
    <n v="233443.413"/>
    <n v="235014.92108753874"/>
    <n v="189.125"/>
    <n v="46.06"/>
    <n v="4512"/>
    <n v="1455"/>
    <m/>
  </r>
  <r>
    <x v="36"/>
    <n v="6"/>
    <m/>
    <n v="15.852273244114858"/>
    <n v="15.934133469352542"/>
    <n v="30.67"/>
    <n v="4289.0113691806882"/>
    <n v="4909552"/>
    <n v="5161152"/>
    <n v="2080764.9999999998"/>
    <n v="497416.84"/>
    <n v="233443.413"/>
    <n v="235014.92108753874"/>
    <n v="50.362499999999997"/>
    <n v="166.4075"/>
    <n v="4512"/>
    <n v="1455"/>
    <m/>
  </r>
  <r>
    <x v="36"/>
    <n v="7"/>
    <m/>
    <n v="15.852273244114858"/>
    <n v="15.934133469352542"/>
    <n v="30.62"/>
    <n v="4290.6880691805372"/>
    <n v="4913441"/>
    <n v="5167811"/>
    <n v="2084114.9999999998"/>
    <n v="498067.18"/>
    <n v="234353.842"/>
    <n v="235880.41418362912"/>
    <n v="1.625"/>
    <n v="326.005"/>
    <n v="4512"/>
    <n v="1455"/>
    <m/>
  </r>
  <r>
    <x v="36"/>
    <n v="8"/>
    <m/>
    <n v="15.852273244114858"/>
    <n v="15.934133469352542"/>
    <n v="29.52"/>
    <n v="4292.3647691803853"/>
    <n v="4913441"/>
    <n v="5167811"/>
    <n v="2084114.9999999998"/>
    <n v="498067.18"/>
    <n v="234353.842"/>
    <n v="235880.41418362912"/>
    <n v="0.75"/>
    <n v="348.8175"/>
    <n v="4512"/>
    <n v="1455"/>
    <m/>
  </r>
  <r>
    <x v="36"/>
    <n v="9"/>
    <m/>
    <n v="15.852273244114858"/>
    <n v="15.934133469352542"/>
    <n v="30.71"/>
    <n v="4294.0414691802334"/>
    <n v="4913441"/>
    <n v="5167811"/>
    <n v="2084114.9999999998"/>
    <n v="498067.18"/>
    <n v="234353.842"/>
    <n v="235880.41418362912"/>
    <n v="11.752500000000001"/>
    <n v="258.88"/>
    <n v="4512"/>
    <n v="1455"/>
    <m/>
  </r>
  <r>
    <x v="36"/>
    <n v="10"/>
    <m/>
    <n v="15.852273244114858"/>
    <n v="15.934133469352542"/>
    <n v="29.52"/>
    <n v="4295.7181691800824"/>
    <n v="4917309"/>
    <n v="5174454"/>
    <n v="2087301"/>
    <n v="498711.4"/>
    <n v="235229.45199999999"/>
    <n v="236746.10323013621"/>
    <n v="134.87"/>
    <n v="71.42"/>
    <n v="4512"/>
    <n v="1455"/>
    <m/>
  </r>
  <r>
    <x v="36"/>
    <n v="11"/>
    <m/>
    <n v="15.852273244114858"/>
    <n v="15.934133469352542"/>
    <n v="29.38"/>
    <n v="4297.3948691799305"/>
    <n v="4917309"/>
    <n v="5174454"/>
    <n v="2087301"/>
    <n v="498711.4"/>
    <n v="235229.45199999999"/>
    <n v="236746.10323013621"/>
    <n v="396.30250000000001"/>
    <n v="6.6950000000000003"/>
    <n v="4512"/>
    <n v="1455"/>
    <m/>
  </r>
  <r>
    <x v="36"/>
    <n v="12"/>
    <m/>
    <n v="15.852273244114858"/>
    <n v="15.934133469352542"/>
    <n v="32.81"/>
    <n v="4299.0715691797786"/>
    <n v="4917309"/>
    <n v="5174454"/>
    <n v="2087301"/>
    <n v="498711.4"/>
    <n v="235229.45199999999"/>
    <n v="236746.10323013621"/>
    <n v="714.28500000000008"/>
    <n v="0.25"/>
    <n v="4512"/>
    <n v="1455"/>
    <m/>
  </r>
  <r>
    <x v="37"/>
    <n v="1"/>
    <m/>
    <n v="16.169318708997157"/>
    <n v="16.252816138739593"/>
    <n v="32.43"/>
    <n v="4300.7482691796276"/>
    <n v="4921172"/>
    <n v="5181100"/>
    <n v="2090703"/>
    <n v="499363.49"/>
    <n v="237001.329"/>
    <n v="238591.12916266956"/>
    <n v="991.4375"/>
    <n v="0"/>
    <n v="4512"/>
    <n v="1455"/>
    <m/>
  </r>
  <r>
    <x v="37"/>
    <n v="2"/>
    <m/>
    <n v="16.169318708997157"/>
    <n v="16.252816138739593"/>
    <n v="29.9"/>
    <n v="4302.4249691794757"/>
    <n v="4921172"/>
    <n v="5181100"/>
    <n v="2090703"/>
    <n v="499363.49"/>
    <n v="237001.329"/>
    <n v="238591.12916266956"/>
    <n v="890.05499999999995"/>
    <n v="0"/>
    <n v="4512"/>
    <n v="1455"/>
    <m/>
  </r>
  <r>
    <x v="37"/>
    <n v="3"/>
    <m/>
    <n v="16.169318708997157"/>
    <n v="16.252816138739593"/>
    <n v="30.33"/>
    <n v="4304.1016691793238"/>
    <n v="4921172"/>
    <n v="5181100"/>
    <n v="2090703"/>
    <n v="499363.49"/>
    <n v="237001.329"/>
    <n v="238591.12916266956"/>
    <n v="724.63750000000005"/>
    <n v="0.92249999999999999"/>
    <n v="4512"/>
    <n v="1455"/>
    <m/>
  </r>
  <r>
    <x v="37"/>
    <n v="4"/>
    <m/>
    <n v="16.169318708997157"/>
    <n v="16.252816138739593"/>
    <n v="30.29"/>
    <n v="4305.7783691791728"/>
    <n v="4925031"/>
    <n v="5187749"/>
    <n v="2094067"/>
    <n v="500026.3"/>
    <n v="237918.01"/>
    <n v="239529.22045199905"/>
    <n v="433.4375"/>
    <n v="13.477500000000001"/>
    <n v="4512"/>
    <n v="1455"/>
    <m/>
  </r>
  <r>
    <x v="37"/>
    <n v="5"/>
    <m/>
    <n v="16.169318708997157"/>
    <n v="16.252816138739593"/>
    <n v="30.05"/>
    <n v="4307.4550691790209"/>
    <n v="4925031"/>
    <n v="5187749"/>
    <n v="2094067"/>
    <n v="500026.3"/>
    <n v="237918.01"/>
    <n v="239529.22045199905"/>
    <n v="189.125"/>
    <n v="46.06"/>
    <n v="4512"/>
    <n v="1455"/>
    <m/>
  </r>
  <r>
    <x v="37"/>
    <n v="6"/>
    <m/>
    <n v="16.169318708997157"/>
    <n v="16.252816138739593"/>
    <n v="30.67"/>
    <n v="4309.1317691788645"/>
    <n v="4925031"/>
    <n v="5187749"/>
    <n v="2094067"/>
    <n v="500026.3"/>
    <n v="237918.01"/>
    <n v="239529.22045199905"/>
    <n v="50.362499999999997"/>
    <n v="166.4075"/>
    <n v="4512"/>
    <n v="1455"/>
    <m/>
  </r>
  <r>
    <x v="37"/>
    <n v="7"/>
    <m/>
    <n v="16.169318708997157"/>
    <n v="16.252816138739593"/>
    <n v="30.62"/>
    <n v="4310.8027089924553"/>
    <n v="4928887"/>
    <n v="5194402"/>
    <n v="2097416"/>
    <n v="500683.64"/>
    <n v="238774.076"/>
    <n v="240356.41755635547"/>
    <n v="1.625"/>
    <n v="326.005"/>
    <n v="4512"/>
    <n v="1455"/>
    <m/>
  </r>
  <r>
    <x v="37"/>
    <n v="8"/>
    <m/>
    <n v="16.169318708997157"/>
    <n v="16.252816138739593"/>
    <n v="29.52"/>
    <n v="4312.4736488060462"/>
    <n v="4928887"/>
    <n v="5194402"/>
    <n v="2097416"/>
    <n v="500683.64"/>
    <n v="238774.076"/>
    <n v="240356.41755635547"/>
    <n v="0.75"/>
    <n v="348.8175"/>
    <n v="4512"/>
    <n v="1455"/>
    <m/>
  </r>
  <r>
    <x v="37"/>
    <n v="9"/>
    <m/>
    <n v="16.169318708997157"/>
    <n v="16.252816138739593"/>
    <n v="30.71"/>
    <n v="4314.1445886196361"/>
    <n v="4928887"/>
    <n v="5194402"/>
    <n v="2097416"/>
    <n v="500683.64"/>
    <n v="238774.076"/>
    <n v="240356.41755635547"/>
    <n v="11.752500000000001"/>
    <n v="258.88"/>
    <n v="4512"/>
    <n v="1455"/>
    <m/>
  </r>
  <r>
    <x v="37"/>
    <n v="10"/>
    <m/>
    <n v="16.169318708997157"/>
    <n v="16.252816138739593"/>
    <n v="29.52"/>
    <n v="4315.815528433227"/>
    <n v="4932763"/>
    <n v="5201086"/>
    <n v="2100620"/>
    <n v="501343.61"/>
    <n v="239533.158"/>
    <n v="241150.97720374091"/>
    <n v="134.87"/>
    <n v="71.42"/>
    <n v="4512"/>
    <n v="1455"/>
    <m/>
  </r>
  <r>
    <x v="37"/>
    <n v="11"/>
    <m/>
    <n v="16.169318708997157"/>
    <n v="16.252816138739593"/>
    <n v="29.38"/>
    <n v="4317.4864682468178"/>
    <n v="4932763"/>
    <n v="5201086"/>
    <n v="2100620"/>
    <n v="501343.61"/>
    <n v="239533.158"/>
    <n v="241150.97720374091"/>
    <n v="396.30250000000001"/>
    <n v="6.6950000000000003"/>
    <n v="4512"/>
    <n v="1455"/>
    <m/>
  </r>
  <r>
    <x v="37"/>
    <n v="12"/>
    <m/>
    <n v="16.169318708997157"/>
    <n v="16.252816138739593"/>
    <n v="32.81"/>
    <n v="4319.1574080604078"/>
    <n v="4932763"/>
    <n v="5201086"/>
    <n v="2100620"/>
    <n v="501343.61"/>
    <n v="239533.158"/>
    <n v="241150.97720374091"/>
    <n v="714.28500000000008"/>
    <n v="0.25"/>
    <n v="4512"/>
    <n v="1455"/>
    <m/>
  </r>
  <r>
    <x v="38"/>
    <n v="1"/>
    <m/>
    <n v="16.4927050831771"/>
    <n v="16.577872461514385"/>
    <n v="32.43"/>
    <n v="4320.8283478739986"/>
    <n v="4936625"/>
    <n v="5207762"/>
    <n v="2104036"/>
    <n v="501996.14"/>
    <n v="241255.864"/>
    <n v="242958.74818235112"/>
    <n v="991.4375"/>
    <n v="0"/>
    <n v="4512"/>
    <n v="1455"/>
    <m/>
  </r>
  <r>
    <x v="38"/>
    <n v="2"/>
    <m/>
    <n v="16.4927050831771"/>
    <n v="16.577872461514385"/>
    <n v="29.9"/>
    <n v="4322.4992876875895"/>
    <n v="4936625"/>
    <n v="5207762"/>
    <n v="2104036"/>
    <n v="501996.14"/>
    <n v="241255.864"/>
    <n v="242958.74818235112"/>
    <n v="890.05499999999995"/>
    <n v="0"/>
    <n v="4512"/>
    <n v="1455"/>
    <m/>
  </r>
  <r>
    <x v="38"/>
    <n v="3"/>
    <m/>
    <n v="16.4927050831771"/>
    <n v="16.577872461514385"/>
    <n v="30.33"/>
    <n v="4324.1702275011803"/>
    <n v="4936625"/>
    <n v="5207762"/>
    <n v="2104036"/>
    <n v="501996.14"/>
    <n v="241255.864"/>
    <n v="242958.74818235112"/>
    <n v="724.63750000000005"/>
    <n v="0.92249999999999999"/>
    <n v="4512"/>
    <n v="1455"/>
    <m/>
  </r>
  <r>
    <x v="38"/>
    <n v="4"/>
    <m/>
    <n v="16.4927050831771"/>
    <n v="16.577872461514385"/>
    <n v="30.29"/>
    <n v="4325.8411673147702"/>
    <n v="4940474"/>
    <n v="5214432"/>
    <n v="2107408"/>
    <n v="502677.32"/>
    <n v="242089.55"/>
    <n v="243840.69925294744"/>
    <n v="433.4375"/>
    <n v="13.477500000000001"/>
    <n v="4512"/>
    <n v="1455"/>
    <m/>
  </r>
  <r>
    <x v="38"/>
    <n v="5"/>
    <m/>
    <n v="16.4927050831771"/>
    <n v="16.577872461514385"/>
    <n v="30.05"/>
    <n v="4327.5121071283611"/>
    <n v="4940474"/>
    <n v="5214432"/>
    <n v="2107408"/>
    <n v="502677.32"/>
    <n v="242089.55"/>
    <n v="243840.69925294744"/>
    <n v="189.125"/>
    <n v="46.06"/>
    <n v="4512"/>
    <n v="1455"/>
    <m/>
  </r>
  <r>
    <x v="38"/>
    <n v="6"/>
    <m/>
    <n v="16.4927050831771"/>
    <n v="16.577872461514385"/>
    <n v="30.67"/>
    <n v="4329.1830469419474"/>
    <n v="4940474"/>
    <n v="5214432"/>
    <n v="2107408"/>
    <n v="502677.32"/>
    <n v="242089.55"/>
    <n v="243840.69925294744"/>
    <n v="50.362499999999997"/>
    <n v="166.4075"/>
    <n v="4512"/>
    <n v="1455"/>
    <m/>
  </r>
  <r>
    <x v="38"/>
    <n v="7"/>
    <m/>
    <n v="16.4927050831771"/>
    <n v="16.577872461514385"/>
    <n v="30.62"/>
    <n v="4330.8411477861673"/>
    <n v="4944309"/>
    <n v="5221097"/>
    <n v="2110600"/>
    <n v="503352.81"/>
    <n v="242952.587"/>
    <n v="244717.98632580542"/>
    <n v="1.625"/>
    <n v="326.005"/>
    <n v="4512"/>
    <n v="1455"/>
    <m/>
  </r>
  <r>
    <x v="38"/>
    <n v="8"/>
    <m/>
    <n v="16.4927050831771"/>
    <n v="16.577872461514385"/>
    <n v="29.52"/>
    <n v="4332.4992486303881"/>
    <n v="4944309"/>
    <n v="5221097"/>
    <n v="2110600"/>
    <n v="503352.81"/>
    <n v="242952.587"/>
    <n v="244717.98632580542"/>
    <n v="0.75"/>
    <n v="348.8175"/>
    <n v="4512"/>
    <n v="1455"/>
    <m/>
  </r>
  <r>
    <x v="38"/>
    <n v="9"/>
    <m/>
    <n v="16.4927050831771"/>
    <n v="16.577872461514385"/>
    <n v="30.71"/>
    <n v="4334.1573494746081"/>
    <n v="4944309"/>
    <n v="5221097"/>
    <n v="2110600"/>
    <n v="503352.81"/>
    <n v="242952.587"/>
    <n v="244717.98632580542"/>
    <n v="11.752500000000001"/>
    <n v="258.88"/>
    <n v="4512"/>
    <n v="1455"/>
    <m/>
  </r>
  <r>
    <x v="38"/>
    <n v="10"/>
    <m/>
    <n v="16.4927050831771"/>
    <n v="16.577872461514385"/>
    <n v="29.52"/>
    <n v="4335.815450318828"/>
    <n v="4948132"/>
    <n v="5227756"/>
    <n v="2114006"/>
    <n v="504024.8"/>
    <n v="243706.79399999999"/>
    <n v="245497.37409786243"/>
    <n v="134.87"/>
    <n v="71.42"/>
    <n v="4512"/>
    <n v="1455"/>
    <m/>
  </r>
  <r>
    <x v="38"/>
    <n v="11"/>
    <m/>
    <n v="16.4927050831771"/>
    <n v="16.577872461514385"/>
    <n v="29.38"/>
    <n v="4337.4735511630488"/>
    <n v="4948132"/>
    <n v="5227756"/>
    <n v="2114006"/>
    <n v="504024.8"/>
    <n v="243706.79399999999"/>
    <n v="245497.37409786243"/>
    <n v="396.30250000000001"/>
    <n v="6.6950000000000003"/>
    <n v="4512"/>
    <n v="1455"/>
    <m/>
  </r>
  <r>
    <x v="38"/>
    <n v="12"/>
    <m/>
    <n v="16.4927050831771"/>
    <n v="16.577872461514385"/>
    <n v="32.81"/>
    <n v="4339.1316520072687"/>
    <n v="4948132"/>
    <n v="5227756"/>
    <n v="2114006"/>
    <n v="504024.8"/>
    <n v="243706.79399999999"/>
    <n v="245497.37409786243"/>
    <n v="714.28500000000008"/>
    <n v="0.25"/>
    <n v="4512"/>
    <n v="1455"/>
    <m/>
  </r>
  <r>
    <x v="39"/>
    <n v="1"/>
    <m/>
    <n v="16.822559184840642"/>
    <n v="16.909429910744674"/>
    <n v="32.43"/>
    <n v="4340.7897528514886"/>
    <n v="4951944"/>
    <n v="5234410"/>
    <n v="2117370"/>
    <n v="504678.2"/>
    <n v="245424.038"/>
    <n v="247247.37505257796"/>
    <n v="991.4375"/>
    <n v="0"/>
    <n v="4512"/>
    <n v="1455"/>
    <m/>
  </r>
  <r>
    <x v="39"/>
    <n v="2"/>
    <m/>
    <n v="16.822559184840642"/>
    <n v="16.909429910744674"/>
    <n v="29.9"/>
    <n v="4342.4478536957095"/>
    <n v="4951944"/>
    <n v="5234410"/>
    <n v="2117370"/>
    <n v="504678.2"/>
    <n v="245424.038"/>
    <n v="247247.37505257796"/>
    <n v="890.05499999999995"/>
    <n v="0"/>
    <n v="4512"/>
    <n v="1455"/>
    <m/>
  </r>
  <r>
    <x v="39"/>
    <n v="3"/>
    <m/>
    <n v="16.822559184840642"/>
    <n v="16.909429910744674"/>
    <n v="30.33"/>
    <n v="4344.1059545399294"/>
    <n v="4951944"/>
    <n v="5234410"/>
    <n v="2117370"/>
    <n v="504678.2"/>
    <n v="245424.038"/>
    <n v="247247.37505257796"/>
    <n v="724.63750000000005"/>
    <n v="0.92249999999999999"/>
    <n v="4512"/>
    <n v="1455"/>
    <m/>
  </r>
  <r>
    <x v="39"/>
    <n v="4"/>
    <m/>
    <n v="16.822559184840642"/>
    <n v="16.909429910744674"/>
    <n v="30.29"/>
    <n v="4345.7640553841502"/>
    <n v="4955744"/>
    <n v="5241061"/>
    <n v="2120719"/>
    <n v="505346.26"/>
    <n v="246375.226"/>
    <n v="248338.9887301742"/>
    <n v="433.4375"/>
    <n v="13.477500000000001"/>
    <n v="4512"/>
    <n v="1455"/>
    <m/>
  </r>
  <r>
    <x v="39"/>
    <n v="5"/>
    <m/>
    <n v="16.822559184840642"/>
    <n v="16.909429910744674"/>
    <n v="30.05"/>
    <n v="4347.4221562283701"/>
    <n v="4955744"/>
    <n v="5241061"/>
    <n v="2120719"/>
    <n v="505346.26"/>
    <n v="246375.226"/>
    <n v="248338.9887301742"/>
    <n v="189.125"/>
    <n v="46.06"/>
    <n v="4512"/>
    <n v="1455"/>
    <m/>
  </r>
  <r>
    <x v="39"/>
    <n v="6"/>
    <m/>
    <n v="16.822559184840642"/>
    <n v="16.909429910744674"/>
    <n v="30.67"/>
    <n v="4349.0802570725937"/>
    <n v="4955744"/>
    <n v="5241061"/>
    <n v="2120719"/>
    <n v="505346.26"/>
    <n v="246375.226"/>
    <n v="248338.9887301742"/>
    <n v="50.362499999999997"/>
    <n v="166.4075"/>
    <n v="4512"/>
    <n v="1455"/>
    <m/>
  </r>
  <r>
    <x v="39"/>
    <n v="7"/>
    <m/>
    <n v="16.822559184840642"/>
    <n v="16.909429910744674"/>
    <n v="30.62"/>
    <n v="4350.7459786573927"/>
    <n v="4959534"/>
    <n v="5247709"/>
    <n v="2123898"/>
    <n v="506011.26"/>
    <n v="247249.16699999999"/>
    <n v="249314.18166869634"/>
    <n v="1.625"/>
    <n v="326.005"/>
    <n v="4512"/>
    <n v="1455"/>
    <m/>
  </r>
  <r>
    <x v="39"/>
    <n v="8"/>
    <m/>
    <n v="16.822559184840642"/>
    <n v="16.909429910744674"/>
    <n v="29.52"/>
    <n v="4352.4117002421917"/>
    <n v="4959534"/>
    <n v="5247709"/>
    <n v="2123898"/>
    <n v="506011.26"/>
    <n v="247249.16699999999"/>
    <n v="249314.18166869634"/>
    <n v="0.75"/>
    <n v="348.8175"/>
    <n v="4512"/>
    <n v="1455"/>
    <m/>
  </r>
  <r>
    <x v="39"/>
    <n v="9"/>
    <m/>
    <n v="16.822559184840642"/>
    <n v="16.909429910744674"/>
    <n v="30.71"/>
    <n v="4354.0774218269908"/>
    <n v="4959534"/>
    <n v="5247709"/>
    <n v="2123898"/>
    <n v="506011.26"/>
    <n v="247249.16699999999"/>
    <n v="249314.18166869634"/>
    <n v="11.752500000000001"/>
    <n v="258.88"/>
    <n v="4512"/>
    <n v="1455"/>
    <m/>
  </r>
  <r>
    <x v="39"/>
    <n v="10"/>
    <m/>
    <n v="16.822559184840642"/>
    <n v="16.909429910744674"/>
    <n v="29.52"/>
    <n v="4355.7431434117889"/>
    <n v="4963314"/>
    <n v="5254354"/>
    <n v="2127299"/>
    <n v="506683.69"/>
    <n v="247944.00599999999"/>
    <n v="250091.94680333562"/>
    <n v="134.87"/>
    <n v="71.42"/>
    <n v="4512"/>
    <n v="1455"/>
    <m/>
  </r>
  <r>
    <x v="39"/>
    <n v="11"/>
    <m/>
    <n v="16.822559184840642"/>
    <n v="16.909429910744674"/>
    <n v="29.38"/>
    <n v="4357.4088649965879"/>
    <n v="4963314"/>
    <n v="5254354"/>
    <n v="2127299"/>
    <n v="506683.69"/>
    <n v="247944.00599999999"/>
    <n v="250091.94680333562"/>
    <n v="396.30250000000001"/>
    <n v="6.6950000000000003"/>
    <n v="4512"/>
    <n v="1455"/>
    <m/>
  </r>
  <r>
    <x v="39"/>
    <n v="12"/>
    <m/>
    <n v="16.822559184840642"/>
    <n v="16.909429910744674"/>
    <n v="32.81"/>
    <n v="4359.0745865813869"/>
    <n v="4963314"/>
    <n v="5254354"/>
    <n v="2127299"/>
    <n v="506683.69"/>
    <n v="247944.00599999999"/>
    <n v="250091.94680333562"/>
    <n v="714.28500000000008"/>
    <n v="0.25"/>
    <n v="4512"/>
    <n v="1455"/>
    <m/>
  </r>
  <r>
    <x v="40"/>
    <n v="1"/>
    <m/>
    <n v="17.159010368537455"/>
    <n v="17.247618508959569"/>
    <n v="32.43"/>
    <n v="4360.7403081661851"/>
    <n v="4967087"/>
    <n v="5261000"/>
    <n v="2130652"/>
    <n v="507444.02"/>
    <n v="249612.27900000001"/>
    <n v="251445.55394935544"/>
    <n v="991.4375"/>
    <n v="0"/>
    <n v="4512"/>
    <n v="1455"/>
    <m/>
  </r>
  <r>
    <x v="40"/>
    <n v="2"/>
    <m/>
    <n v="17.159010368537455"/>
    <n v="17.247618508959569"/>
    <n v="29.9"/>
    <n v="4362.4060297509841"/>
    <n v="4967087"/>
    <n v="5261000"/>
    <n v="2130652"/>
    <n v="507444.02"/>
    <n v="249612.27900000001"/>
    <n v="251445.55394935544"/>
    <n v="890.05499999999995"/>
    <n v="0"/>
    <n v="4512"/>
    <n v="1455"/>
    <m/>
  </r>
  <r>
    <x v="40"/>
    <n v="3"/>
    <m/>
    <n v="17.159010368537455"/>
    <n v="17.247618508959569"/>
    <n v="30.33"/>
    <n v="4364.0717513357831"/>
    <n v="4967087"/>
    <n v="5261000"/>
    <n v="2130652"/>
    <n v="507444.02"/>
    <n v="249612.27900000001"/>
    <n v="251445.55394935544"/>
    <n v="724.63750000000005"/>
    <n v="0.92249999999999999"/>
    <n v="4512"/>
    <n v="1455"/>
    <m/>
  </r>
  <r>
    <x v="40"/>
    <n v="4"/>
    <m/>
    <n v="17.159010368537455"/>
    <n v="17.247618508959569"/>
    <n v="30.29"/>
    <n v="4365.7374729205821"/>
    <n v="4970853"/>
    <n v="5267646"/>
    <n v="2133993"/>
    <n v="508155.38"/>
    <n v="250429.492"/>
    <n v="252430.87276282423"/>
    <n v="433.4375"/>
    <n v="13.477500000000001"/>
    <n v="4512"/>
    <n v="1455"/>
    <m/>
  </r>
  <r>
    <x v="40"/>
    <n v="5"/>
    <m/>
    <n v="17.159010368537455"/>
    <n v="17.247618508959569"/>
    <n v="30.05"/>
    <n v="4367.4031945053803"/>
    <n v="4970853"/>
    <n v="5267646"/>
    <n v="2133993"/>
    <n v="508155.38"/>
    <n v="250429.492"/>
    <n v="252430.87276282423"/>
    <n v="189.125"/>
    <n v="46.06"/>
    <n v="4512"/>
    <n v="1455"/>
    <m/>
  </r>
  <r>
    <x v="40"/>
    <n v="6"/>
    <m/>
    <n v="17.159010368537455"/>
    <n v="17.247618508959569"/>
    <n v="30.67"/>
    <n v="4369.0689160901757"/>
    <n v="4970853"/>
    <n v="5267646"/>
    <n v="2133993"/>
    <n v="508155.38"/>
    <n v="250429.492"/>
    <n v="252430.87276282423"/>
    <n v="50.362499999999997"/>
    <n v="166.4075"/>
    <n v="4512"/>
    <n v="1455"/>
    <m/>
  </r>
  <r>
    <x v="40"/>
    <n v="7"/>
    <m/>
    <n v="17.159010368537455"/>
    <n v="17.247618508959569"/>
    <n v="30.62"/>
    <n v="4370.7349160901758"/>
    <n v="4974613"/>
    <n v="5274295"/>
    <n v="2137165"/>
    <n v="508867.17"/>
    <n v="251394.72700000001"/>
    <n v="253350.96349015992"/>
    <n v="1.625"/>
    <n v="326.005"/>
    <n v="4512"/>
    <n v="1455"/>
    <m/>
  </r>
  <r>
    <x v="40"/>
    <n v="8"/>
    <m/>
    <n v="17.159010368537455"/>
    <n v="17.247618508959569"/>
    <n v="29.52"/>
    <n v="4372.4009160901751"/>
    <n v="4974613"/>
    <n v="5274295"/>
    <n v="2137165"/>
    <n v="508867.17"/>
    <n v="251394.72700000001"/>
    <n v="253350.96349015992"/>
    <n v="0.75"/>
    <n v="348.8175"/>
    <n v="4512"/>
    <n v="1455"/>
    <m/>
  </r>
  <r>
    <x v="40"/>
    <n v="9"/>
    <m/>
    <n v="17.159010368537455"/>
    <n v="17.247618508959569"/>
    <n v="30.71"/>
    <n v="4374.0669160901753"/>
    <n v="4974613"/>
    <n v="5274295"/>
    <n v="2137165"/>
    <n v="508867.17"/>
    <n v="251394.72700000001"/>
    <n v="253350.96349015992"/>
    <n v="11.752500000000001"/>
    <n v="258.88"/>
    <n v="4512"/>
    <n v="1455"/>
    <m/>
  </r>
  <r>
    <x v="40"/>
    <n v="10"/>
    <m/>
    <n v="17.159010368537455"/>
    <n v="17.247618508959569"/>
    <n v="29.52"/>
    <n v="4375.7329160901754"/>
    <n v="4978367"/>
    <n v="5280945"/>
    <n v="2140556"/>
    <n v="509586.18"/>
    <n v="252359.43400000001"/>
    <n v="254215.79508224427"/>
    <n v="134.87"/>
    <n v="71.42"/>
    <n v="4512"/>
    <n v="1455"/>
    <m/>
  </r>
  <r>
    <x v="40"/>
    <n v="11"/>
    <m/>
    <n v="17.159010368537455"/>
    <n v="17.247618508959569"/>
    <n v="29.38"/>
    <n v="4377.3989160901756"/>
    <n v="4978367"/>
    <n v="5280945"/>
    <n v="2140556"/>
    <n v="509586.18"/>
    <n v="252359.43400000001"/>
    <n v="254215.79508224427"/>
    <n v="396.30250000000001"/>
    <n v="6.6950000000000003"/>
    <n v="4512"/>
    <n v="1455"/>
    <m/>
  </r>
  <r>
    <x v="40"/>
    <n v="12"/>
    <m/>
    <n v="17.159010368537455"/>
    <n v="17.247618508959569"/>
    <n v="32.81"/>
    <n v="4379.0649160901758"/>
    <n v="4978367"/>
    <n v="5280945"/>
    <n v="2140556"/>
    <n v="509586.18"/>
    <n v="252359.43400000001"/>
    <n v="254215.79508224427"/>
    <n v="714.28500000000008"/>
    <n v="0.25"/>
    <n v="4512"/>
    <n v="1455"/>
    <m/>
  </r>
  <r>
    <x v="41"/>
    <n v="1"/>
    <m/>
    <n v="17.502190575908205"/>
    <n v="17.592570879138762"/>
    <n v="32.43"/>
    <m/>
    <n v="4982116"/>
    <n v="5288945"/>
    <n v="2143907"/>
    <n v="510163.7"/>
    <n v="253356.46318499997"/>
    <n v="255614.41437076326"/>
    <n v="991.4375"/>
    <n v="0"/>
    <n v="4512"/>
    <n v="1455"/>
    <m/>
  </r>
  <r>
    <x v="41"/>
    <n v="2"/>
    <m/>
    <n v="17.502190575908205"/>
    <n v="17.592570879138762"/>
    <n v="29.9"/>
    <m/>
    <n v="4982116"/>
    <n v="5288945"/>
    <n v="2143907"/>
    <n v="510163.7"/>
    <n v="253356.46318499997"/>
    <n v="255614.41437076326"/>
    <n v="890.05499999999995"/>
    <n v="0"/>
    <n v="4512"/>
    <n v="1455"/>
    <m/>
  </r>
  <r>
    <x v="41"/>
    <n v="3"/>
    <m/>
    <n v="17.502190575908205"/>
    <n v="17.592570879138762"/>
    <n v="30.33"/>
    <m/>
    <n v="4982116"/>
    <n v="5288945"/>
    <n v="2143907"/>
    <n v="510163.7"/>
    <n v="253356.46318499997"/>
    <n v="255614.41437076326"/>
    <n v="724.63750000000005"/>
    <n v="0.92249999999999999"/>
    <n v="4512"/>
    <n v="1455"/>
    <m/>
  </r>
  <r>
    <x v="41"/>
    <n v="4"/>
    <m/>
    <n v="17.502190575908205"/>
    <n v="17.592570879138762"/>
    <n v="30.29"/>
    <m/>
    <n v="4985861"/>
    <n v="5296945"/>
    <n v="2147075"/>
    <n v="510929.73"/>
    <n v="254185.93437999996"/>
    <n v="256544.43847503333"/>
    <n v="433.4375"/>
    <n v="13.477500000000001"/>
    <n v="4512"/>
    <n v="1455"/>
    <m/>
  </r>
  <r>
    <x v="41"/>
    <n v="5"/>
    <m/>
    <n v="17.502190575908205"/>
    <n v="17.592570879138762"/>
    <n v="30.05"/>
    <m/>
    <n v="4985861"/>
    <n v="5296945"/>
    <n v="2147075"/>
    <n v="510929.73"/>
    <n v="254185.93437999996"/>
    <n v="256544.43847503333"/>
    <n v="189.125"/>
    <n v="46.06"/>
    <n v="4512"/>
    <n v="1455"/>
    <m/>
  </r>
  <r>
    <x v="41"/>
    <n v="6"/>
    <m/>
    <n v="17.502190575908205"/>
    <n v="17.592570879138762"/>
    <n v="30.67"/>
    <m/>
    <n v="4985861"/>
    <n v="5296945"/>
    <n v="2147075"/>
    <n v="510929.73"/>
    <n v="254185.93437999996"/>
    <n v="256544.43847503333"/>
    <n v="50.362499999999997"/>
    <n v="166.4075"/>
    <n v="4512"/>
    <n v="1455"/>
    <m/>
  </r>
  <r>
    <x v="41"/>
    <n v="7"/>
    <m/>
    <n v="17.502190575908205"/>
    <n v="17.592570879138762"/>
    <n v="30.62"/>
    <m/>
    <n v="4989601"/>
    <n v="5304945"/>
    <n v="2150238"/>
    <n v="511646.33"/>
    <n v="255165.64790499999"/>
    <n v="257421.6140649906"/>
    <n v="1.625"/>
    <n v="326.005"/>
    <n v="4512"/>
    <n v="1455"/>
    <m/>
  </r>
  <r>
    <x v="41"/>
    <n v="8"/>
    <m/>
    <n v="17.502190575908205"/>
    <n v="17.592570879138762"/>
    <n v="29.52"/>
    <m/>
    <n v="4989601"/>
    <n v="5304945"/>
    <n v="2150238"/>
    <n v="511646.33"/>
    <n v="255165.64790499999"/>
    <n v="257421.6140649906"/>
    <n v="0.75"/>
    <n v="348.8175"/>
    <n v="4512"/>
    <n v="1455"/>
    <m/>
  </r>
  <r>
    <x v="41"/>
    <n v="9"/>
    <m/>
    <n v="17.502190575908205"/>
    <n v="17.592570879138762"/>
    <n v="30.71"/>
    <m/>
    <n v="4989601"/>
    <n v="5304945"/>
    <n v="2150238"/>
    <n v="511646.33"/>
    <n v="255165.64790499999"/>
    <n v="257421.6140649906"/>
    <n v="11.752500000000001"/>
    <n v="258.88"/>
    <n v="4512"/>
    <n v="1455"/>
    <m/>
  </r>
  <r>
    <x v="41"/>
    <n v="10"/>
    <m/>
    <n v="17.502190575908205"/>
    <n v="17.592570879138762"/>
    <n v="29.52"/>
    <m/>
    <n v="4993338"/>
    <n v="5312945"/>
    <n v="2153400"/>
    <n v="512363.59"/>
    <n v="256144.82551"/>
    <n v="258320.39435679643"/>
    <n v="134.87"/>
    <n v="71.42"/>
    <n v="4512"/>
    <n v="1455"/>
    <m/>
  </r>
  <r>
    <x v="41"/>
    <n v="11"/>
    <m/>
    <n v="17.502190575908205"/>
    <n v="17.592570879138762"/>
    <n v="29.38"/>
    <m/>
    <n v="4993338"/>
    <n v="5312945"/>
    <n v="2153400"/>
    <n v="512363.59"/>
    <n v="256144.82551"/>
    <n v="258320.39435679643"/>
    <n v="396.30250000000001"/>
    <n v="6.6950000000000003"/>
    <n v="4512"/>
    <n v="1455"/>
    <m/>
  </r>
  <r>
    <x v="41"/>
    <n v="12"/>
    <m/>
    <n v="17.502190575908205"/>
    <n v="17.592570879138762"/>
    <n v="32.81"/>
    <m/>
    <n v="4993338"/>
    <n v="5312945"/>
    <n v="2153400"/>
    <n v="512363.59"/>
    <n v="256144.82551"/>
    <n v="258320.39435679643"/>
    <n v="714.28500000000008"/>
    <n v="0.25"/>
    <n v="4512"/>
    <n v="1455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2">
  <r>
    <x v="0"/>
    <s v="Q1"/>
    <s v="2001Q1"/>
    <n v="39483.908531599671"/>
    <n v="39483.908577839124"/>
    <n v="1.171096108976144E-9"/>
    <n v="467.18474541524114"/>
    <n v="467.18474541524114"/>
    <n v="34569.886538168648"/>
  </r>
  <r>
    <x v="0"/>
    <s v="Q2"/>
    <s v="2001Q2"/>
    <n v="39298.039654573484"/>
    <n v="39298.039700595262"/>
    <n v="1.171096108976144E-9"/>
    <n v="468.39365839140879"/>
    <n v="468.39365839140879"/>
    <n v="34431.916408019461"/>
  </r>
  <r>
    <x v="0"/>
    <s v="Q3"/>
    <s v="2001Q3"/>
    <n v="39277.008375261939"/>
    <n v="39277.008421259088"/>
    <n v="1.171096108976144E-9"/>
    <n v="469.62508778390287"/>
    <n v="469.62508778390287"/>
    <n v="34399.937636938055"/>
  </r>
  <r>
    <x v="0"/>
    <s v="Q4"/>
    <s v="2001Q4"/>
    <n v="39494.717420852307"/>
    <n v="39494.717310260203"/>
    <n v="-2.8001746477102074E-9"/>
    <n v="470.85939986136515"/>
    <n v="470.85939986136515"/>
    <n v="34635.991880930669"/>
  </r>
  <r>
    <x v="1"/>
    <s v="Q1"/>
    <s v="2002Q1"/>
    <n v="39818.735985151594"/>
    <n v="39818.735873652178"/>
    <n v="-2.8001746477102074E-9"/>
    <n v="472.09660259149229"/>
    <n v="472.09660259149229"/>
    <n v="35447.445392607326"/>
  </r>
  <r>
    <x v="1"/>
    <s v="Q2"/>
    <s v="2002Q2"/>
    <n v="39982.012360451699"/>
    <n v="39982.012248495084"/>
    <n v="-2.8001746477102074E-9"/>
    <n v="473.33670396275488"/>
    <n v="473.33670396275488"/>
    <n v="35596.576099127022"/>
  </r>
  <r>
    <x v="1"/>
    <s v="Q3"/>
    <s v="2002Q3"/>
    <n v="39908.418167125841"/>
    <n v="39908.418028152519"/>
    <n v="-3.4823059991140326E-9"/>
    <n v="474.82038433068863"/>
    <n v="474.82038433068863"/>
    <n v="35529.120654001694"/>
  </r>
  <r>
    <x v="1"/>
    <s v="Q4"/>
    <s v="2002Q4"/>
    <n v="40011.425734852717"/>
    <n v="40011.42559552069"/>
    <n v="-3.4823059991140326E-9"/>
    <n v="476.30788408565888"/>
    <n v="476.30788408565888"/>
    <n v="35618.929902433476"/>
  </r>
  <r>
    <x v="2"/>
    <s v="Q1"/>
    <s v="2003Q1"/>
    <n v="39711.933821850769"/>
    <n v="39711.933683561663"/>
    <n v="-3.4823059991140326E-9"/>
    <n v="477.79921559285935"/>
    <n v="477.79921559285935"/>
    <n v="35646.967823316591"/>
  </r>
  <r>
    <x v="2"/>
    <s v="Q2"/>
    <s v="2003Q2"/>
    <n v="39930.557677066005"/>
    <n v="39930.557712818445"/>
    <n v="8.9536533742773372E-10"/>
    <n v="479.29439124818373"/>
    <n v="479.29439124818373"/>
    <n v="35842.575547320266"/>
  </r>
  <r>
    <x v="2"/>
    <s v="Q3"/>
    <s v="2003Q3"/>
    <n v="39963.069754307719"/>
    <n v="39963.069790089263"/>
    <n v="8.9536533742773372E-10"/>
    <n v="480.78907780993734"/>
    <n v="480.78907780993734"/>
    <n v="35879.356060081816"/>
  </r>
  <r>
    <x v="2"/>
    <s v="Q4"/>
    <s v="2003Q4"/>
    <n v="40511.185492649864"/>
    <n v="40511.185528922178"/>
    <n v="8.9536533742773372E-10"/>
    <n v="482.28779444709988"/>
    <n v="482.28779444709988"/>
    <n v="36361.519986701038"/>
  </r>
  <r>
    <x v="3"/>
    <s v="Q1"/>
    <s v="2004Q1"/>
    <n v="40639.963769612514"/>
    <n v="40639.963801491271"/>
    <n v="7.8441897422010243E-10"/>
    <n v="483.79055407003409"/>
    <n v="483.79055407003409"/>
    <n v="36644.026083426186"/>
  </r>
  <r>
    <x v="3"/>
    <s v="Q2"/>
    <s v="2004Q2"/>
    <n v="40767.051662822218"/>
    <n v="40767.05169480067"/>
    <n v="7.8441897422010243E-10"/>
    <n v="485.29736962423021"/>
    <n v="485.29736962423021"/>
    <n v="36771.492378685805"/>
  </r>
  <r>
    <x v="3"/>
    <s v="Q3"/>
    <s v="2004Q3"/>
    <n v="40994.684699950601"/>
    <n v="40994.684732107613"/>
    <n v="7.8441897422010243E-10"/>
    <n v="486.74980266099078"/>
    <n v="486.74980266099078"/>
    <n v="36973.693354213639"/>
  </r>
  <r>
    <x v="3"/>
    <s v="Q4"/>
    <s v="2004Q4"/>
    <n v="41362.573028399456"/>
    <n v="41362.573015698887"/>
    <n v="-3.0705460396518447E-10"/>
    <n v="488.20669794066737"/>
    <n v="488.20669794066737"/>
    <n v="37306.699921138053"/>
  </r>
  <r>
    <x v="4"/>
    <s v="Q1"/>
    <s v="2005Q1"/>
    <n v="40750.82939644024"/>
    <n v="40750.829383927514"/>
    <n v="-3.0705460396518447E-10"/>
    <n v="489.66806935047487"/>
    <n v="489.66806935047487"/>
    <n v="36497.743140651095"/>
  </r>
  <r>
    <x v="4"/>
    <s v="Q2"/>
    <s v="2005Q2"/>
    <n v="41225.451757478448"/>
    <n v="41225.451744819984"/>
    <n v="-3.0705460396518447E-10"/>
    <n v="491.13393082732341"/>
    <n v="491.13393082732341"/>
    <n v="36925.598833112439"/>
  </r>
  <r>
    <x v="4"/>
    <s v="Q3"/>
    <s v="2005Q3"/>
    <n v="41377.384679189803"/>
    <n v="41377.384784571201"/>
    <n v="2.5468356312785545E-9"/>
    <n v="491.92143505393528"/>
    <n v="491.92143505393528"/>
    <n v="37050.927192459436"/>
  </r>
  <r>
    <x v="4"/>
    <s v="Q4"/>
    <s v="2005Q4"/>
    <n v="41556.193049165595"/>
    <n v="41556.193155002387"/>
    <n v="2.5468356312785545E-9"/>
    <n v="492.70998243133829"/>
    <n v="492.70998243133829"/>
    <n v="37214.08364461326"/>
  </r>
  <r>
    <x v="5"/>
    <s v="Q1"/>
    <s v="2006Q1"/>
    <n v="42737.212603830878"/>
    <n v="42737.212712675537"/>
    <n v="2.5468356312785545E-9"/>
    <n v="493.49957934292712"/>
    <n v="493.49957934292712"/>
    <n v="38232.076121240505"/>
  </r>
  <r>
    <x v="5"/>
    <s v="Q2"/>
    <s v="2006Q2"/>
    <n v="43080.83881473777"/>
    <n v="43080.838944551244"/>
    <n v="3.0132532025106684E-9"/>
    <n v="494.29023214036977"/>
    <n v="494.29023214036977"/>
    <n v="38551.986971371545"/>
  </r>
  <r>
    <x v="5"/>
    <s v="Q3"/>
    <s v="2006Q3"/>
    <n v="43232.890931695685"/>
    <n v="43232.891061967333"/>
    <n v="3.0132532025106684E-9"/>
    <n v="494.79899603239028"/>
    <n v="494.79899603239028"/>
    <n v="38698.21171607422"/>
  </r>
  <r>
    <x v="5"/>
    <s v="Q4"/>
    <s v="2006Q4"/>
    <n v="43708.566756693821"/>
    <n v="43708.566888398796"/>
    <n v="3.0132532025106684E-9"/>
    <n v="495.30873724023559"/>
    <n v="495.30873724023559"/>
    <n v="39120.882163460956"/>
  </r>
  <r>
    <x v="6"/>
    <s v="Q1"/>
    <s v="2007Q1"/>
    <n v="44030.975504243055"/>
    <n v="44030.975403095697"/>
    <n v="-2.2971863300469408E-9"/>
    <n v="495.81946182717161"/>
    <n v="495.81946182717161"/>
    <n v="39207.939116974187"/>
  </r>
  <r>
    <x v="6"/>
    <s v="Q2"/>
    <s v="2007Q2"/>
    <n v="43976.320524817333"/>
    <n v="43976.320423795529"/>
    <n v="-2.2971863300469408E-9"/>
    <n v="496.33117579403972"/>
    <n v="496.33117579403972"/>
    <n v="39146.160290129192"/>
  </r>
  <r>
    <x v="6"/>
    <s v="Q3"/>
    <s v="2007Q3"/>
    <n v="43804.205605592666"/>
    <n v="43804.205504966245"/>
    <n v="-2.2971863300469408E-9"/>
    <n v="498.32041076592549"/>
    <n v="498.32041076592549"/>
    <n v="39001.852326761655"/>
  </r>
  <r>
    <x v="6"/>
    <s v="Q4"/>
    <s v="2007Q4"/>
    <n v="43950.038918735168"/>
    <n v="43950.038904835856"/>
    <n v="-3.1625257967959897E-10"/>
    <n v="500.31645665447218"/>
    <n v="500.31645665447218"/>
    <n v="39135.118262944496"/>
  </r>
  <r>
    <x v="7"/>
    <s v="Q1"/>
    <s v="2008Q1"/>
    <n v="44416.108465011559"/>
    <n v="44416.10845096485"/>
    <n v="-3.1625257967959897E-10"/>
    <n v="502.31934308818666"/>
    <n v="502.31934308818666"/>
    <n v="39632.680925057175"/>
  </r>
  <r>
    <x v="7"/>
    <s v="Q2"/>
    <s v="2008Q2"/>
    <n v="44590.916353433233"/>
    <n v="44590.916339331241"/>
    <n v="-3.1625257967959897E-10"/>
    <n v="504.3290998175558"/>
    <n v="504.3290998175558"/>
    <n v="39855.727140851915"/>
  </r>
  <r>
    <x v="7"/>
    <s v="Q3"/>
    <s v="2008Q3"/>
    <n v="43631.992988675534"/>
    <n v="43631.993018171721"/>
    <n v="6.7602190512161542E-10"/>
    <n v="505.25256082777889"/>
    <n v="505.25256082777889"/>
    <n v="38971.970554889042"/>
  </r>
  <r>
    <x v="7"/>
    <s v="Q4"/>
    <s v="2008Q4"/>
    <n v="43911.243613059996"/>
    <n v="43911.243642744957"/>
    <n v="6.7602190512161542E-10"/>
    <n v="506.17727071899566"/>
    <n v="506.17727071899566"/>
    <n v="39250.753059038092"/>
  </r>
  <r>
    <x v="8"/>
    <s v="Q1"/>
    <s v="2009Q1"/>
    <n v="43191.27492890181"/>
    <n v="43191.274958100061"/>
    <n v="6.7602190512161542E-10"/>
    <n v="507.10323204385077"/>
    <n v="507.10323204385077"/>
    <n v="39351.75300796557"/>
  </r>
  <r>
    <x v="8"/>
    <s v="Q2"/>
    <s v="2009Q2"/>
    <n v="43250.549196981534"/>
    <n v="43250.549093982401"/>
    <n v="-2.3814525906828976E-9"/>
    <n v="508.03044735539709"/>
    <n v="508.03044735539709"/>
    <n v="39473.581717535344"/>
  </r>
  <r>
    <x v="8"/>
    <s v="Q3"/>
    <s v="2009Q3"/>
    <n v="42885.490304860599"/>
    <n v="42885.490202730834"/>
    <n v="-2.3814525906828976E-9"/>
    <n v="509.99647779192645"/>
    <n v="509.99647779192645"/>
    <n v="39137.875476073954"/>
  </r>
  <r>
    <x v="8"/>
    <s v="Q4"/>
    <s v="2009Q4"/>
    <n v="42840.907212663566"/>
    <n v="42840.907110639979"/>
    <n v="-2.3814525906828976E-9"/>
    <n v="512.09889540358517"/>
    <n v="512.09889540358517"/>
    <n v="39094.688351422847"/>
  </r>
  <r>
    <x v="9"/>
    <s v="Q1"/>
    <s v="2010Q1"/>
    <n v="42642.930928995687"/>
    <n v="42642.930929243783"/>
    <n v="5.8180127382456703E-12"/>
    <n v="514.21400000000006"/>
    <n v="514.21400000000006"/>
    <n v="38849.752908087466"/>
  </r>
  <r>
    <x v="9"/>
    <s v="Q2"/>
    <s v="2010Q2"/>
    <n v="43211.581247465539"/>
    <n v="43211.581247716946"/>
    <n v="5.8180127382456703E-12"/>
    <n v="515.32310720002329"/>
    <n v="515.32310720002329"/>
    <n v="39352.623912366878"/>
  </r>
  <r>
    <x v="9"/>
    <s v="Q3"/>
    <s v="2010Q3"/>
    <n v="43650.27856485646"/>
    <n v="43650.27856511042"/>
    <n v="5.8180127382456703E-12"/>
    <n v="515.96317830861892"/>
    <n v="514.43281671070417"/>
    <n v="39753.15333007311"/>
  </r>
  <r>
    <x v="9"/>
    <s v="Q4"/>
    <s v="2010Q4"/>
    <n v="43628.765195334854"/>
    <n v="43628.765223791168"/>
    <n v="6.5223737522046576E-10"/>
    <n v="516.54545003244323"/>
    <n v="513.83289345873402"/>
    <n v="39757.383833693879"/>
  </r>
  <r>
    <x v="10"/>
    <s v="Q1"/>
    <s v="2011Q1"/>
    <n v="44076.28205994812"/>
    <n v="44076.282088696316"/>
    <n v="6.5223737522046576E-10"/>
    <n v="517.67568896974944"/>
    <n v="513.12667029628642"/>
    <n v="39737.516530036453"/>
  </r>
  <r>
    <x v="10"/>
    <s v="Q2"/>
    <s v="2011Q2"/>
    <n v="43951.481565191236"/>
    <n v="43951.481593858036"/>
    <n v="6.5223737522046576E-10"/>
    <n v="518.48502098041047"/>
    <n v="512.37785048660521"/>
    <n v="39626.695414935333"/>
  </r>
  <r>
    <x v="10"/>
    <s v="Q3"/>
    <s v="2011Q3"/>
    <n v="44013.736102153853"/>
    <n v="44013.735990673136"/>
    <n v="-2.5328619202014124E-9"/>
    <n v="519.43601630689602"/>
    <n v="513.36094988205036"/>
    <n v="39675.467395051506"/>
  </r>
  <r>
    <x v="10"/>
    <s v="Q4"/>
    <s v="2011Q4"/>
    <n v="44207.369412128639"/>
    <n v="44207.369300157479"/>
    <n v="-2.5328619202014124E-9"/>
    <n v="520.05141137481951"/>
    <n v="513.90400134041204"/>
    <n v="39786.860383818384"/>
  </r>
  <r>
    <x v="11"/>
    <s v="Q1"/>
    <s v="2012Q1"/>
    <n v="44318.072012361845"/>
    <n v="44318.071900110284"/>
    <n v="-2.5328619202014124E-9"/>
    <n v="521.38354769033094"/>
    <n v="514.95978024996282"/>
    <n v="39800.138297807738"/>
  </r>
  <r>
    <x v="11"/>
    <s v="Q2"/>
    <s v="2012Q2"/>
    <n v="44550.767626808694"/>
    <n v="44550.767525919451"/>
    <n v="-2.2645904040885512E-9"/>
    <n v="522.68128010355463"/>
    <n v="516.02721924983518"/>
    <n v="39988.352967991457"/>
  </r>
  <r>
    <x v="11"/>
    <s v="Q3"/>
    <s v="2012Q3"/>
    <n v="44866.258682791449"/>
    <n v="44866.258581187751"/>
    <n v="-2.2645904040885512E-9"/>
    <n v="523.88455449326602"/>
    <n v="517.12337878805022"/>
    <n v="40189.459532165798"/>
  </r>
  <r>
    <x v="11"/>
    <s v="Q4"/>
    <s v="2012Q4"/>
    <n v="45216.086277613547"/>
    <n v="45216.086175217635"/>
    <n v="-2.2645904040885512E-9"/>
    <n v="525.08573646106072"/>
    <n v="518.1034226495758"/>
    <n v="40421.283791564252"/>
  </r>
  <r>
    <x v="12"/>
    <s v="Q1"/>
    <s v="2013Q1"/>
    <n v="45376.772191036856"/>
    <n v="45376.772272764982"/>
    <n v="1.8011003799500713E-9"/>
    <n v="526.252817024004"/>
    <n v="519.29898903265575"/>
    <n v="40466.045989246653"/>
  </r>
  <r>
    <x v="12"/>
    <s v="Q2"/>
    <s v="2013Q2"/>
    <n v="45714.640476036977"/>
    <n v="45714.640558373634"/>
    <n v="1.8011003799500713E-9"/>
    <n v="527.46911783491646"/>
    <n v="520.6950795176873"/>
    <n v="40674.221991986815"/>
  </r>
  <r>
    <x v="12"/>
    <s v="Q3"/>
    <s v="2013Q3"/>
    <n v="45966.30346431151"/>
    <n v="45966.303547101437"/>
    <n v="1.8011003799500713E-9"/>
    <n v="528.58111988898156"/>
    <n v="522.07845379654646"/>
    <n v="40887.017192114734"/>
  </r>
  <r>
    <x v="12"/>
    <s v="Q4"/>
    <s v="2013Q4"/>
    <n v="46209.347254077751"/>
    <n v="46209.347191698413"/>
    <n v="-1.3499290574259248E-9"/>
    <n v="529.78591162438261"/>
    <n v="523.47954543126946"/>
    <n v="41128.895775846191"/>
  </r>
  <r>
    <x v="13"/>
    <s v="Q1"/>
    <s v="2014Q1"/>
    <n v="46705.29407392587"/>
    <n v="46705.294010877034"/>
    <n v="-1.3499290574259248E-9"/>
    <n v="531.03270027044414"/>
    <n v="525.00138825465672"/>
    <n v="41502.915812465311"/>
  </r>
  <r>
    <x v="13"/>
    <s v="Q2"/>
    <s v="2014Q2"/>
    <n v="47013.881094000833"/>
    <n v="47013.881030535427"/>
    <n v="-1.3499290574259248E-9"/>
    <n v="532.54376996015947"/>
    <n v="526.82151362526747"/>
    <n v="41808.34126836736"/>
  </r>
  <r>
    <x v="13"/>
    <s v="Q3"/>
    <s v="2014Q3"/>
    <n v="47346.271744160622"/>
    <n v="47346.271788425773"/>
    <n v="9.3492369401815267E-10"/>
    <n v="534.10465824892049"/>
    <n v="528.65161652739107"/>
    <n v="42112.64484379522"/>
  </r>
  <r>
    <x v="13"/>
    <s v="Q4"/>
    <s v="2014Q4"/>
    <n v="47702.338802235281"/>
    <n v="47702.338846833329"/>
    <n v="9.3492369401815267E-10"/>
    <n v="535.59836197161826"/>
    <n v="530.45752797411319"/>
    <n v="42435.52573788313"/>
  </r>
  <r>
    <x v="14"/>
    <s v="Q1"/>
    <s v="2015Q1"/>
    <n v="48074.236249002395"/>
    <n v="48074.236293948139"/>
    <n v="9.3492369401815267E-10"/>
    <n v="536.81513705564737"/>
    <n v="531.92807320136069"/>
    <n v="42650.097953529214"/>
  </r>
  <r>
    <x v="14"/>
    <s v="Q2"/>
    <s v="2015Q2"/>
    <n v="48312.169389749288"/>
    <n v="48312.169433851028"/>
    <n v="9.1284957370874054E-10"/>
    <n v="538.34763078032279"/>
    <n v="533.65579413802323"/>
    <n v="42880.981284829548"/>
  </r>
  <r>
    <x v="14"/>
    <s v="Q3"/>
    <s v="2015Q3"/>
    <n v="48619.69369390588"/>
    <n v="48619.693738288348"/>
    <n v="9.1284957370874054E-10"/>
    <n v="539.84449205444912"/>
    <n v="535.3468432080308"/>
    <n v="43176.797187660617"/>
  </r>
  <r>
    <x v="14"/>
    <s v="Q4"/>
    <s v="2015Q4"/>
    <n v="48907.000684689374"/>
    <n v="48907.000729334111"/>
    <n v="9.1284957370874054E-10"/>
    <n v="541.07507287670956"/>
    <n v="536.84812459625061"/>
    <n v="43428.863134860279"/>
  </r>
  <r>
    <x v="15"/>
    <s v="Q1"/>
    <s v="2016Q1"/>
    <n v="49378.354204960451"/>
    <n v="49378.354045083113"/>
    <n v="-3.2378020264900442E-9"/>
    <n v="542.22201950661622"/>
    <n v="538.29858073363016"/>
    <n v="43755.370741727726"/>
  </r>
  <r>
    <x v="15"/>
    <s v="Q2"/>
    <s v="2016Q2"/>
    <n v="49639.207781701007"/>
    <n v="49639.207620979076"/>
    <n v="-3.2378020264900442E-9"/>
    <n v="543.34997317783518"/>
    <n v="539.72985894928183"/>
    <n v="43979.682119470162"/>
  </r>
  <r>
    <x v="15"/>
    <s v="Q3"/>
    <s v="2016Q3"/>
    <n v="49844.700231059542"/>
    <n v="49844.700069672268"/>
    <n v="-3.2378020264900442E-9"/>
    <n v="544.4596023485401"/>
    <n v="541.14477198527356"/>
    <n v="44190.115651236883"/>
  </r>
  <r>
    <x v="15"/>
    <s v="Q4"/>
    <s v="2016Q4"/>
    <n v="50159.537156129816"/>
    <n v="50159.537182867571"/>
    <n v="5.3305426739314044E-10"/>
    <n v="545.99926713612615"/>
    <n v="542.96682030831857"/>
    <n v="44479.131361056192"/>
  </r>
  <r>
    <x v="16"/>
    <s v="Q1"/>
    <s v="2017Q1"/>
    <n v="50368.026178079468"/>
    <n v="50368.026204928363"/>
    <n v="5.3305426739314044E-10"/>
    <n v="546.70379626038107"/>
    <n v="544.29127562779922"/>
    <n v="44591.826055215206"/>
  </r>
  <r>
    <x v="16"/>
    <s v="Q2"/>
    <s v="2017Q2"/>
    <n v="50719.748760711722"/>
    <n v="50719.748787748103"/>
    <n v="5.3305426739314044E-10"/>
    <n v="547.82118724552993"/>
    <n v="546.0264853111172"/>
    <n v="44904.574224823955"/>
  </r>
  <r>
    <x v="16"/>
    <s v="Q3"/>
    <s v="2017Q3"/>
    <n v="51038.68588553305"/>
    <n v="51038.685726348667"/>
    <n v="-3.1188965854411776E-9"/>
    <n v="548.51264204130632"/>
    <n v="547.3431874464269"/>
    <n v="45194.496478629822"/>
  </r>
  <r>
    <x v="16"/>
    <s v="Q4"/>
    <s v="2017Q4"/>
    <n v="51319.989249768565"/>
    <n v="51319.989089706825"/>
    <n v="-3.1188965854411776E-9"/>
    <n v="549.48578309977268"/>
    <n v="548.97892962812364"/>
    <n v="45448.674552537363"/>
  </r>
  <r>
    <x v="17"/>
    <s v="Q1"/>
    <s v="2018Q1"/>
    <n v="51716.257312554895"/>
    <n v="51716.257151257239"/>
    <n v="-3.1188965854411776E-9"/>
    <n v="550.78242885989221"/>
    <n v="550.64308498119919"/>
    <n v="45721.18203228699"/>
  </r>
  <r>
    <x v="17"/>
    <s v="Q2"/>
    <s v="2018Q2"/>
    <n v="51972.835608912494"/>
    <n v="51972.835733517146"/>
    <n v="2.397495757477941E-9"/>
    <n v="551.69070371431644"/>
    <n v="551.93389803315495"/>
    <n v="45952.240193290287"/>
  </r>
  <r>
    <x v="17"/>
    <s v="Q3"/>
    <s v="2018Q3"/>
    <n v="52322.036934089345"/>
    <n v="52322.037059531205"/>
    <n v="2.397495757477941E-9"/>
    <n v="552.76459498891222"/>
    <n v="553.38732288082792"/>
    <n v="46269.534926018147"/>
  </r>
  <r>
    <x v="17"/>
    <s v="Q4"/>
    <s v="2018Q4"/>
    <n v="52578.057709720844"/>
    <n v="52578.057835776512"/>
    <n v="2.397495757477941E-9"/>
    <n v="553.7323786940874"/>
    <n v="554.74239987844226"/>
    <n v="46499.695892915195"/>
  </r>
  <r>
    <x v="18"/>
    <s v="Q1"/>
    <s v="2019Q1"/>
    <n v="53122.152925132141"/>
    <n v="53122.153021982267"/>
    <n v="1.8231589571371387E-9"/>
    <n v="555.21347465929534"/>
    <n v="556.36921714072605"/>
    <n v="46951.95820849367"/>
  </r>
  <r>
    <x v="18"/>
    <s v="Q2"/>
    <s v="2019Q2"/>
    <n v="53511.558707337055"/>
    <n v="53511.558804897133"/>
    <n v="1.8231589571371387E-9"/>
    <n v="556.13041423889035"/>
    <n v="557.45959667043201"/>
    <n v="47295.046546996404"/>
  </r>
  <r>
    <x v="18"/>
    <s v="Q3"/>
    <s v="2019Q3"/>
    <n v="53716.289497580772"/>
    <n v="53716.289595514107"/>
    <n v="1.8231589571371387E-9"/>
    <n v="557.42811221819136"/>
    <n v="558.90502449798703"/>
    <n v="47474.511791947109"/>
  </r>
  <r>
    <x v="18"/>
    <s v="Q4"/>
    <s v="2019Q4"/>
    <n v="54001.980383681868"/>
    <n v="54001.980329679893"/>
    <n v="-9.9999997171806854E-10"/>
    <n v="558.86848263437037"/>
    <n v="560.49462193097008"/>
    <n v="47726.545621421916"/>
  </r>
  <r>
    <x v="19"/>
    <s v="Q1"/>
    <s v="2020Q1"/>
    <n v="54626.264714953155"/>
    <n v="54626.264660326895"/>
    <n v="-9.9999997171806854E-10"/>
    <n v="559.82963233879548"/>
    <n v="561.59854220876696"/>
    <n v="48243.78300199988"/>
  </r>
  <r>
    <x v="19"/>
    <s v="Q2"/>
    <s v="2020Q2"/>
    <n v="54901.944468176596"/>
    <n v="54901.94441327465"/>
    <n v="-9.9999997171806854E-10"/>
    <n v="561.05956900788772"/>
    <n v="563.03796994201309"/>
    <n v="48481.970690693073"/>
  </r>
  <r>
    <x v="19"/>
    <s v="Q3"/>
    <s v="2020Q3"/>
    <n v="55151.245520794037"/>
    <n v="55151.245712384502"/>
    <n v="3.4739100485126073E-9"/>
    <n v="562.30661791393641"/>
    <n v="564.52002408060753"/>
    <n v="48705.682421467725"/>
  </r>
  <r>
    <x v="19"/>
    <s v="Q4"/>
    <s v="2020Q4"/>
    <n v="55287.553752981294"/>
    <n v="55287.553945045285"/>
    <n v="3.4739100485126073E-9"/>
    <n v="563.52723044376762"/>
    <n v="565.94966302491468"/>
    <n v="48829.591308895542"/>
  </r>
  <r>
    <x v="20"/>
    <s v="Q1"/>
    <s v="2021Q1"/>
    <n v="55760.41731013696"/>
    <n v="55760.417503843637"/>
    <n v="3.4739100485126073E-9"/>
    <n v="564.49955793077152"/>
    <n v="567.18477354044433"/>
    <n v="49203.757964168057"/>
  </r>
  <r>
    <x v="20"/>
    <s v="Q2"/>
    <s v="2021Q2"/>
    <n v="55997.725734529384"/>
    <n v="55997.72567069441"/>
    <n v="-1.1399565735814576E-9"/>
    <n v="565.70148400639437"/>
    <n v="568.61962347149756"/>
    <n v="49409.045195684346"/>
  </r>
  <r>
    <x v="20"/>
    <s v="Q3"/>
    <s v="2021Q3"/>
    <n v="56175.191028983718"/>
    <n v="56175.190964946436"/>
    <n v="-1.1399565735814576E-9"/>
    <n v="567.02473947974204"/>
    <n v="570.17923449111277"/>
    <n v="49571.67892035051"/>
  </r>
  <r>
    <x v="20"/>
    <s v="Q4"/>
    <s v="2021Q4"/>
    <n v="56554.773746635416"/>
    <n v="56554.773682165433"/>
    <n v="-1.1399565735814576E-9"/>
    <n v="568.47731185423572"/>
    <n v="571.48754631005261"/>
    <n v="49908.568796165404"/>
  </r>
  <r>
    <x v="21"/>
    <s v="Q1"/>
    <s v="2022Q1"/>
    <n v="56950.059670394607"/>
    <n v="56954.584699121246"/>
    <n v="7.9456084029150276E-5"/>
    <n v="569.39691159972006"/>
    <n v="572.72088941049935"/>
    <n v="50229.384400300703"/>
  </r>
  <r>
    <x v="21"/>
    <s v="Q2"/>
    <s v="2022Q2"/>
    <n v="57216.40069030234"/>
    <n v="57220.946881443437"/>
    <n v="7.9456084029150276E-5"/>
    <n v="570.63249671426991"/>
    <n v="573.94232922392882"/>
    <n v="50462.244962799821"/>
  </r>
  <r>
    <x v="21"/>
    <s v="Q3"/>
    <s v="2022Q3"/>
    <n v="57662.849784557417"/>
    <n v="57667.431448795258"/>
    <n v="7.9456084029150276E-5"/>
    <n v="571.48618687233204"/>
    <n v="574.77452370851699"/>
    <n v="50848.241817321788"/>
  </r>
  <r>
    <x v="21"/>
    <s v="Q4"/>
    <s v="2022Q4"/>
    <n v="57947.834035717176"/>
    <n v="57924.427032180763"/>
    <n v="-4.0393232854885053E-4"/>
    <n v="572.91207387827751"/>
    <n v="576.10640961266301"/>
    <n v="51088.93854491684"/>
  </r>
  <r>
    <x v="22"/>
    <s v="Q1"/>
    <s v="2023Q1"/>
    <n v="58454.370125439615"/>
    <n v="58430.758515600988"/>
    <n v="-4.0393232854885053E-4"/>
    <n v="573.93057831627425"/>
    <n v="577.04451843794948"/>
    <n v="51474.30535634797"/>
  </r>
  <r>
    <x v="22"/>
    <s v="Q2"/>
    <s v="2023Q2"/>
    <n v="58867.328808954277"/>
    <n v="58843.550391753022"/>
    <n v="-4.0393232854885053E-4"/>
    <n v="575.16698820090585"/>
    <n v="578.16463754272115"/>
    <n v="51828.21608039493"/>
  </r>
  <r>
    <x v="22"/>
    <s v="Q3"/>
    <s v="2023Q3"/>
    <n v="59256.698157791659"/>
    <n v="59224.463020901843"/>
    <n v="-5.4399144555739021E-4"/>
    <n v="576.44593176762419"/>
    <n v="579.32991965786016"/>
    <n v="52161.614922601206"/>
  </r>
  <r>
    <x v="22"/>
    <s v="Q4"/>
    <s v="2023Q4"/>
    <n v="59586.150319153225"/>
    <n v="59553.735963105908"/>
    <n v="-5.4399144555739021E-4"/>
    <n v="578.40056670692786"/>
    <n v="580.56870286053822"/>
    <n v="52372.236748881944"/>
  </r>
  <r>
    <x v="23"/>
    <s v="Q1"/>
    <s v="2024Q1"/>
    <n v="60235.601873516185"/>
    <n v="60202.834221378995"/>
    <n v="-5.4399144555739021E-4"/>
    <n v="579.12899336216219"/>
    <n v="581.29986002514158"/>
    <n v="52955.358119127079"/>
  </r>
  <r>
    <x v="23"/>
    <s v="Q2"/>
    <s v="2024Q2"/>
    <n v="60490.660968421878"/>
    <n v="60478.898314996564"/>
    <n v="-1.9445404029316826E-4"/>
    <n v="580.43655654475936"/>
    <n v="582.612324612012"/>
    <n v="53167.209134536846"/>
  </r>
  <r>
    <x v="23"/>
    <s v="Q3"/>
    <s v="2024Q3"/>
    <n v="60845.642043313623"/>
    <n v="60833.810362384065"/>
    <n v="-1.9445404029316826E-4"/>
    <n v="581.56845771979124"/>
    <n v="583.74846872178694"/>
    <n v="53462.846369802268"/>
  </r>
  <r>
    <x v="23"/>
    <s v="Q4"/>
    <s v="2024Q4"/>
    <n v="61233.666574043193"/>
    <n v="61221.759440175905"/>
    <n v="-1.9445404029316826E-4"/>
    <n v="582.66620952961773"/>
    <n v="584.85033545736485"/>
    <n v="53789.882915045469"/>
  </r>
  <r>
    <x v="24"/>
    <s v="Q1"/>
    <s v="2025Q1"/>
    <n v="61713.647735811843"/>
    <n v="61579.488824100219"/>
    <n v="-2.1738937274610182E-3"/>
    <n v="583.84434500018779"/>
    <n v="586.0328871720651"/>
    <n v="54223.677742674183"/>
  </r>
  <r>
    <x v="24"/>
    <s v="Q2"/>
    <s v="2025Q2"/>
    <n v="62050.319664052222"/>
    <n v="61915.428863347588"/>
    <n v="-2.1738937274610182E-3"/>
    <n v="585.28412774609001"/>
    <n v="587.47806694764608"/>
    <n v="54510.190519624688"/>
  </r>
  <r>
    <x v="24"/>
    <s v="Q3"/>
    <s v="2025Q3"/>
    <n v="62409.50600756405"/>
    <n v="62273.834373920268"/>
    <n v="-2.1738937274610182E-3"/>
    <n v="586.71769037746685"/>
    <n v="588.91700329258481"/>
    <n v="54815.658019537463"/>
  </r>
  <r>
    <x v="24"/>
    <s v="Q4"/>
    <s v="2025Q4"/>
    <n v="62742.181406358097"/>
    <n v="62495.104166418343"/>
    <n v="-3.9379765637972408E-3"/>
    <n v="588.28258891207736"/>
    <n v="590.4877678537606"/>
    <n v="55097.083363484009"/>
  </r>
  <r>
    <x v="25"/>
    <s v="Q1"/>
    <s v="2026Q1"/>
    <n v="63362.688751551832"/>
    <n v="63113.167968229041"/>
    <n v="-3.9379765637972408E-3"/>
    <n v="589.37830105097646"/>
    <n v="591.5875872726989"/>
    <n v="55569.291010852481"/>
  </r>
  <r>
    <x v="25"/>
    <s v="Q2"/>
    <s v="2026Q2"/>
    <n v="63629.396308887401"/>
    <n v="63378.825237454439"/>
    <n v="-3.9379765637972408E-3"/>
    <n v="590.83563704066819"/>
    <n v="593.05038609045312"/>
    <n v="55793.331632268848"/>
  </r>
  <r>
    <x v="25"/>
    <s v="Q3"/>
    <s v="2026Q3"/>
    <n v="64004.846484140224"/>
    <n v="63564.328898661748"/>
    <n v="-6.8825660817362078E-3"/>
    <n v="592.037050251849"/>
    <n v="594.25630280244036"/>
    <n v="56112.35191472694"/>
  </r>
  <r>
    <x v="25"/>
    <s v="Q4"/>
    <s v="2026Q4"/>
    <n v="64412.030044891799"/>
    <n v="63968.709991649055"/>
    <n v="-6.8825660817362078E-3"/>
    <n v="593.44700159440708"/>
    <n v="595.67153935157774"/>
    <n v="56458.331396926224"/>
  </r>
  <r>
    <x v="26"/>
    <s v="Q1"/>
    <s v="2027Q1"/>
    <n v="64974.999834221002"/>
    <n v="64527.805104201179"/>
    <n v="-6.8825660817362078E-3"/>
    <n v="594.82095610078215"/>
    <n v="597.05064413029027"/>
    <n v="56964.713161103646"/>
  </r>
  <r>
    <x v="26"/>
    <s v="Q2"/>
    <s v="2027Q2"/>
    <n v="65318.514519129116"/>
    <n v="64907.283381312103"/>
    <n v="-6.2957821506577361E-3"/>
    <n v="596.17989665720165"/>
    <n v="598.41467867921358"/>
    <n v="57254.533685953822"/>
  </r>
  <r>
    <x v="26"/>
    <s v="Q3"/>
    <s v="2027Q3"/>
    <n v="65709.04695624017"/>
    <n v="65295.357111276346"/>
    <n v="-6.2957821506577361E-3"/>
    <n v="598.22216419318227"/>
    <n v="600.46460166080567"/>
    <n v="57588.191423894845"/>
  </r>
  <r>
    <x v="26"/>
    <s v="Q4"/>
    <s v="2027Q4"/>
    <n v="66048.973536911202"/>
    <n v="65633.143588248247"/>
    <n v="-6.2957821506577361E-3"/>
    <n v="599.12721202533294"/>
    <n v="601.3730420673046"/>
    <n v="57876.059941927051"/>
  </r>
  <r>
    <x v="27"/>
    <s v="Q1"/>
    <s v="2028Q1"/>
    <n v="66653.670602091181"/>
    <n v="67188.919810586201"/>
    <n v="8.0303035625801655E-3"/>
    <n v="600.21601911545486"/>
    <n v="602.46593055387098"/>
    <n v="58418.654423987813"/>
  </r>
  <r>
    <x v="27"/>
    <s v="Q2"/>
    <s v="2028Q2"/>
    <n v="67003.277918885957"/>
    <n v="67541.334580262541"/>
    <n v="8.0303035625801655E-3"/>
    <n v="601.32505611233148"/>
    <n v="603.5791247790545"/>
    <n v="58713.8376022312"/>
  </r>
  <r>
    <x v="27"/>
    <s v="Q3"/>
    <s v="2028Q3"/>
    <n v="67377.306269378489"/>
    <n v="67918.366491950539"/>
    <n v="8.0303035625801655E-3"/>
    <n v="602.42908481717632"/>
    <n v="604.68729193860941"/>
    <n v="59006.505698010005"/>
  </r>
  <r>
    <x v="27"/>
    <s v="Q4"/>
    <s v="2028Q4"/>
    <n v="67715.029238597548"/>
    <n v="68129.102217055843"/>
    <n v="6.1149346476583322E-3"/>
    <n v="603.77402706422311"/>
    <n v="606.03727570545777"/>
    <n v="59266.994694104913"/>
  </r>
  <r>
    <x v="28"/>
    <s v="Q1"/>
    <s v="2029Q1"/>
    <n v="68427.096185706236"/>
    <n v="68845.523407010856"/>
    <n v="6.1149346476583322E-3"/>
    <n v="604.87579551826514"/>
    <n v="607.14317414165339"/>
    <n v="59877.087698330462"/>
  </r>
  <r>
    <x v="28"/>
    <s v="Q2"/>
    <s v="2029Q2"/>
    <n v="68896.049265940164"/>
    <n v="69317.34410468323"/>
    <n v="6.1149346476583322E-3"/>
    <n v="606.2176949165962"/>
    <n v="608.49010365365916"/>
    <n v="60277.737576157888"/>
  </r>
  <r>
    <x v="28"/>
    <s v="Q3"/>
    <s v="2029Q3"/>
    <n v="69267.679663533185"/>
    <n v="69398.523782313874"/>
    <n v="1.8889635024048612E-3"/>
    <n v="607.55440562869467"/>
    <n v="609.83182502962734"/>
    <n v="60511.781745148182"/>
  </r>
  <r>
    <x v="28"/>
    <s v="Q4"/>
    <s v="2029Q4"/>
    <n v="69616.872443598026"/>
    <n v="69748.376174795558"/>
    <n v="1.8889635024048612E-3"/>
    <n v="608.86789054647124"/>
    <n v="611.15023354931816"/>
    <n v="60805.872480766535"/>
  </r>
  <r>
    <x v="29"/>
    <s v="Q1"/>
    <s v="2030Q1"/>
    <n v="70364.867792941979"/>
    <n v="70497.78446005439"/>
    <n v="1.8889635024048612E-3"/>
    <n v="610.18524311972146"/>
    <n v="612.47252422240012"/>
    <n v="61466.666126746961"/>
  </r>
  <r>
    <x v="29"/>
    <s v="Q2"/>
    <s v="2030Q2"/>
    <n v="70777.855287694008"/>
    <n v="70899.826789461629"/>
    <n v="1.7233003355616727E-3"/>
    <n v="611.3547516287606"/>
    <n v="613.64641663737973"/>
    <n v="61814.830377760452"/>
  </r>
  <r>
    <x v="29"/>
    <s v="Q3"/>
    <s v="2030Q3"/>
    <n v="71131.464015764475"/>
    <n v="71254.04489157183"/>
    <n v="1.7233003355616727E-3"/>
    <n v="612.70205142698967"/>
    <n v="614.99876679269778"/>
    <n v="62118.659604022723"/>
  </r>
  <r>
    <x v="29"/>
    <s v="Q4"/>
    <s v="2030Q4"/>
    <n v="71490.912054701315"/>
    <n v="71614.112367434791"/>
    <n v="1.7233003355616727E-3"/>
    <n v="614.03698657838606"/>
    <n v="616.33870595226961"/>
    <n v="62422.456993532964"/>
  </r>
  <r>
    <x v="30"/>
    <s v="Q1"/>
    <s v="2031Q1"/>
    <n v="72154.452838788478"/>
    <n v="73121.042039881897"/>
    <n v="1.3396112964130236E-2"/>
    <n v="615.33249350408596"/>
    <n v="617.63906908932972"/>
    <n v="63011.686044511735"/>
  </r>
  <r>
    <x v="30"/>
    <s v="Q2"/>
    <s v="2031Q2"/>
    <n v="72559.902554295157"/>
    <n v="73531.923205578772"/>
    <n v="1.3396112964130236E-2"/>
    <n v="616.63853988313849"/>
    <n v="618.95001118691323"/>
    <n v="63354.072173494787"/>
  </r>
  <r>
    <x v="30"/>
    <s v="Q3"/>
    <s v="2031Q3"/>
    <n v="72947.17829110453"/>
    <n v="73924.386931906716"/>
    <n v="1.3396112964130236E-2"/>
    <n v="617.73989758699781"/>
    <n v="620.05549733322789"/>
    <n v="63686.068810866331"/>
  </r>
  <r>
    <x v="30"/>
    <s v="Q4"/>
    <s v="2031Q4"/>
    <n v="73302.889715014593"/>
    <n v="74141.051477448287"/>
    <n v="1.143422538582417E-2"/>
    <n v="619.04503095209066"/>
    <n v="621.36552299441621"/>
    <n v="63983.702106726494"/>
  </r>
  <r>
    <x v="31"/>
    <s v="Q1"/>
    <s v="2032Q1"/>
    <n v="73892.882474920116"/>
    <n v="74737.790347546572"/>
    <n v="1.143422538582417E-2"/>
    <n v="620.33944280688956"/>
    <n v="622.66478695569913"/>
    <n v="64517.895684862429"/>
  </r>
  <r>
    <x v="31"/>
    <s v="Q2"/>
    <s v="2032Q2"/>
    <n v="74286.54715287275"/>
    <n v="75135.956276153345"/>
    <n v="1.143422538582417E-2"/>
    <n v="621.62665257890262"/>
    <n v="623.95682183716849"/>
    <n v="64852.902436758101"/>
  </r>
  <r>
    <x v="31"/>
    <s v="Q3"/>
    <s v="2032Q3"/>
    <n v="74677.701351413183"/>
    <n v="75548.544068933435"/>
    <n v="1.1661348726071497E-2"/>
    <n v="623.37824065720486"/>
    <n v="625.71497574831642"/>
    <n v="65092.663837385568"/>
  </r>
  <r>
    <x v="31"/>
    <s v="Q4"/>
    <s v="2032Q4"/>
    <n v="75018.839637433368"/>
    <n v="75893.660487470712"/>
    <n v="1.1661348726071497E-2"/>
    <n v="624.45561954078835"/>
    <n v="626.79639318967986"/>
    <n v="65379.712563198897"/>
  </r>
  <r>
    <x v="32"/>
    <s v="Q1"/>
    <s v="2033Q1"/>
    <n v="75622.511547575166"/>
    <n v="76504.372026272802"/>
    <n v="1.1661348726071497E-2"/>
    <n v="625.62452554154856"/>
    <n v="627.96968083787669"/>
    <n v="65915.343848067831"/>
  </r>
  <r>
    <x v="32"/>
    <s v="Q2"/>
    <s v="2033Q2"/>
    <n v="76044.102609842666"/>
    <n v="76840.901393494714"/>
    <n v="1.0478114098343205E-2"/>
    <n v="626.92111190625531"/>
    <n v="629.27112746022385"/>
    <n v="66272.860998632343"/>
  </r>
  <r>
    <x v="32"/>
    <s v="Q3"/>
    <s v="2033Q3"/>
    <n v="76401.237009678138"/>
    <n v="77201.77788832011"/>
    <n v="1.0478114098343205E-2"/>
    <n v="628.22467281158686"/>
    <n v="630.57957476728109"/>
    <n v="66575.69117880259"/>
  </r>
  <r>
    <x v="32"/>
    <s v="Q4"/>
    <s v="2033Q4"/>
    <n v="76724.367272314863"/>
    <n v="77528.293946717371"/>
    <n v="1.0478114098343205E-2"/>
    <n v="629.55095525810873"/>
    <n v="631.9108287872898"/>
    <n v="66846.031778371878"/>
  </r>
  <r>
    <x v="33"/>
    <s v="Q1"/>
    <s v="2034Q1"/>
    <n v="77361.600414525266"/>
    <n v="78782.560386714991"/>
    <n v="1.8367768564453435E-2"/>
    <n v="630.6911643598304"/>
    <n v="633.05531196604113"/>
    <n v="67408.698459790423"/>
  </r>
  <r>
    <x v="33"/>
    <s v="Q2"/>
    <s v="2034Q2"/>
    <n v="77804.088767413923"/>
    <n v="79233.176263261979"/>
    <n v="1.8367768564453435E-2"/>
    <n v="632.01744040657491"/>
    <n v="634.38655956228286"/>
    <n v="67784.731090709829"/>
  </r>
  <r>
    <x v="33"/>
    <s v="Q3"/>
    <s v="2034Q3"/>
    <n v="78194.983351449133"/>
    <n v="79631.250708549836"/>
    <n v="1.8367768564453435E-2"/>
    <n v="633.78713931451284"/>
    <n v="636.16289219156238"/>
    <n v="68112.672404732177"/>
  </r>
  <r>
    <x v="33"/>
    <s v="Q4"/>
    <s v="2034Q4"/>
    <n v="78569.842100381633"/>
    <n v="79820.192043943127"/>
    <n v="1.5913866060263127E-2"/>
    <n v="634.82440651003947"/>
    <n v="637.20404758609334"/>
    <n v="68426.110254572006"/>
  </r>
  <r>
    <x v="34"/>
    <s v="Q1"/>
    <s v="2035Q1"/>
    <n v="79327.065111957607"/>
    <n v="80589.465401103065"/>
    <n v="1.5913866060263127E-2"/>
    <n v="636.10270657365675"/>
    <n v="638.48713936109993"/>
    <n v="69089.969321900251"/>
  </r>
  <r>
    <x v="34"/>
    <s v="Q2"/>
    <s v="2035Q2"/>
    <n v="79775.866750003304"/>
    <n v="81045.409208304249"/>
    <n v="1.5913866060263127E-2"/>
    <n v="637.2332381420423"/>
    <n v="639.62190873025418"/>
    <n v="69470.238709459431"/>
  </r>
  <r>
    <x v="34"/>
    <s v="Q3"/>
    <s v="2035Q3"/>
    <n v="80188.833797223924"/>
    <n v="80807.495048752942"/>
    <n v="7.7150548553113207E-3"/>
    <n v="638.46766289449954"/>
    <n v="640.86096072737325"/>
    <n v="69817.684773173722"/>
  </r>
  <r>
    <x v="34"/>
    <s v="Q4"/>
    <s v="2035Q4"/>
    <n v="80608.182294844941"/>
    <n v="81230.078843036608"/>
    <n v="7.7150548553113207E-3"/>
    <n v="639.73205991686507"/>
    <n v="642.13009734553884"/>
    <n v="70167.400418664678"/>
  </r>
  <r>
    <x v="35"/>
    <s v="Q1"/>
    <s v="2036Q1"/>
    <n v="81396.531904044168"/>
    <n v="82024.510612715967"/>
    <n v="7.7150548553113207E-3"/>
    <n v="640.87129782675129"/>
    <n v="643.27360569193945"/>
    <n v="70857.293052576584"/>
  </r>
  <r>
    <x v="35"/>
    <s v="Q2"/>
    <s v="2036Q2"/>
    <n v="81730.269000960645"/>
    <n v="82717.499565313352"/>
    <n v="1.2079130246605452E-2"/>
    <n v="642.14218493052499"/>
    <n v="644.54925671960166"/>
    <n v="71135.634899548866"/>
  </r>
  <r>
    <x v="35"/>
    <s v="Q3"/>
    <s v="2036Q3"/>
    <n v="82112.846174416991"/>
    <n v="83104.697938277255"/>
    <n v="1.2079130246605452E-2"/>
    <n v="643.41766149123566"/>
    <n v="645.829514407793"/>
    <n v="71458.151592626236"/>
  </r>
  <r>
    <x v="35"/>
    <s v="Q4"/>
    <s v="2036Q4"/>
    <n v="82547.572967280867"/>
    <n v="83544.675852693821"/>
    <n v="1.2079130246605452E-2"/>
    <n v="644.64642834154051"/>
    <n v="647.06288729409755"/>
    <n v="71824.680357699355"/>
  </r>
  <r>
    <x v="36"/>
    <s v="Q1"/>
    <s v="2037Q1"/>
    <n v="83259.389468784066"/>
    <n v="83199.431490098679"/>
    <n v="-7.2013473877163836E-4"/>
    <n v="646.17868991644832"/>
    <n v="648.60089255583523"/>
    <n v="72447.763150773302"/>
  </r>
  <r>
    <x v="36"/>
    <s v="Q2"/>
    <s v="2037Q2"/>
    <n v="83608.441309339018"/>
    <n v="83548.231966297608"/>
    <n v="-7.2013473877163836E-4"/>
    <n v="647.24235365531092"/>
    <n v="649.66854344121919"/>
    <n v="72741.245498345263"/>
  </r>
  <r>
    <x v="36"/>
    <s v="Q3"/>
    <s v="2037Q3"/>
    <n v="84037.020618810551"/>
    <n v="83976.50264092008"/>
    <n v="-7.2013473877163836E-4"/>
    <n v="648.42676799107232"/>
    <n v="650.85739755745465"/>
    <n v="73102.722593319864"/>
  </r>
  <r>
    <x v="36"/>
    <s v="Q4"/>
    <s v="2037Q4"/>
    <n v="84396.478154365919"/>
    <n v="84447.650084376844"/>
    <n v="6.0632778914460062E-4"/>
    <n v="649.58191279176742"/>
    <n v="652.01687242168907"/>
    <n v="73402.360419798119"/>
  </r>
  <r>
    <x v="37"/>
    <s v="Q1"/>
    <s v="2038Q1"/>
    <n v="85274.037022342149"/>
    <n v="85325.741040681343"/>
    <n v="6.0632778914460062E-4"/>
    <n v="650.64643651730421"/>
    <n v="653.08538651740969"/>
    <n v="74168.296997856392"/>
  </r>
  <r>
    <x v="37"/>
    <s v="Q2"/>
    <s v="2038Q2"/>
    <n v="85614.016958018779"/>
    <n v="85665.927115640719"/>
    <n v="6.0632778914460062E-4"/>
    <n v="651.85894634814315"/>
    <n v="654.30244144476512"/>
    <n v="74450.486243109015"/>
  </r>
  <r>
    <x v="37"/>
    <s v="Q3"/>
    <s v="2038Q3"/>
    <n v="86051.450056753849"/>
    <n v="86261.533666774703"/>
    <n v="2.4413721079923345E-3"/>
    <n v="652.90882450601555"/>
    <n v="655.35625507386965"/>
    <n v="74816.632055130074"/>
  </r>
  <r>
    <x v="37"/>
    <s v="Q4"/>
    <s v="2038Q4"/>
    <n v="86351.651557606034"/>
    <n v="86562.468071197844"/>
    <n v="2.4413721079923345E-3"/>
    <n v="654.04624818355182"/>
    <n v="656.4979423872652"/>
    <n v="75064.067244100908"/>
  </r>
  <r>
    <x v="38"/>
    <s v="Q1"/>
    <s v="2039Q1"/>
    <n v="87243.584430366842"/>
    <n v="87456.578483996418"/>
    <n v="2.4413721079923345E-3"/>
    <n v="655.30018451505816"/>
    <n v="657.75657910264249"/>
    <n v="75840.568404815305"/>
  </r>
  <r>
    <x v="38"/>
    <s v="Q2"/>
    <s v="2039Q2"/>
    <n v="87603.701543726274"/>
    <n v="88206.735149317159"/>
    <n v="6.8836544000356881E-3"/>
    <n v="656.52817840494413"/>
    <n v="658.98917613108381"/>
    <n v="76141.322355622717"/>
  </r>
  <r>
    <x v="38"/>
    <s v="Q3"/>
    <s v="2039Q3"/>
    <n v="88028.085690623164"/>
    <n v="88634.040610014141"/>
    <n v="6.8836544000356881E-3"/>
    <n v="657.46191608893332"/>
    <n v="659.92641393341171"/>
    <n v="76492.965770602008"/>
  </r>
  <r>
    <x v="38"/>
    <s v="Q4"/>
    <s v="2039Q4"/>
    <n v="88279.848276366916"/>
    <n v="88887.536242389018"/>
    <n v="6.8836544000356881E-3"/>
    <n v="658.56291460396233"/>
    <n v="661.03153954447578"/>
    <n v="76695.004703515413"/>
  </r>
  <r>
    <x v="39"/>
    <s v="Q1"/>
    <s v="2040Q1"/>
    <n v="89222.179179600847"/>
    <n v="89929.271494689019"/>
    <n v="7.9250733572067134E-3"/>
    <n v="660.01880586217703"/>
    <n v="662.49288821517302"/>
    <n v="77513.638711835636"/>
  </r>
  <r>
    <x v="39"/>
    <s v="Q2"/>
    <s v="2040Q2"/>
    <n v="89619.451080955274"/>
    <n v="90329.691805004448"/>
    <n v="7.9250733572067134E-3"/>
    <n v="661.22040958897628"/>
    <n v="663.69899615692702"/>
    <n v="77841.976074505961"/>
  </r>
  <r>
    <x v="39"/>
    <s v="Q3"/>
    <s v="2040Q3"/>
    <n v="90050.816772518796"/>
    <n v="90764.476101317385"/>
    <n v="7.9250733572067134E-3"/>
    <n v="662.00450475364175"/>
    <n v="664.48603050452596"/>
    <n v="78204.146715535113"/>
  </r>
  <r>
    <x v="39"/>
    <s v="Q4"/>
    <s v="2040Q4"/>
    <n v="90234.561150025693"/>
    <n v="90903.90560777206"/>
    <n v="7.4178280385661655E-3"/>
    <n v="663.00775377696857"/>
    <n v="665.4930402096428"/>
    <n v="78353.210632927832"/>
  </r>
  <r>
    <x v="40"/>
    <s v="Q1"/>
    <s v="2041Q1"/>
    <n v="91245.805271292542"/>
    <n v="91922.650964035478"/>
    <n v="7.4178280385661655E-3"/>
    <n v="664.90680433900059"/>
    <n v="667.39920936805606"/>
    <n v="79359.287038077135"/>
  </r>
  <r>
    <x v="40"/>
    <s v="Q2"/>
    <s v="2041Q2"/>
    <n v="91611.850716431407"/>
    <n v="92291.411671340684"/>
    <n v="7.4178280385661655E-3"/>
    <n v="666.1970095576562"/>
    <n v="668.69425092460824"/>
    <n v="79663.055240366433"/>
  </r>
  <r>
    <x v="40"/>
    <s v="Q3"/>
    <s v="2041Q3"/>
    <n v="92113.478341051625"/>
    <n v="92778.190601653056"/>
    <n v="7.2162323318236687E-3"/>
    <n v="666.95155045085892"/>
    <n v="669.45162021647457"/>
    <n v="80091.173605845252"/>
  </r>
  <r>
    <x v="40"/>
    <s v="Q4"/>
    <s v="2041Q4"/>
    <n v="92295.52681991538"/>
    <n v="92961.552784635947"/>
    <n v="7.2162323318236687E-3"/>
    <n v="667.96599328001332"/>
    <n v="670.46986568743171"/>
    <n v="80240.833138693764"/>
  </r>
  <r>
    <x v="41"/>
    <s v="Q1"/>
    <s v="2042Q1"/>
    <n v="93007.225051412359"/>
    <n v="93678.386795921557"/>
    <n v="7.2162323318236687E-3"/>
    <n v="667.9803119302959"/>
    <n v="670.48423801121521"/>
    <n v="81263.909926990993"/>
  </r>
  <r>
    <x v="41"/>
    <s v="Q2"/>
    <s v="2042Q2"/>
    <n v="93718.923282909323"/>
    <n v="94451.024769586162"/>
    <n v="7.8116719764997899E-3"/>
    <n v="669.89360537154312"/>
    <n v="672.40470343831646"/>
    <n v="81574.968566135227"/>
  </r>
  <r>
    <x v="41"/>
    <s v="Q3"/>
    <s v="2042Q3"/>
    <n v="94232.088342895804"/>
    <n v="94968.198506691057"/>
    <n v="7.8116719764997899E-3"/>
    <n v="671.19348712933868"/>
    <n v="673.70945780654279"/>
    <n v="82013.361772385542"/>
  </r>
  <r>
    <x v="41"/>
    <s v="Q4"/>
    <s v="2042Q4"/>
    <n v="94418.32393677342"/>
    <n v="95155.888911938397"/>
    <n v="7.8116719764997899E-3"/>
    <n v="671.95368707924035"/>
    <n v="674.47250736809815"/>
    <n v="82166.613134022409"/>
  </r>
  <r>
    <x v="42"/>
    <s v="Q1"/>
    <s v="2043Q1"/>
    <n v="95146.391227594839"/>
    <n v="96233.826179893134"/>
    <n v="1.1429071962352211E-2"/>
    <n v="672.97573822961351"/>
    <n v="675.49838968008748"/>
    <n v="83214.243765238774"/>
  </r>
  <r>
    <x v="42"/>
    <s v="Q2"/>
    <s v="2043Q2"/>
    <n v="95874.458518416228"/>
    <n v="96970.214604174762"/>
    <n v="1.1429071962352211E-2"/>
    <n v="672.99016426977312"/>
    <n v="675.51286979629924"/>
    <n v="83532.767811722471"/>
  </r>
  <r>
    <x v="42"/>
    <s v="Q3"/>
    <s v="2043Q3"/>
    <n v="96399.426374782401"/>
    <n v="97501.182355949262"/>
    <n v="1.1429071962352211E-2"/>
    <n v="674.9178074118297"/>
    <n v="677.44773871410393"/>
    <n v="83981.682454922804"/>
  </r>
  <r>
    <x v="42"/>
    <s v="Q4"/>
    <s v="2043Q4"/>
    <n v="96589.945387319196"/>
    <n v="97780.72742814252"/>
    <n v="1.2328219423340281E-2"/>
    <n v="676.22743828280875"/>
    <n v="678.76227874009192"/>
    <n v="84138.61184923895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6">
  <r>
    <x v="0"/>
    <n v="1"/>
    <n v="364664.49900000001"/>
    <n v="364664.49900000001"/>
    <n v="5.6"/>
    <n v="5.6"/>
    <n v="5.6"/>
  </r>
  <r>
    <x v="0"/>
    <n v="2"/>
    <n v="281238.44300000003"/>
    <n v="281238.44300000003"/>
    <n v="5.6"/>
    <n v="5.6"/>
    <n v="5.6"/>
  </r>
  <r>
    <x v="0"/>
    <n v="3"/>
    <n v="259489.12100000001"/>
    <n v="259489.12100000001"/>
    <n v="5.6"/>
    <n v="5.6"/>
    <n v="5.6"/>
  </r>
  <r>
    <x v="0"/>
    <n v="4"/>
    <n v="245529.92300000001"/>
    <n v="245529.92300000004"/>
    <n v="5.6"/>
    <n v="5.6"/>
    <n v="5.6"/>
  </r>
  <r>
    <x v="0"/>
    <n v="5"/>
    <n v="267979.59899999999"/>
    <n v="267979.59899999999"/>
    <n v="5.6"/>
    <n v="5.6"/>
    <n v="5.6"/>
  </r>
  <r>
    <x v="0"/>
    <n v="6"/>
    <n v="316797.81800000003"/>
    <n v="316797.81800000003"/>
    <n v="5.6"/>
    <n v="5.6"/>
    <n v="5.6"/>
  </r>
  <r>
    <x v="0"/>
    <n v="7"/>
    <n v="432588.71"/>
    <n v="432588.71"/>
    <n v="5.6"/>
    <n v="5.6"/>
    <n v="5.6"/>
  </r>
  <r>
    <x v="0"/>
    <n v="8"/>
    <n v="482261.65899999999"/>
    <n v="482261.65899999999"/>
    <n v="5.6"/>
    <n v="5.6"/>
    <n v="5.6"/>
  </r>
  <r>
    <x v="0"/>
    <n v="9"/>
    <n v="412942.93400000001"/>
    <n v="412942.93400000001"/>
    <n v="5.6"/>
    <n v="5.6"/>
    <n v="5.6"/>
  </r>
  <r>
    <x v="0"/>
    <n v="10"/>
    <n v="241862.98800000001"/>
    <n v="241862.98800000004"/>
    <n v="5.6"/>
    <n v="5.6"/>
    <n v="5.6"/>
  </r>
  <r>
    <x v="0"/>
    <n v="11"/>
    <n v="222305.33499999999"/>
    <n v="222305.33499999999"/>
    <n v="5.6"/>
    <n v="5.6"/>
    <n v="5.6"/>
  </r>
  <r>
    <x v="0"/>
    <n v="12"/>
    <n v="258446.606"/>
    <n v="258446.606"/>
    <n v="5.6"/>
    <n v="5.6"/>
    <n v="5.6"/>
  </r>
  <r>
    <x v="1"/>
    <n v="1"/>
    <n v="330148.39799999999"/>
    <n v="330148.39799999999"/>
    <n v="5.8"/>
    <n v="5.8"/>
    <n v="5.8"/>
  </r>
  <r>
    <x v="1"/>
    <n v="2"/>
    <n v="268736.10800000001"/>
    <n v="268736.10800000001"/>
    <n v="5.8"/>
    <n v="5.8"/>
    <n v="5.8"/>
  </r>
  <r>
    <x v="1"/>
    <n v="3"/>
    <n v="270097.016"/>
    <n v="270097.016"/>
    <n v="5.8"/>
    <n v="5.8"/>
    <n v="5.8"/>
  </r>
  <r>
    <x v="1"/>
    <n v="4"/>
    <n v="247888.92600000001"/>
    <n v="247888.92599999998"/>
    <n v="5.8"/>
    <n v="5.8"/>
    <n v="5.8"/>
  </r>
  <r>
    <x v="1"/>
    <n v="5"/>
    <n v="237850.68599999999"/>
    <n v="237850.68600000002"/>
    <n v="5.8"/>
    <n v="5.8"/>
    <n v="5.8"/>
  </r>
  <r>
    <x v="1"/>
    <n v="6"/>
    <n v="365881.46299999999"/>
    <n v="365881.46299999999"/>
    <n v="5.8"/>
    <n v="5.8"/>
    <n v="5.8"/>
  </r>
  <r>
    <x v="1"/>
    <n v="7"/>
    <n v="503611.24300000002"/>
    <n v="503611.24300000002"/>
    <n v="5.8"/>
    <n v="5.8"/>
    <n v="5.8"/>
  </r>
  <r>
    <x v="1"/>
    <n v="8"/>
    <n v="510080.17800000001"/>
    <n v="510080.17800000001"/>
    <n v="5.8"/>
    <n v="5.8"/>
    <n v="5.8"/>
  </r>
  <r>
    <x v="1"/>
    <n v="9"/>
    <n v="467652.859"/>
    <n v="467652.859"/>
    <n v="5.8"/>
    <n v="5.8"/>
    <n v="5.8"/>
  </r>
  <r>
    <x v="1"/>
    <n v="10"/>
    <n v="289474.06099999999"/>
    <n v="289474.06099999999"/>
    <n v="5.8"/>
    <n v="5.8"/>
    <n v="5.8"/>
  </r>
  <r>
    <x v="1"/>
    <n v="11"/>
    <n v="234089.435"/>
    <n v="234089.435"/>
    <n v="5.8"/>
    <n v="5.8"/>
    <n v="5.8"/>
  </r>
  <r>
    <x v="1"/>
    <n v="12"/>
    <n v="314236.15999999997"/>
    <n v="314236.15999999997"/>
    <n v="5.8"/>
    <n v="5.8"/>
    <n v="5.8"/>
  </r>
  <r>
    <x v="2"/>
    <n v="1"/>
    <n v="342550.47899999999"/>
    <n v="342550.47899999999"/>
    <n v="5.9"/>
    <n v="5.9"/>
    <n v="5.9"/>
  </r>
  <r>
    <x v="2"/>
    <n v="2"/>
    <n v="333820.06800000003"/>
    <n v="333820.06800000003"/>
    <n v="5.9"/>
    <n v="5.9"/>
    <n v="5.9"/>
  </r>
  <r>
    <x v="2"/>
    <n v="3"/>
    <n v="285438.69199999998"/>
    <n v="285438.69199999998"/>
    <n v="5.9"/>
    <n v="5.9"/>
    <n v="5.9"/>
  </r>
  <r>
    <x v="2"/>
    <n v="4"/>
    <n v="229678.17"/>
    <n v="229678.17"/>
    <n v="5.9"/>
    <n v="5.9"/>
    <n v="5.9"/>
  </r>
  <r>
    <x v="2"/>
    <n v="5"/>
    <n v="251815.98199999999"/>
    <n v="251815.98199999999"/>
    <n v="5.9"/>
    <n v="5.9"/>
    <n v="5.9"/>
  </r>
  <r>
    <x v="2"/>
    <n v="6"/>
    <n v="284019.36300000001"/>
    <n v="284019.36300000001"/>
    <n v="5.9"/>
    <n v="5.9"/>
    <n v="5.9"/>
  </r>
  <r>
    <x v="2"/>
    <n v="7"/>
    <n v="447363.56900000002"/>
    <n v="447363.56900000002"/>
    <n v="5.9"/>
    <n v="5.9"/>
    <n v="5.9"/>
  </r>
  <r>
    <x v="2"/>
    <n v="8"/>
    <n v="440168.22200000001"/>
    <n v="440168.22200000001"/>
    <n v="5.9"/>
    <n v="5.9"/>
    <n v="5.9"/>
  </r>
  <r>
    <x v="2"/>
    <n v="9"/>
    <n v="418421.82400000002"/>
    <n v="418421.82400000002"/>
    <n v="5.9"/>
    <n v="5.9"/>
    <n v="5.9"/>
  </r>
  <r>
    <x v="2"/>
    <n v="10"/>
    <n v="244103.011"/>
    <n v="244103.011"/>
    <n v="5.9"/>
    <n v="5.9"/>
    <n v="5.9"/>
  </r>
  <r>
    <x v="2"/>
    <n v="11"/>
    <n v="233641.92300000001"/>
    <n v="233641.92300000004"/>
    <n v="5.9"/>
    <n v="5.9"/>
    <n v="5.9"/>
  </r>
  <r>
    <x v="2"/>
    <n v="12"/>
    <n v="304782.16700000002"/>
    <n v="304782.16499999998"/>
    <n v="5.9"/>
    <n v="5.9"/>
    <n v="5.9"/>
  </r>
  <r>
    <x v="3"/>
    <n v="1"/>
    <n v="348337.652"/>
    <n v="348337.652"/>
    <n v="6"/>
    <n v="6"/>
    <n v="6"/>
  </r>
  <r>
    <x v="3"/>
    <n v="2"/>
    <n v="334621.136"/>
    <n v="334621.136"/>
    <n v="6"/>
    <n v="6"/>
    <n v="6"/>
  </r>
  <r>
    <x v="3"/>
    <n v="3"/>
    <n v="268364.75099999999"/>
    <n v="268364.75099999999"/>
    <n v="6"/>
    <n v="6"/>
    <n v="6"/>
  </r>
  <r>
    <x v="3"/>
    <n v="4"/>
    <n v="242512.565"/>
    <n v="242512.56500000003"/>
    <n v="6"/>
    <n v="6"/>
    <n v="6"/>
  </r>
  <r>
    <x v="3"/>
    <n v="5"/>
    <n v="281369.45199999999"/>
    <n v="281369.45199999999"/>
    <n v="6"/>
    <n v="6"/>
    <n v="6"/>
  </r>
  <r>
    <x v="3"/>
    <n v="6"/>
    <n v="403194.533"/>
    <n v="403194.533"/>
    <n v="6"/>
    <n v="6"/>
    <n v="6"/>
  </r>
  <r>
    <x v="3"/>
    <n v="7"/>
    <n v="440997.08600000001"/>
    <n v="440997.08600000001"/>
    <n v="6"/>
    <n v="6"/>
    <n v="6"/>
  </r>
  <r>
    <x v="3"/>
    <n v="8"/>
    <n v="398944.49699999997"/>
    <n v="398944.49699999997"/>
    <n v="6"/>
    <n v="6"/>
    <n v="6"/>
  </r>
  <r>
    <x v="3"/>
    <n v="9"/>
    <n v="397391.65299999999"/>
    <n v="397391.65300000005"/>
    <n v="6"/>
    <n v="6"/>
    <n v="6"/>
  </r>
  <r>
    <x v="3"/>
    <n v="10"/>
    <n v="270269.25"/>
    <n v="270269.25"/>
    <n v="6"/>
    <n v="6"/>
    <n v="6"/>
  </r>
  <r>
    <x v="3"/>
    <n v="11"/>
    <n v="235611.85399999999"/>
    <n v="235611.85399999999"/>
    <n v="6"/>
    <n v="6"/>
    <n v="6"/>
  </r>
  <r>
    <x v="3"/>
    <n v="12"/>
    <n v="295532.299"/>
    <n v="295532.299"/>
    <n v="6"/>
    <n v="6"/>
    <n v="6"/>
  </r>
  <r>
    <x v="4"/>
    <n v="1"/>
    <n v="355374.79599999997"/>
    <n v="355374.79599999997"/>
    <n v="6.4065135612233277"/>
    <n v="6.4065135612233277"/>
    <n v="6.4065135612233277"/>
  </r>
  <r>
    <x v="4"/>
    <n v="2"/>
    <n v="304253.43800000002"/>
    <n v="304253.43800000002"/>
    <n v="6.4065135612233277"/>
    <n v="6.4065135612233277"/>
    <n v="6.4065135612233277"/>
  </r>
  <r>
    <x v="4"/>
    <n v="3"/>
    <n v="285168.32900000003"/>
    <n v="285168.32900000003"/>
    <n v="6.4065135612233277"/>
    <n v="6.4065135612233277"/>
    <n v="6.4065135612233277"/>
  </r>
  <r>
    <x v="4"/>
    <n v="4"/>
    <n v="247850.07199999999"/>
    <n v="247850.07199999999"/>
    <n v="6.4065135612233277"/>
    <n v="6.4065135612233277"/>
    <n v="6.4065135612233277"/>
  </r>
  <r>
    <x v="4"/>
    <n v="5"/>
    <n v="241191.90100000001"/>
    <n v="241191.90100000001"/>
    <n v="6.4065135612233277"/>
    <n v="6.4065135612233277"/>
    <n v="6.4065135612233277"/>
  </r>
  <r>
    <x v="4"/>
    <n v="6"/>
    <n v="355723.86"/>
    <n v="355723.86"/>
    <n v="6.4065135612233277"/>
    <n v="6.4065135612233277"/>
    <n v="6.4065135612233277"/>
  </r>
  <r>
    <x v="4"/>
    <n v="7"/>
    <n v="500098.848"/>
    <n v="500098.848"/>
    <n v="6.4065135612233277"/>
    <n v="6.4065135612233277"/>
    <n v="6.4065135612233277"/>
  </r>
  <r>
    <x v="4"/>
    <n v="8"/>
    <n v="533566.43099999998"/>
    <n v="533566.43099999998"/>
    <n v="6.4065135612233277"/>
    <n v="6.4065135612233277"/>
    <n v="6.4065135612233277"/>
  </r>
  <r>
    <x v="4"/>
    <n v="9"/>
    <n v="474347.99900000001"/>
    <n v="474347.99900000001"/>
    <n v="6.4065135612233277"/>
    <n v="6.4065135612233277"/>
    <n v="6.4065135612233277"/>
  </r>
  <r>
    <x v="4"/>
    <n v="10"/>
    <n v="337373.41100000002"/>
    <n v="337373.41100000002"/>
    <n v="6.4065135612233277"/>
    <n v="6.4065135612233277"/>
    <n v="6.4065135612233277"/>
  </r>
  <r>
    <x v="4"/>
    <n v="11"/>
    <n v="243130.55499999999"/>
    <n v="243130.55499999999"/>
    <n v="6.4065135612233277"/>
    <n v="6.4065135612233277"/>
    <n v="6.4065135612233277"/>
  </r>
  <r>
    <x v="4"/>
    <n v="12"/>
    <n v="343550.51799999998"/>
    <n v="343550.51799999998"/>
    <n v="6.4065135612233277"/>
    <n v="6.4065135612233277"/>
    <n v="6.4065135612233277"/>
  </r>
  <r>
    <x v="5"/>
    <n v="1"/>
    <n v="360831.30099999998"/>
    <n v="360831.30099999998"/>
    <n v="6.6378619567564607"/>
    <n v="6.6378619567564607"/>
    <n v="6.6378619567564607"/>
  </r>
  <r>
    <x v="5"/>
    <n v="2"/>
    <n v="305128.41800000001"/>
    <n v="305128.41800000001"/>
    <n v="6.6378619567564607"/>
    <n v="6.6378619567564607"/>
    <n v="6.6378619567564607"/>
  </r>
  <r>
    <x v="5"/>
    <n v="3"/>
    <n v="287521.62"/>
    <n v="287521.62"/>
    <n v="6.6378619567564607"/>
    <n v="6.6378619567564607"/>
    <n v="6.6378619567564607"/>
  </r>
  <r>
    <x v="5"/>
    <n v="4"/>
    <n v="261930.731"/>
    <n v="261930.731"/>
    <n v="6.6378619567564607"/>
    <n v="6.6378619567564607"/>
    <n v="6.6378619567564607"/>
  </r>
  <r>
    <x v="5"/>
    <n v="5"/>
    <n v="251222.03"/>
    <n v="251222.03"/>
    <n v="6.6378619567564607"/>
    <n v="6.6378619567564607"/>
    <n v="6.6378619567564607"/>
  </r>
  <r>
    <x v="5"/>
    <n v="6"/>
    <n v="350937.63"/>
    <n v="350937.63"/>
    <n v="6.6378619567564607"/>
    <n v="6.6378619567564607"/>
    <n v="6.6378619567564607"/>
  </r>
  <r>
    <x v="5"/>
    <n v="7"/>
    <n v="463453.03700000001"/>
    <n v="463453.03700000001"/>
    <n v="6.6378619567564607"/>
    <n v="6.6378619567564607"/>
    <n v="6.6378619567564607"/>
  </r>
  <r>
    <x v="5"/>
    <n v="8"/>
    <n v="517544.28100000002"/>
    <n v="517544.28100000002"/>
    <n v="6.6378619567564607"/>
    <n v="6.6378619567564607"/>
    <n v="6.6378619567564607"/>
  </r>
  <r>
    <x v="5"/>
    <n v="9"/>
    <n v="402950.61300000001"/>
    <n v="402950.61300000001"/>
    <n v="6.6378619567564607"/>
    <n v="6.6378619567564607"/>
    <n v="6.6378619567564607"/>
  </r>
  <r>
    <x v="5"/>
    <n v="10"/>
    <n v="262830.321"/>
    <n v="262830.321"/>
    <n v="6.6378619567564607"/>
    <n v="6.6378619567564607"/>
    <n v="6.6378619567564607"/>
  </r>
  <r>
    <x v="5"/>
    <n v="11"/>
    <n v="266028.12599999999"/>
    <n v="266028.12599999999"/>
    <n v="6.6378619567564607"/>
    <n v="6.6378619567564607"/>
    <n v="6.6378619567564607"/>
  </r>
  <r>
    <x v="5"/>
    <n v="12"/>
    <n v="316766.89"/>
    <n v="316766.89"/>
    <n v="6.6378619567564607"/>
    <n v="6.6378619567564607"/>
    <n v="6.6378619567564607"/>
  </r>
  <r>
    <x v="6"/>
    <n v="1"/>
    <n v="347827.55800000002"/>
    <n v="347827.55800000002"/>
    <n v="6.8778619567564609"/>
    <n v="6.8778619567564609"/>
    <n v="6.8778619567564609"/>
  </r>
  <r>
    <x v="6"/>
    <n v="2"/>
    <n v="366931.35100000002"/>
    <n v="366931.35100000002"/>
    <n v="6.8778619567564609"/>
    <n v="6.8778619567564609"/>
    <n v="6.8778619567564609"/>
  </r>
  <r>
    <x v="6"/>
    <n v="3"/>
    <n v="310012.95"/>
    <n v="310012.95"/>
    <n v="6.8778619567564609"/>
    <n v="6.8778619567564609"/>
    <n v="6.8778619567564609"/>
  </r>
  <r>
    <x v="6"/>
    <n v="4"/>
    <n v="270936.31900000002"/>
    <n v="270936.31900000002"/>
    <n v="6.8778619567564609"/>
    <n v="6.8778619567564609"/>
    <n v="6.8778619567564609"/>
  </r>
  <r>
    <x v="6"/>
    <n v="5"/>
    <n v="289411.48700000002"/>
    <n v="289411.48700000002"/>
    <n v="6.8778619567564609"/>
    <n v="6.8778619567564609"/>
    <n v="6.8778619567564609"/>
  </r>
  <r>
    <x v="6"/>
    <n v="6"/>
    <n v="409539.29599999997"/>
    <n v="409539.29599999997"/>
    <n v="6.8778619567564609"/>
    <n v="6.8778619567564609"/>
    <n v="6.8778619567564609"/>
  </r>
  <r>
    <x v="6"/>
    <n v="7"/>
    <n v="477374.40299999999"/>
    <n v="477374.40299999999"/>
    <n v="6.8778619567564609"/>
    <n v="6.8778619567564609"/>
    <n v="6.8778619567564609"/>
  </r>
  <r>
    <x v="6"/>
    <n v="8"/>
    <n v="536804.66"/>
    <n v="536804.66"/>
    <n v="6.8778619567564609"/>
    <n v="6.8778619567564609"/>
    <n v="6.8778619567564609"/>
  </r>
  <r>
    <x v="6"/>
    <n v="9"/>
    <n v="531203.08100000001"/>
    <n v="531203.08100000001"/>
    <n v="6.8778619567564609"/>
    <n v="6.8778619567564609"/>
    <n v="6.8778619567564609"/>
  </r>
  <r>
    <x v="6"/>
    <n v="10"/>
    <n v="356757.32299999997"/>
    <n v="356757.32299999997"/>
    <n v="6.8778619567564609"/>
    <n v="6.8778619567564609"/>
    <n v="6.8778619567564609"/>
  </r>
  <r>
    <x v="6"/>
    <n v="11"/>
    <n v="267318.96799999999"/>
    <n v="267318.96799999999"/>
    <n v="6.8778619567564609"/>
    <n v="6.8778619567564609"/>
    <n v="6.8778619567564609"/>
  </r>
  <r>
    <x v="6"/>
    <n v="12"/>
    <n v="319514.77500000002"/>
    <n v="319514.77500000002"/>
    <n v="6.8778619567564609"/>
    <n v="6.8778619567564609"/>
    <n v="6.8778619567564609"/>
  </r>
  <r>
    <x v="7"/>
    <n v="1"/>
    <n v="387901.87599999999"/>
    <n v="387901.87599999999"/>
    <n v="7.1562642176594835"/>
    <n v="7.1562642176594835"/>
    <n v="7.1562642176594835"/>
  </r>
  <r>
    <x v="7"/>
    <n v="2"/>
    <n v="348271.755"/>
    <n v="348271.755"/>
    <n v="7.1562642176594835"/>
    <n v="7.1562642176594835"/>
    <n v="7.1562642176594835"/>
  </r>
  <r>
    <x v="7"/>
    <n v="3"/>
    <n v="329363.83299999998"/>
    <n v="329363.83299999998"/>
    <n v="7.1562642176594835"/>
    <n v="7.1562642176594835"/>
    <n v="7.1562642176594835"/>
  </r>
  <r>
    <x v="7"/>
    <n v="4"/>
    <n v="270588.95"/>
    <n v="270588.95"/>
    <n v="7.1562642176594835"/>
    <n v="7.1562642176594835"/>
    <n v="7.1562642176594835"/>
  </r>
  <r>
    <x v="7"/>
    <n v="5"/>
    <n v="240504.75"/>
    <n v="240504.75"/>
    <n v="7.1562642176594835"/>
    <n v="7.1562642176594835"/>
    <n v="7.1562642176594835"/>
  </r>
  <r>
    <x v="7"/>
    <n v="6"/>
    <n v="364421.59700000001"/>
    <n v="364421.59700000001"/>
    <n v="7.1562642176594835"/>
    <n v="7.1562642176594835"/>
    <n v="7.1562642176594835"/>
  </r>
  <r>
    <x v="7"/>
    <n v="7"/>
    <n v="469022.46399999998"/>
    <n v="469022.46399999998"/>
    <n v="7.1562642176594835"/>
    <n v="7.1562642176594835"/>
    <n v="7.1562642176594835"/>
  </r>
  <r>
    <x v="7"/>
    <n v="8"/>
    <n v="484155.68400000001"/>
    <n v="484155.68400000001"/>
    <n v="7.1562642176594835"/>
    <n v="7.1562642176594835"/>
    <n v="7.1562642176594835"/>
  </r>
  <r>
    <x v="7"/>
    <n v="9"/>
    <n v="438249.3"/>
    <n v="438249.3"/>
    <n v="7.1562642176594835"/>
    <n v="7.1562642176594835"/>
    <n v="7.1562642176594835"/>
  </r>
  <r>
    <x v="7"/>
    <n v="10"/>
    <n v="284204.09299999999"/>
    <n v="284204.09299999999"/>
    <n v="7.1562642176594835"/>
    <n v="7.1562642176594835"/>
    <n v="7.1562642176594835"/>
  </r>
  <r>
    <x v="7"/>
    <n v="11"/>
    <n v="252099.84"/>
    <n v="252099.84"/>
    <n v="7.1562642176594835"/>
    <n v="7.1562642176594835"/>
    <n v="7.1562642176594835"/>
  </r>
  <r>
    <x v="7"/>
    <n v="12"/>
    <n v="354251.38400000002"/>
    <n v="354251.38400000002"/>
    <n v="7.1562642176594835"/>
    <n v="7.1562642176594835"/>
    <n v="7.1562642176594835"/>
  </r>
  <r>
    <x v="8"/>
    <n v="1"/>
    <n v="407659.64399999997"/>
    <n v="408630.43300000002"/>
    <n v="7.2900558232403201"/>
    <n v="7.2900558232403201"/>
    <n v="7.2900558232403201"/>
  </r>
  <r>
    <x v="8"/>
    <n v="2"/>
    <n v="334943.03499999997"/>
    <n v="324320.783"/>
    <n v="7.2900558232403201"/>
    <n v="7.2900558232403201"/>
    <n v="7.2900558232403201"/>
  </r>
  <r>
    <x v="8"/>
    <n v="3"/>
    <n v="280349.70400000003"/>
    <n v="263642.40600000002"/>
    <n v="7.2900558232403201"/>
    <n v="7.2900558232403201"/>
    <n v="7.2900558232403201"/>
  </r>
  <r>
    <x v="8"/>
    <n v="4"/>
    <n v="285348.94199999998"/>
    <n v="284909.56"/>
    <n v="7.2900558232403201"/>
    <n v="7.2900558232403201"/>
    <n v="7.2900558232403201"/>
  </r>
  <r>
    <x v="8"/>
    <n v="5"/>
    <n v="249017.291"/>
    <n v="249013.685"/>
    <n v="7.2900558232403201"/>
    <n v="7.2900558232403201"/>
    <n v="7.2900558232403201"/>
  </r>
  <r>
    <x v="8"/>
    <n v="6"/>
    <n v="375947.46600000001"/>
    <n v="377230.89899999998"/>
    <n v="7.2900558232403201"/>
    <n v="7.2900558232403201"/>
    <n v="7.2900558232403201"/>
  </r>
  <r>
    <x v="8"/>
    <n v="7"/>
    <n v="446957.49900000001"/>
    <n v="449371.47399999999"/>
    <n v="7.2900558232403201"/>
    <n v="7.2900558232403201"/>
    <n v="7.2900558232403201"/>
  </r>
  <r>
    <x v="8"/>
    <n v="8"/>
    <n v="422340.94"/>
    <n v="421582.84600000002"/>
    <n v="7.2900558232403201"/>
    <n v="7.2900558232403201"/>
    <n v="7.2900558232403201"/>
  </r>
  <r>
    <x v="8"/>
    <n v="9"/>
    <n v="404872.63699999999"/>
    <n v="406277.32299999997"/>
    <n v="7.2900558232403201"/>
    <n v="7.2900558232403201"/>
    <n v="7.2900558232403201"/>
  </r>
  <r>
    <x v="8"/>
    <n v="10"/>
    <n v="289873.995"/>
    <n v="288850.63299999997"/>
    <n v="7.2900558232403201"/>
    <n v="7.2900558232403201"/>
    <n v="7.2900558232403201"/>
  </r>
  <r>
    <x v="8"/>
    <n v="11"/>
    <n v="240806.924"/>
    <n v="241548.88399999999"/>
    <n v="7.2900558232403201"/>
    <n v="7.2900558232403201"/>
    <n v="7.2900558232403201"/>
  </r>
  <r>
    <x v="8"/>
    <n v="12"/>
    <n v="331549.38299999997"/>
    <n v="329526.201"/>
    <n v="7.2900558232403201"/>
    <n v="7.2900558232403201"/>
    <n v="7.2900558232403201"/>
  </r>
  <r>
    <x v="9"/>
    <n v="1"/>
    <n v="420971.16399999999"/>
    <n v="419801.30099999998"/>
    <n v="7.4759202235333753"/>
    <n v="7.4759202235333753"/>
    <n v="7.4759202235333753"/>
  </r>
  <r>
    <x v="9"/>
    <n v="2"/>
    <n v="366796.89899999998"/>
    <n v="364319.66800000001"/>
    <n v="7.4759202235333753"/>
    <n v="7.4759202235333753"/>
    <n v="7.4759202235333753"/>
  </r>
  <r>
    <x v="9"/>
    <n v="3"/>
    <n v="332923.853"/>
    <n v="330562.52299999999"/>
    <n v="7.4759202235333753"/>
    <n v="7.4759202235333753"/>
    <n v="7.4759202235333753"/>
  </r>
  <r>
    <x v="9"/>
    <n v="4"/>
    <n v="262231.72700000001"/>
    <n v="262041.02100000001"/>
    <n v="7.4759202235333753"/>
    <n v="7.4759202235333753"/>
    <n v="7.4759202235333753"/>
  </r>
  <r>
    <x v="9"/>
    <n v="5"/>
    <n v="262830.66700000002"/>
    <n v="262875"/>
    <n v="7.4759202235333753"/>
    <n v="7.4759202235333753"/>
    <n v="7.4759202235333753"/>
  </r>
  <r>
    <x v="9"/>
    <n v="6"/>
    <n v="451270.76400000002"/>
    <n v="450479.73200000002"/>
    <n v="7.4759202235333753"/>
    <n v="7.4759202235333753"/>
    <n v="7.4759202235333753"/>
  </r>
  <r>
    <x v="9"/>
    <n v="7"/>
    <n v="561920.38600000006"/>
    <n v="555879.40700000001"/>
    <n v="7.4759202235333753"/>
    <n v="7.4759202235333753"/>
    <n v="7.4759202235333753"/>
  </r>
  <r>
    <x v="9"/>
    <n v="8"/>
    <n v="551398.52399999998"/>
    <n v="557573.56000000006"/>
    <n v="7.4759202235333753"/>
    <n v="7.4759202235333753"/>
    <n v="7.4759202235333753"/>
  </r>
  <r>
    <x v="9"/>
    <n v="9"/>
    <n v="465037.21299999999"/>
    <n v="463382.06300000002"/>
    <n v="7.4759202235333753"/>
    <n v="7.4759202235333753"/>
    <n v="7.4759202235333753"/>
  </r>
  <r>
    <x v="9"/>
    <n v="10"/>
    <n v="305445.60800000001"/>
    <n v="304722.46000000002"/>
    <n v="7.4759202235333753"/>
    <n v="7.4759202235333753"/>
    <n v="7.4759202235333753"/>
  </r>
  <r>
    <x v="9"/>
    <n v="11"/>
    <n v="235484.24100000001"/>
    <n v="235038.38699999999"/>
    <n v="7.4759202235333753"/>
    <n v="7.4759202235333753"/>
    <n v="7.4759202235333753"/>
  </r>
  <r>
    <x v="9"/>
    <n v="12"/>
    <n v="353062.64"/>
    <n v="353179.54499999998"/>
    <n v="7.4759202235333753"/>
    <n v="7.4759202235333753"/>
    <n v="7.4759202235333753"/>
  </r>
  <r>
    <x v="10"/>
    <n v="1"/>
    <n v="426938.24400000001"/>
    <n v="421289.63400000002"/>
    <n v="8.2894638037513477"/>
    <n v="8.2894638037513477"/>
    <n v="8.2894638037513477"/>
  </r>
  <r>
    <x v="10"/>
    <n v="2"/>
    <n v="335567.16"/>
    <n v="338944.424"/>
    <n v="8.2894638037513477"/>
    <n v="8.2894638037513477"/>
    <n v="8.2894638037513477"/>
  </r>
  <r>
    <x v="10"/>
    <n v="3"/>
    <n v="299546.73100000003"/>
    <n v="298357.21100000001"/>
    <n v="8.2894638037513477"/>
    <n v="8.2894638037513477"/>
    <n v="8.2894638037513477"/>
  </r>
  <r>
    <x v="10"/>
    <n v="4"/>
    <m/>
    <n v="264708.40299999999"/>
    <n v="8.2894638037513477"/>
    <n v="8.2894638037513477"/>
    <n v="8.2894638037513477"/>
  </r>
  <r>
    <x v="10"/>
    <n v="5"/>
    <m/>
    <n v="267524.995"/>
    <n v="8.2894638037513477"/>
    <n v="8.2894638037513477"/>
    <n v="8.2894638037513477"/>
  </r>
  <r>
    <x v="10"/>
    <n v="6"/>
    <m/>
    <n v="417163.28600000002"/>
    <n v="8.2894638037513477"/>
    <n v="8.2894638037513477"/>
    <n v="8.2894638037513477"/>
  </r>
  <r>
    <x v="10"/>
    <n v="7"/>
    <m/>
    <n v="496962.67800000001"/>
    <n v="8.2894638037513477"/>
    <n v="8.2894638037513477"/>
    <n v="8.2894638037513477"/>
  </r>
  <r>
    <x v="10"/>
    <n v="8"/>
    <m/>
    <n v="580187.17200000002"/>
    <n v="8.2894638037513477"/>
    <n v="8.2894638037513477"/>
    <n v="8.2894638037513477"/>
  </r>
  <r>
    <x v="10"/>
    <n v="9"/>
    <m/>
    <n v="439627.45500000002"/>
    <n v="8.2894638037513477"/>
    <n v="8.2894638037513477"/>
    <n v="8.2894638037513477"/>
  </r>
  <r>
    <x v="10"/>
    <n v="10"/>
    <m/>
    <n v="252154.73199999999"/>
    <n v="8.2894638037513477"/>
    <n v="8.2894638037513477"/>
    <n v="8.2894638037513477"/>
  </r>
  <r>
    <x v="10"/>
    <n v="11"/>
    <m/>
    <n v="237420.47500000001"/>
    <n v="8.2894638037513477"/>
    <n v="8.2894638037513477"/>
    <n v="8.2894638037513477"/>
  </r>
  <r>
    <x v="10"/>
    <n v="12"/>
    <m/>
    <n v="297090.28700000001"/>
    <n v="8.2894638037513477"/>
    <n v="8.2894638037513477"/>
    <n v="8.2894638037513477"/>
  </r>
  <r>
    <x v="11"/>
    <n v="1"/>
    <m/>
    <n v="362134.77399999998"/>
    <n v="8.8999885401544248"/>
    <n v="8.5772101877244911"/>
    <n v="8.8300509383118992"/>
  </r>
  <r>
    <x v="11"/>
    <n v="2"/>
    <m/>
    <n v="324138.16800000001"/>
    <n v="8.8999885401544248"/>
    <n v="8.5772101877244911"/>
    <n v="8.8300509383118992"/>
  </r>
  <r>
    <x v="11"/>
    <n v="3"/>
    <m/>
    <n v="278034.29399999999"/>
    <n v="8.8999885401544248"/>
    <n v="8.5772101877244911"/>
    <n v="8.8300509383118992"/>
  </r>
  <r>
    <x v="11"/>
    <n v="4"/>
    <m/>
    <n v="249620"/>
    <n v="8.8999885401544248"/>
    <n v="8.5772101877244911"/>
    <n v="8.8300509383118992"/>
  </r>
  <r>
    <x v="11"/>
    <n v="5"/>
    <m/>
    <m/>
    <n v="8.8999885401544248"/>
    <n v="8.5772101877244911"/>
    <n v="8.8300509383118992"/>
  </r>
  <r>
    <x v="11"/>
    <n v="6"/>
    <m/>
    <m/>
    <n v="8.8999885401544248"/>
    <n v="8.5772101877244911"/>
    <n v="8.8300509383118992"/>
  </r>
  <r>
    <x v="11"/>
    <n v="7"/>
    <m/>
    <m/>
    <n v="8.8999885401544248"/>
    <n v="8.5772101877244911"/>
    <n v="8.8300509383118992"/>
  </r>
  <r>
    <x v="11"/>
    <n v="8"/>
    <m/>
    <m/>
    <n v="8.8999885401544248"/>
    <n v="8.5772101877244911"/>
    <n v="8.8300509383118992"/>
  </r>
  <r>
    <x v="11"/>
    <n v="9"/>
    <m/>
    <m/>
    <n v="8.8999885401544248"/>
    <n v="8.5772101877244911"/>
    <n v="8.8300509383118992"/>
  </r>
  <r>
    <x v="11"/>
    <n v="10"/>
    <m/>
    <m/>
    <n v="8.8999885401544248"/>
    <n v="8.5772101877244911"/>
    <n v="8.8300509383118992"/>
  </r>
  <r>
    <x v="11"/>
    <n v="11"/>
    <m/>
    <m/>
    <n v="8.8999885401544248"/>
    <n v="8.5772101877244911"/>
    <n v="8.8300509383118992"/>
  </r>
  <r>
    <x v="11"/>
    <n v="12"/>
    <m/>
    <m/>
    <n v="8.8999885401544248"/>
    <n v="8.5772101877244911"/>
    <n v="8.8300509383118992"/>
  </r>
  <r>
    <x v="12"/>
    <n v="1"/>
    <m/>
    <m/>
    <n v="9.7259169494704008"/>
    <n v="9.5861743542818498"/>
    <n v="9.1452487875947988"/>
  </r>
  <r>
    <x v="12"/>
    <n v="2"/>
    <m/>
    <m/>
    <n v="9.7259169494704008"/>
    <n v="9.5861743542818498"/>
    <n v="9.1452487875947988"/>
  </r>
  <r>
    <x v="12"/>
    <n v="3"/>
    <m/>
    <m/>
    <n v="9.7259169494704008"/>
    <n v="9.5861743542818498"/>
    <n v="9.1452487875947988"/>
  </r>
  <r>
    <x v="12"/>
    <n v="4"/>
    <m/>
    <m/>
    <n v="9.7259169494704008"/>
    <n v="9.5861743542818498"/>
    <n v="9.1452487875947988"/>
  </r>
  <r>
    <x v="12"/>
    <n v="5"/>
    <m/>
    <m/>
    <n v="9.7259169494704008"/>
    <n v="9.5861743542818498"/>
    <n v="9.1452487875947988"/>
  </r>
  <r>
    <x v="12"/>
    <n v="6"/>
    <m/>
    <m/>
    <n v="9.7259169494704008"/>
    <n v="9.5861743542818498"/>
    <n v="9.1452487875947988"/>
  </r>
  <r>
    <x v="12"/>
    <n v="7"/>
    <m/>
    <m/>
    <n v="9.7259169494704008"/>
    <n v="9.5861743542818498"/>
    <n v="9.1452487875947988"/>
  </r>
  <r>
    <x v="12"/>
    <n v="8"/>
    <m/>
    <m/>
    <n v="9.7259169494704008"/>
    <n v="9.5861743542818498"/>
    <n v="9.1452487875947988"/>
  </r>
  <r>
    <x v="12"/>
    <n v="9"/>
    <m/>
    <m/>
    <n v="9.7259169494704008"/>
    <n v="9.5861743542818498"/>
    <n v="9.1452487875947988"/>
  </r>
  <r>
    <x v="12"/>
    <n v="10"/>
    <m/>
    <m/>
    <n v="9.7259169494704008"/>
    <n v="9.5861743542818498"/>
    <n v="9.1452487875947988"/>
  </r>
  <r>
    <x v="12"/>
    <n v="11"/>
    <m/>
    <m/>
    <n v="9.7259169494704008"/>
    <n v="9.5861743542818498"/>
    <n v="9.1452487875947988"/>
  </r>
  <r>
    <x v="12"/>
    <n v="12"/>
    <m/>
    <m/>
    <n v="9.7259169494704008"/>
    <n v="9.5861743542818498"/>
    <n v="9.1452487875947988"/>
  </r>
  <r>
    <x v="13"/>
    <n v="1"/>
    <m/>
    <m/>
    <n v="11.003830034113445"/>
    <n v="10.2919641845894"/>
    <n v="9.4872430219052895"/>
  </r>
  <r>
    <x v="13"/>
    <n v="2"/>
    <m/>
    <m/>
    <n v="11.003830034113445"/>
    <n v="10.2919641845894"/>
    <n v="9.4872430219052895"/>
  </r>
  <r>
    <x v="13"/>
    <n v="3"/>
    <m/>
    <m/>
    <n v="11.003830034113445"/>
    <n v="10.2919641845894"/>
    <n v="9.4872430219052895"/>
  </r>
  <r>
    <x v="13"/>
    <n v="4"/>
    <m/>
    <m/>
    <n v="11.003830034113445"/>
    <n v="10.2919641845894"/>
    <n v="9.4872430219052895"/>
  </r>
  <r>
    <x v="13"/>
    <n v="5"/>
    <m/>
    <m/>
    <n v="11.003830034113445"/>
    <n v="10.2919641845894"/>
    <n v="9.4872430219052895"/>
  </r>
  <r>
    <x v="13"/>
    <n v="6"/>
    <m/>
    <m/>
    <n v="11.003830034113445"/>
    <n v="10.2919641845894"/>
    <n v="9.4872430219052895"/>
  </r>
  <r>
    <x v="13"/>
    <n v="7"/>
    <m/>
    <m/>
    <n v="11.003830034113445"/>
    <n v="10.2919641845894"/>
    <n v="9.4872430219052895"/>
  </r>
  <r>
    <x v="13"/>
    <n v="8"/>
    <m/>
    <m/>
    <n v="11.003830034113445"/>
    <n v="10.2919641845894"/>
    <n v="9.4872430219052895"/>
  </r>
  <r>
    <x v="13"/>
    <n v="9"/>
    <m/>
    <m/>
    <n v="11.003830034113445"/>
    <n v="10.2919641845894"/>
    <n v="9.4872430219052895"/>
  </r>
  <r>
    <x v="13"/>
    <n v="10"/>
    <m/>
    <m/>
    <n v="11.003830034113445"/>
    <n v="10.2919641845894"/>
    <n v="9.4872430219052895"/>
  </r>
  <r>
    <x v="13"/>
    <n v="11"/>
    <m/>
    <m/>
    <n v="11.003830034113445"/>
    <n v="10.2919641845894"/>
    <n v="9.4872430219052895"/>
  </r>
  <r>
    <x v="13"/>
    <n v="12"/>
    <m/>
    <m/>
    <n v="11.003830034113445"/>
    <n v="10.2919641845894"/>
    <n v="9.4872430219052895"/>
  </r>
  <r>
    <x v="14"/>
    <n v="1"/>
    <m/>
    <m/>
    <n v="12.063906523553111"/>
    <n v="11.4102512243312"/>
    <n v="10.3149120957642"/>
  </r>
  <r>
    <x v="14"/>
    <n v="2"/>
    <m/>
    <m/>
    <n v="12.063906523553111"/>
    <n v="11.4102512243312"/>
    <n v="10.3149120957642"/>
  </r>
  <r>
    <x v="14"/>
    <n v="3"/>
    <m/>
    <m/>
    <n v="12.063906523553111"/>
    <n v="11.4102512243312"/>
    <n v="10.3149120957642"/>
  </r>
  <r>
    <x v="14"/>
    <n v="4"/>
    <m/>
    <m/>
    <n v="12.063906523553111"/>
    <n v="11.4102512243312"/>
    <n v="10.3149120957642"/>
  </r>
  <r>
    <x v="14"/>
    <n v="5"/>
    <m/>
    <m/>
    <n v="12.063906523553111"/>
    <n v="11.4102512243312"/>
    <n v="10.3149120957642"/>
  </r>
  <r>
    <x v="14"/>
    <n v="6"/>
    <m/>
    <m/>
    <n v="12.063906523553111"/>
    <n v="11.4102512243312"/>
    <n v="10.3149120957642"/>
  </r>
  <r>
    <x v="14"/>
    <n v="7"/>
    <m/>
    <m/>
    <n v="12.063906523553111"/>
    <n v="11.4102512243312"/>
    <n v="10.3149120957642"/>
  </r>
  <r>
    <x v="14"/>
    <n v="8"/>
    <m/>
    <m/>
    <n v="12.063906523553111"/>
    <n v="11.4102512243312"/>
    <n v="10.3149120957642"/>
  </r>
  <r>
    <x v="14"/>
    <n v="9"/>
    <m/>
    <m/>
    <n v="12.063906523553111"/>
    <n v="11.4102512243312"/>
    <n v="10.3149120957642"/>
  </r>
  <r>
    <x v="14"/>
    <n v="10"/>
    <m/>
    <m/>
    <n v="12.063906523553111"/>
    <n v="11.4102512243312"/>
    <n v="10.3149120957642"/>
  </r>
  <r>
    <x v="14"/>
    <n v="11"/>
    <m/>
    <m/>
    <n v="12.063906523553111"/>
    <n v="11.4102512243312"/>
    <n v="10.3149120957642"/>
  </r>
  <r>
    <x v="14"/>
    <n v="12"/>
    <m/>
    <m/>
    <n v="12.063906523553111"/>
    <n v="11.4102512243312"/>
    <n v="10.3149120957642"/>
  </r>
  <r>
    <x v="15"/>
    <n v="1"/>
    <m/>
    <m/>
    <n v="12.772604561174989"/>
    <n v="12.3600856287173"/>
    <n v="10.9739050105853"/>
  </r>
  <r>
    <x v="15"/>
    <n v="2"/>
    <m/>
    <m/>
    <n v="12.772604561174989"/>
    <n v="12.3600856287173"/>
    <n v="10.9739050105853"/>
  </r>
  <r>
    <x v="15"/>
    <n v="3"/>
    <m/>
    <m/>
    <n v="12.772604561174989"/>
    <n v="12.3600856287173"/>
    <n v="10.9739050105853"/>
  </r>
  <r>
    <x v="15"/>
    <n v="4"/>
    <m/>
    <m/>
    <n v="12.772604561174989"/>
    <n v="12.3600856287173"/>
    <n v="10.9739050105853"/>
  </r>
  <r>
    <x v="15"/>
    <n v="5"/>
    <m/>
    <m/>
    <n v="12.772604561174989"/>
    <n v="12.3600856287173"/>
    <n v="10.9739050105853"/>
  </r>
  <r>
    <x v="15"/>
    <n v="6"/>
    <m/>
    <m/>
    <n v="12.772604561174989"/>
    <n v="12.3600856287173"/>
    <n v="10.9739050105853"/>
  </r>
  <r>
    <x v="15"/>
    <n v="7"/>
    <m/>
    <m/>
    <n v="12.772604561174989"/>
    <n v="12.3600856287173"/>
    <n v="10.9739050105853"/>
  </r>
  <r>
    <x v="15"/>
    <n v="8"/>
    <m/>
    <m/>
    <n v="12.772604561174989"/>
    <n v="12.3600856287173"/>
    <n v="10.9739050105853"/>
  </r>
  <r>
    <x v="15"/>
    <n v="9"/>
    <m/>
    <m/>
    <n v="12.772604561174989"/>
    <n v="12.3600856287173"/>
    <n v="10.9739050105853"/>
  </r>
  <r>
    <x v="15"/>
    <n v="10"/>
    <m/>
    <m/>
    <n v="12.772604561174989"/>
    <n v="12.3600856287173"/>
    <n v="10.9739050105853"/>
  </r>
  <r>
    <x v="15"/>
    <n v="11"/>
    <m/>
    <m/>
    <n v="12.772604561174989"/>
    <n v="12.3600856287173"/>
    <n v="10.9739050105853"/>
  </r>
  <r>
    <x v="15"/>
    <n v="12"/>
    <m/>
    <m/>
    <n v="12.772604561174989"/>
    <n v="12.3600856287173"/>
    <n v="10.9739050105853"/>
  </r>
  <r>
    <x v="16"/>
    <n v="1"/>
    <m/>
    <m/>
    <n v="13.276189156742458"/>
    <n v="12.607287341291647"/>
    <n v="11.193383110797006"/>
  </r>
  <r>
    <x v="16"/>
    <n v="2"/>
    <m/>
    <m/>
    <n v="13.276189156742458"/>
    <n v="12.607287341291647"/>
    <n v="11.193383110797006"/>
  </r>
  <r>
    <x v="16"/>
    <n v="3"/>
    <m/>
    <m/>
    <n v="13.276189156742458"/>
    <n v="12.607287341291647"/>
    <n v="11.193383110797006"/>
  </r>
  <r>
    <x v="16"/>
    <n v="4"/>
    <m/>
    <m/>
    <n v="13.276189156742458"/>
    <n v="12.607287341291647"/>
    <n v="11.193383110797006"/>
  </r>
  <r>
    <x v="16"/>
    <n v="5"/>
    <m/>
    <m/>
    <n v="13.276189156742458"/>
    <n v="12.607287341291647"/>
    <n v="11.193383110797006"/>
  </r>
  <r>
    <x v="16"/>
    <n v="6"/>
    <m/>
    <m/>
    <n v="13.276189156742458"/>
    <n v="12.607287341291647"/>
    <n v="11.193383110797006"/>
  </r>
  <r>
    <x v="16"/>
    <n v="7"/>
    <m/>
    <m/>
    <n v="13.276189156742458"/>
    <n v="12.607287341291647"/>
    <n v="11.193383110797006"/>
  </r>
  <r>
    <x v="16"/>
    <n v="8"/>
    <m/>
    <m/>
    <n v="13.276189156742458"/>
    <n v="12.607287341291647"/>
    <n v="11.193383110797006"/>
  </r>
  <r>
    <x v="16"/>
    <n v="9"/>
    <m/>
    <m/>
    <n v="13.276189156742458"/>
    <n v="12.607287341291647"/>
    <n v="11.193383110797006"/>
  </r>
  <r>
    <x v="16"/>
    <n v="10"/>
    <m/>
    <m/>
    <n v="13.276189156742458"/>
    <n v="12.607287341291647"/>
    <n v="11.193383110797006"/>
  </r>
  <r>
    <x v="16"/>
    <n v="11"/>
    <m/>
    <m/>
    <n v="13.276189156742458"/>
    <n v="12.607287341291647"/>
    <n v="11.193383110797006"/>
  </r>
  <r>
    <x v="16"/>
    <n v="12"/>
    <m/>
    <m/>
    <n v="13.276189156742458"/>
    <n v="12.607287341291647"/>
    <n v="11.193383110797006"/>
  </r>
  <r>
    <x v="17"/>
    <n v="1"/>
    <m/>
    <m/>
    <n v="13.372037505036205"/>
    <n v="12.859433088117481"/>
    <n v="11.417250773012947"/>
  </r>
  <r>
    <x v="17"/>
    <n v="2"/>
    <m/>
    <m/>
    <n v="13.372037505036205"/>
    <n v="12.859433088117481"/>
    <n v="11.417250773012947"/>
  </r>
  <r>
    <x v="17"/>
    <n v="3"/>
    <m/>
    <m/>
    <n v="13.372037505036205"/>
    <n v="12.859433088117481"/>
    <n v="11.417250773012947"/>
  </r>
  <r>
    <x v="17"/>
    <n v="4"/>
    <m/>
    <m/>
    <n v="13.372037505036205"/>
    <n v="12.859433088117481"/>
    <n v="11.417250773012947"/>
  </r>
  <r>
    <x v="17"/>
    <n v="5"/>
    <m/>
    <m/>
    <n v="13.372037505036205"/>
    <n v="12.859433088117481"/>
    <n v="11.417250773012947"/>
  </r>
  <r>
    <x v="17"/>
    <n v="6"/>
    <m/>
    <m/>
    <n v="13.372037505036205"/>
    <n v="12.859433088117481"/>
    <n v="11.417250773012947"/>
  </r>
  <r>
    <x v="17"/>
    <n v="7"/>
    <m/>
    <m/>
    <n v="13.372037505036205"/>
    <n v="12.859433088117481"/>
    <n v="11.417250773012947"/>
  </r>
  <r>
    <x v="17"/>
    <n v="8"/>
    <m/>
    <m/>
    <n v="13.372037505036205"/>
    <n v="12.859433088117481"/>
    <n v="11.417250773012947"/>
  </r>
  <r>
    <x v="17"/>
    <n v="9"/>
    <m/>
    <m/>
    <n v="13.372037505036205"/>
    <n v="12.859433088117481"/>
    <n v="11.417250773012947"/>
  </r>
  <r>
    <x v="17"/>
    <n v="10"/>
    <m/>
    <m/>
    <n v="13.372037505036205"/>
    <n v="12.859433088117481"/>
    <n v="11.417250773012947"/>
  </r>
  <r>
    <x v="17"/>
    <n v="11"/>
    <m/>
    <m/>
    <n v="13.372037505036205"/>
    <n v="12.859433088117481"/>
    <n v="11.417250773012947"/>
  </r>
  <r>
    <x v="17"/>
    <n v="12"/>
    <m/>
    <m/>
    <n v="13.372037505036205"/>
    <n v="12.859433088117481"/>
    <n v="11.417250773012947"/>
  </r>
  <r>
    <x v="18"/>
    <n v="1"/>
    <m/>
    <m/>
    <n v="13.470782159288195"/>
    <n v="13.11662174987983"/>
    <n v="11.645595788473207"/>
  </r>
  <r>
    <x v="18"/>
    <n v="2"/>
    <m/>
    <m/>
    <n v="13.470782159288195"/>
    <n v="13.11662174987983"/>
    <n v="11.645595788473207"/>
  </r>
  <r>
    <x v="18"/>
    <n v="3"/>
    <m/>
    <m/>
    <n v="13.470782159288195"/>
    <n v="13.11662174987983"/>
    <n v="11.645595788473207"/>
  </r>
  <r>
    <x v="18"/>
    <n v="4"/>
    <m/>
    <m/>
    <n v="13.470782159288195"/>
    <n v="13.11662174987983"/>
    <n v="11.645595788473207"/>
  </r>
  <r>
    <x v="18"/>
    <n v="5"/>
    <m/>
    <m/>
    <n v="13.470782159288195"/>
    <n v="13.11662174987983"/>
    <n v="11.645595788473207"/>
  </r>
  <r>
    <x v="18"/>
    <n v="6"/>
    <m/>
    <m/>
    <n v="13.470782159288195"/>
    <n v="13.11662174987983"/>
    <n v="11.645595788473207"/>
  </r>
  <r>
    <x v="18"/>
    <n v="7"/>
    <m/>
    <m/>
    <n v="13.470782159288195"/>
    <n v="13.11662174987983"/>
    <n v="11.645595788473207"/>
  </r>
  <r>
    <x v="18"/>
    <n v="8"/>
    <m/>
    <m/>
    <n v="13.470782159288195"/>
    <n v="13.11662174987983"/>
    <n v="11.645595788473207"/>
  </r>
  <r>
    <x v="18"/>
    <n v="9"/>
    <m/>
    <m/>
    <n v="13.470782159288195"/>
    <n v="13.11662174987983"/>
    <n v="11.645595788473207"/>
  </r>
  <r>
    <x v="18"/>
    <n v="10"/>
    <m/>
    <m/>
    <n v="13.470782159288195"/>
    <n v="13.11662174987983"/>
    <n v="11.645595788473207"/>
  </r>
  <r>
    <x v="18"/>
    <n v="11"/>
    <m/>
    <m/>
    <n v="13.470782159288195"/>
    <n v="13.11662174987983"/>
    <n v="11.645595788473207"/>
  </r>
  <r>
    <x v="18"/>
    <n v="12"/>
    <m/>
    <m/>
    <n v="13.470782159288195"/>
    <n v="13.11662174987983"/>
    <n v="11.645595788473207"/>
  </r>
  <r>
    <x v="19"/>
    <n v="1"/>
    <m/>
    <m/>
    <n v="13.424370704735015"/>
    <n v="13.378954184877426"/>
    <n v="11.87850770424267"/>
  </r>
  <r>
    <x v="19"/>
    <n v="2"/>
    <m/>
    <m/>
    <n v="13.424370704735015"/>
    <n v="13.378954184877426"/>
    <n v="11.87850770424267"/>
  </r>
  <r>
    <x v="19"/>
    <n v="3"/>
    <m/>
    <m/>
    <n v="13.424370704735015"/>
    <n v="13.378954184877426"/>
    <n v="11.87850770424267"/>
  </r>
  <r>
    <x v="19"/>
    <n v="4"/>
    <m/>
    <m/>
    <n v="13.424370704735015"/>
    <n v="13.378954184877426"/>
    <n v="11.87850770424267"/>
  </r>
  <r>
    <x v="19"/>
    <n v="5"/>
    <m/>
    <m/>
    <n v="13.424370704735015"/>
    <n v="13.378954184877426"/>
    <n v="11.87850770424267"/>
  </r>
  <r>
    <x v="19"/>
    <n v="6"/>
    <m/>
    <m/>
    <n v="13.424370704735015"/>
    <n v="13.378954184877426"/>
    <n v="11.87850770424267"/>
  </r>
  <r>
    <x v="19"/>
    <n v="7"/>
    <m/>
    <m/>
    <n v="13.424370704735015"/>
    <n v="13.378954184877426"/>
    <n v="11.87850770424267"/>
  </r>
  <r>
    <x v="19"/>
    <n v="8"/>
    <m/>
    <m/>
    <n v="13.424370704735015"/>
    <n v="13.378954184877426"/>
    <n v="11.87850770424267"/>
  </r>
  <r>
    <x v="19"/>
    <n v="9"/>
    <m/>
    <m/>
    <n v="13.424370704735015"/>
    <n v="13.378954184877426"/>
    <n v="11.87850770424267"/>
  </r>
  <r>
    <x v="19"/>
    <n v="10"/>
    <m/>
    <m/>
    <n v="13.424370704735015"/>
    <n v="13.378954184877426"/>
    <n v="11.87850770424267"/>
  </r>
  <r>
    <x v="19"/>
    <n v="11"/>
    <m/>
    <m/>
    <n v="13.424370704735015"/>
    <n v="13.378954184877426"/>
    <n v="11.87850770424267"/>
  </r>
  <r>
    <x v="19"/>
    <n v="12"/>
    <m/>
    <m/>
    <n v="13.424370704735015"/>
    <n v="13.378954184877426"/>
    <n v="11.87850770424267"/>
  </r>
  <r>
    <x v="20"/>
    <n v="1"/>
    <m/>
    <m/>
    <n v="13.75997997235339"/>
    <n v="13.646533268574974"/>
    <n v="12.116077858327523"/>
  </r>
  <r>
    <x v="20"/>
    <n v="2"/>
    <m/>
    <m/>
    <n v="13.75997997235339"/>
    <n v="13.646533268574974"/>
    <n v="12.116077858327523"/>
  </r>
  <r>
    <x v="20"/>
    <n v="3"/>
    <m/>
    <m/>
    <n v="13.75997997235339"/>
    <n v="13.646533268574974"/>
    <n v="12.116077858327523"/>
  </r>
  <r>
    <x v="20"/>
    <n v="4"/>
    <m/>
    <m/>
    <n v="13.75997997235339"/>
    <n v="13.646533268574974"/>
    <n v="12.116077858327523"/>
  </r>
  <r>
    <x v="20"/>
    <n v="5"/>
    <m/>
    <m/>
    <n v="13.75997997235339"/>
    <n v="13.646533268574974"/>
    <n v="12.116077858327523"/>
  </r>
  <r>
    <x v="20"/>
    <n v="6"/>
    <m/>
    <m/>
    <n v="13.75997997235339"/>
    <n v="13.646533268574974"/>
    <n v="12.116077858327523"/>
  </r>
  <r>
    <x v="20"/>
    <n v="7"/>
    <m/>
    <m/>
    <n v="13.75997997235339"/>
    <n v="13.646533268574974"/>
    <n v="12.116077858327523"/>
  </r>
  <r>
    <x v="20"/>
    <n v="8"/>
    <m/>
    <m/>
    <n v="13.75997997235339"/>
    <n v="13.646533268574974"/>
    <n v="12.116077858327523"/>
  </r>
  <r>
    <x v="20"/>
    <n v="9"/>
    <m/>
    <m/>
    <n v="13.75997997235339"/>
    <n v="13.646533268574974"/>
    <n v="12.116077858327523"/>
  </r>
  <r>
    <x v="20"/>
    <n v="10"/>
    <m/>
    <m/>
    <n v="13.75997997235339"/>
    <n v="13.646533268574974"/>
    <n v="12.116077858327523"/>
  </r>
  <r>
    <x v="20"/>
    <n v="11"/>
    <m/>
    <m/>
    <n v="13.75997997235339"/>
    <n v="13.646533268574974"/>
    <n v="12.116077858327523"/>
  </r>
  <r>
    <x v="20"/>
    <n v="12"/>
    <m/>
    <m/>
    <n v="13.75997997235339"/>
    <n v="13.646533268574974"/>
    <n v="12.116077858327523"/>
  </r>
  <r>
    <x v="21"/>
    <n v="1"/>
    <m/>
    <m/>
    <n v="14.103979471662223"/>
    <n v="13.919463933946473"/>
    <n v="12.358399415494075"/>
  </r>
  <r>
    <x v="21"/>
    <n v="2"/>
    <m/>
    <m/>
    <n v="14.103979471662223"/>
    <n v="13.919463933946473"/>
    <n v="12.358399415494075"/>
  </r>
  <r>
    <x v="21"/>
    <n v="3"/>
    <m/>
    <m/>
    <n v="14.103979471662223"/>
    <n v="13.919463933946473"/>
    <n v="12.358399415494075"/>
  </r>
  <r>
    <x v="21"/>
    <n v="4"/>
    <m/>
    <m/>
    <n v="14.103979471662223"/>
    <n v="13.919463933946473"/>
    <n v="12.358399415494075"/>
  </r>
  <r>
    <x v="21"/>
    <n v="5"/>
    <m/>
    <m/>
    <n v="14.103979471662223"/>
    <n v="13.919463933946473"/>
    <n v="12.358399415494075"/>
  </r>
  <r>
    <x v="21"/>
    <n v="6"/>
    <m/>
    <m/>
    <n v="14.103979471662223"/>
    <n v="13.919463933946473"/>
    <n v="12.358399415494075"/>
  </r>
  <r>
    <x v="21"/>
    <n v="7"/>
    <m/>
    <m/>
    <n v="14.103979471662223"/>
    <n v="13.919463933946473"/>
    <n v="12.358399415494075"/>
  </r>
  <r>
    <x v="21"/>
    <n v="8"/>
    <m/>
    <m/>
    <n v="14.103979471662223"/>
    <n v="13.919463933946473"/>
    <n v="12.358399415494075"/>
  </r>
  <r>
    <x v="21"/>
    <n v="9"/>
    <m/>
    <m/>
    <n v="14.103979471662223"/>
    <n v="13.919463933946473"/>
    <n v="12.358399415494075"/>
  </r>
  <r>
    <x v="21"/>
    <n v="10"/>
    <m/>
    <m/>
    <n v="14.103979471662223"/>
    <n v="13.919463933946473"/>
    <n v="12.358399415494075"/>
  </r>
  <r>
    <x v="21"/>
    <n v="11"/>
    <m/>
    <m/>
    <n v="14.103979471662223"/>
    <n v="13.919463933946473"/>
    <n v="12.358399415494075"/>
  </r>
  <r>
    <x v="21"/>
    <n v="12"/>
    <m/>
    <m/>
    <n v="14.103979471662223"/>
    <n v="13.919463933946473"/>
    <n v="12.358399415494075"/>
  </r>
  <r>
    <x v="22"/>
    <n v="1"/>
    <m/>
    <m/>
    <n v="14.456578958453777"/>
    <n v="14.197853212625402"/>
    <n v="12.605567403803956"/>
  </r>
  <r>
    <x v="22"/>
    <n v="2"/>
    <m/>
    <m/>
    <n v="14.456578958453777"/>
    <n v="14.197853212625402"/>
    <n v="12.605567403803956"/>
  </r>
  <r>
    <x v="22"/>
    <n v="3"/>
    <m/>
    <m/>
    <n v="14.456578958453777"/>
    <n v="14.197853212625402"/>
    <n v="12.605567403803956"/>
  </r>
  <r>
    <x v="22"/>
    <n v="4"/>
    <m/>
    <m/>
    <n v="14.456578958453777"/>
    <n v="14.197853212625402"/>
    <n v="12.605567403803956"/>
  </r>
  <r>
    <x v="22"/>
    <n v="5"/>
    <m/>
    <m/>
    <n v="14.456578958453777"/>
    <n v="14.197853212625402"/>
    <n v="12.605567403803956"/>
  </r>
  <r>
    <x v="22"/>
    <n v="6"/>
    <m/>
    <m/>
    <n v="14.456578958453777"/>
    <n v="14.197853212625402"/>
    <n v="12.605567403803956"/>
  </r>
  <r>
    <x v="22"/>
    <n v="7"/>
    <m/>
    <m/>
    <n v="14.456578958453777"/>
    <n v="14.197853212625402"/>
    <n v="12.605567403803956"/>
  </r>
  <r>
    <x v="22"/>
    <n v="8"/>
    <m/>
    <m/>
    <n v="14.456578958453777"/>
    <n v="14.197853212625402"/>
    <n v="12.605567403803956"/>
  </r>
  <r>
    <x v="22"/>
    <n v="9"/>
    <m/>
    <m/>
    <n v="14.456578958453777"/>
    <n v="14.197853212625402"/>
    <n v="12.605567403803956"/>
  </r>
  <r>
    <x v="22"/>
    <n v="10"/>
    <m/>
    <m/>
    <n v="14.456578958453777"/>
    <n v="14.197853212625402"/>
    <n v="12.605567403803956"/>
  </r>
  <r>
    <x v="22"/>
    <n v="11"/>
    <m/>
    <m/>
    <n v="14.456578958453777"/>
    <n v="14.197853212625402"/>
    <n v="12.605567403803956"/>
  </r>
  <r>
    <x v="22"/>
    <n v="12"/>
    <m/>
    <m/>
    <n v="14.456578958453777"/>
    <n v="14.197853212625402"/>
    <n v="12.605567403803956"/>
  </r>
  <r>
    <x v="23"/>
    <n v="1"/>
    <m/>
    <m/>
    <n v="14.817993432415122"/>
    <n v="14.48181027687791"/>
    <n v="12.857678751880036"/>
  </r>
  <r>
    <x v="23"/>
    <n v="2"/>
    <m/>
    <m/>
    <n v="14.817993432415122"/>
    <n v="14.48181027687791"/>
    <n v="12.857678751880036"/>
  </r>
  <r>
    <x v="23"/>
    <n v="3"/>
    <m/>
    <m/>
    <n v="14.817993432415122"/>
    <n v="14.48181027687791"/>
    <n v="12.857678751880036"/>
  </r>
  <r>
    <x v="23"/>
    <n v="4"/>
    <m/>
    <m/>
    <n v="14.817993432415122"/>
    <n v="14.48181027687791"/>
    <n v="12.857678751880036"/>
  </r>
  <r>
    <x v="23"/>
    <n v="5"/>
    <m/>
    <m/>
    <n v="14.817993432415122"/>
    <n v="14.48181027687791"/>
    <n v="12.857678751880036"/>
  </r>
  <r>
    <x v="23"/>
    <n v="6"/>
    <m/>
    <m/>
    <n v="14.817993432415122"/>
    <n v="14.48181027687791"/>
    <n v="12.857678751880036"/>
  </r>
  <r>
    <x v="23"/>
    <n v="7"/>
    <m/>
    <m/>
    <n v="14.817993432415122"/>
    <n v="14.48181027687791"/>
    <n v="12.857678751880036"/>
  </r>
  <r>
    <x v="23"/>
    <n v="8"/>
    <m/>
    <m/>
    <n v="14.817993432415122"/>
    <n v="14.48181027687791"/>
    <n v="12.857678751880036"/>
  </r>
  <r>
    <x v="23"/>
    <n v="9"/>
    <m/>
    <m/>
    <n v="14.817993432415122"/>
    <n v="14.48181027687791"/>
    <n v="12.857678751880036"/>
  </r>
  <r>
    <x v="23"/>
    <n v="10"/>
    <m/>
    <m/>
    <n v="14.817993432415122"/>
    <n v="14.48181027687791"/>
    <n v="12.857678751880036"/>
  </r>
  <r>
    <x v="23"/>
    <n v="11"/>
    <m/>
    <m/>
    <n v="14.817993432415122"/>
    <n v="14.48181027687791"/>
    <n v="12.857678751880036"/>
  </r>
  <r>
    <x v="23"/>
    <n v="12"/>
    <m/>
    <m/>
    <n v="14.817993432415122"/>
    <n v="14.48181027687791"/>
    <n v="12.857678751880036"/>
  </r>
  <r>
    <x v="24"/>
    <n v="1"/>
    <m/>
    <m/>
    <n v="15.188443268225498"/>
    <n v="14.771446482415469"/>
    <n v="13.114832326917636"/>
  </r>
  <r>
    <x v="24"/>
    <n v="2"/>
    <m/>
    <m/>
    <n v="15.188443268225498"/>
    <n v="14.771446482415469"/>
    <n v="13.114832326917636"/>
  </r>
  <r>
    <x v="24"/>
    <n v="3"/>
    <m/>
    <m/>
    <n v="15.188443268225498"/>
    <n v="14.771446482415469"/>
    <n v="13.114832326917636"/>
  </r>
  <r>
    <x v="24"/>
    <n v="4"/>
    <m/>
    <m/>
    <n v="15.188443268225498"/>
    <n v="14.771446482415469"/>
    <n v="13.114832326917636"/>
  </r>
  <r>
    <x v="24"/>
    <n v="5"/>
    <m/>
    <m/>
    <n v="15.188443268225498"/>
    <n v="14.771446482415469"/>
    <n v="13.114832326917636"/>
  </r>
  <r>
    <x v="24"/>
    <n v="6"/>
    <m/>
    <m/>
    <n v="15.188443268225498"/>
    <n v="14.771446482415469"/>
    <n v="13.114832326917636"/>
  </r>
  <r>
    <x v="24"/>
    <n v="7"/>
    <m/>
    <m/>
    <n v="15.188443268225498"/>
    <n v="14.771446482415469"/>
    <n v="13.114832326917636"/>
  </r>
  <r>
    <x v="24"/>
    <n v="8"/>
    <m/>
    <m/>
    <n v="15.188443268225498"/>
    <n v="14.771446482415469"/>
    <n v="13.114832326917636"/>
  </r>
  <r>
    <x v="24"/>
    <n v="9"/>
    <m/>
    <m/>
    <n v="15.188443268225498"/>
    <n v="14.771446482415469"/>
    <n v="13.114832326917636"/>
  </r>
  <r>
    <x v="24"/>
    <n v="10"/>
    <m/>
    <m/>
    <n v="15.188443268225498"/>
    <n v="14.771446482415469"/>
    <n v="13.114832326917636"/>
  </r>
  <r>
    <x v="24"/>
    <n v="11"/>
    <m/>
    <m/>
    <n v="15.188443268225498"/>
    <n v="14.771446482415469"/>
    <n v="13.114832326917636"/>
  </r>
  <r>
    <x v="24"/>
    <n v="12"/>
    <m/>
    <m/>
    <n v="15.188443268225498"/>
    <n v="14.771446482415469"/>
    <n v="13.114832326917636"/>
  </r>
  <r>
    <x v="25"/>
    <n v="1"/>
    <m/>
    <m/>
    <n v="15.568154349931135"/>
    <n v="15.066875412063778"/>
    <n v="13.377128973455989"/>
  </r>
  <r>
    <x v="25"/>
    <n v="2"/>
    <m/>
    <m/>
    <n v="15.568154349931135"/>
    <n v="15.066875412063778"/>
    <n v="13.377128973455989"/>
  </r>
  <r>
    <x v="25"/>
    <n v="3"/>
    <m/>
    <m/>
    <n v="15.568154349931135"/>
    <n v="15.066875412063778"/>
    <n v="13.377128973455989"/>
  </r>
  <r>
    <x v="25"/>
    <n v="4"/>
    <m/>
    <m/>
    <n v="15.568154349931135"/>
    <n v="15.066875412063778"/>
    <n v="13.377128973455989"/>
  </r>
  <r>
    <x v="25"/>
    <n v="5"/>
    <m/>
    <m/>
    <n v="15.568154349931135"/>
    <n v="15.066875412063778"/>
    <n v="13.377128973455989"/>
  </r>
  <r>
    <x v="25"/>
    <n v="6"/>
    <m/>
    <m/>
    <n v="15.568154349931135"/>
    <n v="15.066875412063778"/>
    <n v="13.377128973455989"/>
  </r>
  <r>
    <x v="25"/>
    <n v="7"/>
    <m/>
    <m/>
    <n v="15.568154349931135"/>
    <n v="15.066875412063778"/>
    <n v="13.377128973455989"/>
  </r>
  <r>
    <x v="25"/>
    <n v="8"/>
    <m/>
    <m/>
    <n v="15.568154349931135"/>
    <n v="15.066875412063778"/>
    <n v="13.377128973455989"/>
  </r>
  <r>
    <x v="25"/>
    <n v="9"/>
    <m/>
    <m/>
    <n v="15.568154349931135"/>
    <n v="15.066875412063778"/>
    <n v="13.377128973455989"/>
  </r>
  <r>
    <x v="25"/>
    <n v="10"/>
    <m/>
    <m/>
    <n v="15.568154349931135"/>
    <n v="15.066875412063778"/>
    <n v="13.377128973455989"/>
  </r>
  <r>
    <x v="25"/>
    <n v="11"/>
    <m/>
    <m/>
    <n v="15.568154349931135"/>
    <n v="15.066875412063778"/>
    <n v="13.377128973455989"/>
  </r>
  <r>
    <x v="25"/>
    <n v="12"/>
    <m/>
    <m/>
    <n v="15.568154349931135"/>
    <n v="15.066875412063778"/>
    <n v="13.377128973455989"/>
  </r>
  <r>
    <x v="26"/>
    <n v="1"/>
    <m/>
    <m/>
    <n v="15.957358208679413"/>
    <n v="15.368212920305053"/>
    <n v="13.644671552925109"/>
  </r>
  <r>
    <x v="26"/>
    <n v="2"/>
    <m/>
    <m/>
    <n v="15.957358208679413"/>
    <n v="15.368212920305053"/>
    <n v="13.644671552925109"/>
  </r>
  <r>
    <x v="26"/>
    <n v="3"/>
    <m/>
    <m/>
    <n v="15.957358208679413"/>
    <n v="15.368212920305053"/>
    <n v="13.644671552925109"/>
  </r>
  <r>
    <x v="26"/>
    <n v="4"/>
    <m/>
    <m/>
    <n v="15.957358208679413"/>
    <n v="15.368212920305053"/>
    <n v="13.644671552925109"/>
  </r>
  <r>
    <x v="26"/>
    <n v="5"/>
    <m/>
    <m/>
    <n v="15.957358208679413"/>
    <n v="15.368212920305053"/>
    <n v="13.644671552925109"/>
  </r>
  <r>
    <x v="26"/>
    <n v="6"/>
    <m/>
    <m/>
    <n v="15.957358208679413"/>
    <n v="15.368212920305053"/>
    <n v="13.644671552925109"/>
  </r>
  <r>
    <x v="26"/>
    <n v="7"/>
    <m/>
    <m/>
    <n v="15.957358208679413"/>
    <n v="15.368212920305053"/>
    <n v="13.644671552925109"/>
  </r>
  <r>
    <x v="26"/>
    <n v="8"/>
    <m/>
    <m/>
    <n v="15.957358208679413"/>
    <n v="15.368212920305053"/>
    <n v="13.644671552925109"/>
  </r>
  <r>
    <x v="26"/>
    <n v="9"/>
    <m/>
    <m/>
    <n v="15.957358208679413"/>
    <n v="15.368212920305053"/>
    <n v="13.644671552925109"/>
  </r>
  <r>
    <x v="26"/>
    <n v="10"/>
    <m/>
    <m/>
    <n v="15.957358208679413"/>
    <n v="15.368212920305053"/>
    <n v="13.644671552925109"/>
  </r>
  <r>
    <x v="26"/>
    <n v="11"/>
    <m/>
    <m/>
    <n v="15.957358208679413"/>
    <n v="15.368212920305053"/>
    <n v="13.644671552925109"/>
  </r>
  <r>
    <x v="26"/>
    <n v="12"/>
    <m/>
    <m/>
    <n v="15.957358208679413"/>
    <n v="15.368212920305053"/>
    <n v="13.644671552925109"/>
  </r>
  <r>
    <x v="27"/>
    <n v="1"/>
    <m/>
    <m/>
    <n v="16.356292163896395"/>
    <n v="15.675577178711155"/>
    <n v="13.917564983983612"/>
  </r>
  <r>
    <x v="27"/>
    <n v="2"/>
    <m/>
    <m/>
    <n v="16.356292163896395"/>
    <n v="15.675577178711155"/>
    <n v="13.917564983983612"/>
  </r>
  <r>
    <x v="27"/>
    <n v="3"/>
    <m/>
    <m/>
    <n v="16.356292163896395"/>
    <n v="15.675577178711155"/>
    <n v="13.917564983983612"/>
  </r>
  <r>
    <x v="27"/>
    <n v="4"/>
    <m/>
    <m/>
    <n v="16.356292163896395"/>
    <n v="15.675577178711155"/>
    <n v="13.917564983983612"/>
  </r>
  <r>
    <x v="27"/>
    <n v="5"/>
    <m/>
    <m/>
    <n v="16.356292163896395"/>
    <n v="15.675577178711155"/>
    <n v="13.917564983983612"/>
  </r>
  <r>
    <x v="27"/>
    <n v="6"/>
    <m/>
    <m/>
    <n v="16.356292163896395"/>
    <n v="15.675577178711155"/>
    <n v="13.917564983983612"/>
  </r>
  <r>
    <x v="27"/>
    <n v="7"/>
    <m/>
    <m/>
    <n v="16.356292163896395"/>
    <n v="15.675577178711155"/>
    <n v="13.917564983983612"/>
  </r>
  <r>
    <x v="27"/>
    <n v="8"/>
    <m/>
    <m/>
    <n v="16.356292163896395"/>
    <n v="15.675577178711155"/>
    <n v="13.917564983983612"/>
  </r>
  <r>
    <x v="27"/>
    <n v="9"/>
    <m/>
    <m/>
    <n v="16.356292163896395"/>
    <n v="15.675577178711155"/>
    <n v="13.917564983983612"/>
  </r>
  <r>
    <x v="27"/>
    <n v="10"/>
    <m/>
    <m/>
    <n v="16.356292163896395"/>
    <n v="15.675577178711155"/>
    <n v="13.917564983983612"/>
  </r>
  <r>
    <x v="27"/>
    <n v="11"/>
    <m/>
    <m/>
    <n v="16.356292163896395"/>
    <n v="15.675577178711155"/>
    <n v="13.917564983983612"/>
  </r>
  <r>
    <x v="27"/>
    <n v="12"/>
    <m/>
    <m/>
    <n v="16.356292163896395"/>
    <n v="15.675577178711155"/>
    <n v="13.917564983983612"/>
  </r>
  <r>
    <x v="28"/>
    <n v="1"/>
    <m/>
    <m/>
    <n v="16.765199467993806"/>
    <n v="15.989088722285379"/>
    <n v="14.195916283663284"/>
  </r>
  <r>
    <x v="28"/>
    <n v="2"/>
    <m/>
    <m/>
    <n v="16.765199467993806"/>
    <n v="15.989088722285379"/>
    <n v="14.195916283663284"/>
  </r>
  <r>
    <x v="28"/>
    <n v="3"/>
    <m/>
    <m/>
    <n v="16.765199467993806"/>
    <n v="15.989088722285379"/>
    <n v="14.195916283663284"/>
  </r>
  <r>
    <x v="28"/>
    <n v="4"/>
    <m/>
    <m/>
    <n v="16.765199467993806"/>
    <n v="15.989088722285379"/>
    <n v="14.195916283663284"/>
  </r>
  <r>
    <x v="28"/>
    <n v="5"/>
    <m/>
    <m/>
    <n v="16.765199467993806"/>
    <n v="15.989088722285379"/>
    <n v="14.195916283663284"/>
  </r>
  <r>
    <x v="28"/>
    <n v="6"/>
    <m/>
    <m/>
    <n v="16.765199467993806"/>
    <n v="15.989088722285379"/>
    <n v="14.195916283663284"/>
  </r>
  <r>
    <x v="28"/>
    <n v="7"/>
    <m/>
    <m/>
    <n v="16.765199467993806"/>
    <n v="15.989088722285379"/>
    <n v="14.195916283663284"/>
  </r>
  <r>
    <x v="28"/>
    <n v="8"/>
    <m/>
    <m/>
    <n v="16.765199467993806"/>
    <n v="15.989088722285379"/>
    <n v="14.195916283663284"/>
  </r>
  <r>
    <x v="28"/>
    <n v="9"/>
    <m/>
    <m/>
    <n v="16.765199467993806"/>
    <n v="15.989088722285379"/>
    <n v="14.195916283663284"/>
  </r>
  <r>
    <x v="28"/>
    <n v="10"/>
    <m/>
    <m/>
    <n v="16.765199467993806"/>
    <n v="15.989088722285379"/>
    <n v="14.195916283663284"/>
  </r>
  <r>
    <x v="28"/>
    <n v="11"/>
    <m/>
    <m/>
    <n v="16.765199467993806"/>
    <n v="15.989088722285379"/>
    <n v="14.195916283663284"/>
  </r>
  <r>
    <x v="28"/>
    <n v="12"/>
    <m/>
    <m/>
    <n v="16.765199467993806"/>
    <n v="15.989088722285379"/>
    <n v="14.195916283663284"/>
  </r>
  <r>
    <x v="29"/>
    <n v="1"/>
    <m/>
    <m/>
    <n v="17.184329454693646"/>
    <n v="16.308870496731085"/>
    <n v="14.47983460933655"/>
  </r>
  <r>
    <x v="29"/>
    <n v="2"/>
    <m/>
    <m/>
    <n v="17.184329454693646"/>
    <n v="16.308870496731085"/>
    <n v="14.47983460933655"/>
  </r>
  <r>
    <x v="29"/>
    <n v="3"/>
    <m/>
    <m/>
    <n v="17.184329454693646"/>
    <n v="16.308870496731085"/>
    <n v="14.47983460933655"/>
  </r>
  <r>
    <x v="29"/>
    <n v="4"/>
    <m/>
    <m/>
    <n v="17.184329454693646"/>
    <n v="16.308870496731085"/>
    <n v="14.47983460933655"/>
  </r>
  <r>
    <x v="29"/>
    <n v="5"/>
    <m/>
    <m/>
    <n v="17.184329454693646"/>
    <n v="16.308870496731085"/>
    <n v="14.47983460933655"/>
  </r>
  <r>
    <x v="29"/>
    <n v="6"/>
    <m/>
    <m/>
    <n v="17.184329454693646"/>
    <n v="16.308870496731085"/>
    <n v="14.47983460933655"/>
  </r>
  <r>
    <x v="29"/>
    <n v="7"/>
    <m/>
    <m/>
    <n v="17.184329454693646"/>
    <n v="16.308870496731085"/>
    <n v="14.47983460933655"/>
  </r>
  <r>
    <x v="29"/>
    <n v="8"/>
    <m/>
    <m/>
    <n v="17.184329454693646"/>
    <n v="16.308870496731085"/>
    <n v="14.47983460933655"/>
  </r>
  <r>
    <x v="29"/>
    <n v="9"/>
    <m/>
    <m/>
    <n v="17.184329454693646"/>
    <n v="16.308870496731085"/>
    <n v="14.47983460933655"/>
  </r>
  <r>
    <x v="29"/>
    <n v="10"/>
    <m/>
    <m/>
    <n v="17.184329454693646"/>
    <n v="16.308870496731085"/>
    <n v="14.47983460933655"/>
  </r>
  <r>
    <x v="29"/>
    <n v="11"/>
    <m/>
    <m/>
    <n v="17.184329454693646"/>
    <n v="16.308870496731085"/>
    <n v="14.47983460933655"/>
  </r>
  <r>
    <x v="29"/>
    <n v="12"/>
    <m/>
    <m/>
    <n v="17.184329454693646"/>
    <n v="16.308870496731085"/>
    <n v="14.47983460933655"/>
  </r>
  <r>
    <x v="30"/>
    <n v="1"/>
    <m/>
    <m/>
    <n v="17.61393769106099"/>
    <n v="16.635047906665708"/>
    <n v="14.76943130152328"/>
  </r>
  <r>
    <x v="30"/>
    <n v="2"/>
    <m/>
    <m/>
    <n v="17.61393769106099"/>
    <n v="16.635047906665708"/>
    <n v="14.76943130152328"/>
  </r>
  <r>
    <x v="30"/>
    <n v="3"/>
    <m/>
    <m/>
    <n v="17.61393769106099"/>
    <n v="16.635047906665708"/>
    <n v="14.76943130152328"/>
  </r>
  <r>
    <x v="30"/>
    <n v="4"/>
    <m/>
    <m/>
    <n v="17.61393769106099"/>
    <n v="16.635047906665708"/>
    <n v="14.76943130152328"/>
  </r>
  <r>
    <x v="30"/>
    <n v="5"/>
    <m/>
    <m/>
    <n v="17.61393769106099"/>
    <n v="16.635047906665708"/>
    <n v="14.76943130152328"/>
  </r>
  <r>
    <x v="30"/>
    <n v="6"/>
    <m/>
    <m/>
    <n v="17.61393769106099"/>
    <n v="16.635047906665708"/>
    <n v="14.76943130152328"/>
  </r>
  <r>
    <x v="30"/>
    <n v="7"/>
    <m/>
    <m/>
    <n v="17.61393769106099"/>
    <n v="16.635047906665708"/>
    <n v="14.76943130152328"/>
  </r>
  <r>
    <x v="30"/>
    <n v="8"/>
    <m/>
    <m/>
    <n v="17.61393769106099"/>
    <n v="16.635047906665708"/>
    <n v="14.76943130152328"/>
  </r>
  <r>
    <x v="30"/>
    <n v="9"/>
    <m/>
    <m/>
    <n v="17.61393769106099"/>
    <n v="16.635047906665708"/>
    <n v="14.76943130152328"/>
  </r>
  <r>
    <x v="30"/>
    <n v="10"/>
    <m/>
    <m/>
    <n v="17.61393769106099"/>
    <n v="16.635047906665708"/>
    <n v="14.76943130152328"/>
  </r>
  <r>
    <x v="30"/>
    <n v="11"/>
    <m/>
    <m/>
    <n v="17.61393769106099"/>
    <n v="16.635047906665708"/>
    <n v="14.76943130152328"/>
  </r>
  <r>
    <x v="30"/>
    <n v="12"/>
    <m/>
    <m/>
    <n v="17.61393769106099"/>
    <n v="16.635047906665708"/>
    <n v="14.76943130152328"/>
  </r>
  <r>
    <x v="31"/>
    <n v="1"/>
    <m/>
    <m/>
    <n v="18.054286133337509"/>
    <n v="16.967748864799024"/>
    <n v="15.064819927553746"/>
  </r>
  <r>
    <x v="31"/>
    <n v="2"/>
    <m/>
    <m/>
    <n v="18.054286133337509"/>
    <n v="16.967748864799024"/>
    <n v="15.064819927553746"/>
  </r>
  <r>
    <x v="31"/>
    <n v="3"/>
    <m/>
    <m/>
    <n v="18.054286133337509"/>
    <n v="16.967748864799024"/>
    <n v="15.064819927553746"/>
  </r>
  <r>
    <x v="31"/>
    <n v="4"/>
    <m/>
    <m/>
    <n v="18.054286133337509"/>
    <n v="16.967748864799024"/>
    <n v="15.064819927553746"/>
  </r>
  <r>
    <x v="31"/>
    <n v="5"/>
    <m/>
    <m/>
    <n v="18.054286133337509"/>
    <n v="16.967748864799024"/>
    <n v="15.064819927553746"/>
  </r>
  <r>
    <x v="31"/>
    <n v="6"/>
    <m/>
    <m/>
    <n v="18.054286133337509"/>
    <n v="16.967748864799024"/>
    <n v="15.064819927553746"/>
  </r>
  <r>
    <x v="31"/>
    <n v="7"/>
    <m/>
    <m/>
    <n v="18.054286133337509"/>
    <n v="16.967748864799024"/>
    <n v="15.064819927553746"/>
  </r>
  <r>
    <x v="31"/>
    <n v="8"/>
    <m/>
    <m/>
    <n v="18.054286133337509"/>
    <n v="16.967748864799024"/>
    <n v="15.064819927553746"/>
  </r>
  <r>
    <x v="31"/>
    <n v="9"/>
    <m/>
    <m/>
    <n v="18.054286133337509"/>
    <n v="16.967748864799024"/>
    <n v="15.064819927553746"/>
  </r>
  <r>
    <x v="31"/>
    <n v="10"/>
    <m/>
    <m/>
    <n v="18.054286133337509"/>
    <n v="16.967748864799024"/>
    <n v="15.064819927553746"/>
  </r>
  <r>
    <x v="31"/>
    <n v="11"/>
    <m/>
    <m/>
    <n v="18.054286133337509"/>
    <n v="16.967748864799024"/>
    <n v="15.064819927553746"/>
  </r>
  <r>
    <x v="31"/>
    <n v="12"/>
    <m/>
    <m/>
    <n v="18.054286133337509"/>
    <n v="16.967748864799024"/>
    <n v="15.064819927553746"/>
  </r>
  <r>
    <x v="32"/>
    <n v="1"/>
    <m/>
    <m/>
    <n v="18.505643286670946"/>
    <n v="17.307103842095003"/>
    <n v="15.366116326104821"/>
  </r>
  <r>
    <x v="32"/>
    <n v="2"/>
    <m/>
    <m/>
    <n v="18.505643286670946"/>
    <n v="17.307103842095003"/>
    <n v="15.366116326104821"/>
  </r>
  <r>
    <x v="32"/>
    <n v="3"/>
    <m/>
    <m/>
    <n v="18.505643286670946"/>
    <n v="17.307103842095003"/>
    <n v="15.366116326104821"/>
  </r>
  <r>
    <x v="32"/>
    <n v="4"/>
    <m/>
    <m/>
    <n v="18.505643286670946"/>
    <n v="17.307103842095003"/>
    <n v="15.366116326104821"/>
  </r>
  <r>
    <x v="32"/>
    <n v="5"/>
    <m/>
    <m/>
    <n v="18.505643286670946"/>
    <n v="17.307103842095003"/>
    <n v="15.366116326104821"/>
  </r>
  <r>
    <x v="32"/>
    <n v="6"/>
    <m/>
    <m/>
    <n v="18.505643286670946"/>
    <n v="17.307103842095003"/>
    <n v="15.366116326104821"/>
  </r>
  <r>
    <x v="32"/>
    <n v="7"/>
    <m/>
    <m/>
    <n v="18.505643286670946"/>
    <n v="17.307103842095003"/>
    <n v="15.366116326104821"/>
  </r>
  <r>
    <x v="32"/>
    <n v="8"/>
    <m/>
    <m/>
    <n v="18.505643286670946"/>
    <n v="17.307103842095003"/>
    <n v="15.366116326104821"/>
  </r>
  <r>
    <x v="32"/>
    <n v="9"/>
    <m/>
    <m/>
    <n v="18.505643286670946"/>
    <n v="17.307103842095003"/>
    <n v="15.366116326104821"/>
  </r>
  <r>
    <x v="32"/>
    <n v="10"/>
    <m/>
    <m/>
    <n v="18.505643286670946"/>
    <n v="17.307103842095003"/>
    <n v="15.366116326104821"/>
  </r>
  <r>
    <x v="32"/>
    <n v="11"/>
    <m/>
    <m/>
    <n v="18.505643286670946"/>
    <n v="17.307103842095003"/>
    <n v="15.366116326104821"/>
  </r>
  <r>
    <x v="32"/>
    <n v="12"/>
    <m/>
    <m/>
    <n v="18.505643286670946"/>
    <n v="17.307103842095003"/>
    <n v="15.366116326104821"/>
  </r>
  <r>
    <x v="33"/>
    <n v="1"/>
    <m/>
    <m/>
    <n v="18.968284368837722"/>
    <n v="17.653245918936904"/>
    <n v="15.673438652626919"/>
  </r>
  <r>
    <x v="33"/>
    <n v="2"/>
    <m/>
    <m/>
    <n v="18.968284368837722"/>
    <n v="17.653245918936904"/>
    <n v="15.673438652626919"/>
  </r>
  <r>
    <x v="33"/>
    <n v="3"/>
    <m/>
    <m/>
    <n v="18.968284368837722"/>
    <n v="17.653245918936904"/>
    <n v="15.673438652626919"/>
  </r>
  <r>
    <x v="33"/>
    <n v="4"/>
    <m/>
    <m/>
    <n v="18.968284368837722"/>
    <n v="17.653245918936904"/>
    <n v="15.673438652626919"/>
  </r>
  <r>
    <x v="33"/>
    <n v="5"/>
    <m/>
    <m/>
    <n v="18.968284368837722"/>
    <n v="17.653245918936904"/>
    <n v="15.673438652626919"/>
  </r>
  <r>
    <x v="33"/>
    <n v="6"/>
    <m/>
    <m/>
    <n v="18.968284368837722"/>
    <n v="17.653245918936904"/>
    <n v="15.673438652626919"/>
  </r>
  <r>
    <x v="33"/>
    <n v="7"/>
    <m/>
    <m/>
    <n v="18.968284368837722"/>
    <n v="17.653245918936904"/>
    <n v="15.673438652626919"/>
  </r>
  <r>
    <x v="33"/>
    <n v="8"/>
    <m/>
    <m/>
    <n v="18.968284368837722"/>
    <n v="17.653245918936904"/>
    <n v="15.673438652626919"/>
  </r>
  <r>
    <x v="33"/>
    <n v="9"/>
    <m/>
    <m/>
    <n v="18.968284368837722"/>
    <n v="17.653245918936904"/>
    <n v="15.673438652626919"/>
  </r>
  <r>
    <x v="33"/>
    <n v="10"/>
    <m/>
    <m/>
    <n v="18.968284368837722"/>
    <n v="17.653245918936904"/>
    <n v="15.673438652626919"/>
  </r>
  <r>
    <x v="33"/>
    <n v="11"/>
    <m/>
    <m/>
    <n v="18.968284368837722"/>
    <n v="17.653245918936904"/>
    <n v="15.673438652626919"/>
  </r>
  <r>
    <x v="33"/>
    <n v="12"/>
    <m/>
    <m/>
    <n v="18.968284368837722"/>
    <n v="17.653245918936904"/>
    <n v="15.673438652626919"/>
  </r>
  <r>
    <x v="34"/>
    <n v="1"/>
    <m/>
    <m/>
    <n v="19.442491478058663"/>
    <n v="18.006310837315642"/>
    <n v="15.986907425679457"/>
  </r>
  <r>
    <x v="34"/>
    <n v="2"/>
    <m/>
    <m/>
    <n v="19.442491478058663"/>
    <n v="18.006310837315642"/>
    <n v="15.986907425679457"/>
  </r>
  <r>
    <x v="34"/>
    <n v="3"/>
    <m/>
    <m/>
    <n v="19.442491478058663"/>
    <n v="18.006310837315642"/>
    <n v="15.986907425679457"/>
  </r>
  <r>
    <x v="34"/>
    <n v="4"/>
    <m/>
    <m/>
    <n v="19.442491478058663"/>
    <n v="18.006310837315642"/>
    <n v="15.986907425679457"/>
  </r>
  <r>
    <x v="34"/>
    <n v="5"/>
    <m/>
    <m/>
    <n v="19.442491478058663"/>
    <n v="18.006310837315642"/>
    <n v="15.986907425679457"/>
  </r>
  <r>
    <x v="34"/>
    <n v="6"/>
    <m/>
    <m/>
    <n v="19.442491478058663"/>
    <n v="18.006310837315642"/>
    <n v="15.986907425679457"/>
  </r>
  <r>
    <x v="34"/>
    <n v="7"/>
    <m/>
    <m/>
    <n v="19.442491478058663"/>
    <n v="18.006310837315642"/>
    <n v="15.986907425679457"/>
  </r>
  <r>
    <x v="34"/>
    <n v="8"/>
    <m/>
    <m/>
    <n v="19.442491478058663"/>
    <n v="18.006310837315642"/>
    <n v="15.986907425679457"/>
  </r>
  <r>
    <x v="34"/>
    <n v="9"/>
    <m/>
    <m/>
    <n v="19.442491478058663"/>
    <n v="18.006310837315642"/>
    <n v="15.986907425679457"/>
  </r>
  <r>
    <x v="34"/>
    <n v="10"/>
    <m/>
    <m/>
    <n v="19.442491478058663"/>
    <n v="18.006310837315642"/>
    <n v="15.986907425679457"/>
  </r>
  <r>
    <x v="34"/>
    <n v="11"/>
    <m/>
    <m/>
    <n v="19.442491478058663"/>
    <n v="18.006310837315642"/>
    <n v="15.986907425679457"/>
  </r>
  <r>
    <x v="34"/>
    <n v="12"/>
    <m/>
    <m/>
    <n v="19.442491478058663"/>
    <n v="18.006310837315642"/>
    <n v="15.986907425679457"/>
  </r>
  <r>
    <x v="35"/>
    <n v="1"/>
    <m/>
    <m/>
    <n v="19.928553765010125"/>
    <n v="18.366437054061954"/>
    <n v="16.306645574193045"/>
  </r>
  <r>
    <x v="35"/>
    <n v="2"/>
    <m/>
    <m/>
    <n v="19.928553765010125"/>
    <n v="18.366437054061954"/>
    <n v="16.306645574193045"/>
  </r>
  <r>
    <x v="35"/>
    <n v="3"/>
    <m/>
    <m/>
    <n v="19.928553765010125"/>
    <n v="18.366437054061954"/>
    <n v="16.306645574193045"/>
  </r>
  <r>
    <x v="35"/>
    <n v="4"/>
    <m/>
    <m/>
    <n v="19.928553765010125"/>
    <n v="18.366437054061954"/>
    <n v="16.306645574193045"/>
  </r>
  <r>
    <x v="35"/>
    <n v="5"/>
    <m/>
    <m/>
    <n v="19.928553765010125"/>
    <n v="18.366437054061954"/>
    <n v="16.306645574193045"/>
  </r>
  <r>
    <x v="35"/>
    <n v="6"/>
    <m/>
    <m/>
    <n v="19.928553765010125"/>
    <n v="18.366437054061954"/>
    <n v="16.306645574193045"/>
  </r>
  <r>
    <x v="35"/>
    <n v="7"/>
    <m/>
    <m/>
    <n v="19.928553765010125"/>
    <n v="18.366437054061954"/>
    <n v="16.306645574193045"/>
  </r>
  <r>
    <x v="35"/>
    <n v="8"/>
    <m/>
    <m/>
    <n v="19.928553765010125"/>
    <n v="18.366437054061954"/>
    <n v="16.306645574193045"/>
  </r>
  <r>
    <x v="35"/>
    <n v="9"/>
    <m/>
    <m/>
    <n v="19.928553765010125"/>
    <n v="18.366437054061954"/>
    <n v="16.306645574193045"/>
  </r>
  <r>
    <x v="35"/>
    <n v="10"/>
    <m/>
    <m/>
    <n v="19.928553765010125"/>
    <n v="18.366437054061954"/>
    <n v="16.306645574193045"/>
  </r>
  <r>
    <x v="35"/>
    <n v="11"/>
    <m/>
    <m/>
    <n v="19.928553765010125"/>
    <n v="18.366437054061954"/>
    <n v="16.306645574193045"/>
  </r>
  <r>
    <x v="35"/>
    <n v="12"/>
    <m/>
    <m/>
    <n v="19.928553765010125"/>
    <n v="18.366437054061954"/>
    <n v="16.306645574193045"/>
  </r>
  <r>
    <x v="36"/>
    <n v="1"/>
    <m/>
    <m/>
    <n v="20.426767609135375"/>
    <n v="18.733765795143192"/>
    <n v="16.632778485676905"/>
  </r>
  <r>
    <x v="36"/>
    <n v="2"/>
    <m/>
    <m/>
    <n v="20.426767609135375"/>
    <n v="18.733765795143192"/>
    <n v="16.632778485676905"/>
  </r>
  <r>
    <x v="36"/>
    <n v="3"/>
    <m/>
    <m/>
    <n v="20.426767609135375"/>
    <n v="18.733765795143192"/>
    <n v="16.632778485676905"/>
  </r>
  <r>
    <x v="36"/>
    <n v="4"/>
    <m/>
    <m/>
    <n v="20.426767609135375"/>
    <n v="18.733765795143192"/>
    <n v="16.632778485676905"/>
  </r>
  <r>
    <x v="36"/>
    <n v="5"/>
    <m/>
    <m/>
    <n v="20.426767609135375"/>
    <n v="18.733765795143192"/>
    <n v="16.632778485676905"/>
  </r>
  <r>
    <x v="36"/>
    <n v="6"/>
    <m/>
    <m/>
    <n v="20.426767609135375"/>
    <n v="18.733765795143192"/>
    <n v="16.632778485676905"/>
  </r>
  <r>
    <x v="36"/>
    <n v="7"/>
    <m/>
    <m/>
    <n v="20.426767609135375"/>
    <n v="18.733765795143192"/>
    <n v="16.632778485676905"/>
  </r>
  <r>
    <x v="36"/>
    <n v="8"/>
    <m/>
    <m/>
    <n v="20.426767609135375"/>
    <n v="18.733765795143192"/>
    <n v="16.632778485676905"/>
  </r>
  <r>
    <x v="36"/>
    <n v="9"/>
    <m/>
    <m/>
    <n v="20.426767609135375"/>
    <n v="18.733765795143192"/>
    <n v="16.632778485676905"/>
  </r>
  <r>
    <x v="36"/>
    <n v="10"/>
    <m/>
    <m/>
    <n v="20.426767609135375"/>
    <n v="18.733765795143192"/>
    <n v="16.632778485676905"/>
  </r>
  <r>
    <x v="36"/>
    <n v="11"/>
    <m/>
    <m/>
    <n v="20.426767609135375"/>
    <n v="18.733765795143192"/>
    <n v="16.632778485676905"/>
  </r>
  <r>
    <x v="36"/>
    <n v="12"/>
    <m/>
    <m/>
    <n v="20.426767609135375"/>
    <n v="18.733765795143192"/>
    <n v="16.632778485676905"/>
  </r>
  <r>
    <x v="37"/>
    <n v="1"/>
    <m/>
    <m/>
    <n v="20.937436799363759"/>
    <n v="19.108441111046055"/>
    <n v="16.965434055390443"/>
  </r>
  <r>
    <x v="37"/>
    <n v="2"/>
    <m/>
    <m/>
    <n v="20.937436799363759"/>
    <n v="19.108441111046055"/>
    <n v="16.965434055390443"/>
  </r>
  <r>
    <x v="37"/>
    <n v="3"/>
    <m/>
    <m/>
    <n v="20.937436799363759"/>
    <n v="19.108441111046055"/>
    <n v="16.965434055390443"/>
  </r>
  <r>
    <x v="37"/>
    <n v="4"/>
    <m/>
    <m/>
    <n v="20.937436799363759"/>
    <n v="19.108441111046055"/>
    <n v="16.965434055390443"/>
  </r>
  <r>
    <x v="37"/>
    <n v="5"/>
    <m/>
    <m/>
    <n v="20.937436799363759"/>
    <n v="19.108441111046055"/>
    <n v="16.965434055390443"/>
  </r>
  <r>
    <x v="37"/>
    <n v="6"/>
    <m/>
    <m/>
    <n v="20.937436799363759"/>
    <n v="19.108441111046055"/>
    <n v="16.965434055390443"/>
  </r>
  <r>
    <x v="37"/>
    <n v="7"/>
    <m/>
    <m/>
    <n v="20.937436799363759"/>
    <n v="19.108441111046055"/>
    <n v="16.965434055390443"/>
  </r>
  <r>
    <x v="37"/>
    <n v="8"/>
    <m/>
    <m/>
    <n v="20.937436799363759"/>
    <n v="19.108441111046055"/>
    <n v="16.965434055390443"/>
  </r>
  <r>
    <x v="37"/>
    <n v="9"/>
    <m/>
    <m/>
    <n v="20.937436799363759"/>
    <n v="19.108441111046055"/>
    <n v="16.965434055390443"/>
  </r>
  <r>
    <x v="37"/>
    <n v="10"/>
    <m/>
    <m/>
    <n v="20.937436799363759"/>
    <n v="19.108441111046055"/>
    <n v="16.965434055390443"/>
  </r>
  <r>
    <x v="37"/>
    <n v="11"/>
    <m/>
    <m/>
    <n v="20.937436799363759"/>
    <n v="19.108441111046055"/>
    <n v="16.965434055390443"/>
  </r>
  <r>
    <x v="37"/>
    <n v="12"/>
    <m/>
    <m/>
    <n v="20.937436799363759"/>
    <n v="19.108441111046055"/>
    <n v="16.965434055390443"/>
  </r>
  <r>
    <x v="38"/>
    <n v="1"/>
    <m/>
    <m/>
    <n v="21.460872719347851"/>
    <n v="19.490609933266978"/>
    <n v="17.304742736498252"/>
  </r>
  <r>
    <x v="38"/>
    <n v="2"/>
    <m/>
    <m/>
    <n v="21.460872719347851"/>
    <n v="19.490609933266978"/>
    <n v="17.304742736498252"/>
  </r>
  <r>
    <x v="38"/>
    <n v="3"/>
    <m/>
    <m/>
    <n v="21.460872719347851"/>
    <n v="19.490609933266978"/>
    <n v="17.304742736498252"/>
  </r>
  <r>
    <x v="38"/>
    <n v="4"/>
    <m/>
    <m/>
    <n v="21.460872719347851"/>
    <n v="19.490609933266978"/>
    <n v="17.304742736498252"/>
  </r>
  <r>
    <x v="38"/>
    <n v="5"/>
    <m/>
    <m/>
    <n v="21.460872719347851"/>
    <n v="19.490609933266978"/>
    <n v="17.304742736498252"/>
  </r>
  <r>
    <x v="38"/>
    <n v="6"/>
    <m/>
    <m/>
    <n v="21.460872719347851"/>
    <n v="19.490609933266978"/>
    <n v="17.304742736498252"/>
  </r>
  <r>
    <x v="38"/>
    <n v="7"/>
    <m/>
    <m/>
    <n v="21.460872719347851"/>
    <n v="19.490609933266978"/>
    <n v="17.304742736498252"/>
  </r>
  <r>
    <x v="38"/>
    <n v="8"/>
    <m/>
    <m/>
    <n v="21.460872719347851"/>
    <n v="19.490609933266978"/>
    <n v="17.304742736498252"/>
  </r>
  <r>
    <x v="38"/>
    <n v="9"/>
    <m/>
    <m/>
    <n v="21.460872719347851"/>
    <n v="19.490609933266978"/>
    <n v="17.304742736498252"/>
  </r>
  <r>
    <x v="38"/>
    <n v="10"/>
    <m/>
    <m/>
    <n v="21.460872719347851"/>
    <n v="19.490609933266978"/>
    <n v="17.304742736498252"/>
  </r>
  <r>
    <x v="38"/>
    <n v="11"/>
    <m/>
    <m/>
    <n v="21.460872719347851"/>
    <n v="19.490609933266978"/>
    <n v="17.304742736498252"/>
  </r>
  <r>
    <x v="38"/>
    <n v="12"/>
    <m/>
    <m/>
    <n v="21.460872719347851"/>
    <n v="19.490609933266978"/>
    <n v="17.304742736498252"/>
  </r>
  <r>
    <x v="39"/>
    <n v="1"/>
    <m/>
    <m/>
    <n v="21.997394537331548"/>
    <n v="19.880422131932317"/>
    <n v="17.650837591228218"/>
  </r>
  <r>
    <x v="39"/>
    <n v="2"/>
    <m/>
    <m/>
    <n v="21.997394537331548"/>
    <n v="19.880422131932317"/>
    <n v="17.650837591228218"/>
  </r>
  <r>
    <x v="39"/>
    <n v="3"/>
    <m/>
    <m/>
    <n v="21.997394537331548"/>
    <n v="19.880422131932317"/>
    <n v="17.650837591228218"/>
  </r>
  <r>
    <x v="39"/>
    <n v="4"/>
    <m/>
    <m/>
    <n v="21.997394537331548"/>
    <n v="19.880422131932317"/>
    <n v="17.650837591228218"/>
  </r>
  <r>
    <x v="39"/>
    <n v="5"/>
    <m/>
    <m/>
    <n v="21.997394537331548"/>
    <n v="19.880422131932317"/>
    <n v="17.650837591228218"/>
  </r>
  <r>
    <x v="39"/>
    <n v="6"/>
    <m/>
    <m/>
    <n v="21.997394537331548"/>
    <n v="19.880422131932317"/>
    <n v="17.650837591228218"/>
  </r>
  <r>
    <x v="39"/>
    <n v="7"/>
    <m/>
    <m/>
    <n v="21.997394537331548"/>
    <n v="19.880422131932317"/>
    <n v="17.650837591228218"/>
  </r>
  <r>
    <x v="39"/>
    <n v="8"/>
    <m/>
    <m/>
    <n v="21.997394537331548"/>
    <n v="19.880422131932317"/>
    <n v="17.650837591228218"/>
  </r>
  <r>
    <x v="39"/>
    <n v="9"/>
    <m/>
    <m/>
    <n v="21.997394537331548"/>
    <n v="19.880422131932317"/>
    <n v="17.650837591228218"/>
  </r>
  <r>
    <x v="39"/>
    <n v="10"/>
    <m/>
    <m/>
    <n v="21.997394537331548"/>
    <n v="19.880422131932317"/>
    <n v="17.650837591228218"/>
  </r>
  <r>
    <x v="39"/>
    <n v="11"/>
    <m/>
    <m/>
    <n v="21.997394537331548"/>
    <n v="19.880422131932317"/>
    <n v="17.650837591228218"/>
  </r>
  <r>
    <x v="39"/>
    <n v="12"/>
    <m/>
    <m/>
    <n v="21.997394537331548"/>
    <n v="19.880422131932317"/>
    <n v="17.650837591228218"/>
  </r>
  <r>
    <x v="40"/>
    <n v="1"/>
    <m/>
    <m/>
    <n v="22.547329400764834"/>
    <n v="20.278030574570963"/>
    <n v="18.003854343052783"/>
  </r>
  <r>
    <x v="40"/>
    <n v="2"/>
    <m/>
    <m/>
    <n v="22.547329400764834"/>
    <n v="20.278030574570963"/>
    <n v="18.003854343052783"/>
  </r>
  <r>
    <x v="40"/>
    <n v="3"/>
    <m/>
    <m/>
    <n v="22.547329400764834"/>
    <n v="20.278030574570963"/>
    <n v="18.003854343052783"/>
  </r>
  <r>
    <x v="40"/>
    <n v="4"/>
    <m/>
    <m/>
    <n v="22.547329400764834"/>
    <n v="20.278030574570963"/>
    <n v="18.003854343052783"/>
  </r>
  <r>
    <x v="40"/>
    <n v="5"/>
    <m/>
    <m/>
    <n v="22.547329400764834"/>
    <n v="20.278030574570963"/>
    <n v="18.003854343052783"/>
  </r>
  <r>
    <x v="40"/>
    <n v="6"/>
    <m/>
    <m/>
    <n v="22.547329400764834"/>
    <n v="20.278030574570963"/>
    <n v="18.003854343052783"/>
  </r>
  <r>
    <x v="40"/>
    <n v="7"/>
    <m/>
    <m/>
    <n v="22.547329400764834"/>
    <n v="20.278030574570963"/>
    <n v="18.003854343052783"/>
  </r>
  <r>
    <x v="40"/>
    <n v="8"/>
    <m/>
    <m/>
    <n v="22.547329400764834"/>
    <n v="20.278030574570963"/>
    <n v="18.003854343052783"/>
  </r>
  <r>
    <x v="40"/>
    <n v="9"/>
    <m/>
    <m/>
    <n v="22.547329400764834"/>
    <n v="20.278030574570963"/>
    <n v="18.003854343052783"/>
  </r>
  <r>
    <x v="40"/>
    <n v="10"/>
    <m/>
    <m/>
    <n v="22.547329400764834"/>
    <n v="20.278030574570963"/>
    <n v="18.003854343052783"/>
  </r>
  <r>
    <x v="40"/>
    <n v="11"/>
    <m/>
    <m/>
    <n v="22.547329400764834"/>
    <n v="20.278030574570963"/>
    <n v="18.003854343052783"/>
  </r>
  <r>
    <x v="40"/>
    <n v="12"/>
    <m/>
    <m/>
    <n v="22.547329400764834"/>
    <n v="20.278030574570963"/>
    <n v="18.003854343052783"/>
  </r>
  <r>
    <x v="41"/>
    <n v="1"/>
    <m/>
    <m/>
    <n v="23.111012635783954"/>
    <n v="20.683591186062383"/>
    <n v="18.363931429913841"/>
  </r>
  <r>
    <x v="41"/>
    <n v="2"/>
    <m/>
    <m/>
    <n v="23.111012635783954"/>
    <n v="20.683591186062383"/>
    <n v="18.363931429913841"/>
  </r>
  <r>
    <x v="41"/>
    <n v="3"/>
    <m/>
    <m/>
    <n v="23.111012635783954"/>
    <n v="20.683591186062383"/>
    <n v="18.363931429913841"/>
  </r>
  <r>
    <x v="41"/>
    <n v="4"/>
    <m/>
    <m/>
    <n v="23.111012635783954"/>
    <n v="20.683591186062383"/>
    <n v="18.363931429913841"/>
  </r>
  <r>
    <x v="41"/>
    <n v="5"/>
    <m/>
    <m/>
    <n v="23.111012635783954"/>
    <n v="20.683591186062383"/>
    <n v="18.363931429913841"/>
  </r>
  <r>
    <x v="41"/>
    <n v="6"/>
    <m/>
    <m/>
    <n v="23.111012635783954"/>
    <n v="20.683591186062383"/>
    <n v="18.363931429913841"/>
  </r>
  <r>
    <x v="41"/>
    <n v="7"/>
    <m/>
    <m/>
    <n v="23.111012635783954"/>
    <n v="20.683591186062383"/>
    <n v="18.363931429913841"/>
  </r>
  <r>
    <x v="41"/>
    <n v="8"/>
    <m/>
    <m/>
    <n v="23.111012635783954"/>
    <n v="20.683591186062383"/>
    <n v="18.363931429913841"/>
  </r>
  <r>
    <x v="41"/>
    <n v="9"/>
    <m/>
    <m/>
    <n v="23.111012635783954"/>
    <n v="20.683591186062383"/>
    <n v="18.363931429913841"/>
  </r>
  <r>
    <x v="41"/>
    <n v="10"/>
    <m/>
    <m/>
    <n v="23.111012635783954"/>
    <n v="20.683591186062383"/>
    <n v="18.363931429913841"/>
  </r>
  <r>
    <x v="41"/>
    <n v="11"/>
    <m/>
    <m/>
    <n v="23.111012635783954"/>
    <n v="20.683591186062383"/>
    <n v="18.363931429913841"/>
  </r>
  <r>
    <x v="41"/>
    <n v="12"/>
    <m/>
    <m/>
    <n v="23.111012635783954"/>
    <n v="20.683591186062383"/>
    <n v="18.363931429913841"/>
  </r>
  <r>
    <x v="42"/>
    <n v="1"/>
    <m/>
    <m/>
    <m/>
    <n v="21.097263009783632"/>
    <n v="18.731210058512119"/>
  </r>
  <r>
    <x v="42"/>
    <n v="2"/>
    <m/>
    <m/>
    <m/>
    <n v="21.097263009783632"/>
    <n v="18.731210058512119"/>
  </r>
  <r>
    <x v="42"/>
    <n v="3"/>
    <m/>
    <m/>
    <m/>
    <n v="21.097263009783632"/>
    <n v="18.731210058512119"/>
  </r>
  <r>
    <x v="42"/>
    <n v="4"/>
    <m/>
    <m/>
    <m/>
    <n v="21.097263009783632"/>
    <n v="18.731210058512119"/>
  </r>
  <r>
    <x v="42"/>
    <n v="5"/>
    <m/>
    <m/>
    <m/>
    <n v="21.097263009783632"/>
    <n v="18.731210058512119"/>
  </r>
  <r>
    <x v="42"/>
    <n v="6"/>
    <m/>
    <m/>
    <m/>
    <n v="21.097263009783632"/>
    <n v="18.731210058512119"/>
  </r>
  <r>
    <x v="42"/>
    <n v="7"/>
    <m/>
    <m/>
    <m/>
    <n v="21.097263009783632"/>
    <n v="18.731210058512119"/>
  </r>
  <r>
    <x v="42"/>
    <n v="8"/>
    <m/>
    <m/>
    <m/>
    <n v="21.097263009783632"/>
    <n v="18.731210058512119"/>
  </r>
  <r>
    <x v="42"/>
    <n v="9"/>
    <m/>
    <m/>
    <m/>
    <n v="21.097263009783632"/>
    <n v="18.731210058512119"/>
  </r>
  <r>
    <x v="42"/>
    <n v="10"/>
    <m/>
    <m/>
    <m/>
    <n v="21.097263009783632"/>
    <n v="18.731210058512119"/>
  </r>
  <r>
    <x v="42"/>
    <n v="11"/>
    <m/>
    <m/>
    <m/>
    <n v="21.097263009783632"/>
    <n v="18.731210058512119"/>
  </r>
  <r>
    <x v="42"/>
    <n v="12"/>
    <m/>
    <m/>
    <m/>
    <n v="21.097263009783632"/>
    <n v="18.73121005851211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8">
  <r>
    <x v="0"/>
    <n v="3.4119999999999999"/>
    <n v="6.6145431549056699"/>
    <n v="3.22"/>
    <n v="672.80825918693779"/>
    <n v="9.0326946012654545"/>
    <n v="10.100210866762"/>
    <n v="12.759999999999987"/>
    <n v="8.2767889420950311"/>
    <n v="0.86162231376373388"/>
    <n v="332.28448403002676"/>
    <n v="785.42382844601207"/>
    <n v="706.88144560141018"/>
    <n v="597.8861696134619"/>
    <n v="516.35370934786215"/>
    <n v="121.61550489098488"/>
    <n v="974.17608841809999"/>
    <n v="192.30104310978115"/>
    <n v="417.63542342875638"/>
    <n v="1994.4411425298797"/>
    <m/>
    <n v="2926.6635745911367"/>
  </r>
  <r>
    <x v="1"/>
    <n v="3.4119999999999999"/>
    <n v="6.65948938012379"/>
    <n v="3.2280000000000002"/>
    <n v="668.07399668742369"/>
    <n v="9.2484880402426786"/>
    <n v="10.242073513409206"/>
    <n v="12.863999999999988"/>
    <n v="8.3952412804142877"/>
    <n v="0.86373287526832121"/>
    <n v="332.19678296536182"/>
    <n v="773.24932431927755"/>
    <n v="695.9243918873492"/>
    <n v="591.15569892400902"/>
    <n v="508.12395663771969"/>
    <n v="120.50651716030856"/>
    <n v="969.00782764597238"/>
    <n v="195.52111265043322"/>
    <n v="424.14445165734008"/>
    <n v="1995.9372186985383"/>
    <m/>
    <n v="3033.7744795638791"/>
  </r>
  <r>
    <x v="2"/>
    <n v="3.4119999999999999"/>
    <n v="6.7044356053419101"/>
    <n v="3.2360000000000002"/>
    <n v="663.33973418790958"/>
    <n v="9.4642814792199026"/>
    <n v="10.383936160056413"/>
    <n v="12.967999999999989"/>
    <n v="8.5136936187335444"/>
    <n v="0.86584343677290854"/>
    <n v="332.10908190069688"/>
    <n v="761.07482019254303"/>
    <n v="684.96733817328823"/>
    <n v="584.42522823455613"/>
    <n v="499.89420392757722"/>
    <n v="119.39752942963224"/>
    <n v="963.83956687384477"/>
    <n v="198.7411821910853"/>
    <n v="430.65347988592379"/>
    <n v="1997.433294867197"/>
    <m/>
    <n v="3140.8853845366216"/>
  </r>
  <r>
    <x v="3"/>
    <n v="3.4119999999999999"/>
    <n v="6.7493818305600302"/>
    <n v="3.2440000000000002"/>
    <n v="658.60547168839548"/>
    <n v="9.6800749181971266"/>
    <n v="10.525798806703619"/>
    <n v="13.07199999999999"/>
    <n v="8.632145957052801"/>
    <n v="0.86795399827749586"/>
    <n v="332.02138083603194"/>
    <n v="748.90031606580851"/>
    <n v="674.01028445922725"/>
    <n v="577.69475754510324"/>
    <n v="491.66445121743476"/>
    <n v="118.28854169895592"/>
    <n v="958.67130610171716"/>
    <n v="201.96125173173738"/>
    <n v="437.16250811450749"/>
    <n v="1998.9293710358556"/>
    <m/>
    <n v="3247.996289509364"/>
  </r>
  <r>
    <x v="4"/>
    <n v="3.4119999999999999"/>
    <n v="6.7943280557781502"/>
    <n v="3.2520000000000002"/>
    <n v="653.87120918888138"/>
    <n v="9.8958683571743506"/>
    <n v="10.667661453350826"/>
    <n v="13.175999999999991"/>
    <n v="8.7505982953720576"/>
    <n v="0.87006455978208319"/>
    <n v="331.933679771367"/>
    <n v="736.72581193907399"/>
    <n v="663.05323074516627"/>
    <n v="570.96428685565036"/>
    <n v="483.4346985072923"/>
    <n v="117.17955396827961"/>
    <n v="953.50304532958955"/>
    <n v="205.18132127238945"/>
    <n v="443.67153634309119"/>
    <n v="2000.4254472045143"/>
    <m/>
    <n v="3355.1071944821065"/>
  </r>
  <r>
    <x v="5"/>
    <n v="3.4119999999999999"/>
    <n v="6.8392742809962703"/>
    <n v="3.2600000000000002"/>
    <n v="649.13694668936728"/>
    <n v="10.111661796151575"/>
    <n v="10.809524099998033"/>
    <n v="13.279999999999992"/>
    <n v="8.8690506336913142"/>
    <n v="0.87217512128667052"/>
    <n v="331.84597870670206"/>
    <n v="724.55130781233947"/>
    <n v="652.0961770311053"/>
    <n v="564.23381616619747"/>
    <n v="475.20494579714983"/>
    <n v="116.07056623760329"/>
    <n v="948.33478455746194"/>
    <n v="208.40139081304153"/>
    <n v="450.18056457167489"/>
    <n v="2001.9215233731729"/>
    <m/>
    <n v="3462.2180994548489"/>
  </r>
  <r>
    <x v="6"/>
    <n v="3.4119999999999999"/>
    <n v="6.8842205062143904"/>
    <n v="3.2680000000000002"/>
    <n v="644.40268418985318"/>
    <n v="10.327455235128799"/>
    <n v="10.951386746645239"/>
    <n v="13.383999999999993"/>
    <n v="8.9875029720105708"/>
    <n v="0.87428568279125785"/>
    <n v="331.75827764203711"/>
    <n v="712.37680368560495"/>
    <n v="641.13912331704432"/>
    <n v="557.50334547674458"/>
    <n v="466.97519308700737"/>
    <n v="114.96157850692697"/>
    <n v="943.16652378533433"/>
    <n v="211.62146035369361"/>
    <n v="456.68959280025859"/>
    <n v="2003.4175995418316"/>
    <m/>
    <n v="3569.3290044275914"/>
  </r>
  <r>
    <x v="7"/>
    <n v="3.4119999999999999"/>
    <n v="6.9291667314325105"/>
    <n v="3.2760000000000002"/>
    <n v="639.66842169033907"/>
    <n v="10.543248674106023"/>
    <n v="11.093249393292446"/>
    <n v="13.487999999999994"/>
    <n v="9.1059553103298274"/>
    <n v="0.87639624429584517"/>
    <n v="331.67057657737217"/>
    <n v="700.20229955887044"/>
    <n v="630.18206960298335"/>
    <n v="550.7728747872917"/>
    <n v="458.74544037686491"/>
    <n v="113.85259077625065"/>
    <n v="937.99826301320672"/>
    <n v="214.84152989434568"/>
    <n v="463.1986210288423"/>
    <n v="2004.9136757104902"/>
    <m/>
    <n v="3676.4399094003338"/>
  </r>
  <r>
    <x v="8"/>
    <n v="3.4119999999999999"/>
    <n v="6.9741129566506306"/>
    <n v="3.2840000000000003"/>
    <n v="634.93415919082497"/>
    <n v="10.759042113083247"/>
    <n v="11.235112039939652"/>
    <n v="13.591999999999995"/>
    <n v="9.224407648649084"/>
    <n v="0.8785068058004325"/>
    <n v="331.58287551270723"/>
    <n v="688.02779543213592"/>
    <n v="619.22501588892237"/>
    <n v="544.04240409783881"/>
    <n v="450.51568766672244"/>
    <n v="112.74360304557433"/>
    <n v="932.83000224107911"/>
    <n v="218.06159943499776"/>
    <n v="469.707649257426"/>
    <n v="2006.4097518791489"/>
    <m/>
    <n v="3783.5508143730763"/>
  </r>
  <r>
    <x v="9"/>
    <n v="3.4119999999999999"/>
    <n v="7.0190591818687507"/>
    <n v="3.2920000000000003"/>
    <n v="630.19989669131087"/>
    <n v="10.974835552060471"/>
    <n v="11.376974686586859"/>
    <n v="13.695999999999996"/>
    <n v="9.3428599869683406"/>
    <n v="0.88061736730501983"/>
    <n v="331.49517444804229"/>
    <n v="675.8532913054014"/>
    <n v="608.2679621748614"/>
    <n v="537.31193340838593"/>
    <n v="442.28593495657998"/>
    <n v="111.63461531489801"/>
    <n v="927.6617414689515"/>
    <n v="221.28166897564984"/>
    <n v="476.2166774860097"/>
    <n v="2007.9058280478075"/>
    <m/>
    <n v="3890.6617193458187"/>
  </r>
  <r>
    <x v="10"/>
    <n v="3.4119999999999999"/>
    <n v="7.0640054070868681"/>
    <n v="3.3"/>
    <n v="625.46563419179665"/>
    <n v="11.190628991037693"/>
    <n v="11.518837333234069"/>
    <n v="13.8"/>
    <n v="9.4613123252875919"/>
    <n v="0.88272792880960704"/>
    <n v="331.40747338337758"/>
    <n v="663.67878717866665"/>
    <n v="597.31090846079996"/>
    <n v="530.58146271893293"/>
    <n v="434.05618224643769"/>
    <n v="110.52562758422165"/>
    <n v="922.49348069682435"/>
    <n v="224.50173851630203"/>
    <n v="482.72570571459363"/>
    <n v="2009.4019042164659"/>
    <m/>
    <n v="3997.7726243185602"/>
  </r>
  <r>
    <x v="11"/>
    <n v="3.4119999999999999"/>
    <n v="7.1509267544549466"/>
    <n v="3.3015590000000001"/>
    <n v="608.1527330872525"/>
    <n v="11.401529818829824"/>
    <n v="11.725685088053469"/>
    <n v="13.886512"/>
    <n v="9.5224392825295894"/>
    <n v="0.88500750520619786"/>
    <n v="331.11625407322299"/>
    <n v="647.46748751540326"/>
    <n v="582.72073876386298"/>
    <n v="518.47639290197708"/>
    <n v="423.37992276068093"/>
    <n v="108.28898047912446"/>
    <n v="908.94754083650048"/>
    <n v="224.21212322543218"/>
    <n v="494.96475916607523"/>
    <n v="1994.2060049955637"/>
    <m/>
    <n v="4071.1647895096144"/>
  </r>
  <r>
    <x v="12"/>
    <n v="3.4119999999999999"/>
    <n v="7.2389176537546671"/>
    <n v="3.30253"/>
    <n v="590.83983198270835"/>
    <n v="11.616405325721676"/>
    <n v="11.93624727970673"/>
    <n v="13.954171000000001"/>
    <n v="9.5839611643627212"/>
    <n v="0.88729296843198968"/>
    <n v="330.9257571682009"/>
    <n v="631.65217193638227"/>
    <n v="568.48695474274405"/>
    <n v="506.64749691612809"/>
    <n v="413.03471971289258"/>
    <n v="106.05233337402728"/>
    <n v="895.40160097617661"/>
    <n v="223.92250793456233"/>
    <n v="507.20381261755682"/>
    <n v="1962.1164142451546"/>
    <m/>
    <n v="4217.4901363808576"/>
  </r>
  <r>
    <x v="13"/>
    <n v="3.4119999999999999"/>
    <n v="7.302377720492446"/>
    <n v="3.3036409999999998"/>
    <n v="573.52693087816419"/>
    <n v="11.802056259305916"/>
    <n v="12.08833891284468"/>
    <n v="13.997324000000001"/>
    <n v="9.6531179818082791"/>
    <n v="0.88925478972545646"/>
    <n v="331.30107414508501"/>
    <n v="617.91187523118072"/>
    <n v="556.12068770806263"/>
    <n v="497.00853788104638"/>
    <n v="404.74184677448062"/>
    <n v="103.81568626893011"/>
    <n v="881.85566111585274"/>
    <n v="223.63289264369249"/>
    <n v="519.44286606903836"/>
    <n v="1932.8784015467093"/>
    <m/>
    <n v="4282.0119933923825"/>
  </r>
  <r>
    <x v="14"/>
    <n v="3.4119999999999999"/>
    <n v="7.4469618234936279"/>
    <n v="3.3131979999999999"/>
    <n v="556.21402977362004"/>
    <n v="12.111568890511583"/>
    <n v="12.357536678854581"/>
    <n v="14.100529"/>
    <n v="9.7274060500263637"/>
    <n v="0.8924520000414683"/>
    <n v="330.07754356289564"/>
    <n v="604.50392112234965"/>
    <n v="544.05352901011474"/>
    <n v="487.85587729521859"/>
    <n v="394.81578406430697"/>
    <n v="101.57903916383293"/>
    <n v="868.30972125552887"/>
    <n v="223.34327735282264"/>
    <n v="531.68191952051995"/>
    <n v="1889.2139181923412"/>
    <m/>
    <n v="4307.3495057401396"/>
  </r>
  <r>
    <x v="15"/>
    <n v="3.4119999999999999"/>
    <n v="7.5579488575039955"/>
    <n v="3.3880159999999999"/>
    <n v="538.90112866907589"/>
    <n v="12.378665525149154"/>
    <n v="12.614787706568169"/>
    <n v="14.824436"/>
    <n v="9.8066675844966884"/>
    <n v="0.89494059863781383"/>
    <n v="330.26058639828216"/>
    <n v="591.85248951264384"/>
    <n v="532.66724056137946"/>
    <n v="479.45148196275602"/>
    <n v="386.25915595615032"/>
    <n v="99.342392058735754"/>
    <n v="854.763781395205"/>
    <n v="223.05366206195279"/>
    <n v="543.92097297200155"/>
    <n v="1865.6788210078303"/>
    <m/>
    <n v="4268.1226930839966"/>
  </r>
  <r>
    <x v="16"/>
    <n v="3.4119999999999999"/>
    <n v="7.5714163701222743"/>
    <n v="3.4313090000000002"/>
    <n v="521.58822756453208"/>
    <n v="12.463080238937028"/>
    <n v="12.680915008767705"/>
    <n v="15.217358000000001"/>
    <n v="9.8741992696547687"/>
    <n v="0.89628488788144389"/>
    <n v="329.85134261423076"/>
    <n v="581.11669764603766"/>
    <n v="523.00502788143388"/>
    <n v="472.68560384871955"/>
    <n v="378.4903821942803"/>
    <n v="97.105744953638549"/>
    <n v="841.21784153488113"/>
    <n v="222.76404677108295"/>
    <n v="556.16002642348315"/>
    <n v="1818.8624107485023"/>
    <m/>
    <n v="4266.4474007373328"/>
  </r>
  <r>
    <x v="17"/>
    <n v="3.4119999999999999"/>
    <n v="7.6178553973680234"/>
    <n v="3.4590559999999999"/>
    <n v="499.45843221443903"/>
    <n v="12.610954691482007"/>
    <n v="12.790951865091673"/>
    <n v="15.475415999999999"/>
    <n v="9.9418246440066174"/>
    <n v="0.8979712989076909"/>
    <n v="331.36141135862437"/>
    <n v="572.006354242724"/>
    <n v="514.80571881845162"/>
    <n v="467.14811296909187"/>
    <n v="372.63790918317289"/>
    <n v="94.708031475446276"/>
    <n v="827.67190167455692"/>
    <n v="222.47443148021304"/>
    <n v="568.39907987496463"/>
    <n v="1797.2757481829826"/>
    <m/>
    <n v="4297.3542156431349"/>
  </r>
  <r>
    <x v="18"/>
    <n v="3.4119999999999999"/>
    <n v="7.6654421259684886"/>
    <n v="3.4801530000000001"/>
    <n v="488.51412650213001"/>
    <n v="12.751851183406297"/>
    <n v="12.901668223589098"/>
    <n v="15.677279"/>
    <n v="10.005839215101393"/>
    <n v="0.89972220862440766"/>
    <n v="330.64722634540823"/>
    <n v="563.91505667829995"/>
    <n v="507.52355101046999"/>
    <n v="462.02771229636926"/>
    <n v="363.84300670541199"/>
    <n v="91.878092906421344"/>
    <n v="815.86445548581162"/>
    <n v="221.84023210125414"/>
    <n v="576.46895799881497"/>
    <n v="1573.9481557582549"/>
    <m/>
    <n v="4299.3780605789443"/>
  </r>
  <r>
    <x v="19"/>
    <n v="3.4119999999999999"/>
    <n v="7.7059003345348707"/>
    <n v="3.495698"/>
    <n v="478.76667382776276"/>
    <n v="12.878074814699044"/>
    <n v="12.996027578247961"/>
    <n v="15.826098999999999"/>
    <n v="10.211785920877965"/>
    <n v="0.90140245620864856"/>
    <n v="330.67242878060813"/>
    <n v="545.67366719453264"/>
    <n v="491.10630047507937"/>
    <n v="454.11836854776146"/>
    <n v="356.5337535473372"/>
    <n v="89.320606806414332"/>
    <n v="804.44644550360329"/>
    <n v="221.47803551729379"/>
    <n v="585.63411049743127"/>
    <n v="1484.1432935859859"/>
    <m/>
    <n v="4348.1333795286018"/>
  </r>
  <r>
    <x v="20"/>
    <n v="3.4119999999999999"/>
    <n v="7.8387325465471704"/>
    <n v="3.50861"/>
    <n v="469.20530508386429"/>
    <n v="13.138373175403679"/>
    <n v="13.247079244027672"/>
    <n v="15.950364"/>
    <n v="10.324847527955672"/>
    <n v="0.91536854940737056"/>
    <n v="330.71056486493057"/>
    <n v="534.21468321252462"/>
    <n v="480.79321489127216"/>
    <n v="448.55981214949412"/>
    <n v="349.621366750763"/>
    <n v="86.671267163192766"/>
    <n v="789.97207818690231"/>
    <n v="221.23286660026929"/>
    <n v="593.78906159250687"/>
    <n v="1432.8602460861189"/>
    <m/>
    <n v="4394.4722488570169"/>
  </r>
  <r>
    <x v="21"/>
    <n v="3.4119999999999999"/>
    <n v="7.9123995670631304"/>
    <n v="3.5193159999999999"/>
    <n v="460.80141953108614"/>
    <n v="13.311284566269569"/>
    <n v="13.392730273524553"/>
    <n v="16.053467000000001"/>
    <n v="10.422133705949232"/>
    <n v="0.92228773719655299"/>
    <n v="331.7408410556875"/>
    <n v="523.74696086204528"/>
    <n v="471.37226477584079"/>
    <n v="443.56034491393473"/>
    <n v="344.27768549243234"/>
    <n v="84.077648389412488"/>
    <n v="776.50114529808343"/>
    <n v="221.16242480581636"/>
    <n v="603.54902549531459"/>
    <n v="1400.0557484766291"/>
    <m/>
    <n v="4451.0655384659776"/>
  </r>
  <r>
    <x v="22"/>
    <n v="3.4119999999999999"/>
    <n v="7.9798498222430796"/>
    <n v="3.5227819999999999"/>
    <n v="448.9680588574933"/>
    <n v="13.467351130942429"/>
    <n v="13.526187078456436"/>
    <n v="16.093312999999998"/>
    <n v="10.509140481611231"/>
    <n v="0.92886814738333401"/>
    <n v="330.71991389870954"/>
    <n v="514.24394680031855"/>
    <n v="462.81955212028669"/>
    <n v="439.13899391397274"/>
    <n v="337.58189096149357"/>
    <n v="81.013387467327419"/>
    <n v="756.07411269173133"/>
    <n v="219.01356061798984"/>
    <n v="609.77760735319009"/>
    <n v="1365.1062828763347"/>
    <n v="-2.4962909968636704E-2"/>
    <n v="4482.8025509059607"/>
  </r>
  <r>
    <x v="23"/>
    <n v="3.4119999999999999"/>
    <n v="8.0406899700096481"/>
    <n v="3.5268039999999998"/>
    <n v="438.64933343630025"/>
    <n v="13.60481137872558"/>
    <n v="13.645944257636755"/>
    <n v="16.138203000000001"/>
    <n v="10.592155525540097"/>
    <n v="0.93537774623941372"/>
    <n v="330.60680978363189"/>
    <n v="505.45953644476799"/>
    <n v="454.91358280029118"/>
    <n v="435.22116351054132"/>
    <n v="332.74292029568323"/>
    <n v="78.092325966999098"/>
    <n v="738.97511995197067"/>
    <n v="217.5062407325257"/>
    <n v="617.5355605659513"/>
    <n v="1340.8743680735377"/>
    <n v="-1.7750936397230133E-2"/>
    <n v="4538.935816731233"/>
  </r>
  <r>
    <x v="24"/>
    <n v="3.4119999999999999"/>
    <n v="8.097919671547853"/>
    <n v="3.5309159999999999"/>
    <n v="428.49068464517916"/>
    <n v="13.730995849146662"/>
    <n v="13.757258943764725"/>
    <n v="16.182312"/>
    <n v="10.669701489609984"/>
    <n v="0.94157686041445254"/>
    <n v="330.55294722110727"/>
    <n v="497.34026418637325"/>
    <n v="447.60623776773593"/>
    <n v="431.67782190624621"/>
    <n v="328.78692724967812"/>
    <n v="75.547186339676443"/>
    <n v="724.24061724552689"/>
    <n v="216.24502078549645"/>
    <n v="624.34485359478913"/>
    <n v="1321.9903250769321"/>
    <n v="-1.4083379805176377E-2"/>
    <n v="4611.419753530774"/>
  </r>
  <r>
    <x v="25"/>
    <n v="3.4119999999999999"/>
    <n v="8.1442056963501859"/>
    <n v="3.5525690000000001"/>
    <n v="419.96632373958204"/>
    <n v="13.856800920134059"/>
    <n v="13.854035504868611"/>
    <n v="16.343616000000001"/>
    <n v="10.73640826694389"/>
    <n v="0.9476431484775153"/>
    <n v="331.47817747684871"/>
    <n v="489.66660590760102"/>
    <n v="440.69994531684091"/>
    <n v="428.54515812200174"/>
    <n v="326.45875537598249"/>
    <n v="73.557104440479094"/>
    <n v="714.10506721254205"/>
    <n v="215.98241467192588"/>
    <n v="632.1738356474624"/>
    <n v="1269.755719250777"/>
    <n v="-3.9512093874904397E-2"/>
    <n v="4703.31521126594"/>
  </r>
  <r>
    <x v="26"/>
    <n v="3.4119999999999999"/>
    <n v="8.190389842037554"/>
    <n v="3.571126"/>
    <n v="409.20794973943828"/>
    <n v="13.962350937101309"/>
    <n v="13.945349522989035"/>
    <n v="16.477599999999999"/>
    <n v="10.794933364893012"/>
    <n v="0.95346645711965128"/>
    <n v="330.49955641127411"/>
    <n v="482.48162171628343"/>
    <n v="434.23345954465509"/>
    <n v="425.67586007042604"/>
    <n v="323.00687117341255"/>
    <n v="71.580049523243872"/>
    <n v="702.11188868464501"/>
    <n v="214.87369112535382"/>
    <n v="635.68338378535623"/>
    <n v="1238.8641198064383"/>
    <n v="-2.4328773618414012E-2"/>
    <n v="4769.3422936381139"/>
  </r>
  <r>
    <x v="27"/>
    <n v="3.4119999999999999"/>
    <n v="8.2332268822196752"/>
    <n v="3.5890789999999999"/>
    <n v="399.99777718645038"/>
    <n v="14.056521674320575"/>
    <n v="14.029313704122087"/>
    <n v="16.606939000000001"/>
    <n v="10.848665500903758"/>
    <n v="0.95919143200787138"/>
    <n v="330.49845894926551"/>
    <n v="475.9490726916689"/>
    <n v="428.35416542250204"/>
    <n v="423.01941682911723"/>
    <n v="321.08715964599293"/>
    <n v="70.269077300066343"/>
    <n v="694.36081355544411"/>
    <n v="214.64096812911305"/>
    <n v="640.46196297382551"/>
    <n v="1219.4333830649186"/>
    <n v="-1.5684316327246317E-2"/>
    <n v="4846.6956681214724"/>
  </r>
  <r>
    <x v="28"/>
    <n v="3.4119999999999999"/>
    <n v="8.2697894035397219"/>
    <n v="3.6062970000000001"/>
    <n v="390.91180449753591"/>
    <n v="14.136098504584176"/>
    <n v="14.101060796918411"/>
    <n v="16.730574000000001"/>
    <n v="10.899056144516432"/>
    <n v="0.9646849986418109"/>
    <n v="330.55121730146027"/>
    <n v="470.13786233879659"/>
    <n v="423.12407610491692"/>
    <n v="420.62805703977875"/>
    <n v="319.55444708637162"/>
    <n v="69.492706259570554"/>
    <n v="688.81210476729075"/>
    <n v="214.80559204893063"/>
    <n v="644.3605745394625"/>
    <n v="1205.6044323480062"/>
    <n v="-1.1340472475958374E-2"/>
    <n v="4933.1468940860677"/>
  </r>
  <r>
    <x v="29"/>
    <n v="3.4119999999999999"/>
    <n v="8.3010546150143298"/>
    <n v="3.623122"/>
    <n v="383.06877552965955"/>
    <n v="14.202269064005705"/>
    <n v="14.162568346324433"/>
    <n v="16.850977"/>
    <n v="10.943632750534501"/>
    <n v="0.97012409558935375"/>
    <n v="331.51235626754573"/>
    <n v="465.03036657069157"/>
    <n v="418.5273299136224"/>
    <n v="418.50725969556311"/>
    <n v="319.29192758826025"/>
    <n v="69.270346446215157"/>
    <n v="686.87307163244111"/>
    <n v="215.76662123037423"/>
    <n v="649.73602395822979"/>
    <n v="1198.4258865858853"/>
    <n v="-5.9543126829254556E-3"/>
    <n v="5031.9627347048136"/>
  </r>
  <r>
    <x v="30"/>
    <n v="3.4119999999999999"/>
    <n v="8.3275989943828534"/>
    <n v="3.6397010000000001"/>
    <n v="372.89261827547023"/>
    <n v="14.257660809486611"/>
    <n v="14.214877761536375"/>
    <n v="16.969263000000002"/>
    <n v="10.981582822701254"/>
    <n v="0.97538625690068848"/>
    <n v="330.5724525297955"/>
    <n v="460.59611535548845"/>
    <n v="414.53650381993964"/>
    <n v="416.42666994176869"/>
    <n v="317.48873805314884"/>
    <n v="69.088351765119057"/>
    <n v="681.83158310216493"/>
    <n v="215.3838096456148"/>
    <n v="651.11539399671483"/>
    <n v="1185.1242283098265"/>
    <n v="-1.109927482787687E-2"/>
    <n v="5106.3784194892005"/>
  </r>
  <r>
    <x v="31"/>
    <n v="3.4119999999999999"/>
    <n v="8.3494125211931092"/>
    <n v="3.6560069999999998"/>
    <n v="363.40195405575997"/>
    <n v="14.30328424720304"/>
    <n v="14.258012834356226"/>
    <n v="17.085235999999998"/>
    <n v="11.012506139039157"/>
    <n v="0.98007867816816163"/>
    <n v="330.42019434888834"/>
    <n v="456.87448998397741"/>
    <n v="411.1870409855797"/>
    <n v="414.52127371504622"/>
    <n v="316.75906844902772"/>
    <n v="69.096914198654005"/>
    <n v="679.14419471165479"/>
    <n v="215.32643186869478"/>
    <n v="653.82267965171081"/>
    <n v="1174.6918590547461"/>
    <n v="-8.8027643059483962E-3"/>
    <n v="5194.1820392811978"/>
  </r>
  <r>
    <x v="32"/>
    <n v="3.4119999999999999"/>
    <n v="8.3668992443359684"/>
    <n v="3.6720199999999998"/>
    <n v="354.01670363087203"/>
    <n v="14.33977331883257"/>
    <n v="14.292741239117538"/>
    <n v="17.198823999999998"/>
    <n v="11.0365098007554"/>
    <n v="0.98429763655557467"/>
    <n v="330.22830310790187"/>
    <n v="453.87905072495818"/>
    <n v="408.49114565246236"/>
    <n v="412.76444890663794"/>
    <n v="316.18866387824568"/>
    <n v="69.102726492425504"/>
    <n v="677.29312871746174"/>
    <n v="215.32191801218977"/>
    <n v="656.22281892092496"/>
    <n v="1165.1227952647812"/>
    <n v="-8.1460203509582385E-3"/>
    <n v="5275.6032530634193"/>
  </r>
  <r>
    <x v="33"/>
    <n v="3.4119999999999999"/>
    <n v="8.3820133515158552"/>
    <n v="3.6878350000000002"/>
    <n v="345.61365104914455"/>
    <n v="14.371698710856524"/>
    <n v="14.322822084287804"/>
    <n v="17.310966000000001"/>
    <n v="11.053065298474133"/>
    <n v="0.98810952618150916"/>
    <n v="330.93029938973899"/>
    <n v="451.27329007356576"/>
    <n v="406.14596106620917"/>
    <n v="411.15410932159227"/>
    <n v="316.62927262134241"/>
    <n v="69.292832204904883"/>
    <n v="677.47048870015078"/>
    <n v="215.97685260711106"/>
    <n v="660.42299242267268"/>
    <n v="1159.4596184884074"/>
    <n v="-4.8605836220780851E-3"/>
    <n v="5359.256897805185"/>
  </r>
  <r>
    <x v="34"/>
    <n v="3.4119999999999999"/>
    <n v="8.3945062409389717"/>
    <n v="3.7035469999999999"/>
    <n v="335.31520701696746"/>
    <n v="14.398754962505095"/>
    <n v="14.347722981616645"/>
    <n v="17.422353999999999"/>
    <n v="11.06150710486053"/>
    <n v="0.99146862554272841"/>
    <n v="329.81921028319863"/>
    <n v="448.92414645913277"/>
    <n v="404.03173181321949"/>
    <n v="409.68696562672051"/>
    <n v="315.48431158699367"/>
    <n v="69.10064719926315"/>
    <n v="674.29231234221595"/>
    <n v="215.54449635579306"/>
    <n v="660.41878387762711"/>
    <n v="1148.3961477918631"/>
    <n v="-9.5419198048206644E-3"/>
    <n v="5409.8047095777374"/>
  </r>
  <r>
    <x v="35"/>
    <n v="3.4119999999999999"/>
    <n v="8.405648247040185"/>
    <n v="3.7192210000000001"/>
    <n v="326.32083832269967"/>
    <n v="14.421297347885083"/>
    <n v="14.374589757458491"/>
    <n v="17.533472"/>
    <n v="11.061324610560973"/>
    <n v="0.99435966112915053"/>
    <n v="329.70775549960115"/>
    <n v="446.81914432469313"/>
    <n v="402.13722989222384"/>
    <n v="408.35116049756937"/>
    <n v="315.35039504397855"/>
    <n v="69.099013800494049"/>
    <n v="674.08999057112578"/>
    <n v="216.09082431746859"/>
    <n v="661.87033342277857"/>
    <n v="1142.7026533663559"/>
    <n v="-4.9577791047581421E-3"/>
    <n v="5480.87412810562"/>
  </r>
  <r>
    <x v="36"/>
    <n v="3.4119999999999999"/>
    <n v="8.4157941304593287"/>
    <n v="3.7342439999999999"/>
    <n v="317.27929729435795"/>
    <n v="14.442716324292093"/>
    <n v="14.396076002539097"/>
    <n v="17.640267999999999"/>
    <n v="11.061161808558927"/>
    <n v="0.99678594057528325"/>
    <n v="329.59197692239553"/>
    <n v="444.93363732543077"/>
    <n v="400.44027359288771"/>
    <n v="407.18001880876142"/>
    <n v="315.35075649430536"/>
    <n v="69.098269733041036"/>
    <n v="673.74294545438158"/>
    <n v="216.56805681692848"/>
    <n v="662.45367395940343"/>
    <n v="1138.2527795901376"/>
    <n v="-3.8941659609428303E-3"/>
    <n v="5552.877196279107"/>
  </r>
  <r>
    <x v="37"/>
    <n v="3.4119999999999999"/>
    <n v="8.4249576911533275"/>
    <n v="3.7486199999999998"/>
    <n v="309.0327885386979"/>
    <n v="14.463387768104882"/>
    <n v="14.415573627853872"/>
    <n v="17.742751999999999"/>
    <n v="11.060984269870238"/>
    <n v="0.99883765299838911"/>
    <n v="330.38425668389834"/>
    <n v="443.23224032927942"/>
    <n v="398.90901629635147"/>
    <n v="406.16617227636692"/>
    <n v="316.21501157090557"/>
    <n v="69.287929119915759"/>
    <n v="676.01698519000036"/>
    <n v="217.86563789678891"/>
    <n v="664.09491960269349"/>
    <n v="1139.0083511970365"/>
    <n v="6.6379948324923888E-4"/>
    <n v="5625.826179594088"/>
  </r>
  <r>
    <x v="38"/>
    <n v="3.4119999999999999"/>
    <n v="8.4317027270645557"/>
    <n v="3.7624629999999999"/>
    <n v="299.08207866584496"/>
    <n v="14.479360058071141"/>
    <n v="14.430632056057418"/>
    <n v="17.841685999999999"/>
    <n v="11.060819877644116"/>
    <n v="1.000515791422204"/>
    <n v="329.30082876880681"/>
    <n v="441.72625620838903"/>
    <n v="397.55363058755012"/>
    <n v="405.24884432213236"/>
    <n v="315.35133277187407"/>
    <n v="69.099841707048881"/>
    <n v="674.18015291632946"/>
    <n v="217.82135298035433"/>
    <n v="662.19985842912183"/>
    <n v="1133.2958452543965"/>
    <n v="-5.0153327994799657E-3"/>
    <n v="5699.7335046801154"/>
  </r>
  <r>
    <x v="39"/>
    <n v="3.4119999999999999"/>
    <n v="8.436276245805697"/>
    <n v="3.7758560000000001"/>
    <n v="289.94106646626875"/>
    <n v="14.490826281137791"/>
    <n v="14.441786791770996"/>
    <n v="17.937657999999999"/>
    <n v="11.060728336680551"/>
    <n v="1.0017630316729063"/>
    <n v="329.08521921166783"/>
    <n v="440.43760058613827"/>
    <n v="396.39384052752445"/>
    <n v="404.44344892440404"/>
    <n v="315.35172316890521"/>
    <n v="69.101084056966499"/>
    <n v="674.11916095875756"/>
    <n v="218.30877179722594"/>
    <n v="662.10923900502735"/>
    <n v="1130.9268049418979"/>
    <n v="-2.0903988331191226E-3"/>
    <n v="5774.6117614172472"/>
  </r>
  <r>
    <x v="40"/>
    <n v="3.4119999999999999"/>
    <n v="8.4384683863519196"/>
    <n v="3.7888030000000001"/>
    <n v="281.05143254228147"/>
    <n v="14.497546310944491"/>
    <n v="14.448640967099756"/>
    <n v="18.030645"/>
    <n v="11.060691187179341"/>
    <n v="1.0025683368435454"/>
    <n v="329.01940173233208"/>
    <n v="439.3508566860047"/>
    <n v="395.41577101740427"/>
    <n v="403.74965954711087"/>
    <n v="315.35202464956387"/>
    <n v="69.102773757170596"/>
    <n v="675.82131711470868"/>
    <n v="219.32918139597865"/>
    <n v="661.47069408085599"/>
    <n v="1131.8971653838944"/>
    <n v="8.5802232094622788E-4"/>
    <n v="5850.4737050806871"/>
  </r>
  <r>
    <x v="41"/>
    <n v="3.4119999999999999"/>
    <n v="8.4406605268981423"/>
    <n v="3.8017500000000002"/>
    <n v="272.43435604613853"/>
    <n v="14.504266340751192"/>
    <n v="14.455495142428516"/>
    <n v="18.123632000000001"/>
    <n v="11.06065403767813"/>
    <n v="1.0033736420141846"/>
    <n v="328.95359741657933"/>
    <n v="438.26411278587113"/>
    <n v="394.43770150728403"/>
    <n v="403.05587016981769"/>
    <n v="315.35232613051073"/>
    <n v="69.104463498692226"/>
    <n v="677.52777122827206"/>
    <n v="220.35436054998397"/>
    <n v="660.83276497594238"/>
    <n v="1132.8683584168095"/>
    <m/>
    <n v="5927.3322585136057"/>
  </r>
  <r>
    <x v="42"/>
    <n v="3.4119999999999999"/>
    <n v="8.4428526674443649"/>
    <n v="3.8146970000000002"/>
    <n v="264.08148032872396"/>
    <n v="14.510986370557893"/>
    <n v="14.462349317757276"/>
    <n v="18.216619000000001"/>
    <n v="11.06061688817692"/>
    <n v="1.0041789471848237"/>
    <n v="328.88780626177669"/>
    <n v="437.17736888573756"/>
    <n v="393.4596319971638"/>
    <n v="402.36208079252452"/>
    <n v="315.35262761174585"/>
    <n v="69.106153281532414"/>
    <n v="679.23853415182384"/>
    <n v="221.38433155289479"/>
    <n v="660.19545109638432"/>
    <n v="1133.8403847550246"/>
    <m/>
    <n v="6005.2005143285196"/>
  </r>
  <r>
    <x v="43"/>
    <n v="3.4119999999999999"/>
    <n v="8.4450448079905875"/>
    <n v="3.8276440000000003"/>
    <n v="255.98470495696014"/>
    <n v="14.517706400364593"/>
    <n v="14.469203493086036"/>
    <n v="18.309606000000002"/>
    <n v="11.06057973867571"/>
    <n v="1.0049842523554628"/>
    <n v="328.8220282652922"/>
    <n v="436.09062498560399"/>
    <n v="392.48156248704362"/>
    <n v="401.66829141523135"/>
    <n v="315.35292909326915"/>
    <n v="69.107843105692154"/>
    <n v="680.95361676514312"/>
    <n v="222.41911680256794"/>
    <n v="659.55875184885201"/>
    <n v="1134.813245113535"/>
    <m/>
    <n v="6084.0917371375544"/>
  </r>
  <r>
    <x v="44"/>
    <n v="3.4119999999999999"/>
    <n v="8.4472369485368102"/>
    <n v="3.8405910000000003"/>
    <n v="248.13617785818846"/>
    <n v="14.524426430171294"/>
    <n v="14.476057668414796"/>
    <n v="18.402593000000003"/>
    <n v="11.060542589174499"/>
    <n v="1.005789557526102"/>
    <n v="328.75626342449397"/>
    <n v="435.00388108547043"/>
    <n v="391.50349297692338"/>
    <n v="400.97450203793818"/>
    <n v="315.35323057508066"/>
    <n v="69.10953297117247"/>
    <n v="682.67302997548063"/>
    <n v="223.45873880155131"/>
    <n v="658.9226666405882"/>
    <n v="1135.7869402079475"/>
    <m/>
    <n v="6164.0193658120461"/>
  </r>
  <r>
    <x v="45"/>
    <n v="3.4119999999999999"/>
    <n v="8.4494290890830328"/>
    <n v="3.8535380000000004"/>
    <n v="240.52828770540347"/>
    <n v="14.531146459977995"/>
    <n v="14.482911843743556"/>
    <n v="18.495580000000004"/>
    <n v="11.060505439673289"/>
    <n v="1.0065948626967411"/>
    <n v="328.69051173675098"/>
    <n v="433.91713718533686"/>
    <n v="390.5254234668032"/>
    <n v="400.28071266064501"/>
    <n v="315.35353205718042"/>
    <n v="69.111222877974356"/>
    <n v="684.39678471762738"/>
    <n v="224.50322015757334"/>
    <n v="658.28719487940702"/>
    <n v="1136.7614707544849"/>
    <m/>
    <n v="6244.9970157718099"/>
  </r>
  <r>
    <x v="46"/>
    <n v="3.4119999999999999"/>
    <n v="8.4516212296292554"/>
    <n v="3.8664850000000004"/>
    <n v="233.15365653595757"/>
    <n v="14.537866489784696"/>
    <n v="14.489766019072317"/>
    <n v="18.588567000000005"/>
    <n v="11.060468290172079"/>
    <n v="1.0074001678673803"/>
    <n v="328.62477319943252"/>
    <n v="432.83039328520329"/>
    <n v="389.54735395668297"/>
    <n v="399.58692328335184"/>
    <n v="315.35383353956837"/>
    <n v="69.112912826098835"/>
    <n v="686.12489195398507"/>
    <n v="225.55258358403458"/>
    <n v="657.65233597369388"/>
    <n v="1137.7368374699838"/>
    <m/>
    <n v="6327.0384813044739"/>
  </r>
  <r>
    <x v="47"/>
    <n v="3.4119999999999999"/>
    <n v="8.4538133701754781"/>
    <n v="3.8794320000000004"/>
    <n v="226.00513259657671"/>
    <n v="14.544586519591396"/>
    <n v="14.496620194401077"/>
    <n v="18.681554000000006"/>
    <n v="11.060431140670868"/>
    <n v="1.0082054730380194"/>
    <n v="328.55904780990846"/>
    <n v="431.74364938506972"/>
    <n v="388.56928444656273"/>
    <n v="398.89313390605867"/>
    <n v="315.35413502224458"/>
    <n v="69.114602815546931"/>
    <n v="687.85736267463608"/>
    <n v="226.60685190050145"/>
    <n v="657.01808933240477"/>
    <n v="1138.7130410718958"/>
    <m/>
    <n v="6409.28998156143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16">
  <r>
    <x v="0"/>
    <n v="1"/>
    <n v="67665.381999999998"/>
    <n v="4.2694402357305536"/>
    <n v="4.2694402357305536"/>
    <n v="4.2694402357305536"/>
    <n v="32.33"/>
    <n v="137.46726172000001"/>
    <n v="137.46726172000001"/>
    <n v="54.251201142137106"/>
    <n v="24875"/>
    <n v="25047"/>
    <n v="5307.0153343999991"/>
    <n v="5307.0153343999991"/>
    <n v="1166.2"/>
    <n v="0"/>
    <n v="4200"/>
    <n v="1161"/>
    <n v="2720.2163618090453"/>
  </r>
  <r>
    <x v="0"/>
    <n v="2"/>
    <n v="48370.396000000001"/>
    <n v="4.2694402357305536"/>
    <n v="4.2694402357305536"/>
    <n v="4.2694402357305536"/>
    <n v="29.81"/>
    <n v="137.46726172000001"/>
    <n v="137.46726172000001"/>
    <n v="54.251201142137106"/>
    <n v="24889"/>
    <n v="24889"/>
    <n v="5307.0153343999991"/>
    <n v="5307.0153343999991"/>
    <n v="765.75"/>
    <n v="0"/>
    <n v="4200"/>
    <n v="1161"/>
    <n v="1943.4447346217205"/>
  </r>
  <r>
    <x v="0"/>
    <n v="3"/>
    <n v="40526.144999999997"/>
    <n v="4.2694402357305536"/>
    <n v="4.2694402357305536"/>
    <n v="4.2694402357305536"/>
    <n v="30.29"/>
    <n v="137.46726172000001"/>
    <n v="137.46726172000001"/>
    <n v="54.251201142137106"/>
    <n v="24831"/>
    <n v="24831"/>
    <n v="5307.0153343999991"/>
    <n v="5307.0153343999991"/>
    <n v="615.5"/>
    <n v="0"/>
    <n v="4200"/>
    <n v="1161"/>
    <n v="1632.0786516853932"/>
  </r>
  <r>
    <x v="0"/>
    <n v="4"/>
    <n v="33911.436999999998"/>
    <n v="4.2694402357305536"/>
    <n v="4.2694402357305536"/>
    <n v="4.2694402357305536"/>
    <n v="30.29"/>
    <n v="137.46726172000001"/>
    <n v="137.46726172000001"/>
    <n v="54.293751553782627"/>
    <n v="24926"/>
    <n v="24926"/>
    <n v="5307.0153343999991"/>
    <n v="5307.0153343999991"/>
    <n v="446"/>
    <n v="15.9"/>
    <n v="4200"/>
    <n v="1161"/>
    <n v="1360.4845141619194"/>
  </r>
  <r>
    <x v="0"/>
    <n v="5"/>
    <n v="22584.976999999999"/>
    <n v="4.2694402357305536"/>
    <n v="4.2694402357305536"/>
    <n v="4.2694402357305536"/>
    <n v="30.05"/>
    <n v="137.46726172000001"/>
    <n v="137.46726172000001"/>
    <n v="54.293751553782627"/>
    <n v="24855"/>
    <n v="24855"/>
    <n v="5307.0153343999991"/>
    <n v="5307.0153343999991"/>
    <n v="123.45"/>
    <n v="46.15"/>
    <n v="4200"/>
    <n v="1161"/>
    <n v="908.66936230134775"/>
  </r>
  <r>
    <x v="0"/>
    <n v="6"/>
    <n v="21531.978999999999"/>
    <n v="4.2694402357305536"/>
    <n v="4.2694402357305536"/>
    <n v="4.2694402357305536"/>
    <n v="30.62"/>
    <n v="137.46726172000001"/>
    <n v="137.46726172000001"/>
    <n v="54.293751553782627"/>
    <n v="24894"/>
    <n v="24894"/>
    <n v="5307.0153343999991"/>
    <n v="5307.0153343999991"/>
    <n v="35.799999999999997"/>
    <n v="111.05"/>
    <n v="4200"/>
    <n v="1161"/>
    <n v="864.94653330119706"/>
  </r>
  <r>
    <x v="0"/>
    <n v="7"/>
    <n v="23510.444"/>
    <n v="4.2694402357305536"/>
    <n v="4.2694402357305536"/>
    <n v="4.2694402357305536"/>
    <n v="30.76"/>
    <n v="137.46726172000001"/>
    <n v="137.46726172000001"/>
    <n v="54.327880974651315"/>
    <n v="24842"/>
    <n v="24842"/>
    <n v="5307.0153343999991"/>
    <n v="5307.0153343999991"/>
    <n v="0"/>
    <n v="231.45"/>
    <n v="4200"/>
    <n v="1161"/>
    <n v="946.39900169068517"/>
  </r>
  <r>
    <x v="0"/>
    <n v="8"/>
    <n v="24666.491999999998"/>
    <n v="4.2694402357305536"/>
    <n v="4.2694402357305536"/>
    <n v="4.2694402357305536"/>
    <n v="29.48"/>
    <n v="137.46726172000001"/>
    <n v="137.46726172000001"/>
    <n v="54.327880974651315"/>
    <n v="24944"/>
    <n v="24944"/>
    <n v="5307.0153343999991"/>
    <n v="5307.0153343999991"/>
    <n v="0"/>
    <n v="292.2"/>
    <n v="4200"/>
    <n v="1161"/>
    <n v="988.87475946119298"/>
  </r>
  <r>
    <x v="0"/>
    <n v="9"/>
    <n v="23772.642"/>
    <n v="4.2694402357305536"/>
    <n v="4.2694402357305536"/>
    <n v="4.2694402357305536"/>
    <n v="30.62"/>
    <n v="137.46726172000001"/>
    <n v="137.46726172000001"/>
    <n v="54.327880974651315"/>
    <n v="24781"/>
    <n v="24781"/>
    <n v="5307.0153343999991"/>
    <n v="5307.0153343999991"/>
    <n v="13.8"/>
    <n v="210.45"/>
    <n v="4200"/>
    <n v="1161"/>
    <n v="959.30922884467941"/>
  </r>
  <r>
    <x v="0"/>
    <n v="10"/>
    <n v="23675.131000000001"/>
    <n v="4.2694402357305536"/>
    <n v="4.2694402357305536"/>
    <n v="4.2694402357305536"/>
    <n v="29.67"/>
    <n v="137.46726172000001"/>
    <n v="137.46726172000001"/>
    <n v="54.362062230065987"/>
    <n v="24912"/>
    <n v="24912"/>
    <n v="5307.0153343999991"/>
    <n v="5307.0153343999991"/>
    <n v="212.8"/>
    <n v="26.5"/>
    <n v="4200"/>
    <n v="1161"/>
    <n v="950.35047366730896"/>
  </r>
  <r>
    <x v="0"/>
    <n v="11"/>
    <n v="30818.775000000001"/>
    <n v="4.2694402357305536"/>
    <n v="4.2694402357305536"/>
    <n v="4.2694402357305536"/>
    <n v="30"/>
    <n v="137.46726172000001"/>
    <n v="137.46726172000001"/>
    <n v="54.362062230065987"/>
    <n v="24830"/>
    <n v="24830"/>
    <n v="5307.0153343999991"/>
    <n v="5307.0153343999991"/>
    <n v="411.3"/>
    <n v="1.3"/>
    <n v="4200"/>
    <n v="1161"/>
    <n v="1241.1910994764398"/>
  </r>
  <r>
    <x v="0"/>
    <n v="12"/>
    <n v="34312.605000000003"/>
    <n v="4.2694402357305536"/>
    <n v="4.2694402357305536"/>
    <n v="4.2694402357305536"/>
    <n v="31.43"/>
    <n v="137.46726172000001"/>
    <n v="137.46726172000001"/>
    <n v="54.362062230065987"/>
    <n v="24867"/>
    <n v="24867"/>
    <n v="5307.0153343999991"/>
    <n v="5307.0153343999991"/>
    <n v="466.2"/>
    <n v="0"/>
    <n v="4200"/>
    <n v="1161"/>
    <n v="1379.844975268428"/>
  </r>
  <r>
    <x v="1"/>
    <n v="1"/>
    <n v="56660.32"/>
    <n v="4.457008293679027"/>
    <n v="4.457008293679027"/>
    <n v="4.457008293679027"/>
    <n v="32.380000000000003"/>
    <n v="137.00631435"/>
    <n v="137.00631435"/>
    <n v="54.213862844781623"/>
    <n v="24971"/>
    <n v="24971"/>
    <n v="5439.2694249999995"/>
    <n v="5439.2694249999995"/>
    <n v="940"/>
    <n v="0"/>
    <n v="4200"/>
    <n v="1161"/>
    <n v="2269.0448920748072"/>
  </r>
  <r>
    <x v="1"/>
    <n v="2"/>
    <n v="45676.182000000001"/>
    <n v="4.457008293679027"/>
    <n v="4.457008293679027"/>
    <n v="4.457008293679027"/>
    <n v="29.9"/>
    <n v="137.00631435"/>
    <n v="137.00631435"/>
    <n v="54.213862844781623"/>
    <n v="24899"/>
    <n v="24899"/>
    <n v="5439.2694249999995"/>
    <n v="5439.2694249999995"/>
    <n v="737.6"/>
    <n v="0"/>
    <n v="4200"/>
    <n v="1161"/>
    <n v="1834.458492308928"/>
  </r>
  <r>
    <x v="1"/>
    <n v="3"/>
    <n v="42476.214999999997"/>
    <n v="4.457008293679027"/>
    <n v="4.457008293679027"/>
    <n v="4.457008293679027"/>
    <n v="30.52"/>
    <n v="137.00631435"/>
    <n v="137.00631435"/>
    <n v="54.213862844781623"/>
    <n v="24947"/>
    <n v="24947"/>
    <n v="5439.2694249999995"/>
    <n v="5439.2694249999995"/>
    <n v="646.85"/>
    <n v="0"/>
    <n v="4200"/>
    <n v="1161"/>
    <n v="1702.6582354591733"/>
  </r>
  <r>
    <x v="1"/>
    <n v="4"/>
    <n v="31881.811000000002"/>
    <n v="4.457008293679027"/>
    <n v="4.457008293679027"/>
    <n v="4.457008293679027"/>
    <n v="30.57"/>
    <n v="137.00631435"/>
    <n v="137.00631435"/>
    <n v="54.247917948715767"/>
    <n v="25219"/>
    <n v="25219"/>
    <n v="5439.2694249999995"/>
    <n v="5439.2694249999995"/>
    <n v="364.1"/>
    <n v="18.45"/>
    <n v="4200"/>
    <n v="1161"/>
    <n v="1264.1980649510292"/>
  </r>
  <r>
    <x v="1"/>
    <n v="5"/>
    <n v="23385.346000000001"/>
    <n v="4.457008293679027"/>
    <n v="4.457008293679027"/>
    <n v="4.457008293679027"/>
    <n v="29.57"/>
    <n v="137.00631435"/>
    <n v="137.00631435"/>
    <n v="54.247917948715767"/>
    <n v="24922"/>
    <n v="24922"/>
    <n v="5439.2694249999995"/>
    <n v="5439.2694249999995"/>
    <n v="152.44999999999999"/>
    <n v="65.7"/>
    <n v="4200"/>
    <n v="1161"/>
    <n v="938.34146537196057"/>
  </r>
  <r>
    <x v="1"/>
    <n v="6"/>
    <n v="24994.634999999998"/>
    <n v="4.457008293679027"/>
    <n v="4.457008293679027"/>
    <n v="4.457008293679027"/>
    <n v="30.67"/>
    <n v="137.00631435"/>
    <n v="137.00631435"/>
    <n v="54.247917948715767"/>
    <n v="24895"/>
    <n v="24895"/>
    <n v="5439.2694249999995"/>
    <n v="5439.2694249999995"/>
    <n v="75.400000000000006"/>
    <n v="170.6"/>
    <n v="4200"/>
    <n v="1161"/>
    <n v="1004.0022092789716"/>
  </r>
  <r>
    <x v="1"/>
    <n v="7"/>
    <n v="26397.615000000002"/>
    <n v="4.457008293679027"/>
    <n v="4.457008293679027"/>
    <n v="4.457008293679027"/>
    <n v="30.67"/>
    <n v="137.00631435"/>
    <n v="137.00631435"/>
    <n v="54.264129727456734"/>
    <n v="24925"/>
    <n v="24925"/>
    <n v="5439.2694249999995"/>
    <n v="5439.2694249999995"/>
    <n v="0.5"/>
    <n v="315.60000000000002"/>
    <n v="4200"/>
    <n v="1161"/>
    <n v="1059.08184553661"/>
  </r>
  <r>
    <x v="1"/>
    <n v="8"/>
    <n v="26577.752"/>
    <n v="4.457008293679027"/>
    <n v="4.457008293679027"/>
    <n v="4.457008293679027"/>
    <n v="29.48"/>
    <n v="137.00631435"/>
    <n v="137.00631435"/>
    <n v="54.264129727456734"/>
    <n v="24871"/>
    <n v="24871"/>
    <n v="5439.2694249999995"/>
    <n v="5439.2694249999995"/>
    <n v="0"/>
    <n v="351.2"/>
    <n v="4200"/>
    <n v="1161"/>
    <n v="1068.6241807727877"/>
  </r>
  <r>
    <x v="1"/>
    <n v="9"/>
    <n v="25213.136999999999"/>
    <n v="4.457008293679027"/>
    <n v="4.457008293679027"/>
    <n v="4.457008293679027"/>
    <n v="30.76"/>
    <n v="137.00631435"/>
    <n v="137.00631435"/>
    <n v="54.264129727456734"/>
    <n v="24908"/>
    <n v="24908"/>
    <n v="5439.2694249999995"/>
    <n v="5439.2694249999995"/>
    <n v="0.6"/>
    <n v="291"/>
    <n v="4200"/>
    <n v="1161"/>
    <n v="1012.2505620684117"/>
  </r>
  <r>
    <x v="1"/>
    <n v="10"/>
    <n v="21787.68"/>
    <n v="4.457008293679027"/>
    <n v="4.457008293679027"/>
    <n v="4.457008293679027"/>
    <n v="29.52"/>
    <n v="137.00631435"/>
    <n v="137.00631435"/>
    <n v="54.280309153488886"/>
    <n v="24823"/>
    <n v="24823"/>
    <n v="5439.2694249999995"/>
    <n v="5439.2694249999995"/>
    <n v="57.85"/>
    <n v="130.1"/>
    <n v="4200"/>
    <n v="1161"/>
    <n v="877.72146799339328"/>
  </r>
  <r>
    <x v="1"/>
    <n v="11"/>
    <n v="30160.736000000001"/>
    <n v="4.457008293679027"/>
    <n v="4.457008293679027"/>
    <n v="4.457008293679027"/>
    <n v="29.43"/>
    <n v="137.00631435"/>
    <n v="137.00631435"/>
    <n v="54.280309153488886"/>
    <n v="24875"/>
    <n v="24875"/>
    <n v="5439.2694249999995"/>
    <n v="5439.2694249999995"/>
    <n v="381.6"/>
    <n v="7.95"/>
    <n v="4200"/>
    <n v="1161"/>
    <n v="1212.4918994974873"/>
  </r>
  <r>
    <x v="1"/>
    <n v="12"/>
    <n v="50281.696000000004"/>
    <n v="4.457008293679027"/>
    <n v="4.457008293679027"/>
    <n v="4.457008293679027"/>
    <n v="32.049999999999997"/>
    <n v="137.00631435"/>
    <n v="137.00631435"/>
    <n v="54.280309153488886"/>
    <n v="25002"/>
    <n v="25002"/>
    <n v="5439.2694249999995"/>
    <n v="5439.2694249999995"/>
    <n v="783.25"/>
    <n v="0.4"/>
    <n v="4200"/>
    <n v="1161"/>
    <n v="2011.1069514438848"/>
  </r>
  <r>
    <x v="2"/>
    <n v="1"/>
    <n v="59768.093999999997"/>
    <n v="4.5960275764781944"/>
    <n v="4.5960275764781944"/>
    <n v="4.5960275764781944"/>
    <n v="33.33"/>
    <n v="136.90320320000001"/>
    <n v="136.90320320000001"/>
    <n v="54.255659280763957"/>
    <n v="25043"/>
    <n v="25043"/>
    <n v="5627.1096796000011"/>
    <n v="5627.1096796000011"/>
    <n v="952.8"/>
    <n v="0"/>
    <n v="4200"/>
    <n v="1161"/>
    <n v="2386.6187757057855"/>
  </r>
  <r>
    <x v="2"/>
    <n v="2"/>
    <n v="61834.421000000002"/>
    <n v="4.5960275764781944"/>
    <n v="4.5960275764781944"/>
    <n v="4.5960275764781944"/>
    <n v="31"/>
    <n v="136.90320320000001"/>
    <n v="136.90320320000001"/>
    <n v="54.255659280763957"/>
    <n v="24961"/>
    <n v="24961"/>
    <n v="5627.1096796000011"/>
    <n v="5627.1096796000011"/>
    <n v="1011.95"/>
    <n v="0"/>
    <n v="4200"/>
    <n v="1161"/>
    <n v="2477.2413364849167"/>
  </r>
  <r>
    <x v="2"/>
    <n v="3"/>
    <n v="41063.025000000001"/>
    <n v="4.5960275764781944"/>
    <n v="4.5960275764781944"/>
    <n v="4.5960275764781944"/>
    <n v="31.19"/>
    <n v="136.90320320000001"/>
    <n v="136.90320320000001"/>
    <n v="54.255659280763957"/>
    <n v="25008"/>
    <n v="25008"/>
    <n v="5627.1096796000011"/>
    <n v="5627.1096796000011"/>
    <n v="582.70000000000005"/>
    <n v="0"/>
    <n v="4200"/>
    <n v="1161"/>
    <n v="1641.9955614203457"/>
  </r>
  <r>
    <x v="2"/>
    <n v="4"/>
    <n v="28504.602999999999"/>
    <n v="4.5960275764781944"/>
    <n v="4.5960275764781944"/>
    <n v="4.5960275764781944"/>
    <n v="31"/>
    <n v="136.90320320000001"/>
    <n v="136.90320320000001"/>
    <n v="54.271815178016361"/>
    <n v="24883"/>
    <n v="24883"/>
    <n v="5627.1096796000011"/>
    <n v="5627.1096796000011"/>
    <n v="343.25"/>
    <n v="0.15"/>
    <n v="4200"/>
    <n v="1161"/>
    <n v="1145.5452718723627"/>
  </r>
  <r>
    <x v="2"/>
    <n v="5"/>
    <n v="22632.107"/>
    <n v="4.5960275764781944"/>
    <n v="4.5960275764781944"/>
    <n v="4.5960275764781944"/>
    <n v="31.48"/>
    <n v="136.90320320000001"/>
    <n v="136.90320320000001"/>
    <n v="54.271815178016361"/>
    <n v="24916"/>
    <n v="24916"/>
    <n v="5627.1096796000011"/>
    <n v="5627.1096796000011"/>
    <n v="116.95"/>
    <n v="25.3"/>
    <n v="4200"/>
    <n v="1161"/>
    <n v="908.33628993417881"/>
  </r>
  <r>
    <x v="2"/>
    <n v="6"/>
    <n v="21082.337"/>
    <n v="4.5960275764781944"/>
    <n v="4.5960275764781944"/>
    <n v="4.5960275764781944"/>
    <n v="31.52"/>
    <n v="136.90320320000001"/>
    <n v="136.90320320000001"/>
    <n v="54.271815178016361"/>
    <n v="24844"/>
    <n v="24844"/>
    <n v="5627.1096796000011"/>
    <n v="5627.1096796000011"/>
    <n v="47.1"/>
    <n v="76.3"/>
    <n v="4200"/>
    <n v="1161"/>
    <n v="848.58867332152636"/>
  </r>
  <r>
    <x v="2"/>
    <n v="7"/>
    <n v="24175.991999999998"/>
    <n v="4.5960275764781944"/>
    <n v="4.5960275764781944"/>
    <n v="4.5960275764781944"/>
    <n v="31.67"/>
    <n v="136.90320320000001"/>
    <n v="136.90320320000001"/>
    <n v="54.283273347663453"/>
    <n v="24919"/>
    <n v="24919"/>
    <n v="5627.1096796000011"/>
    <n v="5627.1096796000011"/>
    <n v="2.95"/>
    <n v="226.05"/>
    <n v="4200"/>
    <n v="1161"/>
    <n v="970.18307315702873"/>
  </r>
  <r>
    <x v="2"/>
    <n v="8"/>
    <n v="24922.491000000002"/>
    <n v="4.5960275764781944"/>
    <n v="4.5960275764781944"/>
    <n v="4.5960275764781944"/>
    <n v="30.48"/>
    <n v="136.90320320000001"/>
    <n v="136.90320320000001"/>
    <n v="54.283273347663453"/>
    <n v="24885"/>
    <n v="24885"/>
    <n v="5627.1096796000011"/>
    <n v="5627.1096796000011"/>
    <n v="0"/>
    <n v="267.85000000000002"/>
    <n v="4200"/>
    <n v="1161"/>
    <n v="1001.506570223026"/>
  </r>
  <r>
    <x v="2"/>
    <n v="9"/>
    <n v="24919.145"/>
    <n v="4.5960275764781944"/>
    <n v="4.5960275764781944"/>
    <n v="4.5960275764781944"/>
    <n v="31.86"/>
    <n v="136.90320320000001"/>
    <n v="136.90320320000001"/>
    <n v="54.283273347663453"/>
    <n v="24948"/>
    <n v="24948"/>
    <n v="5627.1096796000011"/>
    <n v="5627.1096796000011"/>
    <n v="5.7"/>
    <n v="233.2"/>
    <n v="4200"/>
    <n v="1161"/>
    <n v="998.84339426006102"/>
  </r>
  <r>
    <x v="2"/>
    <n v="10"/>
    <n v="23270.409"/>
    <n v="4.5960275764781944"/>
    <n v="4.5960275764781944"/>
    <n v="4.5960275764781944"/>
    <n v="30.38"/>
    <n v="136.90320320000001"/>
    <n v="136.90320320000001"/>
    <n v="54.294699486399168"/>
    <n v="24894"/>
    <n v="24894"/>
    <n v="5627.1096796000011"/>
    <n v="5627.1096796000011"/>
    <n v="165.15"/>
    <n v="29.65"/>
    <n v="4200"/>
    <n v="1161"/>
    <n v="934.77982646420821"/>
  </r>
  <r>
    <x v="2"/>
    <n v="11"/>
    <n v="27704.371999999999"/>
    <n v="4.5960275764781944"/>
    <n v="4.5960275764781944"/>
    <n v="4.5960275764781944"/>
    <n v="30.62"/>
    <n v="136.90320320000001"/>
    <n v="136.90320320000001"/>
    <n v="54.294699486399168"/>
    <n v="24934"/>
    <n v="24934"/>
    <n v="5627.1096796000011"/>
    <n v="5627.1096796000011"/>
    <n v="292.64999999999998"/>
    <n v="5.7"/>
    <n v="4200"/>
    <n v="1161"/>
    <n v="1111.1082056629502"/>
  </r>
  <r>
    <x v="2"/>
    <n v="12"/>
    <n v="47374.228999999999"/>
    <n v="4.5960275764781944"/>
    <n v="4.5960275764781944"/>
    <n v="4.5960275764781944"/>
    <n v="32.81"/>
    <n v="136.90320320000001"/>
    <n v="136.90320320000001"/>
    <n v="54.294699486399168"/>
    <n v="24992"/>
    <n v="24992"/>
    <n v="5627.1096796000011"/>
    <n v="5627.1096796000011"/>
    <n v="700.8"/>
    <n v="0.8"/>
    <n v="4200"/>
    <n v="1161"/>
    <n v="1895.5757442381562"/>
  </r>
  <r>
    <x v="3"/>
    <n v="1"/>
    <n v="60639.044000000002"/>
    <n v="5"/>
    <n v="5"/>
    <n v="5"/>
    <n v="32.450000000000003"/>
    <n v="136.53560364000001"/>
    <n v="136.53560364000001"/>
    <n v="54.160328957176063"/>
    <n v="25168"/>
    <n v="25168"/>
    <n v="6068.6703159999997"/>
    <n v="6068.6703159999997"/>
    <n v="969.7"/>
    <n v="0"/>
    <n v="4200"/>
    <n v="1161"/>
    <n v="2409.3707883026068"/>
  </r>
  <r>
    <x v="3"/>
    <n v="2"/>
    <n v="56523.472000000002"/>
    <n v="5"/>
    <n v="5"/>
    <n v="5"/>
    <n v="30.15"/>
    <n v="136.53560364000001"/>
    <n v="136.53560364000001"/>
    <n v="54.160328957176063"/>
    <n v="25037"/>
    <n v="25037"/>
    <n v="6068.6703159999997"/>
    <n v="6068.6703159999997"/>
    <n v="896.85"/>
    <n v="0"/>
    <n v="4200"/>
    <n v="1161"/>
    <n v="2257.5976354994605"/>
  </r>
  <r>
    <x v="3"/>
    <n v="3"/>
    <n v="41579.546000000002"/>
    <n v="5"/>
    <n v="5"/>
    <n v="5"/>
    <n v="30.05"/>
    <n v="136.53560364000001"/>
    <n v="136.53560364000001"/>
    <n v="54.160328957176063"/>
    <n v="25110"/>
    <n v="25110"/>
    <n v="6068.6703159999997"/>
    <n v="6068.6703159999997"/>
    <n v="597.20000000000005"/>
    <n v="0"/>
    <n v="4200"/>
    <n v="1161"/>
    <n v="1655.8958980485863"/>
  </r>
  <r>
    <x v="3"/>
    <n v="4"/>
    <n v="34693.141000000003"/>
    <n v="5"/>
    <n v="5"/>
    <n v="5"/>
    <n v="30.45"/>
    <n v="136.53560364000001"/>
    <n v="136.53560364000001"/>
    <n v="54.171700365960042"/>
    <n v="25001"/>
    <n v="25001"/>
    <n v="6068.6703159999997"/>
    <n v="6068.6703159999997"/>
    <n v="426.05"/>
    <n v="3.25"/>
    <n v="4200"/>
    <n v="1161"/>
    <n v="1387.6701331946724"/>
  </r>
  <r>
    <x v="3"/>
    <n v="5"/>
    <n v="23519.764999999999"/>
    <n v="5"/>
    <n v="5"/>
    <n v="5"/>
    <n v="29.8"/>
    <n v="136.53560364000001"/>
    <n v="136.53560364000001"/>
    <n v="54.171700365960042"/>
    <n v="24906"/>
    <n v="24906"/>
    <n v="6068.6703159999997"/>
    <n v="6068.6703159999997"/>
    <n v="141.65"/>
    <n v="64.3"/>
    <n v="4200"/>
    <n v="1161"/>
    <n v="944.34132337589335"/>
  </r>
  <r>
    <x v="3"/>
    <n v="6"/>
    <n v="22841.428"/>
    <n v="5"/>
    <n v="5"/>
    <n v="5"/>
    <n v="30.75"/>
    <n v="136.53560364000001"/>
    <n v="136.53560364000001"/>
    <n v="54.171700365960042"/>
    <n v="24942"/>
    <n v="24942"/>
    <n v="6068.6703159999997"/>
    <n v="6068.6703159999997"/>
    <n v="1.25"/>
    <n v="182.1"/>
    <n v="4200"/>
    <n v="1161"/>
    <n v="915.781733622003"/>
  </r>
  <r>
    <x v="3"/>
    <n v="7"/>
    <n v="25596.091"/>
    <n v="5"/>
    <n v="5"/>
    <n v="5"/>
    <n v="30.65"/>
    <n v="136.53560364000001"/>
    <n v="136.53560364000001"/>
    <n v="54.158806347652991"/>
    <n v="24933"/>
    <n v="24933"/>
    <n v="6068.6703159999997"/>
    <n v="6068.6703159999997"/>
    <n v="0"/>
    <n v="263.10000000000002"/>
    <n v="4200"/>
    <n v="1161"/>
    <n v="1026.5949143705132"/>
  </r>
  <r>
    <x v="3"/>
    <n v="8"/>
    <n v="24540.684000000001"/>
    <n v="5"/>
    <n v="5"/>
    <n v="5"/>
    <n v="29.55"/>
    <n v="136.53560364000001"/>
    <n v="136.53560364000001"/>
    <n v="54.158806347652991"/>
    <n v="24968"/>
    <n v="24968"/>
    <n v="6068.6703159999997"/>
    <n v="6068.6703159999997"/>
    <n v="4.6500000000000004"/>
    <n v="225.2"/>
    <n v="4200"/>
    <n v="1161"/>
    <n v="982.88545338032679"/>
  </r>
  <r>
    <x v="3"/>
    <n v="9"/>
    <n v="23452.226999999999"/>
    <n v="5"/>
    <n v="5"/>
    <n v="5"/>
    <n v="30.55"/>
    <n v="136.53560364000001"/>
    <n v="136.53560364000001"/>
    <n v="54.158806347652991"/>
    <n v="25014"/>
    <n v="25014"/>
    <n v="6068.6703159999997"/>
    <n v="6068.6703159999997"/>
    <n v="7.1"/>
    <n v="183.7"/>
    <n v="4200"/>
    <n v="1161"/>
    <n v="937.56404413528412"/>
  </r>
  <r>
    <x v="3"/>
    <n v="10"/>
    <n v="21765.412"/>
    <n v="5"/>
    <n v="5"/>
    <n v="5"/>
    <n v="29.65"/>
    <n v="136.53560364000001"/>
    <n v="136.53560364000001"/>
    <n v="54.145872756728998"/>
    <n v="25002"/>
    <n v="25002"/>
    <n v="6068.6703159999997"/>
    <n v="6068.6703159999997"/>
    <n v="77.599999999999994"/>
    <n v="46.4"/>
    <n v="4200"/>
    <n v="1161"/>
    <n v="870.54683625309985"/>
  </r>
  <r>
    <x v="3"/>
    <n v="11"/>
    <n v="26064.519"/>
    <n v="5"/>
    <n v="5"/>
    <n v="5"/>
    <n v="29.8"/>
    <n v="136.53560364000001"/>
    <n v="136.53560364000001"/>
    <n v="54.145872756728998"/>
    <n v="24958"/>
    <n v="24958"/>
    <n v="6068.6703159999997"/>
    <n v="6068.6703159999997"/>
    <n v="224.2"/>
    <n v="7.6"/>
    <n v="4200"/>
    <n v="1161"/>
    <n v="1044.3352432085903"/>
  </r>
  <r>
    <x v="3"/>
    <n v="12"/>
    <n v="44060.067999999999"/>
    <n v="5"/>
    <n v="5"/>
    <n v="5"/>
    <n v="31.5"/>
    <n v="136.53560364000001"/>
    <n v="136.53560364000001"/>
    <n v="54.145872756728998"/>
    <n v="25046"/>
    <n v="25046"/>
    <n v="6068.6703159999997"/>
    <n v="6068.6703159999997"/>
    <n v="632.54999999999995"/>
    <n v="0.35"/>
    <n v="4200"/>
    <n v="1161"/>
    <n v="1759.165854827118"/>
  </r>
  <r>
    <x v="4"/>
    <n v="1"/>
    <n v="54896.163999999997"/>
    <n v="5.1824420638157411"/>
    <n v="5.1824420638157411"/>
    <n v="5.1824420638157411"/>
    <n v="32.5"/>
    <n v="136.4876984"/>
    <n v="136.4876984"/>
    <n v="54.11395926821222"/>
    <n v="25114"/>
    <n v="25114"/>
    <n v="6844.5776646000004"/>
    <n v="6844.5776646000004"/>
    <n v="851.95"/>
    <n v="0"/>
    <n v="4200"/>
    <n v="1161"/>
    <n v="2185.8789519789757"/>
  </r>
  <r>
    <x v="4"/>
    <n v="2"/>
    <n v="52090.754000000001"/>
    <n v="5.1824420638157411"/>
    <n v="5.1824420638157411"/>
    <n v="5.1824420638157411"/>
    <n v="29.4"/>
    <n v="136.4876984"/>
    <n v="136.4876984"/>
    <n v="54.11395926821222"/>
    <n v="25024"/>
    <n v="25024"/>
    <n v="6844.5776646000004"/>
    <n v="6844.5776646000004"/>
    <n v="795.4"/>
    <n v="0"/>
    <n v="4200"/>
    <n v="1161"/>
    <n v="2081.631793478261"/>
  </r>
  <r>
    <x v="4"/>
    <n v="3"/>
    <n v="47630.163999999997"/>
    <n v="5.1824420638157411"/>
    <n v="5.1824420638157411"/>
    <n v="5.1824420638157411"/>
    <n v="29.7"/>
    <n v="136.4876984"/>
    <n v="136.4876984"/>
    <n v="54.11395926821222"/>
    <n v="25089"/>
    <n v="25089"/>
    <n v="6844.5776646000004"/>
    <n v="6844.5776646000004"/>
    <n v="714.2"/>
    <n v="0"/>
    <n v="4200"/>
    <n v="1161"/>
    <n v="1898.4480848180476"/>
  </r>
  <r>
    <x v="4"/>
    <n v="4"/>
    <n v="33481.283000000003"/>
    <n v="5.1824420638157411"/>
    <n v="5.1824420638157411"/>
    <n v="5.1824420638157411"/>
    <n v="30.5"/>
    <n v="136.4876984"/>
    <n v="136.4876984"/>
    <n v="54.101050214469069"/>
    <n v="24993"/>
    <n v="24993"/>
    <n v="6844.5776646000004"/>
    <n v="6844.5776646000004"/>
    <n v="376"/>
    <n v="0"/>
    <n v="4200"/>
    <n v="1161"/>
    <n v="1339.6264153963111"/>
  </r>
  <r>
    <x v="4"/>
    <n v="5"/>
    <n v="26821.596000000001"/>
    <n v="5.1824420638157411"/>
    <n v="5.1824420638157411"/>
    <n v="5.1824420638157411"/>
    <n v="28"/>
    <n v="136.4876984"/>
    <n v="136.4876984"/>
    <n v="54.101050214469069"/>
    <n v="24936"/>
    <n v="24936"/>
    <n v="6844.5776646000004"/>
    <n v="6844.5776646000004"/>
    <n v="260.60000000000002"/>
    <n v="8.65"/>
    <n v="4200"/>
    <n v="1161"/>
    <n v="1075.6174205967277"/>
  </r>
  <r>
    <x v="4"/>
    <n v="6"/>
    <n v="22552.79"/>
    <n v="5.1824420638157411"/>
    <n v="5.1824420638157411"/>
    <n v="5.1824420638157411"/>
    <n v="30.8"/>
    <n v="136.4876984"/>
    <n v="136.4876984"/>
    <n v="54.101050214469069"/>
    <n v="24829"/>
    <n v="24829"/>
    <n v="6844.5776646000004"/>
    <n v="6844.5776646000004"/>
    <n v="51.75"/>
    <n v="105.05"/>
    <n v="4200"/>
    <n v="1161"/>
    <n v="908.32453985259178"/>
  </r>
  <r>
    <x v="4"/>
    <n v="7"/>
    <n v="26773.837"/>
    <n v="5.1824420638157411"/>
    <n v="5.1824420638157411"/>
    <n v="5.1824420638157411"/>
    <n v="30.6"/>
    <n v="136.4876984"/>
    <n v="136.4876984"/>
    <n v="53.973736628632452"/>
    <n v="24936"/>
    <n v="24936"/>
    <n v="6844.5776646000004"/>
    <n v="6844.5776646000004"/>
    <n v="0"/>
    <n v="292.85000000000002"/>
    <n v="4200"/>
    <n v="1161"/>
    <n v="1073.7021575232595"/>
  </r>
  <r>
    <x v="4"/>
    <n v="8"/>
    <n v="27037.986000000001"/>
    <n v="5.1824420638157411"/>
    <n v="5.1824420638157411"/>
    <n v="5.1824420638157411"/>
    <n v="29.6"/>
    <n v="136.4876984"/>
    <n v="136.4876984"/>
    <n v="53.973736628632452"/>
    <n v="24951"/>
    <n v="24951"/>
    <n v="6844.5776646000004"/>
    <n v="6844.5776646000004"/>
    <n v="0"/>
    <n v="342.2"/>
    <n v="4200"/>
    <n v="1161"/>
    <n v="1083.6433810268127"/>
  </r>
  <r>
    <x v="4"/>
    <n v="9"/>
    <n v="26109.182000000001"/>
    <n v="5.1824420638157411"/>
    <n v="5.1824420638157411"/>
    <n v="5.1824420638157411"/>
    <n v="30.55"/>
    <n v="136.4876984"/>
    <n v="136.4876984"/>
    <n v="53.973736628632452"/>
    <n v="24920"/>
    <n v="24920"/>
    <n v="6844.5776646000004"/>
    <n v="6844.5776646000004"/>
    <n v="0"/>
    <n v="286.60000000000002"/>
    <n v="4200"/>
    <n v="1161"/>
    <n v="1047.7199839486357"/>
  </r>
  <r>
    <x v="4"/>
    <n v="10"/>
    <n v="21918.48"/>
    <n v="5.1824420638157411"/>
    <n v="5.1824420638157411"/>
    <n v="5.1824420638157411"/>
    <n v="29.75"/>
    <n v="136.4876984"/>
    <n v="136.4876984"/>
    <n v="53.846763260948102"/>
    <n v="24931"/>
    <n v="24931"/>
    <n v="6844.5776646000004"/>
    <n v="6844.5776646000004"/>
    <n v="41.3"/>
    <n v="117.2"/>
    <n v="4200"/>
    <n v="1161"/>
    <n v="879.16569732461596"/>
  </r>
  <r>
    <x v="4"/>
    <n v="11"/>
    <n v="30963.686000000002"/>
    <n v="5.1824420638157411"/>
    <n v="5.1824420638157411"/>
    <n v="5.1824420638157411"/>
    <n v="29.75"/>
    <n v="136.4876984"/>
    <n v="136.4876984"/>
    <n v="53.846763260948102"/>
    <n v="24896"/>
    <n v="24896"/>
    <n v="6844.5776646000004"/>
    <n v="6844.5776646000004"/>
    <n v="364.3"/>
    <n v="6.9"/>
    <n v="4200"/>
    <n v="1161"/>
    <n v="1243.7213206940874"/>
  </r>
  <r>
    <x v="4"/>
    <n v="12"/>
    <n v="50418.582999999999"/>
    <n v="5.1824420638157411"/>
    <n v="5.1824420638157411"/>
    <n v="5.1824420638157411"/>
    <n v="32.4"/>
    <n v="136.4876984"/>
    <n v="136.4876984"/>
    <n v="53.846763260948102"/>
    <n v="25007"/>
    <n v="25007"/>
    <n v="6844.5776646000004"/>
    <n v="6844.5776646000004"/>
    <n v="745.05"/>
    <n v="0.55000000000000004"/>
    <n v="4200"/>
    <n v="1161"/>
    <n v="2016.1787899388171"/>
  </r>
  <r>
    <x v="5"/>
    <n v="1"/>
    <n v="54843.745999999999"/>
    <n v="5.7326028990148874"/>
    <n v="5.7326028990148874"/>
    <n v="5.7326028990148874"/>
    <n v="33.25"/>
    <n v="136.53987325"/>
    <n v="136.53987325"/>
    <n v="53.74058746790142"/>
    <n v="25083"/>
    <n v="25083"/>
    <n v="6988.4148658000004"/>
    <n v="6988.4148658000004"/>
    <n v="844"/>
    <n v="0"/>
    <n v="4200"/>
    <n v="1161"/>
    <n v="2186.4906909061915"/>
  </r>
  <r>
    <x v="5"/>
    <n v="2"/>
    <n v="47754.608"/>
    <n v="5.7326028990148874"/>
    <n v="5.7326028990148874"/>
    <n v="5.7326028990148874"/>
    <n v="29.35"/>
    <n v="136.53987325"/>
    <n v="136.53987325"/>
    <n v="53.74058746790142"/>
    <n v="24922"/>
    <n v="24922"/>
    <n v="6988.4148658000004"/>
    <n v="6988.4148658000004"/>
    <n v="743.45"/>
    <n v="0"/>
    <n v="4200"/>
    <n v="1161"/>
    <n v="1916.1627477730519"/>
  </r>
  <r>
    <x v="5"/>
    <n v="3"/>
    <n v="44814.692999999999"/>
    <n v="5.7326028990148874"/>
    <n v="5.7326028990148874"/>
    <n v="5.7326028990148874"/>
    <n v="29.45"/>
    <n v="136.53987325"/>
    <n v="136.53987325"/>
    <n v="53.74058746790142"/>
    <n v="24999"/>
    <n v="24999"/>
    <n v="6988.4148658000004"/>
    <n v="6988.4148658000004"/>
    <n v="652.6"/>
    <n v="0"/>
    <n v="4200"/>
    <n v="1161"/>
    <n v="1792.6594263770551"/>
  </r>
  <r>
    <x v="5"/>
    <n v="4"/>
    <n v="33991.652000000002"/>
    <n v="5.7326028990148874"/>
    <n v="5.7326028990148874"/>
    <n v="5.7326028990148874"/>
    <n v="30"/>
    <n v="136.53987325"/>
    <n v="136.53987325"/>
    <n v="53.614122482385682"/>
    <n v="24915"/>
    <n v="24915"/>
    <n v="6988.4148658000004"/>
    <n v="6988.4148658000004"/>
    <n v="384.4"/>
    <n v="7"/>
    <n v="4200"/>
    <n v="1161"/>
    <n v="1364.3047160345175"/>
  </r>
  <r>
    <x v="5"/>
    <n v="5"/>
    <n v="23660.545999999998"/>
    <n v="5.7326028990148874"/>
    <n v="5.7326028990148874"/>
    <n v="5.7326028990148874"/>
    <n v="30.95"/>
    <n v="136.53987325"/>
    <n v="136.53987325"/>
    <n v="53.614122482385682"/>
    <n v="24979"/>
    <n v="24979"/>
    <n v="6988.4148658000004"/>
    <n v="6988.4148658000004"/>
    <n v="164.85"/>
    <n v="13.15"/>
    <n v="4200"/>
    <n v="1161"/>
    <n v="947.21750270226994"/>
  </r>
  <r>
    <x v="5"/>
    <n v="6"/>
    <n v="24293.012999999999"/>
    <n v="5.7326028990148874"/>
    <n v="5.7326028990148874"/>
    <n v="5.7326028990148874"/>
    <n v="31.35"/>
    <n v="136.53987325"/>
    <n v="136.53987325"/>
    <n v="53.614122482385682"/>
    <n v="24937"/>
    <n v="24937"/>
    <n v="6988.4148658000004"/>
    <n v="6988.4148658000004"/>
    <n v="70.55"/>
    <n v="122.7"/>
    <n v="4200"/>
    <n v="1161"/>
    <n v="974.17544211412758"/>
  </r>
  <r>
    <x v="5"/>
    <n v="7"/>
    <n v="25697.185000000001"/>
    <n v="5.7326028990148874"/>
    <n v="5.7326028990148874"/>
    <n v="5.7326028990148874"/>
    <n v="30.75"/>
    <n v="136.53987325"/>
    <n v="136.53987325"/>
    <n v="53.533289120130853"/>
    <n v="24926"/>
    <n v="24926"/>
    <n v="6988.4148658000004"/>
    <n v="6988.4148658000004"/>
    <n v="0.7"/>
    <n v="260.5"/>
    <n v="4200"/>
    <n v="1161"/>
    <n v="1030.9389793789619"/>
  </r>
  <r>
    <x v="5"/>
    <n v="8"/>
    <n v="27773.008000000002"/>
    <n v="5.7326028990148874"/>
    <n v="5.7326028990148874"/>
    <n v="5.7326028990148874"/>
    <n v="29.5"/>
    <n v="136.53987325"/>
    <n v="136.53987325"/>
    <n v="53.533289120130853"/>
    <n v="24942"/>
    <n v="24942"/>
    <n v="6988.4148658000004"/>
    <n v="6988.4148658000004"/>
    <n v="0"/>
    <n v="359.5"/>
    <n v="4200"/>
    <n v="1161"/>
    <n v="1113.5036484644377"/>
  </r>
  <r>
    <x v="5"/>
    <n v="9"/>
    <n v="24726.316999999999"/>
    <n v="5.7326028990148874"/>
    <n v="5.7326028990148874"/>
    <n v="5.7326028990148874"/>
    <n v="30.55"/>
    <n v="136.53987325"/>
    <n v="136.53987325"/>
    <n v="53.533289120130853"/>
    <n v="24933"/>
    <n v="24933"/>
    <n v="6988.4148658000004"/>
    <n v="6988.4148658000004"/>
    <n v="10.050000000000001"/>
    <n v="222"/>
    <n v="4200"/>
    <n v="1161"/>
    <n v="991.71046404363699"/>
  </r>
  <r>
    <x v="5"/>
    <n v="10"/>
    <n v="23672.190999999999"/>
    <n v="5.7326028990148874"/>
    <n v="5.7326028990148874"/>
    <n v="5.7326028990148874"/>
    <n v="29.75"/>
    <n v="136.53987325"/>
    <n v="136.53987325"/>
    <n v="53.452578908992784"/>
    <n v="24871"/>
    <n v="24871"/>
    <n v="6988.4148658000004"/>
    <n v="6988.4148658000004"/>
    <n v="177.25"/>
    <n v="19.5"/>
    <n v="4200"/>
    <n v="1161"/>
    <n v="951.79892243978929"/>
  </r>
  <r>
    <x v="5"/>
    <n v="11"/>
    <n v="34818.925000000003"/>
    <n v="5.7326028990148874"/>
    <n v="5.7326028990148874"/>
    <n v="5.7326028990148874"/>
    <n v="29.75"/>
    <n v="136.53987325"/>
    <n v="136.53987325"/>
    <n v="53.452578908992784"/>
    <n v="24865"/>
    <n v="24865"/>
    <n v="6988.4148658000004"/>
    <n v="6988.4148658000004"/>
    <n v="472.15"/>
    <n v="0.65"/>
    <n v="4200"/>
    <n v="1161"/>
    <n v="1400.3187210939072"/>
  </r>
  <r>
    <x v="5"/>
    <n v="12"/>
    <n v="45382.892"/>
    <n v="5.7326028990148874"/>
    <n v="5.7326028990148874"/>
    <n v="5.7326028990148874"/>
    <n v="30.6"/>
    <n v="136.53987325"/>
    <n v="136.53987325"/>
    <n v="53.452578908992784"/>
    <n v="24885"/>
    <n v="24885"/>
    <n v="6988.4148658000004"/>
    <n v="6988.4148658000004"/>
    <n v="655.15"/>
    <n v="0"/>
    <n v="4200"/>
    <n v="1161"/>
    <n v="1823.7047217199115"/>
  </r>
  <r>
    <x v="6"/>
    <n v="1"/>
    <n v="50549.894"/>
    <n v="6.2826028990148872"/>
    <n v="6.2826028990148872"/>
    <n v="6.2826028990148872"/>
    <n v="33.35"/>
    <n v="136.74518583"/>
    <n v="136.74518583"/>
    <n v="53.452246748877094"/>
    <n v="24975"/>
    <n v="24975"/>
    <n v="7434.7625058000003"/>
    <n v="7434.7625058000003"/>
    <n v="737.45"/>
    <n v="0"/>
    <n v="4200"/>
    <n v="1161"/>
    <n v="2024.0197797797798"/>
  </r>
  <r>
    <x v="6"/>
    <n v="2"/>
    <n v="58658.097000000002"/>
    <n v="6.2826028990148872"/>
    <n v="6.2826028990148872"/>
    <n v="6.2826028990148872"/>
    <n v="29.35"/>
    <n v="136.74518583"/>
    <n v="136.74518583"/>
    <n v="53.452246748877094"/>
    <n v="24938"/>
    <n v="24938"/>
    <n v="7434.7625058000003"/>
    <n v="7434.7625058000003"/>
    <n v="938.3"/>
    <n v="0"/>
    <n v="4200"/>
    <n v="1161"/>
    <n v="2352.157229930227"/>
  </r>
  <r>
    <x v="6"/>
    <n v="3"/>
    <n v="46178.103000000003"/>
    <n v="6.2826028990148872"/>
    <n v="6.2826028990148872"/>
    <n v="6.2826028990148872"/>
    <n v="29.45"/>
    <n v="136.74518583"/>
    <n v="136.74518583"/>
    <n v="53.452246748877094"/>
    <n v="24917"/>
    <n v="24917"/>
    <n v="7434.7625058000003"/>
    <n v="7434.7625058000003"/>
    <n v="623"/>
    <n v="1"/>
    <n v="4200"/>
    <n v="1161"/>
    <n v="1853.276999638801"/>
  </r>
  <r>
    <x v="6"/>
    <n v="4"/>
    <n v="32110.977999999999"/>
    <n v="6.2826028990148872"/>
    <n v="6.2826028990148872"/>
    <n v="6.2826028990148872"/>
    <n v="30.55"/>
    <n v="136.74518583"/>
    <n v="136.74518583"/>
    <n v="53.371643408056705"/>
    <n v="24843"/>
    <n v="24843"/>
    <n v="7434.7625058000003"/>
    <n v="7434.7625058000003"/>
    <n v="347.45"/>
    <n v="7.2"/>
    <n v="4200"/>
    <n v="1161"/>
    <n v="1292.5563740289015"/>
  </r>
  <r>
    <x v="6"/>
    <n v="5"/>
    <n v="24884.69"/>
    <n v="6.2826028990148872"/>
    <n v="6.2826028990148872"/>
    <n v="6.2826028990148872"/>
    <n v="29.75"/>
    <n v="136.74518583"/>
    <n v="136.74518583"/>
    <n v="53.371643408056705"/>
    <n v="24843"/>
    <n v="24843"/>
    <n v="7434.7625058000003"/>
    <n v="7434.7625058000003"/>
    <n v="151.15"/>
    <n v="36.5"/>
    <n v="4200"/>
    <n v="1161"/>
    <n v="1001.6781387111058"/>
  </r>
  <r>
    <x v="6"/>
    <n v="6"/>
    <n v="23171.86"/>
    <n v="6.2826028990148872"/>
    <n v="6.2826028990148872"/>
    <n v="6.2826028990148872"/>
    <n v="30.7"/>
    <n v="136.74518583"/>
    <n v="136.74518583"/>
    <n v="53.371643408056705"/>
    <n v="24795"/>
    <n v="24795"/>
    <n v="7434.7625058000003"/>
    <n v="7434.7625058000003"/>
    <n v="27.65"/>
    <n v="171.05"/>
    <n v="4200"/>
    <n v="1161"/>
    <n v="934.53760838878804"/>
  </r>
  <r>
    <x v="6"/>
    <n v="7"/>
    <n v="25344.748"/>
    <n v="6.2826028990148872"/>
    <n v="6.2826028990148872"/>
    <n v="6.2826028990148872"/>
    <n v="30.7"/>
    <n v="136.74518583"/>
    <n v="136.74518583"/>
    <n v="53.51802461360974"/>
    <n v="24793"/>
    <n v="24793"/>
    <n v="7434.7625058000003"/>
    <n v="7434.7625058000003"/>
    <n v="0"/>
    <n v="283.60000000000002"/>
    <n v="4200"/>
    <n v="1161"/>
    <n v="1022.2541846488929"/>
  </r>
  <r>
    <x v="6"/>
    <n v="8"/>
    <n v="27665.396000000001"/>
    <n v="6.2826028990148872"/>
    <n v="6.2826028990148872"/>
    <n v="6.2826028990148872"/>
    <n v="30.2"/>
    <n v="136.74518583"/>
    <n v="136.74518583"/>
    <n v="53.51802461360974"/>
    <n v="24825"/>
    <n v="24825"/>
    <n v="7434.7625058000003"/>
    <n v="7434.7625058000003"/>
    <n v="0"/>
    <n v="328"/>
    <n v="4200"/>
    <n v="1161"/>
    <n v="1114.4167573011077"/>
  </r>
  <r>
    <x v="6"/>
    <n v="9"/>
    <n v="28126.134999999998"/>
    <n v="6.2826028990148872"/>
    <n v="6.2826028990148872"/>
    <n v="6.2826028990148872"/>
    <n v="31.3"/>
    <n v="136.74518583"/>
    <n v="136.74518583"/>
    <n v="53.51802461360974"/>
    <n v="24847"/>
    <n v="24847"/>
    <n v="7434.7625058000003"/>
    <n v="7434.7625058000003"/>
    <n v="4.5"/>
    <n v="354.55"/>
    <n v="4200"/>
    <n v="1161"/>
    <n v="1131.9730752203486"/>
  </r>
  <r>
    <x v="6"/>
    <n v="10"/>
    <n v="22738.567999999999"/>
    <n v="6.2826028990148872"/>
    <n v="6.2826028990148872"/>
    <n v="6.2826028990148872"/>
    <n v="29.6"/>
    <n v="136.74518583"/>
    <n v="136.74518583"/>
    <n v="53.6647772788046"/>
    <n v="24812"/>
    <n v="24812"/>
    <n v="7434.7625058000003"/>
    <n v="7434.7625058000003"/>
    <n v="50.4"/>
    <n v="133.05000000000001"/>
    <n v="4200"/>
    <n v="1161"/>
    <n v="916.434305980977"/>
  </r>
  <r>
    <x v="6"/>
    <n v="11"/>
    <n v="30051.217000000001"/>
    <n v="6.2826028990148872"/>
    <n v="6.2826028990148872"/>
    <n v="6.2826028990148872"/>
    <n v="29.95"/>
    <n v="136.74518583"/>
    <n v="136.74518583"/>
    <n v="53.6647772788046"/>
    <n v="24802"/>
    <n v="24802"/>
    <n v="7434.7625058000003"/>
    <n v="7434.7625058000003"/>
    <n v="359.15"/>
    <n v="22.1"/>
    <n v="4200"/>
    <n v="1161"/>
    <n v="1211.6449076687363"/>
  </r>
  <r>
    <x v="6"/>
    <n v="12"/>
    <n v="43541.24"/>
    <n v="6.2826028990148872"/>
    <n v="6.2826028990148872"/>
    <n v="6.2826028990148872"/>
    <n v="30.7"/>
    <n v="136.74518583"/>
    <n v="136.74518583"/>
    <n v="53.6647772788046"/>
    <n v="24826"/>
    <n v="24826"/>
    <n v="7434.7625058000003"/>
    <n v="7434.7625058000003"/>
    <n v="628.54999999999995"/>
    <n v="0"/>
    <n v="4200"/>
    <n v="1161"/>
    <n v="1753.8564408281638"/>
  </r>
  <r>
    <x v="7"/>
    <n v="1"/>
    <n v="57278.826999999997"/>
    <n v="6.8191285113595219"/>
    <n v="6.8191285113595219"/>
    <n v="6.8191285113595219"/>
    <n v="33.15"/>
    <n v="136.80036315000001"/>
    <n v="136.80036315000001"/>
    <n v="53.833635995161629"/>
    <n v="25346"/>
    <n v="24925"/>
    <n v="7787.9512188000008"/>
    <n v="7787.9512188000008"/>
    <n v="866"/>
    <n v="0"/>
    <n v="4200"/>
    <n v="1161"/>
    <n v="2259.8763907519924"/>
  </r>
  <r>
    <x v="7"/>
    <n v="2"/>
    <n v="50464.298999999999"/>
    <n v="6.8191285113595219"/>
    <n v="6.8191285113595219"/>
    <n v="6.8191285113595219"/>
    <n v="29.35"/>
    <n v="136.80036315000001"/>
    <n v="136.80036315000001"/>
    <n v="53.833635995161629"/>
    <n v="25378"/>
    <n v="24855"/>
    <n v="7787.9512188000008"/>
    <n v="7787.9512188000008"/>
    <n v="788.4"/>
    <n v="0"/>
    <n v="4200"/>
    <n v="1161"/>
    <n v="1988.505753014422"/>
  </r>
  <r>
    <x v="7"/>
    <n v="3"/>
    <n v="45552.356"/>
    <n v="6.8191285113595219"/>
    <n v="6.8191285113595219"/>
    <n v="6.8191285113595219"/>
    <n v="29.9"/>
    <n v="136.80036315000001"/>
    <n v="136.80036315000001"/>
    <n v="53.833635995161629"/>
    <n v="25309"/>
    <n v="24840"/>
    <n v="7787.9512188000008"/>
    <n v="7787.9512188000008"/>
    <n v="666"/>
    <n v="0"/>
    <n v="4200"/>
    <n v="1161"/>
    <n v="1799.848117270536"/>
  </r>
  <r>
    <x v="7"/>
    <n v="4"/>
    <n v="33427.995999999999"/>
    <n v="6.8191285113595219"/>
    <n v="6.8191285113595219"/>
    <n v="6.8191285113595219"/>
    <n v="30.3"/>
    <n v="136.80036315000001"/>
    <n v="136.80036315000001"/>
    <n v="53.981268356214365"/>
    <n v="25241"/>
    <n v="24778"/>
    <n v="7787.9512188000008"/>
    <n v="7787.9512188000008"/>
    <n v="400"/>
    <n v="5"/>
    <n v="4200"/>
    <n v="1161"/>
    <n v="1324.3530763440435"/>
  </r>
  <r>
    <x v="7"/>
    <n v="5"/>
    <n v="24021.778999999999"/>
    <n v="6.8191285113595219"/>
    <n v="6.8191285113595219"/>
    <n v="6.8191285113595219"/>
    <n v="29.57"/>
    <n v="136.80036315000001"/>
    <n v="136.80036315000001"/>
    <n v="53.981268356214365"/>
    <n v="25223"/>
    <n v="24740"/>
    <n v="7787.9512188000008"/>
    <n v="7787.9512188000008"/>
    <n v="190.4"/>
    <n v="17.55"/>
    <n v="4200"/>
    <n v="1161"/>
    <n v="952.37596637989134"/>
  </r>
  <r>
    <x v="7"/>
    <n v="6"/>
    <n v="23605.632000000001"/>
    <n v="6.8191285113595219"/>
    <n v="6.8191285113595219"/>
    <n v="6.8191285113595219"/>
    <n v="30.67"/>
    <n v="136.80036315000001"/>
    <n v="136.80036315000001"/>
    <n v="53.981268356214365"/>
    <n v="25272"/>
    <n v="24706"/>
    <n v="7787.9512188000008"/>
    <n v="7787.9512188000008"/>
    <n v="46.45"/>
    <n v="163.4"/>
    <n v="4200"/>
    <n v="1161"/>
    <n v="934.06267806267806"/>
  </r>
  <r>
    <x v="7"/>
    <n v="7"/>
    <n v="25404.508000000002"/>
    <n v="6.8191285113595219"/>
    <n v="6.8191285113595219"/>
    <n v="6.8191285113595219"/>
    <n v="30.62"/>
    <n v="136.80036315000001"/>
    <n v="136.80036315000001"/>
    <n v="53.965490208664427"/>
    <n v="25307"/>
    <n v="24796"/>
    <n v="7787.9512188000008"/>
    <n v="7787.9512188000008"/>
    <n v="1"/>
    <n v="265"/>
    <n v="4200"/>
    <n v="1161"/>
    <n v="1003.853005097404"/>
  </r>
  <r>
    <x v="7"/>
    <n v="8"/>
    <n v="25247.146000000001"/>
    <n v="6.8191285113595219"/>
    <n v="6.8191285113595219"/>
    <n v="6.8191285113595219"/>
    <n v="29.52"/>
    <n v="136.80036315000001"/>
    <n v="136.80036315000001"/>
    <n v="53.965490208664427"/>
    <n v="25348"/>
    <n v="24768"/>
    <n v="7787.9512188000008"/>
    <n v="7787.9512188000008"/>
    <n v="0"/>
    <n v="274"/>
    <n v="4200"/>
    <n v="1161"/>
    <n v="996.02122455420545"/>
  </r>
  <r>
    <x v="7"/>
    <n v="9"/>
    <n v="24617.201000000001"/>
    <n v="6.8191285113595219"/>
    <n v="6.8191285113595219"/>
    <n v="6.8191285113595219"/>
    <n v="30.71"/>
    <n v="136.80036315000001"/>
    <n v="136.80036315000001"/>
    <n v="53.965490208664427"/>
    <n v="25364"/>
    <n v="24844"/>
    <n v="7787.9512188000008"/>
    <n v="7787.9512188000008"/>
    <n v="1.4"/>
    <n v="237.7"/>
    <n v="4200"/>
    <n v="1161"/>
    <n v="970.5567339536351"/>
  </r>
  <r>
    <x v="7"/>
    <n v="10"/>
    <n v="22233.927"/>
    <n v="6.8191285113595219"/>
    <n v="6.8191285113595219"/>
    <n v="6.8191285113595219"/>
    <n v="29.52"/>
    <n v="136.80036315000001"/>
    <n v="136.80036315000001"/>
    <n v="53.949751053266056"/>
    <n v="25377"/>
    <n v="24844"/>
    <n v="7787.9512188000008"/>
    <n v="7787.9512188000008"/>
    <n v="109"/>
    <n v="44"/>
    <n v="4200"/>
    <n v="1161"/>
    <n v="876.14481617212437"/>
  </r>
  <r>
    <x v="7"/>
    <n v="11"/>
    <n v="34415.57"/>
    <n v="6.8191285113595219"/>
    <n v="6.8191285113595219"/>
    <n v="6.8191285113595219"/>
    <n v="29.38"/>
    <n v="136.80036315000001"/>
    <n v="136.80036315000001"/>
    <n v="53.949751053266056"/>
    <n v="25443"/>
    <n v="24756"/>
    <n v="7787.9512188000008"/>
    <n v="7787.9512188000008"/>
    <n v="458"/>
    <n v="2"/>
    <n v="4200"/>
    <n v="1161"/>
    <n v="1352.6537751051371"/>
  </r>
  <r>
    <x v="7"/>
    <n v="12"/>
    <n v="55409.154000000002"/>
    <n v="6.8191285113595219"/>
    <n v="6.8191285113595219"/>
    <n v="6.8191285113595219"/>
    <n v="32.81"/>
    <n v="136.80036315000001"/>
    <n v="136.80036315000001"/>
    <n v="53.949751053266056"/>
    <n v="25435"/>
    <n v="24930"/>
    <n v="7787.9512188000008"/>
    <n v="7787.9512188000008"/>
    <n v="828.6"/>
    <n v="0"/>
    <n v="4200"/>
    <n v="1161"/>
    <n v="2178.4609396500887"/>
  </r>
  <r>
    <x v="8"/>
    <n v="1"/>
    <n v="58302.082000000002"/>
    <n v="6.8549750593316237"/>
    <n v="6.8549750593316237"/>
    <n v="6.8549750593316237"/>
    <n v="32.950000000000003"/>
    <n v="136.83034581000001"/>
    <n v="136.83034581000001"/>
    <n v="53.94582062625252"/>
    <n v="25448"/>
    <n v="24914"/>
    <n v="8091.3029981999989"/>
    <n v="8091.3029981999989"/>
    <n v="843"/>
    <n v="0"/>
    <n v="4200"/>
    <n v="1161"/>
    <n v="2291.0280572147126"/>
  </r>
  <r>
    <x v="8"/>
    <n v="2"/>
    <n v="58873.061000000002"/>
    <n v="6.8549750593316237"/>
    <n v="6.8549750593316237"/>
    <n v="6.8549750593316237"/>
    <n v="30.19"/>
    <n v="136.83034581000001"/>
    <n v="136.83034581000001"/>
    <n v="53.94582062625252"/>
    <n v="25421"/>
    <n v="24895"/>
    <n v="8091.3029981999989"/>
    <n v="8091.3029981999989"/>
    <n v="845"/>
    <n v="0"/>
    <n v="4200"/>
    <n v="1161"/>
    <n v="2315.9223083277607"/>
  </r>
  <r>
    <x v="8"/>
    <n v="3"/>
    <n v="41758.906999999999"/>
    <n v="6.8549750593316237"/>
    <n v="6.8549750593316237"/>
    <n v="6.8549750593316237"/>
    <n v="30.05"/>
    <n v="136.83034581000001"/>
    <n v="136.83034581000001"/>
    <n v="53.94582062625252"/>
    <n v="25447"/>
    <n v="24830"/>
    <n v="8091.3029981999989"/>
    <n v="8091.3029981999989"/>
    <n v="615.70000000000005"/>
    <n v="0"/>
    <n v="4200"/>
    <n v="1161"/>
    <n v="1641.0149329979956"/>
  </r>
  <r>
    <x v="8"/>
    <n v="4"/>
    <n v="38639.836000000003"/>
    <n v="6.8549750593316237"/>
    <n v="6.8549750593316237"/>
    <n v="6.8549750593316237"/>
    <n v="30.38"/>
    <n v="136.83034581000001"/>
    <n v="136.83034581000001"/>
    <n v="53.930073314475138"/>
    <n v="25045"/>
    <n v="25061"/>
    <n v="8091.3029981999989"/>
    <n v="8091.3029981999989"/>
    <n v="429"/>
    <n v="1"/>
    <n v="4200"/>
    <n v="1161"/>
    <n v="1542.8163705330408"/>
  </r>
  <r>
    <x v="8"/>
    <n v="5"/>
    <n v="24249.574000000001"/>
    <n v="6.8549750593316237"/>
    <n v="6.8549750593316237"/>
    <n v="6.8549750593316237"/>
    <n v="30.24"/>
    <n v="136.83034581000001"/>
    <n v="136.83034581000001"/>
    <n v="53.930073314475138"/>
    <n v="25039"/>
    <n v="25014"/>
    <n v="8091.3029981999989"/>
    <n v="8091.3029981999989"/>
    <n v="173.35"/>
    <n v="32.049999999999997"/>
    <n v="4200"/>
    <n v="1161"/>
    <n v="968.4721434562083"/>
  </r>
  <r>
    <x v="8"/>
    <n v="6"/>
    <n v="23090.169000000002"/>
    <n v="6.8549750593316237"/>
    <n v="6.8549750593316237"/>
    <n v="6.8549750593316237"/>
    <n v="30.38"/>
    <n v="136.83034581000001"/>
    <n v="136.83034581000001"/>
    <n v="53.930073314475138"/>
    <n v="25074"/>
    <n v="25087"/>
    <n v="8091.3029981999989"/>
    <n v="8091.3029981999989"/>
    <n v="38"/>
    <n v="146"/>
    <n v="4200"/>
    <n v="1161"/>
    <n v="920.88095238095252"/>
  </r>
  <r>
    <x v="8"/>
    <n v="7"/>
    <n v="24945.046999999999"/>
    <n v="6.8549750593316237"/>
    <n v="6.8549750593316237"/>
    <n v="6.8549750593316237"/>
    <n v="30.71"/>
    <n v="136.83034581000001"/>
    <n v="136.83034581000001"/>
    <n v="54.026455892692738"/>
    <n v="25048"/>
    <n v="25050"/>
    <n v="8091.3029981999989"/>
    <n v="8091.3029981999989"/>
    <n v="0"/>
    <n v="229.65"/>
    <n v="4200"/>
    <n v="1161"/>
    <n v="995.88977163845414"/>
  </r>
  <r>
    <x v="8"/>
    <n v="8"/>
    <n v="23423.012999999999"/>
    <n v="6.8549750593316237"/>
    <n v="6.8549750593316237"/>
    <n v="6.8549750593316237"/>
    <n v="29.52"/>
    <n v="136.83034581000001"/>
    <n v="136.83034581000001"/>
    <n v="54.026455892692738"/>
    <n v="25100"/>
    <n v="25076"/>
    <n v="8091.3029981999989"/>
    <n v="8091.3029981999989"/>
    <n v="0"/>
    <n v="234"/>
    <n v="4200"/>
    <n v="1161"/>
    <n v="933.18776892430276"/>
  </r>
  <r>
    <x v="8"/>
    <n v="9"/>
    <n v="23276.022000000001"/>
    <n v="6.8549750593316237"/>
    <n v="6.8549750593316237"/>
    <n v="6.8549750593316237"/>
    <n v="30.48"/>
    <n v="136.83034581000001"/>
    <n v="136.83034581000001"/>
    <n v="54.026455892692738"/>
    <n v="25114"/>
    <n v="25104"/>
    <n v="8091.3029981999989"/>
    <n v="8091.3029981999989"/>
    <n v="0"/>
    <n v="215"/>
    <n v="4200"/>
    <n v="1161"/>
    <n v="926.81460539937893"/>
  </r>
  <r>
    <x v="8"/>
    <n v="10"/>
    <n v="23300.35"/>
    <n v="6.8549750593316237"/>
    <n v="6.8549750593316237"/>
    <n v="6.8549750593316237"/>
    <n v="29.67"/>
    <n v="136.83034581000001"/>
    <n v="136.83034581000001"/>
    <n v="54.12787749293426"/>
    <n v="25101"/>
    <n v="25111"/>
    <n v="8091.3029981999989"/>
    <n v="8091.3029981999989"/>
    <n v="128.6"/>
    <n v="85"/>
    <n v="4200"/>
    <n v="1161"/>
    <n v="928.26381419066956"/>
  </r>
  <r>
    <x v="8"/>
    <n v="11"/>
    <n v="29183.416000000001"/>
    <n v="6.8549750593316237"/>
    <n v="6.8549750593316237"/>
    <n v="6.8549750593316237"/>
    <n v="29.76"/>
    <n v="136.83034581000001"/>
    <n v="136.83034581000001"/>
    <n v="54.12787749293426"/>
    <n v="25099"/>
    <n v="25161"/>
    <n v="8091.3029981999989"/>
    <n v="8091.3029981999989"/>
    <n v="356.75"/>
    <n v="3.7"/>
    <n v="4200"/>
    <n v="1161"/>
    <n v="1162.7322204071875"/>
  </r>
  <r>
    <x v="8"/>
    <n v="12"/>
    <n v="49150.864999999998"/>
    <n v="6.8549750593316237"/>
    <n v="6.8549750593316237"/>
    <n v="6.8549750593316237"/>
    <n v="31.57"/>
    <n v="136.83034581000001"/>
    <n v="136.83034581000001"/>
    <n v="54.12787749293426"/>
    <n v="25164"/>
    <n v="25157"/>
    <n v="8091.3029981999989"/>
    <n v="8091.3029981999989"/>
    <n v="684"/>
    <n v="0"/>
    <n v="4200"/>
    <n v="1161"/>
    <n v="1953.22146717533"/>
  </r>
  <r>
    <x v="9"/>
    <n v="1"/>
    <n v="65031.042000000001"/>
    <n v="6.867"/>
    <n v="6.9421927241744967"/>
    <n v="6.9421927241744967"/>
    <n v="32.520000000000003"/>
    <n v="136.72222432000001"/>
    <n v="136.72222432000001"/>
    <n v="54.191646051728007"/>
    <n v="25107"/>
    <n v="25083"/>
    <n v="8393.0723087999995"/>
    <n v="8393.0723087999995"/>
    <n v="1052.2"/>
    <n v="0"/>
    <n v="4200"/>
    <n v="1161"/>
    <n v="2590.1558131198472"/>
  </r>
  <r>
    <x v="9"/>
    <n v="2"/>
    <n v="53642.690999999999"/>
    <n v="6.9421927241744967"/>
    <n v="6.9421927241744967"/>
    <n v="6.9421927241744967"/>
    <n v="30.14"/>
    <n v="136.72222432000001"/>
    <n v="136.72222432000001"/>
    <n v="54.191646051728007"/>
    <n v="25042"/>
    <n v="25046"/>
    <n v="8393.0723087999995"/>
    <n v="8393.0723087999995"/>
    <n v="878"/>
    <n v="0"/>
    <n v="4200"/>
    <n v="1161"/>
    <n v="2142.1088970529509"/>
  </r>
  <r>
    <x v="9"/>
    <n v="3"/>
    <n v="53439.336000000003"/>
    <n v="6.9421927241744967"/>
    <n v="6.9421927241744967"/>
    <n v="6.9421927241744967"/>
    <n v="30"/>
    <n v="136.72222432000001"/>
    <n v="136.72222432000001"/>
    <n v="54.191646051728007"/>
    <n v="25028"/>
    <n v="25020"/>
    <n v="8393.0723087999995"/>
    <n v="8393.0723087999995"/>
    <n v="852"/>
    <n v="0"/>
    <n v="4200"/>
    <n v="1161"/>
    <n v="2135.1820361195464"/>
  </r>
  <r>
    <x v="9"/>
    <n v="4"/>
    <n v="32336.49"/>
    <n v="6.9421927241744967"/>
    <n v="6.9421927241744967"/>
    <n v="6.9421927241744967"/>
    <n v="30.86"/>
    <n v="136.72222432000001"/>
    <n v="136.72222432000001"/>
    <n v="54.186556465757896"/>
    <n v="24926"/>
    <n v="24927"/>
    <n v="8393.0723087999995"/>
    <n v="8393.0723087999995"/>
    <n v="396.95000000000005"/>
    <n v="5.25"/>
    <n v="4200"/>
    <n v="1161"/>
    <n v="1297.2996068362352"/>
  </r>
  <r>
    <x v="9"/>
    <n v="5"/>
    <n v="22371.967000000001"/>
    <n v="6.9421927241744967"/>
    <n v="6.9421927241744967"/>
    <n v="6.9421927241744967"/>
    <n v="30.48"/>
    <n v="136.72222432000001"/>
    <n v="136.72222432000001"/>
    <n v="54.186556465757896"/>
    <n v="24868"/>
    <n v="24907"/>
    <n v="8393.0723087999995"/>
    <n v="8393.0723087999995"/>
    <n v="154.4"/>
    <n v="46.5"/>
    <n v="4200"/>
    <n v="1161"/>
    <n v="899.62871963969758"/>
  </r>
  <r>
    <x v="9"/>
    <n v="6"/>
    <n v="23050.978999999999"/>
    <n v="6.9421927241744967"/>
    <n v="6.9421927241744967"/>
    <n v="6.9421927241744967"/>
    <n v="30.67"/>
    <n v="136.72222432000001"/>
    <n v="136.72222432000001"/>
    <n v="54.186556465757896"/>
    <n v="24920"/>
    <n v="24920"/>
    <n v="8393.0723087999995"/>
    <n v="8393.0723087999995"/>
    <n v="15.799999999999999"/>
    <n v="201.65"/>
    <n v="4200"/>
    <n v="1161"/>
    <n v="924.99915730337079"/>
  </r>
  <r>
    <x v="9"/>
    <n v="7"/>
    <n v="27818.853999999999"/>
    <n v="6.9421927241744967"/>
    <n v="6.9421927241744967"/>
    <n v="6.9421927241744967"/>
    <n v="30.71"/>
    <n v="136.72222432000001"/>
    <n v="136.72222432000001"/>
    <n v="54.157694268303835"/>
    <n v="24852"/>
    <n v="24883"/>
    <n v="8393.0723087999995"/>
    <n v="8393.0723087999995"/>
    <n v="0"/>
    <n v="372.85"/>
    <n v="4200"/>
    <n v="1161"/>
    <n v="1119.3808948977951"/>
  </r>
  <r>
    <x v="9"/>
    <n v="8"/>
    <n v="29062.985000000001"/>
    <n v="6.9421927241744967"/>
    <n v="6.9421927241744967"/>
    <n v="6.9421927241744967"/>
    <n v="29.52"/>
    <n v="136.72222432000001"/>
    <n v="136.72222432000001"/>
    <n v="54.157694268303835"/>
    <n v="24950"/>
    <n v="24974"/>
    <n v="8393.0723087999995"/>
    <n v="8393.0723087999995"/>
    <n v="0"/>
    <n v="453.15"/>
    <n v="4200"/>
    <n v="1161"/>
    <n v="1164.8490981963928"/>
  </r>
  <r>
    <x v="9"/>
    <n v="9"/>
    <n v="26095.475999999999"/>
    <n v="6.9421927241744967"/>
    <n v="6.9421927241744967"/>
    <n v="6.9421927241744967"/>
    <n v="30.52"/>
    <n v="136.72222432000001"/>
    <n v="136.72222432000001"/>
    <n v="54.157694268303835"/>
    <n v="24928"/>
    <n v="24965"/>
    <n v="8393.0723087999995"/>
    <n v="8393.0723087999995"/>
    <n v="1.55"/>
    <n v="294.64999999999998"/>
    <n v="4200"/>
    <n v="1161"/>
    <n v="1046.8339216944801"/>
  </r>
  <r>
    <x v="9"/>
    <n v="10"/>
    <n v="22565.238000000001"/>
    <n v="6.9421927241744967"/>
    <n v="6.9421927241744967"/>
    <n v="6.9421927241744967"/>
    <n v="29.62"/>
    <n v="136.72222432000001"/>
    <n v="136.72222432000001"/>
    <n v="54.11690936046444"/>
    <n v="24902"/>
    <n v="24930"/>
    <n v="8393.0723087999995"/>
    <n v="8393.0723087999995"/>
    <n v="121.85000000000001"/>
    <n v="81.650000000000006"/>
    <n v="4200"/>
    <n v="1161"/>
    <n v="906.16167376114379"/>
  </r>
  <r>
    <x v="9"/>
    <n v="11"/>
    <n v="28643.159"/>
    <n v="6.9421927241744967"/>
    <n v="6.9421927241744967"/>
    <n v="6.9421927241744967"/>
    <n v="29.6"/>
    <n v="136.72222432000001"/>
    <n v="136.72222432000001"/>
    <n v="54.11690936046444"/>
    <n v="24928"/>
    <n v="24940"/>
    <n v="8393.0723087999995"/>
    <n v="8393.0723087999995"/>
    <n v="354"/>
    <n v="3"/>
    <n v="4200"/>
    <n v="1161"/>
    <n v="1149.0355824775354"/>
  </r>
  <r>
    <x v="9"/>
    <n v="12"/>
    <n v="51672.137000000002"/>
    <n v="6.9421927241744967"/>
    <n v="6.9421927241744967"/>
    <n v="6.9421927241744967"/>
    <n v="31.17"/>
    <n v="136.72222432000001"/>
    <n v="136.72222432000001"/>
    <n v="54.11690936046444"/>
    <n v="24803"/>
    <n v="25002"/>
    <n v="8393.0723087999995"/>
    <n v="8393.0723087999995"/>
    <n v="751.25"/>
    <n v="0"/>
    <n v="4200"/>
    <n v="1161"/>
    <n v="2083.3018989638349"/>
  </r>
  <r>
    <x v="10"/>
    <n v="1"/>
    <n v="70343.077000000005"/>
    <n v="6.867"/>
    <n v="6.867"/>
    <n v="6.867"/>
    <n v="32.71"/>
    <n v="136.34601402000001"/>
    <n v="136.34601402000001"/>
    <n v="53.995648974941282"/>
    <n v="24960"/>
    <n v="24982"/>
    <n v="8707.5028902000013"/>
    <n v="8707.5028902000013"/>
    <n v="1131.8499999999999"/>
    <n v="0"/>
    <n v="4200"/>
    <n v="1161"/>
    <n v="2818.2322516025642"/>
  </r>
  <r>
    <x v="10"/>
    <n v="2"/>
    <n v="53202.078999999998"/>
    <n v="6.867"/>
    <n v="6.867"/>
    <n v="6.867"/>
    <n v="29.81"/>
    <n v="136.34601402000001"/>
    <n v="136.34601402000001"/>
    <n v="53.995648974941282"/>
    <n v="24950"/>
    <n v="24990"/>
    <n v="8707.5028902000013"/>
    <n v="8707.5028902000013"/>
    <n v="817.85"/>
    <n v="0"/>
    <n v="4200"/>
    <n v="1161"/>
    <n v="2132.3478557114227"/>
  </r>
  <r>
    <x v="10"/>
    <n v="3"/>
    <n v="41169.398999999998"/>
    <n v="6.867"/>
    <n v="6.867"/>
    <n v="6.867"/>
    <n v="30.33"/>
    <n v="136.34601402000001"/>
    <n v="136.34601402000001"/>
    <n v="53.995648974941282"/>
    <n v="24950"/>
    <n v="24972"/>
    <n v="8707.5028902000013"/>
    <n v="8707.5028902000013"/>
    <n v="556.95000000000005"/>
    <n v="0"/>
    <n v="4200"/>
    <n v="1161"/>
    <n v="1650.0761122244487"/>
  </r>
  <r>
    <x v="10"/>
    <n v="4"/>
    <n v="32984.226999999999"/>
    <n v="6.8669999999999991"/>
    <n v="6.8669999999999991"/>
    <n v="6.8669999999999991"/>
    <n v="29.86"/>
    <n v="136.34601402000001"/>
    <n v="136.34601402000001"/>
    <n v="53.994145682983955"/>
    <n v="24948"/>
    <n v="24864"/>
    <n v="8707.5028902000013"/>
    <n v="8707.5028902000013"/>
    <n v="377.1"/>
    <n v="8"/>
    <n v="4200"/>
    <n v="1161"/>
    <n v="1322.119087702421"/>
  </r>
  <r>
    <x v="10"/>
    <n v="5"/>
    <n v="23199.846000000001"/>
    <n v="6.8669999999999991"/>
    <n v="6.8669999999999991"/>
    <n v="6.8669999999999991"/>
    <n v="30.48"/>
    <n v="136.34601402000001"/>
    <n v="136.34601402000001"/>
    <n v="53.994145682983955"/>
    <n v="24946"/>
    <n v="24900"/>
    <n v="8707.5028902000013"/>
    <n v="8707.5028902000013"/>
    <n v="142.39999999999998"/>
    <n v="76.2"/>
    <n v="4200"/>
    <n v="1161"/>
    <n v="930.00264571474395"/>
  </r>
  <r>
    <x v="10"/>
    <n v="6"/>
    <n v="25088.501"/>
    <n v="6.8669999999999991"/>
    <n v="6.8669999999999991"/>
    <n v="6.8669999999999991"/>
    <n v="30.67"/>
    <n v="136.34601402000001"/>
    <n v="136.34601402000001"/>
    <n v="53.994145682983955"/>
    <n v="24944"/>
    <n v="24842"/>
    <n v="8707.5028902000013"/>
    <n v="8707.5028902000013"/>
    <n v="38.700000000000003"/>
    <n v="271"/>
    <n v="4200"/>
    <n v="1161"/>
    <n v="1005.7930163566389"/>
  </r>
  <r>
    <x v="10"/>
    <n v="7"/>
    <n v="25208.544000000002"/>
    <n v="6.8669999999999991"/>
    <n v="6.8669999999999991"/>
    <n v="6.8669999999999991"/>
    <n v="30.71"/>
    <n v="136.34601402000001"/>
    <n v="136.34601402000001"/>
    <n v="53.998030466308215"/>
    <n v="24942"/>
    <n v="24817"/>
    <n v="8707.5028902000013"/>
    <n v="8707.5028902000013"/>
    <n v="0"/>
    <n v="323"/>
    <n v="4200"/>
    <n v="1161"/>
    <n v="1010.686552802502"/>
  </r>
  <r>
    <x v="10"/>
    <n v="8"/>
    <n v="28238.304"/>
    <n v="6.8669999999999991"/>
    <n v="6.8669999999999991"/>
    <n v="6.8669999999999991"/>
    <n v="29.52"/>
    <n v="136.34601402000001"/>
    <n v="136.34601402000001"/>
    <n v="53.998030466308215"/>
    <n v="24940"/>
    <n v="24854"/>
    <n v="8707.5028902000013"/>
    <n v="8707.5028902000013"/>
    <n v="0"/>
    <n v="412.8"/>
    <n v="4200"/>
    <n v="1161"/>
    <n v="1132.2495589414593"/>
  </r>
  <r>
    <x v="10"/>
    <n v="9"/>
    <n v="24902.756000000001"/>
    <n v="6.8669999999999991"/>
    <n v="6.8669999999999991"/>
    <n v="6.8669999999999991"/>
    <n v="30.52"/>
    <n v="136.34601402000001"/>
    <n v="136.34601402000001"/>
    <n v="53.998030466308215"/>
    <n v="24938"/>
    <n v="24771"/>
    <n v="8707.5028902000013"/>
    <n v="8707.5028902000013"/>
    <n v="4.5"/>
    <n v="258.15000000000003"/>
    <n v="4200"/>
    <n v="1161"/>
    <n v="998.58673510305562"/>
  </r>
  <r>
    <x v="10"/>
    <n v="10"/>
    <n v="22230.395"/>
    <n v="6.8669999999999991"/>
    <n v="6.8669999999999991"/>
    <n v="6.8669999999999991"/>
    <n v="29.62"/>
    <n v="136.34601402000001"/>
    <n v="136.34601402000001"/>
    <n v="54.009985225382707"/>
    <n v="24936"/>
    <n v="24785"/>
    <n v="8707.5028902000013"/>
    <n v="8707.5028902000013"/>
    <n v="107.15"/>
    <n v="57.35"/>
    <n v="4200"/>
    <n v="1161"/>
    <n v="891.498034969522"/>
  </r>
  <r>
    <x v="10"/>
    <n v="11"/>
    <n v="29108.956999999999"/>
    <n v="6.8669999999999991"/>
    <n v="6.8669999999999991"/>
    <n v="6.8669999999999991"/>
    <n v="29.95"/>
    <n v="136.34601402000001"/>
    <n v="136.34601402000001"/>
    <n v="54.009985225382707"/>
    <n v="24934"/>
    <n v="24770"/>
    <n v="8707.5028902000013"/>
    <n v="8707.5028902000013"/>
    <n v="387.7"/>
    <n v="0.9"/>
    <n v="4200"/>
    <n v="1161"/>
    <n v="1167.4403224512712"/>
  </r>
  <r>
    <x v="10"/>
    <n v="12"/>
    <n v="39803.669000000002"/>
    <n v="6.8669999999999991"/>
    <n v="6.8669999999999991"/>
    <n v="6.8669999999999991"/>
    <n v="31.24"/>
    <n v="136.34601402000001"/>
    <n v="136.34601402000001"/>
    <n v="54.009985225382707"/>
    <n v="24932"/>
    <n v="24727"/>
    <n v="8707.5028902000013"/>
    <n v="8707.5028902000013"/>
    <n v="559.85"/>
    <n v="0"/>
    <n v="4200"/>
    <n v="1161"/>
    <n v="1596.4892106529762"/>
  </r>
  <r>
    <x v="11"/>
    <n v="1"/>
    <n v="53501.097999999998"/>
    <n v="7.4624290124847041"/>
    <n v="8.8233866865828006"/>
    <n v="8.5397890552402913"/>
    <n v="32.549999999999997"/>
    <n v="136.38378685999999"/>
    <n v="136.38378685999999"/>
    <n v="54.051983296156834"/>
    <n v="24930"/>
    <n v="24776"/>
    <n v="9049.0733648000005"/>
    <n v="9049.0733648000005"/>
    <n v="807.09999999999991"/>
    <n v="0"/>
    <n v="4200"/>
    <n v="1161"/>
    <n v="2146.0528680304851"/>
  </r>
  <r>
    <x v="11"/>
    <n v="2"/>
    <n v="45861.491999999998"/>
    <n v="7.4624290124847041"/>
    <n v="8.8233866865828006"/>
    <n v="8.5397890552402913"/>
    <n v="29.75"/>
    <n v="136.38378685999999"/>
    <n v="136.38378685999999"/>
    <n v="54.051983296156834"/>
    <n v="24928"/>
    <n v="24762"/>
    <n v="9049.0733648000005"/>
    <n v="9049.0733648000005"/>
    <n v="689.15"/>
    <n v="0"/>
    <n v="4200"/>
    <n v="1161"/>
    <n v="1839.7581835686779"/>
  </r>
  <r>
    <x v="11"/>
    <n v="3"/>
    <n v="38058.786"/>
    <n v="7.4624290124847041"/>
    <n v="8.8233866865828006"/>
    <n v="8.5397890552402913"/>
    <n v="30.38"/>
    <n v="136.38378685999999"/>
    <n v="136.38378685999999"/>
    <n v="54.051983296156834"/>
    <n v="24926"/>
    <n v="24715"/>
    <n v="9049.0733648000005"/>
    <n v="9049.0733648000005"/>
    <n v="494"/>
    <n v="1.5"/>
    <n v="4200"/>
    <n v="1161"/>
    <n v="1526.8709780951617"/>
  </r>
  <r>
    <x v="11"/>
    <n v="4"/>
    <n v="23648.072"/>
    <n v="7.4624290124847041"/>
    <n v="8.8233866865828006"/>
    <n v="8.5397890552402913"/>
    <n v="30.67"/>
    <n v="136.38378685999999"/>
    <n v="136.38378685999999"/>
    <n v="54.073605074429324"/>
    <n v="24924"/>
    <n v="24647"/>
    <n v="9049.0733648000005"/>
    <n v="9049.0733648000005"/>
    <n v="188"/>
    <n v="7"/>
    <n v="4200"/>
    <n v="1161"/>
    <n v="948.80725405231908"/>
  </r>
  <r>
    <x v="11"/>
    <n v="5"/>
    <n v="22838.196"/>
    <n v="7.4624290124847041"/>
    <n v="8.8233866865828006"/>
    <n v="8.5397890552402913"/>
    <n v="29.71"/>
    <n v="136.38378685999999"/>
    <n v="136.38378685999999"/>
    <n v="54.073605074429324"/>
    <n v="24922"/>
    <n v="24638"/>
    <n v="9049.0733648000005"/>
    <n v="9049.0733648000005"/>
    <n v="131.80000000000001"/>
    <n v="60.95"/>
    <n v="4200"/>
    <n v="1161"/>
    <n v="916.38696733809491"/>
  </r>
  <r>
    <x v="11"/>
    <n v="6"/>
    <n v="22357.558000000001"/>
    <n v="7.4624290124847041"/>
    <n v="8.8233866865828006"/>
    <n v="8.5397890552402913"/>
    <n v="30.62"/>
    <n v="136.38378685999999"/>
    <n v="136.38378685999999"/>
    <n v="54.073605074429324"/>
    <n v="24920"/>
    <n v="24615"/>
    <n v="9049.0733648000005"/>
    <n v="9049.0733648000005"/>
    <n v="17.25"/>
    <n v="161.94999999999999"/>
    <n v="4200"/>
    <n v="1161"/>
    <n v="897.17327447833077"/>
  </r>
  <r>
    <x v="11"/>
    <n v="7"/>
    <n v="26683.851999999999"/>
    <n v="7.4624290124847041"/>
    <n v="8.8233866865828006"/>
    <n v="8.5397890552402913"/>
    <n v="30.76"/>
    <n v="136.38378685999999"/>
    <n v="136.38378685999999"/>
    <n v="54.083928967681345"/>
    <n v="24918"/>
    <n v="24595"/>
    <n v="9049.0733648000005"/>
    <n v="9049.0733648000005"/>
    <n v="0.5"/>
    <n v="362.75"/>
    <n v="4200"/>
    <n v="1161"/>
    <n v="1070.8665221927922"/>
  </r>
  <r>
    <x v="11"/>
    <n v="8"/>
    <n v="25544.995999999999"/>
    <n v="7.4624290124847041"/>
    <n v="8.8233866865828006"/>
    <n v="8.5397890552402913"/>
    <n v="29.48"/>
    <n v="136.38378685999999"/>
    <n v="136.38378685999999"/>
    <n v="54.083928967681345"/>
    <n v="24916"/>
    <n v="24633"/>
    <n v="9049.0733648000005"/>
    <n v="9049.0733648000005"/>
    <n v="0"/>
    <n v="332"/>
    <n v="4200"/>
    <n v="1161"/>
    <n v="1025.2446620645369"/>
  </r>
  <r>
    <x v="11"/>
    <n v="9"/>
    <n v="23654.171999999999"/>
    <n v="7.4624290124847041"/>
    <n v="8.8233866865828006"/>
    <n v="8.5397890552402913"/>
    <n v="30.57"/>
    <n v="136.38378685999999"/>
    <n v="136.38378685999999"/>
    <n v="54.083928967681345"/>
    <n v="24914"/>
    <n v="24572"/>
    <n v="9049.0733648000005"/>
    <n v="9049.0733648000005"/>
    <n v="8.9499999999999993"/>
    <n v="226.65"/>
    <n v="4200"/>
    <n v="1161"/>
    <n v="949.43292927671189"/>
  </r>
  <r>
    <x v="11"/>
    <n v="10"/>
    <n v="21267.893"/>
    <n v="7.4624290124847041"/>
    <n v="8.8233866865828006"/>
    <n v="8.5397890552402913"/>
    <n v="29.67"/>
    <n v="136.38378685999999"/>
    <n v="136.38378685999999"/>
    <n v="54.0947010267476"/>
    <n v="24912"/>
    <n v="24599"/>
    <n v="9049.0733648000005"/>
    <n v="9049.0733648000005"/>
    <n v="139.25"/>
    <n v="39.6"/>
    <n v="4200"/>
    <n v="1161"/>
    <n v="853.72081727681439"/>
  </r>
  <r>
    <x v="11"/>
    <n v="11"/>
    <n v="32869.603999999999"/>
    <n v="7.4624290124847041"/>
    <n v="8.8233866865828006"/>
    <n v="8.5397890552402913"/>
    <n v="29.95"/>
    <n v="136.38378685999999"/>
    <n v="136.38378685999999"/>
    <n v="54.0947010267476"/>
    <n v="24910"/>
    <n v="24522"/>
    <n v="9049.0733648000005"/>
    <n v="9049.0733648000005"/>
    <n v="442.1"/>
    <n v="0.6"/>
    <n v="4200"/>
    <n v="1161"/>
    <n v="1319.5344841429144"/>
  </r>
  <r>
    <x v="11"/>
    <n v="12"/>
    <n v="40530.495000000003"/>
    <n v="7.4624290124847041"/>
    <n v="8.8233866865828006"/>
    <n v="8.5397890552402913"/>
    <n v="31.1"/>
    <n v="136.38378685999999"/>
    <n v="136.38378685999999"/>
    <n v="54.0947010267476"/>
    <n v="24908"/>
    <n v="24495"/>
    <n v="9049.0733648000005"/>
    <n v="9049.0733648000005"/>
    <n v="632.79999999999995"/>
    <n v="0"/>
    <n v="4200"/>
    <n v="1161"/>
    <n v="1627.207925164606"/>
  </r>
  <r>
    <x v="12"/>
    <n v="1"/>
    <n v="52478.258000000002"/>
    <n v="7.4591080954466298"/>
    <n v="8.8478702501483504"/>
    <n v="8.7346253410155903"/>
    <n v="32.71"/>
    <n v="136.5423097"/>
    <n v="136.5423097"/>
    <n v="54.162774020754739"/>
    <n v="24906"/>
    <n v="24507"/>
    <n v="9383.5757761999994"/>
    <n v="9383.5757761999994"/>
    <n v="899.3"/>
    <n v="0"/>
    <n v="4200"/>
    <n v="1161"/>
    <n v="2107.0528386734118"/>
  </r>
  <r>
    <x v="12"/>
    <n v="2"/>
    <n v="50604.476999999999"/>
    <n v="7.4591080954466298"/>
    <n v="8.8478702501483504"/>
    <n v="8.7346253410155903"/>
    <n v="29.9"/>
    <n v="136.5423097"/>
    <n v="136.5423097"/>
    <n v="54.162774020754739"/>
    <n v="24904"/>
    <n v="24490"/>
    <n v="9383.5757761999994"/>
    <n v="9383.5757761999994"/>
    <n v="737.25"/>
    <n v="0"/>
    <n v="4200"/>
    <n v="1161"/>
    <n v="2031.981890459364"/>
  </r>
  <r>
    <x v="12"/>
    <n v="3"/>
    <n v="46748.550999999999"/>
    <n v="7.4591080954466298"/>
    <n v="8.8478702501483504"/>
    <n v="8.7346253410155903"/>
    <n v="30.52"/>
    <n v="136.5423097"/>
    <n v="136.5423097"/>
    <n v="54.162774020754739"/>
    <n v="24902"/>
    <n v="24507"/>
    <n v="9383.5757761999994"/>
    <n v="9383.5757761999994"/>
    <n v="698.90000000000009"/>
    <n v="0"/>
    <n v="4200"/>
    <n v="1161"/>
    <n v="1877.3010601558108"/>
  </r>
  <r>
    <x v="12"/>
    <n v="4"/>
    <m/>
    <n v="7.4591080954466298"/>
    <n v="8.8478702501483504"/>
    <n v="8.7346253410155903"/>
    <n v="30.57"/>
    <n v="136.5423097"/>
    <n v="136.5423097"/>
    <n v="54.17099972517827"/>
    <n v="24900"/>
    <n v="24506"/>
    <n v="9383.5757761999994"/>
    <n v="9383.5757761999994"/>
    <n v="184.25"/>
    <n v="27.25"/>
    <n v="4200"/>
    <n v="1161"/>
    <n v="0"/>
  </r>
  <r>
    <x v="12"/>
    <n v="5"/>
    <m/>
    <n v="7.4591080954466298"/>
    <n v="8.8478702501483504"/>
    <n v="8.7346253410155903"/>
    <n v="29.57"/>
    <n v="136.5423097"/>
    <n v="136.5423097"/>
    <n v="54.17099972517827"/>
    <n v="24898"/>
    <n v="24505"/>
    <n v="9383.5757761999994"/>
    <n v="9383.5757761999994"/>
    <n v="170.59"/>
    <n v="35.347500000000004"/>
    <n v="4200"/>
    <n v="1161"/>
    <n v="0"/>
  </r>
  <r>
    <x v="12"/>
    <n v="6"/>
    <m/>
    <n v="7.4591080954466298"/>
    <n v="8.8478702501483504"/>
    <n v="8.7346253410155903"/>
    <n v="30.67"/>
    <n v="136.5423097"/>
    <n v="136.5423097"/>
    <n v="54.17099972517827"/>
    <n v="24896"/>
    <n v="24504"/>
    <n v="9383.5757761999994"/>
    <n v="9383.5757761999994"/>
    <n v="42.912500000000001"/>
    <n v="148.8475"/>
    <n v="4200"/>
    <n v="1161"/>
    <n v="0"/>
  </r>
  <r>
    <x v="12"/>
    <n v="7"/>
    <m/>
    <n v="7.4591080954466298"/>
    <n v="8.8478702501483504"/>
    <n v="8.7346253410155903"/>
    <n v="30.67"/>
    <n v="136.5423097"/>
    <n v="136.5423097"/>
    <n v="54.171065853389379"/>
    <n v="24894"/>
    <n v="24503"/>
    <n v="9383.5757761999994"/>
    <n v="9383.5757761999994"/>
    <n v="1.375"/>
    <n v="291.78750000000002"/>
    <n v="4200"/>
    <n v="1161"/>
    <n v="0"/>
  </r>
  <r>
    <x v="12"/>
    <n v="8"/>
    <m/>
    <n v="7.4591080954466298"/>
    <n v="8.8478702501483504"/>
    <n v="8.7346253410155903"/>
    <n v="29.48"/>
    <n v="136.5423097"/>
    <n v="136.5423097"/>
    <n v="54.171065853389379"/>
    <n v="24892"/>
    <n v="24502"/>
    <n v="9383.5757761999994"/>
    <n v="9383.5757761999994"/>
    <n v="0.35"/>
    <n v="311.80250000000001"/>
    <n v="4200"/>
    <n v="1161"/>
    <n v="0"/>
  </r>
  <r>
    <x v="12"/>
    <n v="9"/>
    <m/>
    <n v="7.4591080954466298"/>
    <n v="8.8478702501483504"/>
    <n v="8.7346253410155903"/>
    <n v="30.71"/>
    <n v="136.5423097"/>
    <n v="136.5423097"/>
    <n v="54.171065853389379"/>
    <n v="24890"/>
    <n v="24501"/>
    <n v="9383.5757761999994"/>
    <n v="9383.5757761999994"/>
    <n v="8.2974999999999994"/>
    <n v="230.68249999999998"/>
    <n v="4200"/>
    <n v="1161"/>
    <n v="0"/>
  </r>
  <r>
    <x v="12"/>
    <n v="10"/>
    <m/>
    <n v="7.4591080954466298"/>
    <n v="8.8478702501483504"/>
    <n v="8.7346253410155903"/>
    <n v="29.52"/>
    <n v="136.5423097"/>
    <n v="136.5423097"/>
    <n v="54.182335607854156"/>
    <n v="24888"/>
    <n v="24500"/>
    <n v="9383.5757761999994"/>
    <n v="9383.5757761999994"/>
    <n v="129.8125"/>
    <n v="57.779999999999994"/>
    <n v="4200"/>
    <n v="1161"/>
    <n v="0"/>
  </r>
  <r>
    <x v="12"/>
    <n v="11"/>
    <m/>
    <n v="7.4591080954466298"/>
    <n v="8.8478702501483504"/>
    <n v="8.7346253410155903"/>
    <n v="29.38"/>
    <n v="136.5423097"/>
    <n v="136.5423097"/>
    <n v="54.182335607854156"/>
    <n v="24886"/>
    <n v="24499"/>
    <n v="9383.5757761999994"/>
    <n v="9383.5757761999994"/>
    <n v="387.90500000000003"/>
    <n v="3.9299999999999997"/>
    <n v="4200"/>
    <n v="1161"/>
    <n v="0"/>
  </r>
  <r>
    <x v="12"/>
    <n v="12"/>
    <m/>
    <n v="7.4591080954466298"/>
    <n v="8.8478702501483504"/>
    <n v="8.7346253410155903"/>
    <n v="32.049999999999997"/>
    <n v="136.5423097"/>
    <n v="136.5423097"/>
    <n v="54.182335607854156"/>
    <n v="24884"/>
    <n v="24498"/>
    <n v="9383.5757761999994"/>
    <n v="9383.5757761999994"/>
    <n v="681.89"/>
    <n v="0.1"/>
    <n v="4200"/>
    <n v="1161"/>
    <n v="0"/>
  </r>
  <r>
    <x v="13"/>
    <n v="1"/>
    <m/>
    <n v="8.1713101443026481"/>
    <n v="9.8567702208098193"/>
    <n v="9.2046712507306498"/>
    <n v="32.33"/>
    <n v="136.53362824999999"/>
    <n v="136.53362824999999"/>
    <n v="54.18795176869763"/>
    <n v="24882"/>
    <n v="24497"/>
    <n v="9733.2135728000012"/>
    <n v="9733.2135728000012"/>
    <n v="918.70499999999993"/>
    <n v="0"/>
    <n v="4200"/>
    <n v="1161"/>
    <n v="0"/>
  </r>
  <r>
    <x v="13"/>
    <n v="2"/>
    <m/>
    <n v="8.1713101443026481"/>
    <n v="9.8567702208098193"/>
    <n v="9.2046712507306498"/>
    <n v="30.05"/>
    <n v="136.53362824999999"/>
    <n v="136.53362824999999"/>
    <n v="54.18795176869763"/>
    <n v="24880"/>
    <n v="24496"/>
    <n v="9733.2135728000012"/>
    <n v="9733.2135728000012"/>
    <n v="796.85749999999996"/>
    <n v="0"/>
    <n v="4200"/>
    <n v="1161"/>
    <n v="0"/>
  </r>
  <r>
    <x v="13"/>
    <n v="3"/>
    <m/>
    <n v="8.1713101443026481"/>
    <n v="9.8567702208098193"/>
    <n v="9.2046712507306498"/>
    <n v="30.19"/>
    <n v="136.53362824999999"/>
    <n v="136.53362824999999"/>
    <n v="54.18795176869763"/>
    <n v="24878"/>
    <n v="24495"/>
    <n v="9733.2135728000012"/>
    <n v="9733.2135728000012"/>
    <n v="645"/>
    <n v="0.32500000000000001"/>
    <n v="4200"/>
    <n v="1161"/>
    <n v="0"/>
  </r>
  <r>
    <x v="13"/>
    <n v="4"/>
    <m/>
    <n v="8.1713101443026481"/>
    <n v="9.8567702208098193"/>
    <n v="9.2046712507306498"/>
    <n v="30"/>
    <n v="136.53362824999999"/>
    <n v="136.53362824999999"/>
    <n v="54.194268031963702"/>
    <n v="24876"/>
    <n v="24494"/>
    <n v="9733.2135728000012"/>
    <n v="9733.2135728000012"/>
    <n v="393.33749999999998"/>
    <n v="5.6325000000000003"/>
    <n v="4200"/>
    <n v="1161"/>
    <n v="0"/>
  </r>
  <r>
    <x v="13"/>
    <n v="5"/>
    <m/>
    <n v="8.1713101443026481"/>
    <n v="9.8567702208098193"/>
    <n v="9.2046712507306498"/>
    <n v="30.48"/>
    <n v="136.53362824999999"/>
    <n v="136.53362824999999"/>
    <n v="54.194268031963702"/>
    <n v="24874"/>
    <n v="24493"/>
    <n v="9733.2135728000012"/>
    <n v="9733.2135728000012"/>
    <n v="170.59"/>
    <n v="35.347500000000004"/>
    <n v="4200"/>
    <n v="1161"/>
    <n v="0"/>
  </r>
  <r>
    <x v="13"/>
    <n v="6"/>
    <m/>
    <n v="8.1713101443026481"/>
    <n v="9.8567702208098193"/>
    <n v="9.2046712507306498"/>
    <n v="30.52"/>
    <n v="136.53362824999999"/>
    <n v="136.53362824999999"/>
    <n v="54.194268031963702"/>
    <n v="24872"/>
    <n v="24492"/>
    <n v="9733.2135728000012"/>
    <n v="9733.2135728000012"/>
    <n v="42.912500000000001"/>
    <n v="148.8475"/>
    <n v="4200"/>
    <n v="1161"/>
    <n v="0"/>
  </r>
  <r>
    <x v="13"/>
    <n v="7"/>
    <m/>
    <n v="8.1713101443026481"/>
    <n v="9.8567702208098193"/>
    <n v="9.2046712507306498"/>
    <n v="30.67"/>
    <n v="136.53362824999999"/>
    <n v="136.53362824999999"/>
    <n v="54.210288119624281"/>
    <n v="24870"/>
    <n v="24491"/>
    <n v="9733.2135728000012"/>
    <n v="9733.2135728000012"/>
    <n v="1.375"/>
    <n v="291.78750000000002"/>
    <n v="4200"/>
    <n v="1161"/>
    <n v="0"/>
  </r>
  <r>
    <x v="13"/>
    <n v="8"/>
    <m/>
    <n v="8.1713101443026481"/>
    <n v="9.8567702208098193"/>
    <n v="9.2046712507306498"/>
    <n v="29.48"/>
    <n v="136.53362824999999"/>
    <n v="136.53362824999999"/>
    <n v="54.210288119624281"/>
    <n v="24868"/>
    <n v="24490"/>
    <n v="9733.2135728000012"/>
    <n v="9733.2135728000012"/>
    <n v="0.35"/>
    <n v="311.80250000000001"/>
    <n v="4200"/>
    <n v="1161"/>
    <n v="0"/>
  </r>
  <r>
    <x v="13"/>
    <n v="9"/>
    <m/>
    <n v="8.1713101443026481"/>
    <n v="9.8567702208098193"/>
    <n v="9.2046712507306498"/>
    <n v="30.86"/>
    <n v="136.53362824999999"/>
    <n v="136.53362824999999"/>
    <n v="54.210288119624281"/>
    <n v="24866"/>
    <n v="24489"/>
    <n v="9733.2135728000012"/>
    <n v="9733.2135728000012"/>
    <n v="8.2974999999999994"/>
    <n v="230.68249999999998"/>
    <n v="4200"/>
    <n v="1161"/>
    <n v="0"/>
  </r>
  <r>
    <x v="13"/>
    <n v="10"/>
    <m/>
    <n v="8.1713101443026481"/>
    <n v="9.8567702208098193"/>
    <n v="9.2046712507306498"/>
    <n v="29.38"/>
    <n v="136.53362824999999"/>
    <n v="136.53362824999999"/>
    <n v="54.221114130786255"/>
    <n v="24864"/>
    <n v="24488"/>
    <n v="9733.2135728000012"/>
    <n v="9733.2135728000012"/>
    <n v="129.8125"/>
    <n v="57.779999999999994"/>
    <n v="4200"/>
    <n v="1161"/>
    <n v="0"/>
  </r>
  <r>
    <x v="13"/>
    <n v="11"/>
    <m/>
    <n v="8.1713101443026481"/>
    <n v="9.8567702208098193"/>
    <n v="9.2046712507306498"/>
    <n v="29.57"/>
    <n v="136.53362824999999"/>
    <n v="136.53362824999999"/>
    <n v="54.221114130786255"/>
    <n v="24862"/>
    <n v="24487"/>
    <n v="9733.2135728000012"/>
    <n v="9733.2135728000012"/>
    <n v="387.90500000000003"/>
    <n v="3.9299999999999997"/>
    <n v="4200"/>
    <n v="1161"/>
    <n v="0"/>
  </r>
  <r>
    <x v="13"/>
    <n v="12"/>
    <m/>
    <n v="8.1713101443026481"/>
    <n v="9.8567702208098193"/>
    <n v="9.2046712507306498"/>
    <n v="31.81"/>
    <n v="136.53362824999999"/>
    <n v="136.53362824999999"/>
    <n v="54.221114130786255"/>
    <n v="24860"/>
    <n v="24486"/>
    <n v="9733.2135728000012"/>
    <n v="9733.2135728000012"/>
    <n v="681.89"/>
    <n v="0.1"/>
    <n v="4200"/>
    <n v="1161"/>
    <n v="0"/>
  </r>
  <r>
    <x v="14"/>
    <n v="1"/>
    <m/>
    <n v="8.1602139087259289"/>
    <n v="9.98435440913366"/>
    <n v="9.337919624405929"/>
    <n v="32.380000000000003"/>
    <n v="136.48636771"/>
    <n v="136.48636771"/>
    <n v="54.219780160637399"/>
    <n v="24858"/>
    <n v="24485"/>
    <n v="10113.8908242"/>
    <n v="10113.8908242"/>
    <n v="918.70499999999993"/>
    <n v="0"/>
    <n v="4200"/>
    <n v="1161"/>
    <n v="0"/>
  </r>
  <r>
    <x v="14"/>
    <n v="2"/>
    <m/>
    <n v="8.1602139087259289"/>
    <n v="9.98435440913366"/>
    <n v="9.337919624405929"/>
    <n v="30.19"/>
    <n v="136.48636771"/>
    <n v="136.48636771"/>
    <n v="54.219780160637399"/>
    <n v="24856"/>
    <n v="24484"/>
    <n v="10113.8908242"/>
    <n v="10113.8908242"/>
    <n v="796.85749999999996"/>
    <n v="0"/>
    <n v="4200"/>
    <n v="1161"/>
    <n v="0"/>
  </r>
  <r>
    <x v="14"/>
    <n v="3"/>
    <m/>
    <n v="8.1602139087259289"/>
    <n v="9.98435440913366"/>
    <n v="9.337919624405929"/>
    <n v="30.05"/>
    <n v="136.48636771"/>
    <n v="136.48636771"/>
    <n v="54.219780160637399"/>
    <n v="24854"/>
    <n v="24483"/>
    <n v="10113.8908242"/>
    <n v="10113.8908242"/>
    <n v="645"/>
    <n v="0.32500000000000001"/>
    <n v="4200"/>
    <n v="1161"/>
    <n v="0"/>
  </r>
  <r>
    <x v="14"/>
    <n v="4"/>
    <m/>
    <n v="8.1602139087259289"/>
    <n v="9.98435440913366"/>
    <n v="9.337919624405929"/>
    <n v="30.71"/>
    <n v="136.48636771"/>
    <n v="136.48636771"/>
    <n v="54.242827971994544"/>
    <n v="24852"/>
    <n v="24482"/>
    <n v="10113.8908242"/>
    <n v="10113.8908242"/>
    <n v="393.33749999999998"/>
    <n v="5.6325000000000003"/>
    <n v="4200"/>
    <n v="1161"/>
    <n v="0"/>
  </r>
  <r>
    <x v="14"/>
    <n v="5"/>
    <m/>
    <n v="8.1602139087259289"/>
    <n v="9.98435440913366"/>
    <n v="9.337919624405929"/>
    <n v="29.9"/>
    <n v="136.48636771"/>
    <n v="136.48636771"/>
    <n v="54.242827971994544"/>
    <n v="24850"/>
    <n v="24481"/>
    <n v="10113.8908242"/>
    <n v="10113.8908242"/>
    <n v="170.59"/>
    <n v="35.347500000000004"/>
    <n v="4200"/>
    <n v="1161"/>
    <n v="0"/>
  </r>
  <r>
    <x v="14"/>
    <n v="6"/>
    <m/>
    <n v="8.1602139087259289"/>
    <n v="9.98435440913366"/>
    <n v="9.337919624405929"/>
    <n v="30.38"/>
    <n v="136.48636771"/>
    <n v="136.48636771"/>
    <n v="54.242827971994544"/>
    <n v="24848"/>
    <n v="24480"/>
    <n v="10113.8908242"/>
    <n v="10113.8908242"/>
    <n v="42.912500000000001"/>
    <n v="148.8475"/>
    <n v="4200"/>
    <n v="1161"/>
    <n v="0"/>
  </r>
  <r>
    <x v="14"/>
    <n v="7"/>
    <m/>
    <n v="8.1602139087259289"/>
    <n v="9.98435440913366"/>
    <n v="9.337919624405929"/>
    <n v="30.71"/>
    <n v="136.48636771"/>
    <n v="136.48636771"/>
    <n v="54.260318936199781"/>
    <n v="24846"/>
    <n v="24479"/>
    <n v="10113.8908242"/>
    <n v="10113.8908242"/>
    <n v="1.375"/>
    <n v="291.78750000000002"/>
    <n v="4200"/>
    <n v="1161"/>
    <n v="0"/>
  </r>
  <r>
    <x v="14"/>
    <n v="8"/>
    <m/>
    <n v="8.1602139087259289"/>
    <n v="9.98435440913366"/>
    <n v="9.337919624405929"/>
    <n v="29.52"/>
    <n v="136.48636771"/>
    <n v="136.48636771"/>
    <n v="54.260318936199781"/>
    <n v="24844"/>
    <n v="24478"/>
    <n v="10113.8908242"/>
    <n v="10113.8908242"/>
    <n v="0.35"/>
    <n v="311.80250000000001"/>
    <n v="4200"/>
    <n v="1161"/>
    <n v="0"/>
  </r>
  <r>
    <x v="14"/>
    <n v="9"/>
    <m/>
    <n v="8.1602139087259289"/>
    <n v="9.98435440913366"/>
    <n v="9.337919624405929"/>
    <n v="30.48"/>
    <n v="136.48636771"/>
    <n v="136.48636771"/>
    <n v="54.260318936199781"/>
    <n v="24842"/>
    <n v="24477"/>
    <n v="10113.8908242"/>
    <n v="10113.8908242"/>
    <n v="8.2974999999999994"/>
    <n v="230.68249999999998"/>
    <n v="4200"/>
    <n v="1161"/>
    <n v="0"/>
  </r>
  <r>
    <x v="14"/>
    <n v="10"/>
    <m/>
    <n v="8.1602139087259289"/>
    <n v="9.98435440913366"/>
    <n v="9.337919624405929"/>
    <n v="29.67"/>
    <n v="136.48636771"/>
    <n v="136.48636771"/>
    <n v="54.273804906817006"/>
    <n v="24840"/>
    <n v="24476"/>
    <n v="10113.8908242"/>
    <n v="10113.8908242"/>
    <n v="129.8125"/>
    <n v="57.779999999999994"/>
    <n v="4200"/>
    <n v="1161"/>
    <n v="0"/>
  </r>
  <r>
    <x v="14"/>
    <n v="11"/>
    <m/>
    <n v="8.1602139087259289"/>
    <n v="9.98435440913366"/>
    <n v="9.337919624405929"/>
    <n v="29.76"/>
    <n v="136.48636771"/>
    <n v="136.48636771"/>
    <n v="54.273804906817006"/>
    <n v="24838"/>
    <n v="24475"/>
    <n v="10113.8908242"/>
    <n v="10113.8908242"/>
    <n v="387.90500000000003"/>
    <n v="3.9299999999999997"/>
    <n v="4200"/>
    <n v="1161"/>
    <n v="0"/>
  </r>
  <r>
    <x v="14"/>
    <n v="12"/>
    <m/>
    <n v="8.1602139087259289"/>
    <n v="9.98435440913366"/>
    <n v="9.337919624405929"/>
    <n v="31.57"/>
    <n v="136.48636771"/>
    <n v="136.48636771"/>
    <n v="54.273804906817006"/>
    <n v="24836"/>
    <n v="24474"/>
    <n v="10113.8908242"/>
    <n v="10113.8908242"/>
    <n v="681.89"/>
    <n v="0.1"/>
    <n v="4200"/>
    <n v="1161"/>
    <n v="0"/>
  </r>
  <r>
    <x v="15"/>
    <n v="1"/>
    <m/>
    <n v="8.9141516065326432"/>
    <n v="11.1511374889444"/>
    <n v="10.306953177276499"/>
    <n v="32.520000000000003"/>
    <n v="136.45708119"/>
    <n v="136.45708119"/>
    <n v="54.272083060717364"/>
    <n v="24834"/>
    <n v="24473"/>
    <n v="10485.507251000001"/>
    <n v="10485.507251000001"/>
    <n v="918.70499999999993"/>
    <n v="0"/>
    <n v="4200"/>
    <n v="1161"/>
    <n v="0"/>
  </r>
  <r>
    <x v="15"/>
    <n v="2"/>
    <m/>
    <n v="8.9141516065326432"/>
    <n v="11.1511374889444"/>
    <n v="10.306953177276499"/>
    <n v="30.14"/>
    <n v="136.45708119"/>
    <n v="136.45708119"/>
    <n v="54.272083060717364"/>
    <n v="24832"/>
    <n v="24472"/>
    <n v="10485.507251000001"/>
    <n v="10485.507251000001"/>
    <n v="796.85749999999996"/>
    <n v="0"/>
    <n v="4200"/>
    <n v="1161"/>
    <n v="0"/>
  </r>
  <r>
    <x v="15"/>
    <n v="3"/>
    <m/>
    <n v="8.9141516065326432"/>
    <n v="11.1511374889444"/>
    <n v="10.306953177276499"/>
    <n v="30.33"/>
    <n v="136.45708119"/>
    <n v="136.45708119"/>
    <n v="54.272083060717364"/>
    <n v="24830"/>
    <n v="24471"/>
    <n v="10485.507251000001"/>
    <n v="10485.507251000001"/>
    <n v="645"/>
    <n v="0.32500000000000001"/>
    <n v="4200"/>
    <n v="1161"/>
    <n v="0"/>
  </r>
  <r>
    <x v="15"/>
    <n v="4"/>
    <m/>
    <n v="8.9141516065326432"/>
    <n v="11.1511374889444"/>
    <n v="10.306953177276499"/>
    <n v="30.52"/>
    <n v="136.45708119"/>
    <n v="136.45708119"/>
    <n v="54.280690783760562"/>
    <n v="24828"/>
    <n v="24470"/>
    <n v="10485.507251000001"/>
    <n v="10485.507251000001"/>
    <n v="393.33749999999998"/>
    <n v="5.6325000000000003"/>
    <n v="4200"/>
    <n v="1161"/>
    <n v="0"/>
  </r>
  <r>
    <x v="15"/>
    <n v="5"/>
    <m/>
    <n v="8.9141516065326432"/>
    <n v="11.1511374889444"/>
    <n v="10.306953177276499"/>
    <n v="29.48"/>
    <n v="136.45708119"/>
    <n v="136.45708119"/>
    <n v="54.280690783760562"/>
    <n v="24826"/>
    <n v="24469"/>
    <n v="10485.507251000001"/>
    <n v="10485.507251000001"/>
    <n v="170.59"/>
    <n v="35.347500000000004"/>
    <n v="4200"/>
    <n v="1161"/>
    <n v="0"/>
  </r>
  <r>
    <x v="15"/>
    <n v="6"/>
    <m/>
    <n v="8.9141516065326432"/>
    <n v="11.1511374889444"/>
    <n v="10.306953177276499"/>
    <n v="30.67"/>
    <n v="136.45708119"/>
    <n v="136.45708119"/>
    <n v="54.280690783760562"/>
    <n v="24824"/>
    <n v="24468"/>
    <n v="10485.507251000001"/>
    <n v="10485.507251000001"/>
    <n v="42.912500000000001"/>
    <n v="148.8475"/>
    <n v="4200"/>
    <n v="1161"/>
    <n v="0"/>
  </r>
  <r>
    <x v="15"/>
    <n v="7"/>
    <m/>
    <n v="8.9141516065326432"/>
    <n v="11.1511374889444"/>
    <n v="10.306953177276499"/>
    <n v="30.71"/>
    <n v="136.45708119"/>
    <n v="136.45708119"/>
    <n v="54.28886384776149"/>
    <n v="24822"/>
    <n v="24467"/>
    <n v="10485.507251000001"/>
    <n v="10485.507251000001"/>
    <n v="1.375"/>
    <n v="291.78750000000002"/>
    <n v="4200"/>
    <n v="1161"/>
    <n v="0"/>
  </r>
  <r>
    <x v="15"/>
    <n v="8"/>
    <m/>
    <n v="8.9141516065326432"/>
    <n v="11.1511374889444"/>
    <n v="10.306953177276499"/>
    <n v="29.52"/>
    <n v="136.45708119"/>
    <n v="136.45708119"/>
    <n v="54.28886384776149"/>
    <n v="24820"/>
    <n v="24466"/>
    <n v="10485.507251000001"/>
    <n v="10485.507251000001"/>
    <n v="0.35"/>
    <n v="311.80250000000001"/>
    <n v="4200"/>
    <n v="1161"/>
    <n v="0"/>
  </r>
  <r>
    <x v="15"/>
    <n v="9"/>
    <m/>
    <n v="8.9141516065326432"/>
    <n v="11.1511374889444"/>
    <n v="10.306953177276499"/>
    <n v="30.52"/>
    <n v="136.45708119"/>
    <n v="136.45708119"/>
    <n v="54.28886384776149"/>
    <n v="24818"/>
    <n v="24465"/>
    <n v="10485.507251000001"/>
    <n v="10485.507251000001"/>
    <n v="8.2974999999999994"/>
    <n v="230.68249999999998"/>
    <n v="4200"/>
    <n v="1161"/>
    <n v="0"/>
  </r>
  <r>
    <x v="15"/>
    <n v="10"/>
    <m/>
    <n v="8.9141516065326432"/>
    <n v="11.1511374889444"/>
    <n v="10.306953177276499"/>
    <n v="29.62"/>
    <n v="136.45708119"/>
    <n v="136.45708119"/>
    <n v="54.297290563652339"/>
    <n v="24816"/>
    <n v="24464"/>
    <n v="10485.507251000001"/>
    <n v="10485.507251000001"/>
    <n v="129.8125"/>
    <n v="57.779999999999994"/>
    <n v="4200"/>
    <n v="1161"/>
    <n v="0"/>
  </r>
  <r>
    <x v="15"/>
    <n v="11"/>
    <m/>
    <n v="8.9141516065326432"/>
    <n v="11.1511374889444"/>
    <n v="10.306953177276499"/>
    <n v="29.95"/>
    <n v="136.45708119"/>
    <n v="136.45708119"/>
    <n v="54.297290563652339"/>
    <n v="24814"/>
    <n v="24463"/>
    <n v="10485.507251000001"/>
    <n v="10485.507251000001"/>
    <n v="387.90500000000003"/>
    <n v="3.9299999999999997"/>
    <n v="4200"/>
    <n v="1161"/>
    <n v="0"/>
  </r>
  <r>
    <x v="15"/>
    <n v="12"/>
    <m/>
    <n v="8.9141516065326432"/>
    <n v="11.1511374889444"/>
    <n v="10.306953177276499"/>
    <n v="31.24"/>
    <n v="136.45708119"/>
    <n v="136.45708119"/>
    <n v="54.297290563652339"/>
    <n v="24812"/>
    <n v="24462"/>
    <n v="10485.507251000001"/>
    <n v="10485.507251000001"/>
    <n v="681.89"/>
    <n v="0.1"/>
    <n v="4200"/>
    <n v="1161"/>
    <n v="0"/>
  </r>
  <r>
    <x v="16"/>
    <n v="1"/>
    <m/>
    <n v="8.9002615420299822"/>
    <n v="11.374160238723288"/>
    <n v="10.533662077481699"/>
    <n v="32.67"/>
    <n v="136.43033462"/>
    <n v="136.43033462"/>
    <n v="54.261862535715153"/>
    <n v="24810"/>
    <n v="24461"/>
    <n v="10899.1221188"/>
    <n v="10899.1221188"/>
    <n v="918.70499999999993"/>
    <n v="0"/>
    <n v="4200"/>
    <n v="1161"/>
    <n v="0"/>
  </r>
  <r>
    <x v="16"/>
    <n v="2"/>
    <m/>
    <n v="8.9002615420299822"/>
    <n v="11.374160238723288"/>
    <n v="10.533662077481699"/>
    <n v="29.86"/>
    <n v="136.43033462"/>
    <n v="136.43033462"/>
    <n v="54.261862535715153"/>
    <n v="24808"/>
    <n v="24460"/>
    <n v="10899.1221188"/>
    <n v="10899.1221188"/>
    <n v="796.85749999999996"/>
    <n v="0"/>
    <n v="4200"/>
    <n v="1161"/>
    <n v="0"/>
  </r>
  <r>
    <x v="16"/>
    <n v="3"/>
    <m/>
    <n v="8.9002615420299822"/>
    <n v="11.374160238723288"/>
    <n v="10.533662077481699"/>
    <n v="30.29"/>
    <n v="136.43033462"/>
    <n v="136.43033462"/>
    <n v="54.261862535715153"/>
    <n v="24806"/>
    <n v="24459"/>
    <n v="10899.1221188"/>
    <n v="10899.1221188"/>
    <n v="645"/>
    <n v="0.32500000000000001"/>
    <n v="4200"/>
    <n v="1161"/>
    <n v="0"/>
  </r>
  <r>
    <x v="16"/>
    <n v="4"/>
    <m/>
    <n v="8.9002615420299822"/>
    <n v="11.374160238723288"/>
    <n v="10.533662077481699"/>
    <n v="30.33"/>
    <n v="136.43033462"/>
    <n v="136.43033462"/>
    <n v="54.237845985487475"/>
    <n v="24804"/>
    <n v="24458"/>
    <n v="10899.1221188"/>
    <n v="10899.1221188"/>
    <n v="393.33749999999998"/>
    <n v="5.6325000000000003"/>
    <n v="4200"/>
    <n v="1161"/>
    <n v="0"/>
  </r>
  <r>
    <x v="16"/>
    <n v="5"/>
    <m/>
    <n v="8.9002615420299822"/>
    <n v="11.374160238723288"/>
    <n v="10.533662077481699"/>
    <n v="30.05"/>
    <n v="136.43033462"/>
    <n v="136.43033462"/>
    <n v="54.237845985487475"/>
    <n v="24802"/>
    <n v="24457"/>
    <n v="10899.1221188"/>
    <n v="10899.1221188"/>
    <n v="170.59"/>
    <n v="35.347500000000004"/>
    <n v="4200"/>
    <n v="1161"/>
    <n v="0"/>
  </r>
  <r>
    <x v="16"/>
    <n v="6"/>
    <m/>
    <n v="8.9002615420299822"/>
    <n v="11.374160238723288"/>
    <n v="10.533662077481699"/>
    <n v="30.62"/>
    <n v="136.43033462"/>
    <n v="136.43033462"/>
    <n v="54.237845985487475"/>
    <n v="24800"/>
    <n v="24456"/>
    <n v="10899.1221188"/>
    <n v="10899.1221188"/>
    <n v="42.912500000000001"/>
    <n v="148.8475"/>
    <n v="4200"/>
    <n v="1161"/>
    <n v="0"/>
  </r>
  <r>
    <x v="16"/>
    <n v="7"/>
    <m/>
    <n v="8.9002615420299822"/>
    <n v="11.374160238723288"/>
    <n v="10.533662077481699"/>
    <n v="30.81"/>
    <n v="136.43033462"/>
    <n v="136.43033462"/>
    <n v="54.213474905811609"/>
    <n v="24798"/>
    <n v="24455"/>
    <n v="10899.1221188"/>
    <n v="10899.1221188"/>
    <n v="1.375"/>
    <n v="291.78750000000002"/>
    <n v="4200"/>
    <n v="1161"/>
    <n v="0"/>
  </r>
  <r>
    <x v="16"/>
    <n v="8"/>
    <m/>
    <n v="8.9002615420299822"/>
    <n v="11.374160238723288"/>
    <n v="10.533662077481699"/>
    <n v="29.43"/>
    <n v="136.43033462"/>
    <n v="136.43033462"/>
    <n v="54.213474905811609"/>
    <n v="24796"/>
    <n v="24454"/>
    <n v="10899.1221188"/>
    <n v="10899.1221188"/>
    <n v="0.35"/>
    <n v="311.80250000000001"/>
    <n v="4200"/>
    <n v="1161"/>
    <n v="0"/>
  </r>
  <r>
    <x v="16"/>
    <n v="9"/>
    <m/>
    <n v="8.9002615420299822"/>
    <n v="11.374160238723288"/>
    <n v="10.533662077481699"/>
    <n v="30.57"/>
    <n v="136.43033462"/>
    <n v="136.43033462"/>
    <n v="54.213474905811609"/>
    <n v="24794"/>
    <n v="24453"/>
    <n v="10899.1221188"/>
    <n v="10899.1221188"/>
    <n v="8.2974999999999994"/>
    <n v="230.68249999999998"/>
    <n v="4200"/>
    <n v="1161"/>
    <n v="0"/>
  </r>
  <r>
    <x v="16"/>
    <n v="10"/>
    <m/>
    <n v="8.9002615420299822"/>
    <n v="11.374160238723288"/>
    <n v="10.533662077481699"/>
    <n v="29.67"/>
    <n v="136.43033462"/>
    <n v="136.43033462"/>
    <n v="54.186814784848067"/>
    <n v="24792"/>
    <n v="24452"/>
    <n v="10899.1221188"/>
    <n v="10899.1221188"/>
    <n v="129.8125"/>
    <n v="57.779999999999994"/>
    <n v="4200"/>
    <n v="1161"/>
    <n v="0"/>
  </r>
  <r>
    <x v="16"/>
    <n v="11"/>
    <m/>
    <n v="8.9002615420299822"/>
    <n v="11.374160238723288"/>
    <n v="10.533662077481699"/>
    <n v="30.05"/>
    <n v="136.43033462"/>
    <n v="136.43033462"/>
    <n v="54.186814784848067"/>
    <n v="24790"/>
    <n v="24451"/>
    <n v="10899.1221188"/>
    <n v="10899.1221188"/>
    <n v="387.90500000000003"/>
    <n v="3.9299999999999997"/>
    <n v="4200"/>
    <n v="1161"/>
    <n v="0"/>
  </r>
  <r>
    <x v="16"/>
    <n v="12"/>
    <m/>
    <n v="8.9002615420299822"/>
    <n v="11.374160238723288"/>
    <n v="10.533662077481699"/>
    <n v="30.67"/>
    <n v="136.43033462"/>
    <n v="136.43033462"/>
    <n v="54.186814784848067"/>
    <n v="24788"/>
    <n v="24450"/>
    <n v="10899.1221188"/>
    <n v="10899.1221188"/>
    <n v="681.89"/>
    <n v="0.1"/>
    <n v="4200"/>
    <n v="1161"/>
    <n v="0"/>
  </r>
  <r>
    <x v="17"/>
    <n v="1"/>
    <m/>
    <n v="10.265524702749273"/>
    <n v="11.601643443497753"/>
    <n v="10.744335319031332"/>
    <n v="32.67"/>
    <n v="136.49621035000001"/>
    <n v="136.49621035000001"/>
    <n v="54.215476482987164"/>
    <n v="24786"/>
    <n v="24449"/>
    <n v="11318.781959800001"/>
    <n v="11318.781959800001"/>
    <n v="918.70499999999993"/>
    <n v="0"/>
    <n v="4200"/>
    <n v="1161"/>
    <n v="0"/>
  </r>
  <r>
    <x v="17"/>
    <n v="2"/>
    <m/>
    <n v="10.265524702749273"/>
    <n v="11.601643443497753"/>
    <n v="10.744335319031332"/>
    <n v="29.86"/>
    <n v="136.49621035000001"/>
    <n v="136.49621035000001"/>
    <n v="54.215476482987164"/>
    <n v="24784"/>
    <n v="24448"/>
    <n v="11318.781959800001"/>
    <n v="11318.781959800001"/>
    <n v="796.85749999999996"/>
    <n v="0"/>
    <n v="4200"/>
    <n v="1161"/>
    <n v="0"/>
  </r>
  <r>
    <x v="17"/>
    <n v="3"/>
    <m/>
    <n v="10.265524702749273"/>
    <n v="11.601643443497753"/>
    <n v="10.744335319031332"/>
    <n v="30.43"/>
    <n v="136.49621035000001"/>
    <n v="136.49621035000001"/>
    <n v="54.215476482987164"/>
    <n v="24782"/>
    <n v="24447"/>
    <n v="11318.781959800001"/>
    <n v="11318.781959800001"/>
    <n v="645"/>
    <n v="0.32500000000000001"/>
    <n v="4200"/>
    <n v="1161"/>
    <n v="0"/>
  </r>
  <r>
    <x v="17"/>
    <n v="4"/>
    <m/>
    <n v="10.265524702749273"/>
    <n v="11.601643443497753"/>
    <n v="10.744335319031332"/>
    <n v="30.71"/>
    <n v="136.49621035000001"/>
    <n v="136.49621035000001"/>
    <n v="54.216714031292227"/>
    <n v="24780"/>
    <n v="24446"/>
    <n v="11318.781959800001"/>
    <n v="11318.781959800001"/>
    <n v="393.33749999999998"/>
    <n v="5.6325000000000003"/>
    <n v="4200"/>
    <n v="1161"/>
    <n v="0"/>
  </r>
  <r>
    <x v="17"/>
    <n v="5"/>
    <m/>
    <n v="10.265524702749273"/>
    <n v="11.601643443497753"/>
    <n v="10.744335319031332"/>
    <n v="29.52"/>
    <n v="136.49621035000001"/>
    <n v="136.49621035000001"/>
    <n v="54.216714031292227"/>
    <n v="24778"/>
    <n v="24445"/>
    <n v="11318.781959800001"/>
    <n v="11318.781959800001"/>
    <n v="170.59"/>
    <n v="35.347500000000004"/>
    <n v="4200"/>
    <n v="1161"/>
    <n v="0"/>
  </r>
  <r>
    <x v="17"/>
    <n v="6"/>
    <m/>
    <n v="10.265524702749273"/>
    <n v="11.601643443497753"/>
    <n v="10.744335319031332"/>
    <n v="30.62"/>
    <n v="136.49621035000001"/>
    <n v="136.49621035000001"/>
    <n v="54.216714031292227"/>
    <n v="24776"/>
    <n v="24444"/>
    <n v="11318.781959800001"/>
    <n v="11318.781959800001"/>
    <n v="42.912500000000001"/>
    <n v="148.8475"/>
    <n v="4200"/>
    <n v="1161"/>
    <n v="0"/>
  </r>
  <r>
    <x v="17"/>
    <n v="7"/>
    <m/>
    <n v="10.265524702749273"/>
    <n v="11.601643443497753"/>
    <n v="10.744335319031332"/>
    <n v="30.76"/>
    <n v="136.49621035000001"/>
    <n v="136.49621035000001"/>
    <n v="54.218148539400687"/>
    <n v="24774"/>
    <n v="24443"/>
    <n v="11318.781959800001"/>
    <n v="11318.781959800001"/>
    <n v="1.375"/>
    <n v="291.78750000000002"/>
    <n v="4200"/>
    <n v="1161"/>
    <n v="0"/>
  </r>
  <r>
    <x v="17"/>
    <n v="8"/>
    <m/>
    <n v="10.265524702749273"/>
    <n v="11.601643443497753"/>
    <n v="10.744335319031332"/>
    <n v="29.48"/>
    <n v="136.49621035000001"/>
    <n v="136.49621035000001"/>
    <n v="54.218148539400687"/>
    <n v="24772"/>
    <n v="24442"/>
    <n v="11318.781959800001"/>
    <n v="11318.781959800001"/>
    <n v="0.35"/>
    <n v="311.80250000000001"/>
    <n v="4200"/>
    <n v="1161"/>
    <n v="0"/>
  </r>
  <r>
    <x v="17"/>
    <n v="9"/>
    <m/>
    <n v="10.265524702749273"/>
    <n v="11.601643443497753"/>
    <n v="10.744335319031332"/>
    <n v="30.57"/>
    <n v="136.49621035000001"/>
    <n v="136.49621035000001"/>
    <n v="54.218148539400687"/>
    <n v="24770"/>
    <n v="24441"/>
    <n v="11318.781959800001"/>
    <n v="11318.781959800001"/>
    <n v="8.2974999999999994"/>
    <n v="230.68249999999998"/>
    <n v="4200"/>
    <n v="1161"/>
    <n v="0"/>
  </r>
  <r>
    <x v="17"/>
    <n v="10"/>
    <m/>
    <n v="10.265524702749273"/>
    <n v="11.601643443497753"/>
    <n v="10.744335319031332"/>
    <n v="29.67"/>
    <n v="136.49621035000001"/>
    <n v="136.49621035000001"/>
    <n v="54.219274691967584"/>
    <n v="24768"/>
    <n v="24440"/>
    <n v="11318.781959800001"/>
    <n v="11318.781959800001"/>
    <n v="129.8125"/>
    <n v="57.779999999999994"/>
    <n v="4200"/>
    <n v="1161"/>
    <n v="0"/>
  </r>
  <r>
    <x v="17"/>
    <n v="11"/>
    <m/>
    <n v="10.265524702749273"/>
    <n v="11.601643443497753"/>
    <n v="10.744335319031332"/>
    <n v="29.95"/>
    <n v="136.49621035000001"/>
    <n v="136.49621035000001"/>
    <n v="54.219274691967584"/>
    <n v="24766"/>
    <n v="24439"/>
    <n v="11318.781959800001"/>
    <n v="11318.781959800001"/>
    <n v="387.90500000000003"/>
    <n v="3.9299999999999997"/>
    <n v="4200"/>
    <n v="1161"/>
    <n v="0"/>
  </r>
  <r>
    <x v="17"/>
    <n v="12"/>
    <m/>
    <n v="10.265524702749273"/>
    <n v="11.601643443497753"/>
    <n v="10.744335319031332"/>
    <n v="31.1"/>
    <n v="136.49621035000001"/>
    <n v="136.49621035000001"/>
    <n v="54.219274691967584"/>
    <n v="24764"/>
    <n v="24438"/>
    <n v="11318.781959800001"/>
    <n v="11318.781959800001"/>
    <n v="681.89"/>
    <n v="0.1"/>
    <n v="4200"/>
    <n v="1161"/>
    <n v="0"/>
  </r>
  <r>
    <x v="18"/>
    <n v="1"/>
    <m/>
    <n v="10.239441999711172"/>
    <n v="11.833676312367709"/>
    <n v="10.959222025411959"/>
    <n v="32.71"/>
    <n v="136.52182888999999"/>
    <n v="136.52182888999999"/>
    <n v="54.23092206160532"/>
    <n v="24762"/>
    <n v="24437"/>
    <n v="11755.450726599998"/>
    <n v="11755.450726599998"/>
    <n v="918.70499999999993"/>
    <n v="0"/>
    <n v="4200"/>
    <n v="1161"/>
    <n v="0"/>
  </r>
  <r>
    <x v="18"/>
    <n v="2"/>
    <m/>
    <n v="10.239441999711172"/>
    <n v="11.833676312367709"/>
    <n v="10.959222025411959"/>
    <n v="29.9"/>
    <n v="136.52182888999999"/>
    <n v="136.52182888999999"/>
    <n v="54.23092206160532"/>
    <n v="24760"/>
    <n v="24436"/>
    <n v="11755.450726599998"/>
    <n v="11755.450726599998"/>
    <n v="796.85749999999996"/>
    <n v="0"/>
    <n v="4200"/>
    <n v="1161"/>
    <n v="0"/>
  </r>
  <r>
    <x v="18"/>
    <n v="3"/>
    <m/>
    <n v="10.239441999711172"/>
    <n v="11.833676312367709"/>
    <n v="10.959222025411959"/>
    <n v="30.33"/>
    <n v="136.52182888999999"/>
    <n v="136.52182888999999"/>
    <n v="54.23092206160532"/>
    <n v="24758"/>
    <n v="24435"/>
    <n v="11755.450726599998"/>
    <n v="11755.450726599998"/>
    <n v="645"/>
    <n v="0.32500000000000001"/>
    <n v="4200"/>
    <n v="1161"/>
    <n v="0"/>
  </r>
  <r>
    <x v="18"/>
    <n v="4"/>
    <m/>
    <n v="10.239441999711172"/>
    <n v="11.833676312367709"/>
    <n v="10.959222025411959"/>
    <n v="29.95"/>
    <n v="136.52182888999999"/>
    <n v="136.52182888999999"/>
    <n v="54.232050139438584"/>
    <n v="24756"/>
    <n v="24434"/>
    <n v="11755.450726599998"/>
    <n v="11755.450726599998"/>
    <n v="393.33749999999998"/>
    <n v="5.6325000000000003"/>
    <n v="4200"/>
    <n v="1161"/>
    <n v="0"/>
  </r>
  <r>
    <x v="18"/>
    <n v="5"/>
    <m/>
    <n v="10.239441999711172"/>
    <n v="11.833676312367709"/>
    <n v="10.959222025411959"/>
    <n v="30.38"/>
    <n v="136.52182888999999"/>
    <n v="136.52182888999999"/>
    <n v="54.232050139438584"/>
    <n v="24754"/>
    <n v="24433"/>
    <n v="11755.450726599998"/>
    <n v="11755.450726599998"/>
    <n v="170.59"/>
    <n v="35.347500000000004"/>
    <n v="4200"/>
    <n v="1161"/>
    <n v="0"/>
  </r>
  <r>
    <x v="18"/>
    <n v="6"/>
    <m/>
    <n v="10.239441999711172"/>
    <n v="11.833676312367709"/>
    <n v="10.959222025411959"/>
    <n v="30.67"/>
    <n v="136.52182888999999"/>
    <n v="136.52182888999999"/>
    <n v="54.232050139438584"/>
    <n v="24752"/>
    <n v="24432"/>
    <n v="11755.450726599998"/>
    <n v="11755.450726599998"/>
    <n v="42.912500000000001"/>
    <n v="148.8475"/>
    <n v="4200"/>
    <n v="1161"/>
    <n v="0"/>
  </r>
  <r>
    <x v="18"/>
    <n v="7"/>
    <m/>
    <n v="10.239441999711172"/>
    <n v="11.833676312367709"/>
    <n v="10.959222025411959"/>
    <n v="30.67"/>
    <n v="136.52182888999999"/>
    <n v="136.52182888999999"/>
    <n v="54.233154727770028"/>
    <n v="24750"/>
    <n v="24431"/>
    <n v="11755.450726599998"/>
    <n v="11755.450726599998"/>
    <n v="1.375"/>
    <n v="291.78750000000002"/>
    <n v="4200"/>
    <n v="1161"/>
    <n v="0"/>
  </r>
  <r>
    <x v="18"/>
    <n v="8"/>
    <m/>
    <n v="10.239441999711172"/>
    <n v="11.833676312367709"/>
    <n v="10.959222025411959"/>
    <n v="29.48"/>
    <n v="136.52182888999999"/>
    <n v="136.52182888999999"/>
    <n v="54.233154727770028"/>
    <n v="24748"/>
    <n v="24430"/>
    <n v="11755.450726599998"/>
    <n v="11755.450726599998"/>
    <n v="0.35"/>
    <n v="311.80250000000001"/>
    <n v="4200"/>
    <n v="1161"/>
    <n v="0"/>
  </r>
  <r>
    <x v="18"/>
    <n v="9"/>
    <m/>
    <n v="10.239441999711172"/>
    <n v="11.833676312367709"/>
    <n v="10.959222025411959"/>
    <n v="30.71"/>
    <n v="136.52182888999999"/>
    <n v="136.52182888999999"/>
    <n v="54.233154727770028"/>
    <n v="24746"/>
    <n v="24429"/>
    <n v="11755.450726599998"/>
    <n v="11755.450726599998"/>
    <n v="8.2974999999999994"/>
    <n v="230.68249999999998"/>
    <n v="4200"/>
    <n v="1161"/>
    <n v="0"/>
  </r>
  <r>
    <x v="18"/>
    <n v="10"/>
    <m/>
    <n v="10.239441999711172"/>
    <n v="11.833676312367709"/>
    <n v="10.959222025411959"/>
    <n v="29.52"/>
    <n v="136.52182888999999"/>
    <n v="136.52182888999999"/>
    <n v="54.233712675044877"/>
    <n v="24744"/>
    <n v="24428"/>
    <n v="11755.450726599998"/>
    <n v="11755.450726599998"/>
    <n v="129.8125"/>
    <n v="57.779999999999994"/>
    <n v="4200"/>
    <n v="1161"/>
    <n v="0"/>
  </r>
  <r>
    <x v="18"/>
    <n v="11"/>
    <m/>
    <n v="10.239441999711172"/>
    <n v="11.833676312367709"/>
    <n v="10.959222025411959"/>
    <n v="29.38"/>
    <n v="136.52182888999999"/>
    <n v="136.52182888999999"/>
    <n v="54.233712675044877"/>
    <n v="24742"/>
    <n v="24427"/>
    <n v="11755.450726599998"/>
    <n v="11755.450726599998"/>
    <n v="387.90500000000003"/>
    <n v="3.9299999999999997"/>
    <n v="4200"/>
    <n v="1161"/>
    <n v="0"/>
  </r>
  <r>
    <x v="18"/>
    <n v="12"/>
    <m/>
    <n v="10.239441999711172"/>
    <n v="11.833676312367709"/>
    <n v="10.959222025411959"/>
    <n v="32.049999999999997"/>
    <n v="136.52182888999999"/>
    <n v="136.52182888999999"/>
    <n v="54.233712675044877"/>
    <n v="24740"/>
    <n v="24426"/>
    <n v="11755.450726599998"/>
    <n v="11755.450726599998"/>
    <n v="681.89"/>
    <n v="0.1"/>
    <n v="4200"/>
    <n v="1161"/>
    <n v="0"/>
  </r>
  <r>
    <x v="19"/>
    <n v="1"/>
    <m/>
    <n v="10.760366634676476"/>
    <n v="12.070349838615064"/>
    <n v="11.178406465920199"/>
    <n v="32.33"/>
    <n v="136.58184248999999"/>
    <n v="136.58184248999999"/>
    <n v="54.258667489578691"/>
    <n v="24738"/>
    <n v="24425"/>
    <n v="12194.911138200001"/>
    <n v="12194.911138200001"/>
    <n v="918.70499999999993"/>
    <n v="0"/>
    <n v="4200"/>
    <n v="1161"/>
    <n v="0"/>
  </r>
  <r>
    <x v="19"/>
    <n v="2"/>
    <m/>
    <n v="10.760366634676476"/>
    <n v="12.070349838615064"/>
    <n v="11.178406465920199"/>
    <n v="30.05"/>
    <n v="136.58184248999999"/>
    <n v="136.58184248999999"/>
    <n v="54.258667489578691"/>
    <n v="24736"/>
    <n v="24424"/>
    <n v="12194.911138200001"/>
    <n v="12194.911138200001"/>
    <n v="796.85749999999996"/>
    <n v="0"/>
    <n v="4200"/>
    <n v="1161"/>
    <n v="0"/>
  </r>
  <r>
    <x v="19"/>
    <n v="3"/>
    <m/>
    <n v="10.760366634676476"/>
    <n v="12.070349838615064"/>
    <n v="11.178406465920199"/>
    <n v="30.19"/>
    <n v="136.58184248999999"/>
    <n v="136.58184248999999"/>
    <n v="54.258667489578691"/>
    <n v="24734"/>
    <n v="24423"/>
    <n v="12194.911138200001"/>
    <n v="12194.911138200001"/>
    <n v="645"/>
    <n v="0.32500000000000001"/>
    <n v="4200"/>
    <n v="1161"/>
    <n v="0"/>
  </r>
  <r>
    <x v="19"/>
    <n v="4"/>
    <m/>
    <n v="10.760366634676476"/>
    <n v="12.070349838615064"/>
    <n v="11.178406465920199"/>
    <n v="30.33"/>
    <n v="136.58184248999999"/>
    <n v="136.58184248999999"/>
    <n v="54.25278913660101"/>
    <n v="24732"/>
    <n v="24422"/>
    <n v="12194.911138200001"/>
    <n v="12194.911138200001"/>
    <n v="393.33749999999998"/>
    <n v="5.6325000000000003"/>
    <n v="4200"/>
    <n v="1161"/>
    <n v="0"/>
  </r>
  <r>
    <x v="19"/>
    <n v="5"/>
    <m/>
    <n v="10.760366634676476"/>
    <n v="12.070349838615064"/>
    <n v="11.178406465920199"/>
    <n v="30.14"/>
    <n v="136.58184248999999"/>
    <n v="136.58184248999999"/>
    <n v="54.25278913660101"/>
    <n v="24730"/>
    <n v="24421"/>
    <n v="12194.911138200001"/>
    <n v="12194.911138200001"/>
    <n v="170.59"/>
    <n v="35.347500000000004"/>
    <n v="4200"/>
    <n v="1161"/>
    <n v="0"/>
  </r>
  <r>
    <x v="19"/>
    <n v="6"/>
    <m/>
    <n v="10.760366634676476"/>
    <n v="12.070349838615064"/>
    <n v="11.178406465920199"/>
    <n v="30.52"/>
    <n v="136.58184248999999"/>
    <n v="136.58184248999999"/>
    <n v="54.25278913660101"/>
    <n v="24728"/>
    <n v="24420"/>
    <n v="12194.911138200001"/>
    <n v="12194.911138200001"/>
    <n v="42.912500000000001"/>
    <n v="148.8475"/>
    <n v="4200"/>
    <n v="1161"/>
    <n v="0"/>
  </r>
  <r>
    <x v="19"/>
    <n v="7"/>
    <m/>
    <n v="10.760366634676476"/>
    <n v="12.070349838615064"/>
    <n v="11.178406465920199"/>
    <n v="30.67"/>
    <n v="136.58184248999999"/>
    <n v="136.58184248999999"/>
    <n v="54.246473655943198"/>
    <n v="24726"/>
    <n v="24419"/>
    <n v="12194.911138200001"/>
    <n v="12194.911138200001"/>
    <n v="1.375"/>
    <n v="291.78750000000002"/>
    <n v="4200"/>
    <n v="1161"/>
    <n v="0"/>
  </r>
  <r>
    <x v="19"/>
    <n v="8"/>
    <m/>
    <n v="10.760366634676476"/>
    <n v="12.070349838615064"/>
    <n v="11.178406465920199"/>
    <n v="29.48"/>
    <n v="136.58184248999999"/>
    <n v="136.58184248999999"/>
    <n v="54.246473655943198"/>
    <n v="24724"/>
    <n v="24418"/>
    <n v="12194.911138200001"/>
    <n v="12194.911138200001"/>
    <n v="0.35"/>
    <n v="311.80250000000001"/>
    <n v="4200"/>
    <n v="1161"/>
    <n v="0"/>
  </r>
  <r>
    <x v="19"/>
    <n v="9"/>
    <m/>
    <n v="10.760366634676476"/>
    <n v="12.070349838615064"/>
    <n v="11.178406465920199"/>
    <n v="30.52"/>
    <n v="136.58184248999999"/>
    <n v="136.58184248999999"/>
    <n v="54.246473655943198"/>
    <n v="24722"/>
    <n v="24417"/>
    <n v="12194.911138200001"/>
    <n v="12194.911138200001"/>
    <n v="8.2974999999999994"/>
    <n v="230.68249999999998"/>
    <n v="4200"/>
    <n v="1161"/>
    <n v="0"/>
  </r>
  <r>
    <x v="19"/>
    <n v="10"/>
    <m/>
    <n v="10.760366634676476"/>
    <n v="12.070349838615064"/>
    <n v="11.178406465920199"/>
    <n v="29.71"/>
    <n v="136.58184248999999"/>
    <n v="136.58184248999999"/>
    <n v="54.239957385115275"/>
    <n v="24720"/>
    <n v="24416"/>
    <n v="12194.911138200001"/>
    <n v="12194.911138200001"/>
    <n v="129.8125"/>
    <n v="57.779999999999994"/>
    <n v="4200"/>
    <n v="1161"/>
    <n v="0"/>
  </r>
  <r>
    <x v="19"/>
    <n v="11"/>
    <m/>
    <n v="10.760366634676476"/>
    <n v="12.070349838615064"/>
    <n v="11.178406465920199"/>
    <n v="29.57"/>
    <n v="136.58184248999999"/>
    <n v="136.58184248999999"/>
    <n v="54.239957385115275"/>
    <n v="24718"/>
    <n v="24415"/>
    <n v="12194.911138200001"/>
    <n v="12194.911138200001"/>
    <n v="387.90500000000003"/>
    <n v="3.9299999999999997"/>
    <n v="4200"/>
    <n v="1161"/>
    <n v="0"/>
  </r>
  <r>
    <x v="19"/>
    <n v="12"/>
    <m/>
    <n v="10.760366634676476"/>
    <n v="12.070349838615064"/>
    <n v="11.178406465920199"/>
    <n v="32.619999999999997"/>
    <n v="136.58184248999999"/>
    <n v="136.58184248999999"/>
    <n v="54.239957385115275"/>
    <n v="24716"/>
    <n v="24414"/>
    <n v="12194.911138200001"/>
    <n v="12194.911138200001"/>
    <n v="681.89"/>
    <n v="0.1"/>
    <n v="4200"/>
    <n v="1161"/>
    <n v="0"/>
  </r>
  <r>
    <x v="20"/>
    <n v="1"/>
    <m/>
    <n v="11.029375800543386"/>
    <n v="12.311756835387365"/>
    <n v="11.401974595238602"/>
    <n v="33.049999999999997"/>
    <n v="136.64819033999999"/>
    <n v="136.64819033999999"/>
    <n v="54.253871223449401"/>
    <n v="24714"/>
    <n v="24413"/>
    <n v="12631.648254200001"/>
    <n v="12631.648254200001"/>
    <n v="918.70499999999993"/>
    <n v="0"/>
    <n v="4200"/>
    <n v="1161"/>
    <n v="0"/>
  </r>
  <r>
    <x v="20"/>
    <n v="2"/>
    <m/>
    <n v="11.029375800543386"/>
    <n v="12.311756835387365"/>
    <n v="11.401974595238602"/>
    <n v="30.14"/>
    <n v="136.64819033999999"/>
    <n v="136.64819033999999"/>
    <n v="54.253871223449401"/>
    <n v="24712"/>
    <n v="24412"/>
    <n v="12631.648254200001"/>
    <n v="12631.648254200001"/>
    <n v="796.85749999999996"/>
    <n v="0"/>
    <n v="4200"/>
    <n v="1161"/>
    <n v="0"/>
  </r>
  <r>
    <x v="20"/>
    <n v="3"/>
    <m/>
    <n v="11.029375800543386"/>
    <n v="12.311756835387365"/>
    <n v="11.401974595238602"/>
    <n v="30"/>
    <n v="136.64819033999999"/>
    <n v="136.64819033999999"/>
    <n v="54.253871223449401"/>
    <n v="24710"/>
    <n v="24411"/>
    <n v="12631.648254200001"/>
    <n v="12631.648254200001"/>
    <n v="645"/>
    <n v="0.32500000000000001"/>
    <n v="4200"/>
    <n v="1161"/>
    <n v="0"/>
  </r>
  <r>
    <x v="20"/>
    <n v="4"/>
    <m/>
    <n v="11.029375800543386"/>
    <n v="12.311756835387365"/>
    <n v="11.401974595238602"/>
    <n v="30.86"/>
    <n v="136.64819033999999"/>
    <n v="136.64819033999999"/>
    <n v="54.244249328474524"/>
    <n v="24708"/>
    <n v="24410"/>
    <n v="12631.648254200001"/>
    <n v="12631.648254200001"/>
    <n v="393.33749999999998"/>
    <n v="5.6325000000000003"/>
    <n v="4200"/>
    <n v="1161"/>
    <n v="0"/>
  </r>
  <r>
    <x v="20"/>
    <n v="5"/>
    <m/>
    <n v="11.029375800543386"/>
    <n v="12.311756835387365"/>
    <n v="11.401974595238602"/>
    <n v="29.48"/>
    <n v="136.64819033999999"/>
    <n v="136.64819033999999"/>
    <n v="54.244249328474524"/>
    <n v="24706"/>
    <n v="24409"/>
    <n v="12631.648254200001"/>
    <n v="12631.648254200001"/>
    <n v="170.59"/>
    <n v="35.347500000000004"/>
    <n v="4200"/>
    <n v="1161"/>
    <n v="0"/>
  </r>
  <r>
    <x v="20"/>
    <n v="6"/>
    <m/>
    <n v="11.029375800543386"/>
    <n v="12.311756835387365"/>
    <n v="11.401974595238602"/>
    <n v="30.67"/>
    <n v="136.64819033999999"/>
    <n v="136.64819033999999"/>
    <n v="54.244249328474524"/>
    <n v="24704"/>
    <n v="24408"/>
    <n v="12631.648254200001"/>
    <n v="12631.648254200001"/>
    <n v="42.912500000000001"/>
    <n v="148.8475"/>
    <n v="4200"/>
    <n v="1161"/>
    <n v="0"/>
  </r>
  <r>
    <x v="20"/>
    <n v="7"/>
    <m/>
    <n v="11.029375800543386"/>
    <n v="12.311756835387365"/>
    <n v="11.401974595238602"/>
    <n v="30.71"/>
    <n v="136.64819033999999"/>
    <n v="136.64819033999999"/>
    <n v="54.233413982144668"/>
    <n v="24702"/>
    <n v="24407"/>
    <n v="12631.648254200001"/>
    <n v="12631.648254200001"/>
    <n v="1.375"/>
    <n v="291.78750000000002"/>
    <n v="4200"/>
    <n v="1161"/>
    <n v="0"/>
  </r>
  <r>
    <x v="20"/>
    <n v="8"/>
    <m/>
    <n v="11.029375800543386"/>
    <n v="12.311756835387365"/>
    <n v="11.401974595238602"/>
    <n v="29.52"/>
    <n v="136.64819033999999"/>
    <n v="136.64819033999999"/>
    <n v="54.233413982144668"/>
    <n v="24700"/>
    <n v="24406"/>
    <n v="12631.648254200001"/>
    <n v="12631.648254200001"/>
    <n v="0.35"/>
    <n v="311.80250000000001"/>
    <n v="4200"/>
    <n v="1161"/>
    <n v="0"/>
  </r>
  <r>
    <x v="20"/>
    <n v="9"/>
    <m/>
    <n v="11.029375800543386"/>
    <n v="12.311756835387365"/>
    <n v="11.401974595238602"/>
    <n v="30.52"/>
    <n v="136.64819033999999"/>
    <n v="136.64819033999999"/>
    <n v="54.233413982144668"/>
    <n v="24698"/>
    <n v="24405"/>
    <n v="12631.648254200001"/>
    <n v="12631.648254200001"/>
    <n v="8.2974999999999994"/>
    <n v="230.68249999999998"/>
    <n v="4200"/>
    <n v="1161"/>
    <n v="0"/>
  </r>
  <r>
    <x v="20"/>
    <n v="10"/>
    <m/>
    <n v="11.029375800543386"/>
    <n v="12.311756835387365"/>
    <n v="11.401974595238602"/>
    <n v="29.62"/>
    <n v="136.64819033999999"/>
    <n v="136.64819033999999"/>
    <n v="54.261143390592188"/>
    <n v="24696"/>
    <n v="24404"/>
    <n v="12631.648254200001"/>
    <n v="12631.648254200001"/>
    <n v="129.8125"/>
    <n v="57.779999999999994"/>
    <n v="4200"/>
    <n v="1161"/>
    <n v="0"/>
  </r>
  <r>
    <x v="20"/>
    <n v="11"/>
    <m/>
    <n v="11.029375800543386"/>
    <n v="12.311756835387365"/>
    <n v="11.401974595238602"/>
    <n v="29.1"/>
    <n v="136.64819033999999"/>
    <n v="136.64819033999999"/>
    <n v="54.261143390592188"/>
    <n v="24694"/>
    <n v="24403"/>
    <n v="12631.648254200001"/>
    <n v="12631.648254200001"/>
    <n v="387.90500000000003"/>
    <n v="3.9299999999999997"/>
    <n v="4200"/>
    <n v="1161"/>
    <n v="0"/>
  </r>
  <r>
    <x v="20"/>
    <n v="12"/>
    <m/>
    <n v="11.029375800543386"/>
    <n v="12.311756835387365"/>
    <n v="11.401974595238602"/>
    <n v="31.67"/>
    <n v="136.64819033999999"/>
    <n v="136.64819033999999"/>
    <n v="54.261143390592188"/>
    <n v="24692"/>
    <n v="24402"/>
    <n v="12631.648254200001"/>
    <n v="12631.648254200001"/>
    <n v="681.89"/>
    <n v="0.1"/>
    <n v="4200"/>
    <n v="1161"/>
    <n v="0"/>
  </r>
  <r>
    <x v="21"/>
    <n v="1"/>
    <m/>
    <n v="11.305110195556971"/>
    <n v="12.557991972095113"/>
    <n v="11.630014087143374"/>
    <n v="32.71"/>
    <n v="136.78675090000002"/>
    <n v="136.78675090000002"/>
    <n v="54.282181785936146"/>
    <n v="24690"/>
    <n v="24401"/>
    <n v="13141.726165600001"/>
    <n v="13141.726165600001"/>
    <n v="918.70499999999993"/>
    <n v="0"/>
    <n v="4200"/>
    <n v="1161"/>
    <n v="0"/>
  </r>
  <r>
    <x v="21"/>
    <n v="2"/>
    <m/>
    <n v="11.305110195556971"/>
    <n v="12.557991972095113"/>
    <n v="11.630014087143374"/>
    <n v="29.81"/>
    <n v="136.78675090000002"/>
    <n v="136.78675090000002"/>
    <n v="54.282181785936146"/>
    <n v="24688"/>
    <n v="24400"/>
    <n v="13141.726165600001"/>
    <n v="13141.726165600001"/>
    <n v="796.85749999999996"/>
    <n v="0"/>
    <n v="4200"/>
    <n v="1161"/>
    <n v="0"/>
  </r>
  <r>
    <x v="21"/>
    <n v="3"/>
    <m/>
    <n v="11.305110195556971"/>
    <n v="12.557991972095113"/>
    <n v="11.630014087143374"/>
    <n v="30.33"/>
    <n v="136.78675090000002"/>
    <n v="136.78675090000002"/>
    <n v="54.282181785936146"/>
    <n v="24686"/>
    <n v="24399"/>
    <n v="13141.726165600001"/>
    <n v="13141.726165600001"/>
    <n v="645"/>
    <n v="0.32500000000000001"/>
    <n v="4200"/>
    <n v="1161"/>
    <n v="0"/>
  </r>
  <r>
    <x v="21"/>
    <n v="4"/>
    <m/>
    <n v="11.305110195556971"/>
    <n v="12.557991972095113"/>
    <n v="11.630014087143374"/>
    <n v="30.19"/>
    <n v="136.78675090000002"/>
    <n v="136.78675090000002"/>
    <n v="54.277889233998124"/>
    <n v="24684"/>
    <n v="24398"/>
    <n v="13141.726165600001"/>
    <n v="13141.726165600001"/>
    <n v="393.33749999999998"/>
    <n v="5.6325000000000003"/>
    <n v="4200"/>
    <n v="1161"/>
    <n v="0"/>
  </r>
  <r>
    <x v="21"/>
    <n v="5"/>
    <m/>
    <n v="11.305110195556971"/>
    <n v="12.557991972095113"/>
    <n v="11.630014087143374"/>
    <n v="30.14"/>
    <n v="136.78675090000002"/>
    <n v="136.78675090000002"/>
    <n v="54.277889233998124"/>
    <n v="24682"/>
    <n v="24397"/>
    <n v="13141.726165600001"/>
    <n v="13141.726165600001"/>
    <n v="170.59"/>
    <n v="35.347500000000004"/>
    <n v="4200"/>
    <n v="1161"/>
    <n v="0"/>
  </r>
  <r>
    <x v="21"/>
    <n v="6"/>
    <m/>
    <n v="11.305110195556971"/>
    <n v="12.557991972095113"/>
    <n v="11.630014087143374"/>
    <n v="30.67"/>
    <n v="136.78675090000002"/>
    <n v="136.78675090000002"/>
    <n v="54.277889233998124"/>
    <n v="24680"/>
    <n v="24396"/>
    <n v="13141.726165600001"/>
    <n v="13141.726165600001"/>
    <n v="42.912500000000001"/>
    <n v="148.8475"/>
    <n v="4200"/>
    <n v="1161"/>
    <n v="0"/>
  </r>
  <r>
    <x v="21"/>
    <n v="7"/>
    <m/>
    <n v="11.305110195556971"/>
    <n v="12.557991972095113"/>
    <n v="11.630014087143374"/>
    <n v="30.71"/>
    <n v="136.78675090000002"/>
    <n v="136.78675090000002"/>
    <n v="54.273116761774673"/>
    <n v="24678"/>
    <n v="24395"/>
    <n v="13141.726165600001"/>
    <n v="13141.726165600001"/>
    <n v="1.375"/>
    <n v="291.78750000000002"/>
    <n v="4200"/>
    <n v="1161"/>
    <n v="0"/>
  </r>
  <r>
    <x v="21"/>
    <n v="8"/>
    <m/>
    <n v="11.305110195556971"/>
    <n v="12.557991972095113"/>
    <n v="11.630014087143374"/>
    <n v="29.52"/>
    <n v="136.78675090000002"/>
    <n v="136.78675090000002"/>
    <n v="54.273116761774673"/>
    <n v="24676"/>
    <n v="24394"/>
    <n v="13141.726165600001"/>
    <n v="13141.726165600001"/>
    <n v="0.35"/>
    <n v="311.80250000000001"/>
    <n v="4200"/>
    <n v="1161"/>
    <n v="0"/>
  </r>
  <r>
    <x v="21"/>
    <n v="9"/>
    <m/>
    <n v="11.305110195556971"/>
    <n v="12.557991972095113"/>
    <n v="11.630014087143374"/>
    <n v="30.52"/>
    <n v="136.78675090000002"/>
    <n v="136.78675090000002"/>
    <n v="54.273116761774673"/>
    <n v="24674"/>
    <n v="24393"/>
    <n v="13141.726165600001"/>
    <n v="13141.726165600001"/>
    <n v="8.2974999999999994"/>
    <n v="230.68249999999998"/>
    <n v="4200"/>
    <n v="1161"/>
    <n v="0"/>
  </r>
  <r>
    <x v="21"/>
    <n v="10"/>
    <m/>
    <n v="11.305110195556971"/>
    <n v="12.557991972095113"/>
    <n v="11.630014087143374"/>
    <n v="29.62"/>
    <n v="136.78675090000002"/>
    <n v="136.78675090000002"/>
    <n v="54.270913382670805"/>
    <n v="24672"/>
    <n v="24392"/>
    <n v="13141.726165600001"/>
    <n v="13141.726165600001"/>
    <n v="129.8125"/>
    <n v="57.779999999999994"/>
    <n v="4200"/>
    <n v="1161"/>
    <n v="0"/>
  </r>
  <r>
    <x v="21"/>
    <n v="11"/>
    <m/>
    <n v="11.305110195556971"/>
    <n v="12.557991972095113"/>
    <n v="11.630014087143374"/>
    <n v="29.95"/>
    <n v="136.78675090000002"/>
    <n v="136.78675090000002"/>
    <n v="54.270913382670805"/>
    <n v="24670"/>
    <n v="24391"/>
    <n v="13141.726165600001"/>
    <n v="13141.726165600001"/>
    <n v="387.90500000000003"/>
    <n v="3.9299999999999997"/>
    <n v="4200"/>
    <n v="1161"/>
    <n v="0"/>
  </r>
  <r>
    <x v="21"/>
    <n v="12"/>
    <m/>
    <n v="11.305110195556971"/>
    <n v="12.557991972095113"/>
    <n v="11.630014087143374"/>
    <n v="31.24"/>
    <n v="136.78675090000002"/>
    <n v="136.78675090000002"/>
    <n v="54.270913382670805"/>
    <n v="24668"/>
    <n v="24390"/>
    <n v="13141.726165600001"/>
    <n v="13141.726165600001"/>
    <n v="681.89"/>
    <n v="0.1"/>
    <n v="4200"/>
    <n v="1161"/>
    <n v="0"/>
  </r>
  <r>
    <x v="22"/>
    <n v="1"/>
    <m/>
    <n v="11.587737950445893"/>
    <n v="12.809151811537015"/>
    <n v="11.862614368886241"/>
    <n v="32.67"/>
    <n v="136.95361055000001"/>
    <n v="136.95361055000001"/>
    <n v="54.338173287711165"/>
    <n v="24666"/>
    <n v="24389"/>
    <n v="13677.498799199999"/>
    <n v="13677.498799199999"/>
    <n v="918.70499999999993"/>
    <n v="0"/>
    <n v="4200"/>
    <n v="1161"/>
    <n v="0"/>
  </r>
  <r>
    <x v="22"/>
    <n v="2"/>
    <m/>
    <n v="11.587737950445893"/>
    <n v="12.809151811537015"/>
    <n v="11.862614368886241"/>
    <n v="29.86"/>
    <n v="136.95361055000001"/>
    <n v="136.95361055000001"/>
    <n v="54.338173287711165"/>
    <n v="24664"/>
    <n v="24388"/>
    <n v="13677.498799199999"/>
    <n v="13677.498799199999"/>
    <n v="796.85749999999996"/>
    <n v="0"/>
    <n v="4200"/>
    <n v="1161"/>
    <n v="0"/>
  </r>
  <r>
    <x v="22"/>
    <n v="3"/>
    <m/>
    <n v="11.587737950445893"/>
    <n v="12.809151811537015"/>
    <n v="11.862614368886241"/>
    <n v="30.29"/>
    <n v="136.95361055000001"/>
    <n v="136.95361055000001"/>
    <n v="54.338173287711165"/>
    <n v="24662"/>
    <n v="24387"/>
    <n v="13677.498799199999"/>
    <n v="13677.498799199999"/>
    <n v="645"/>
    <n v="0.32500000000000001"/>
    <n v="4200"/>
    <n v="1161"/>
    <n v="0"/>
  </r>
  <r>
    <x v="22"/>
    <n v="4"/>
    <m/>
    <n v="11.587737950445893"/>
    <n v="12.809151811537015"/>
    <n v="11.862614368886241"/>
    <n v="30.67"/>
    <n v="136.95361055000001"/>
    <n v="136.95361055000001"/>
    <n v="54.341623956091446"/>
    <n v="24660"/>
    <n v="24386"/>
    <n v="13677.498799199999"/>
    <n v="13677.498799199999"/>
    <n v="393.33749999999998"/>
    <n v="5.6325000000000003"/>
    <n v="4200"/>
    <n v="1161"/>
    <n v="0"/>
  </r>
  <r>
    <x v="22"/>
    <n v="5"/>
    <m/>
    <n v="11.587737950445893"/>
    <n v="12.809151811537015"/>
    <n v="11.862614368886241"/>
    <n v="29.71"/>
    <n v="136.95361055000001"/>
    <n v="136.95361055000001"/>
    <n v="54.341623956091446"/>
    <n v="24658"/>
    <n v="24385"/>
    <n v="13677.498799199999"/>
    <n v="13677.498799199999"/>
    <n v="170.59"/>
    <n v="35.347500000000004"/>
    <n v="4200"/>
    <n v="1161"/>
    <n v="0"/>
  </r>
  <r>
    <x v="22"/>
    <n v="6"/>
    <m/>
    <n v="11.587737950445893"/>
    <n v="12.809151811537015"/>
    <n v="11.862614368886241"/>
    <n v="30.62"/>
    <n v="136.95361055000001"/>
    <n v="136.95361055000001"/>
    <n v="54.341623956091446"/>
    <n v="24656"/>
    <n v="24384"/>
    <n v="13677.498799199999"/>
    <n v="13677.498799199999"/>
    <n v="42.912500000000001"/>
    <n v="148.8475"/>
    <n v="4200"/>
    <n v="1161"/>
    <n v="0"/>
  </r>
  <r>
    <x v="22"/>
    <n v="7"/>
    <m/>
    <n v="11.587737950445893"/>
    <n v="12.809151811537015"/>
    <n v="11.862614368886241"/>
    <n v="30.81"/>
    <n v="136.95361055000001"/>
    <n v="136.95361055000001"/>
    <n v="54.344144614405423"/>
    <n v="24654"/>
    <n v="24383"/>
    <n v="13677.498799199999"/>
    <n v="13677.498799199999"/>
    <n v="1.375"/>
    <n v="291.78750000000002"/>
    <n v="4200"/>
    <n v="1161"/>
    <n v="0"/>
  </r>
  <r>
    <x v="22"/>
    <n v="8"/>
    <m/>
    <n v="11.587737950445893"/>
    <n v="12.809151811537015"/>
    <n v="11.862614368886241"/>
    <n v="29.43"/>
    <n v="136.95361055000001"/>
    <n v="136.95361055000001"/>
    <n v="54.344144614405423"/>
    <n v="24652"/>
    <n v="24382"/>
    <n v="13677.498799199999"/>
    <n v="13677.498799199999"/>
    <n v="0.35"/>
    <n v="311.80250000000001"/>
    <n v="4200"/>
    <n v="1161"/>
    <n v="0"/>
  </r>
  <r>
    <x v="22"/>
    <n v="9"/>
    <m/>
    <n v="11.587737950445893"/>
    <n v="12.809151811537015"/>
    <n v="11.862614368886241"/>
    <n v="30.57"/>
    <n v="136.95361055000001"/>
    <n v="136.95361055000001"/>
    <n v="54.344144614405423"/>
    <n v="24650"/>
    <n v="24381"/>
    <n v="13677.498799199999"/>
    <n v="13677.498799199999"/>
    <n v="8.2974999999999994"/>
    <n v="230.68249999999998"/>
    <n v="4200"/>
    <n v="1161"/>
    <n v="0"/>
  </r>
  <r>
    <x v="22"/>
    <n v="10"/>
    <m/>
    <n v="11.587737950445893"/>
    <n v="12.809151811537015"/>
    <n v="11.862614368886241"/>
    <n v="29.67"/>
    <n v="136.95361055000001"/>
    <n v="136.95361055000001"/>
    <n v="54.39898502599479"/>
    <n v="24648"/>
    <n v="24380"/>
    <n v="13677.498799199999"/>
    <n v="13677.498799199999"/>
    <n v="129.8125"/>
    <n v="57.779999999999994"/>
    <n v="4200"/>
    <n v="1161"/>
    <n v="0"/>
  </r>
  <r>
    <x v="22"/>
    <n v="11"/>
    <m/>
    <n v="11.587737950445893"/>
    <n v="12.809151811537015"/>
    <n v="11.862614368886241"/>
    <n v="30.05"/>
    <n v="136.95361055000001"/>
    <n v="136.95361055000001"/>
    <n v="54.39898502599479"/>
    <n v="24646"/>
    <n v="24379"/>
    <n v="13677.498799199999"/>
    <n v="13677.498799199999"/>
    <n v="387.90500000000003"/>
    <n v="3.9299999999999997"/>
    <n v="4200"/>
    <n v="1161"/>
    <n v="0"/>
  </r>
  <r>
    <x v="22"/>
    <n v="12"/>
    <m/>
    <n v="11.587737950445893"/>
    <n v="12.809151811537015"/>
    <n v="11.862614368886241"/>
    <n v="30.67"/>
    <n v="136.95361055000001"/>
    <n v="136.95361055000001"/>
    <n v="54.39898502599479"/>
    <n v="24644"/>
    <n v="24378"/>
    <n v="13677.498799199999"/>
    <n v="13677.498799199999"/>
    <n v="681.89"/>
    <n v="0.1"/>
    <n v="4200"/>
    <n v="1161"/>
    <n v="0"/>
  </r>
  <r>
    <x v="23"/>
    <n v="1"/>
    <m/>
    <n v="11.87743139920704"/>
    <n v="13.065334847767756"/>
    <n v="12.099866656263966"/>
    <n v="32.67"/>
    <n v="137.09744203"/>
    <n v="137.09744203"/>
    <n v="54.435168447260175"/>
    <n v="24642"/>
    <n v="24377"/>
    <n v="14248.928282999999"/>
    <n v="14248.928282999999"/>
    <n v="918.70499999999993"/>
    <n v="0"/>
    <n v="4200"/>
    <n v="1161"/>
    <n v="0"/>
  </r>
  <r>
    <x v="23"/>
    <n v="2"/>
    <m/>
    <n v="11.87743139920704"/>
    <n v="13.065334847767756"/>
    <n v="12.099866656263966"/>
    <n v="29.86"/>
    <n v="137.09744203"/>
    <n v="137.09744203"/>
    <n v="54.435168447260175"/>
    <n v="24640"/>
    <n v="24376"/>
    <n v="14248.928282999999"/>
    <n v="14248.928282999999"/>
    <n v="796.85749999999996"/>
    <n v="0"/>
    <n v="4200"/>
    <n v="1161"/>
    <n v="0"/>
  </r>
  <r>
    <x v="23"/>
    <n v="3"/>
    <m/>
    <n v="11.87743139920704"/>
    <n v="13.065334847767756"/>
    <n v="12.099866656263966"/>
    <n v="30.43"/>
    <n v="137.09744203"/>
    <n v="137.09744203"/>
    <n v="54.435168447260175"/>
    <n v="24638"/>
    <n v="24375"/>
    <n v="14248.928282999999"/>
    <n v="14248.928282999999"/>
    <n v="645"/>
    <n v="0.32500000000000001"/>
    <n v="4200"/>
    <n v="1161"/>
    <n v="0"/>
  </r>
  <r>
    <x v="23"/>
    <n v="4"/>
    <m/>
    <n v="11.87743139920704"/>
    <n v="13.065334847767756"/>
    <n v="12.099866656263966"/>
    <n v="30.71"/>
    <n v="137.09744203"/>
    <n v="137.09744203"/>
    <n v="54.419265902589082"/>
    <n v="24636"/>
    <n v="24374"/>
    <n v="14248.928282999999"/>
    <n v="14248.928282999999"/>
    <n v="393.33749999999998"/>
    <n v="5.6325000000000003"/>
    <n v="4200"/>
    <n v="1161"/>
    <n v="0"/>
  </r>
  <r>
    <x v="23"/>
    <n v="5"/>
    <m/>
    <n v="11.87743139920704"/>
    <n v="13.065334847767756"/>
    <n v="12.099866656263966"/>
    <n v="29.52"/>
    <n v="137.09744203"/>
    <n v="137.09744203"/>
    <n v="54.419265902589082"/>
    <n v="24634"/>
    <n v="24373"/>
    <n v="14248.928282999999"/>
    <n v="14248.928282999999"/>
    <n v="170.59"/>
    <n v="35.347500000000004"/>
    <n v="4200"/>
    <n v="1161"/>
    <n v="0"/>
  </r>
  <r>
    <x v="23"/>
    <n v="6"/>
    <m/>
    <n v="11.87743139920704"/>
    <n v="13.065334847767756"/>
    <n v="12.099866656263966"/>
    <n v="30.62"/>
    <n v="137.09744203"/>
    <n v="137.09744203"/>
    <n v="54.419265902589082"/>
    <n v="24632"/>
    <n v="24372"/>
    <n v="14248.928282999999"/>
    <n v="14248.928282999999"/>
    <n v="42.912500000000001"/>
    <n v="148.8475"/>
    <n v="4200"/>
    <n v="1161"/>
    <n v="0"/>
  </r>
  <r>
    <x v="23"/>
    <n v="7"/>
    <m/>
    <n v="11.87743139920704"/>
    <n v="13.065334847767756"/>
    <n v="12.099866656263966"/>
    <n v="30.71"/>
    <n v="137.09744203"/>
    <n v="137.09744203"/>
    <n v="54.401759540991371"/>
    <n v="24630"/>
    <n v="24371"/>
    <n v="14248.928282999999"/>
    <n v="14248.928282999999"/>
    <n v="1.375"/>
    <n v="291.78750000000002"/>
    <n v="4200"/>
    <n v="1161"/>
    <n v="0"/>
  </r>
  <r>
    <x v="23"/>
    <n v="8"/>
    <m/>
    <n v="11.87743139920704"/>
    <n v="13.065334847767756"/>
    <n v="12.099866656263966"/>
    <n v="29.52"/>
    <n v="137.09744203"/>
    <n v="137.09744203"/>
    <n v="54.401759540991371"/>
    <n v="24628"/>
    <n v="24370"/>
    <n v="14248.928282999999"/>
    <n v="14248.928282999999"/>
    <n v="0.35"/>
    <n v="311.80250000000001"/>
    <n v="4200"/>
    <n v="1161"/>
    <n v="0"/>
  </r>
  <r>
    <x v="23"/>
    <n v="9"/>
    <m/>
    <n v="11.87743139920704"/>
    <n v="13.065334847767756"/>
    <n v="12.099866656263966"/>
    <n v="30.57"/>
    <n v="137.09744203"/>
    <n v="137.09744203"/>
    <n v="54.401759540991371"/>
    <n v="24626"/>
    <n v="24369"/>
    <n v="14248.928282999999"/>
    <n v="14248.928282999999"/>
    <n v="8.2974999999999994"/>
    <n v="230.68249999999998"/>
    <n v="4200"/>
    <n v="1161"/>
    <n v="0"/>
  </r>
  <r>
    <x v="23"/>
    <n v="10"/>
    <m/>
    <n v="11.87743139920704"/>
    <n v="13.065334847767756"/>
    <n v="12.099866656263966"/>
    <n v="29.67"/>
    <n v="137.09744203"/>
    <n v="137.09744203"/>
    <n v="54.383892356421512"/>
    <n v="24624"/>
    <n v="24368"/>
    <n v="14248.928282999999"/>
    <n v="14248.928282999999"/>
    <n v="129.8125"/>
    <n v="57.779999999999994"/>
    <n v="4200"/>
    <n v="1161"/>
    <n v="0"/>
  </r>
  <r>
    <x v="23"/>
    <n v="11"/>
    <m/>
    <n v="11.87743139920704"/>
    <n v="13.065334847767756"/>
    <n v="12.099866656263966"/>
    <n v="29.38"/>
    <n v="137.09744203"/>
    <n v="137.09744203"/>
    <n v="54.383892356421512"/>
    <n v="24622"/>
    <n v="24367"/>
    <n v="14248.928282999999"/>
    <n v="14248.928282999999"/>
    <n v="387.90500000000003"/>
    <n v="3.9299999999999997"/>
    <n v="4200"/>
    <n v="1161"/>
    <n v="0"/>
  </r>
  <r>
    <x v="23"/>
    <n v="12"/>
    <m/>
    <n v="11.87743139920704"/>
    <n v="13.065334847767756"/>
    <n v="12.099866656263966"/>
    <n v="32.43"/>
    <n v="137.09744203"/>
    <n v="137.09744203"/>
    <n v="54.383892356421512"/>
    <n v="24620"/>
    <n v="24366"/>
    <n v="14248.928282999999"/>
    <n v="14248.928282999999"/>
    <n v="681.89"/>
    <n v="0.1"/>
    <n v="4200"/>
    <n v="1161"/>
    <n v="0"/>
  </r>
  <r>
    <x v="24"/>
    <n v="1"/>
    <m/>
    <n v="12.174367184187215"/>
    <n v="13.326641544723111"/>
    <n v="12.341863989389246"/>
    <n v="32.33"/>
    <n v="137.24240601"/>
    <n v="137.24240601"/>
    <n v="54.459018846811361"/>
    <n v="24618"/>
    <n v="24365"/>
    <n v="14865.855373800001"/>
    <n v="14865.855373800001"/>
    <n v="918.70499999999993"/>
    <n v="0"/>
    <n v="4200"/>
    <n v="1161"/>
    <n v="0"/>
  </r>
  <r>
    <x v="24"/>
    <n v="2"/>
    <m/>
    <n v="12.174367184187215"/>
    <n v="13.326641544723111"/>
    <n v="12.341863989389246"/>
    <n v="30.05"/>
    <n v="137.24240601"/>
    <n v="137.24240601"/>
    <n v="54.459018846811361"/>
    <n v="24616"/>
    <n v="24364"/>
    <n v="14865.855373800001"/>
    <n v="14865.855373800001"/>
    <n v="796.85749999999996"/>
    <n v="0"/>
    <n v="4200"/>
    <n v="1161"/>
    <n v="0"/>
  </r>
  <r>
    <x v="24"/>
    <n v="3"/>
    <m/>
    <n v="12.174367184187215"/>
    <n v="13.326641544723111"/>
    <n v="12.341863989389246"/>
    <n v="30.19"/>
    <n v="137.24240601"/>
    <n v="137.24240601"/>
    <n v="54.459018846811361"/>
    <n v="24614"/>
    <n v="24363"/>
    <n v="14865.855373800001"/>
    <n v="14865.855373800001"/>
    <n v="645"/>
    <n v="0.32500000000000001"/>
    <n v="4200"/>
    <n v="1161"/>
    <n v="0"/>
  </r>
  <r>
    <x v="24"/>
    <n v="4"/>
    <m/>
    <n v="12.174367184187215"/>
    <n v="13.326641544723111"/>
    <n v="12.341863989389246"/>
    <n v="30"/>
    <n v="137.24240601"/>
    <n v="137.24240601"/>
    <n v="54.478861451104613"/>
    <n v="24612"/>
    <n v="24362"/>
    <n v="14865.855373800001"/>
    <n v="14865.855373800001"/>
    <n v="393.33749999999998"/>
    <n v="5.6325000000000003"/>
    <n v="4200"/>
    <n v="1161"/>
    <n v="0"/>
  </r>
  <r>
    <x v="24"/>
    <n v="5"/>
    <m/>
    <n v="12.174367184187215"/>
    <n v="13.326641544723111"/>
    <n v="12.341863989389246"/>
    <n v="30.48"/>
    <n v="137.24240601"/>
    <n v="137.24240601"/>
    <n v="54.478861451104613"/>
    <n v="24610"/>
    <n v="24361"/>
    <n v="14865.855373800001"/>
    <n v="14865.855373800001"/>
    <n v="170.59"/>
    <n v="35.347500000000004"/>
    <n v="4200"/>
    <n v="1161"/>
    <n v="0"/>
  </r>
  <r>
    <x v="24"/>
    <n v="6"/>
    <m/>
    <n v="12.174367184187215"/>
    <n v="13.326641544723111"/>
    <n v="12.341863989389246"/>
    <n v="30.52"/>
    <n v="137.24240601"/>
    <n v="137.24240601"/>
    <n v="54.478861451104613"/>
    <n v="24608"/>
    <n v="24360"/>
    <n v="14865.855373800001"/>
    <n v="14865.855373800001"/>
    <n v="42.912500000000001"/>
    <n v="148.8475"/>
    <n v="4200"/>
    <n v="1161"/>
    <n v="0"/>
  </r>
  <r>
    <x v="24"/>
    <n v="7"/>
    <m/>
    <n v="12.174367184187215"/>
    <n v="13.326641544723111"/>
    <n v="12.341863989389246"/>
    <n v="30.67"/>
    <n v="137.24240601"/>
    <n v="137.24240601"/>
    <n v="54.49705938922186"/>
    <n v="24606"/>
    <n v="24359"/>
    <n v="14865.855373800001"/>
    <n v="14865.855373800001"/>
    <n v="1.375"/>
    <n v="291.78750000000002"/>
    <n v="4200"/>
    <n v="1161"/>
    <n v="0"/>
  </r>
  <r>
    <x v="24"/>
    <n v="8"/>
    <m/>
    <n v="12.174367184187215"/>
    <n v="13.326641544723111"/>
    <n v="12.341863989389246"/>
    <n v="29.48"/>
    <n v="137.24240601"/>
    <n v="137.24240601"/>
    <n v="54.49705938922186"/>
    <n v="24604"/>
    <n v="24358"/>
    <n v="14865.855373800001"/>
    <n v="14865.855373800001"/>
    <n v="0.35"/>
    <n v="311.80250000000001"/>
    <n v="4200"/>
    <n v="1161"/>
    <n v="0"/>
  </r>
  <r>
    <x v="24"/>
    <n v="9"/>
    <m/>
    <n v="12.174367184187215"/>
    <n v="13.326641544723111"/>
    <n v="12.341863989389246"/>
    <n v="30.86"/>
    <n v="137.24240601"/>
    <n v="137.24240601"/>
    <n v="54.49705938922186"/>
    <n v="24602"/>
    <n v="24357"/>
    <n v="14865.855373800001"/>
    <n v="14865.855373800001"/>
    <n v="8.2974999999999994"/>
    <n v="230.68249999999998"/>
    <n v="4200"/>
    <n v="1161"/>
    <n v="0"/>
  </r>
  <r>
    <x v="24"/>
    <n v="10"/>
    <m/>
    <n v="12.174367184187215"/>
    <n v="13.326641544723111"/>
    <n v="12.341863989389246"/>
    <n v="29.38"/>
    <n v="137.24240601"/>
    <n v="137.24240601"/>
    <n v="54.516315637170393"/>
    <n v="24600"/>
    <n v="24356"/>
    <n v="14865.855373800001"/>
    <n v="14865.855373800001"/>
    <n v="129.8125"/>
    <n v="57.779999999999994"/>
    <n v="4200"/>
    <n v="1161"/>
    <n v="0"/>
  </r>
  <r>
    <x v="24"/>
    <n v="11"/>
    <m/>
    <n v="12.174367184187215"/>
    <n v="13.326641544723111"/>
    <n v="12.341863989389246"/>
    <n v="29.57"/>
    <n v="137.24240601"/>
    <n v="137.24240601"/>
    <n v="54.516315637170393"/>
    <n v="24598"/>
    <n v="24355"/>
    <n v="14865.855373800001"/>
    <n v="14865.855373800001"/>
    <n v="387.90500000000003"/>
    <n v="3.9299999999999997"/>
    <n v="4200"/>
    <n v="1161"/>
    <n v="0"/>
  </r>
  <r>
    <x v="24"/>
    <n v="12"/>
    <m/>
    <n v="12.174367184187215"/>
    <n v="13.326641544723111"/>
    <n v="12.341863989389246"/>
    <n v="31.81"/>
    <n v="137.24240601"/>
    <n v="137.24240601"/>
    <n v="54.516315637170393"/>
    <n v="24596"/>
    <n v="24354"/>
    <n v="14865.855373800001"/>
    <n v="14865.855373800001"/>
    <n v="681.89"/>
    <n v="0.1"/>
    <n v="4200"/>
    <n v="1161"/>
    <n v="0"/>
  </r>
  <r>
    <x v="25"/>
    <n v="1"/>
    <m/>
    <n v="12.478726363791894"/>
    <n v="13.593174375617574"/>
    <n v="12.588701269177031"/>
    <n v="32.380000000000003"/>
    <n v="137.36643695999999"/>
    <n v="137.36643695999999"/>
    <n v="54.583447739513197"/>
    <n v="24593"/>
    <n v="24353"/>
    <n v="15481.4100086"/>
    <n v="15481.4100086"/>
    <n v="918.70499999999993"/>
    <n v="0"/>
    <n v="4200"/>
    <n v="1161"/>
    <n v="0"/>
  </r>
  <r>
    <x v="25"/>
    <n v="2"/>
    <m/>
    <n v="12.478726363791894"/>
    <n v="13.593174375617574"/>
    <n v="12.588701269177031"/>
    <n v="30.19"/>
    <n v="137.36643695999999"/>
    <n v="137.36643695999999"/>
    <n v="54.583447739513197"/>
    <n v="24590"/>
    <n v="24352"/>
    <n v="15481.4100086"/>
    <n v="15481.4100086"/>
    <n v="796.85749999999996"/>
    <n v="0"/>
    <n v="4200"/>
    <n v="1161"/>
    <n v="0"/>
  </r>
  <r>
    <x v="25"/>
    <n v="3"/>
    <m/>
    <n v="12.478726363791894"/>
    <n v="13.593174375617574"/>
    <n v="12.588701269177031"/>
    <n v="30.05"/>
    <n v="137.36643695999999"/>
    <n v="137.36643695999999"/>
    <n v="54.583447739513197"/>
    <n v="24587"/>
    <n v="24351"/>
    <n v="15481.4100086"/>
    <n v="15481.4100086"/>
    <n v="645"/>
    <n v="0.32500000000000001"/>
    <n v="4200"/>
    <n v="1161"/>
    <n v="0"/>
  </r>
  <r>
    <x v="25"/>
    <n v="4"/>
    <m/>
    <n v="12.478726363791894"/>
    <n v="13.593174375617574"/>
    <n v="12.588701269177031"/>
    <n v="30.71"/>
    <n v="137.36643695999999"/>
    <n v="137.36643695999999"/>
    <n v="54.603258894848793"/>
    <n v="24584"/>
    <n v="24350"/>
    <n v="15481.4100086"/>
    <n v="15481.4100086"/>
    <n v="393.33749999999998"/>
    <n v="5.6325000000000003"/>
    <n v="4200"/>
    <n v="1161"/>
    <n v="0"/>
  </r>
  <r>
    <x v="25"/>
    <n v="5"/>
    <m/>
    <n v="12.478726363791894"/>
    <n v="13.593174375617574"/>
    <n v="12.588701269177031"/>
    <n v="29.9"/>
    <n v="137.36643695999999"/>
    <n v="137.36643695999999"/>
    <n v="54.603258894848793"/>
    <n v="24581"/>
    <n v="24349"/>
    <n v="15481.4100086"/>
    <n v="15481.4100086"/>
    <n v="170.59"/>
    <n v="35.347500000000004"/>
    <n v="4200"/>
    <n v="1161"/>
    <n v="0"/>
  </r>
  <r>
    <x v="25"/>
    <n v="6"/>
    <m/>
    <n v="12.478726363791894"/>
    <n v="13.593174375617574"/>
    <n v="12.588701269177031"/>
    <n v="30.38"/>
    <n v="137.36643695999999"/>
    <n v="137.36643695999999"/>
    <n v="54.603258894848793"/>
    <n v="24578"/>
    <n v="24348"/>
    <n v="15481.4100086"/>
    <n v="15481.4100086"/>
    <n v="42.912500000000001"/>
    <n v="148.8475"/>
    <n v="4200"/>
    <n v="1161"/>
    <n v="0"/>
  </r>
  <r>
    <x v="25"/>
    <n v="7"/>
    <m/>
    <n v="12.478726363791894"/>
    <n v="13.593174375617574"/>
    <n v="12.588701269177031"/>
    <n v="30.71"/>
    <n v="137.36643695999999"/>
    <n v="137.36643695999999"/>
    <n v="54.621514441070985"/>
    <n v="24575"/>
    <n v="24347"/>
    <n v="15481.4100086"/>
    <n v="15481.4100086"/>
    <n v="1.375"/>
    <n v="291.78750000000002"/>
    <n v="4200"/>
    <n v="1161"/>
    <n v="0"/>
  </r>
  <r>
    <x v="25"/>
    <n v="8"/>
    <m/>
    <n v="12.478726363791894"/>
    <n v="13.593174375617574"/>
    <n v="12.588701269177031"/>
    <n v="29.52"/>
    <n v="137.36643695999999"/>
    <n v="137.36643695999999"/>
    <n v="54.621514441070985"/>
    <n v="24572"/>
    <n v="24346"/>
    <n v="15481.4100086"/>
    <n v="15481.4100086"/>
    <n v="0.35"/>
    <n v="311.80250000000001"/>
    <n v="4200"/>
    <n v="1161"/>
    <n v="0"/>
  </r>
  <r>
    <x v="25"/>
    <n v="9"/>
    <m/>
    <n v="12.478726363791894"/>
    <n v="13.593174375617574"/>
    <n v="12.588701269177031"/>
    <n v="30.48"/>
    <n v="137.36643695999999"/>
    <n v="137.36643695999999"/>
    <n v="54.621514441070985"/>
    <n v="24569"/>
    <n v="24345"/>
    <n v="15481.4100086"/>
    <n v="15481.4100086"/>
    <n v="8.2974999999999994"/>
    <n v="230.68249999999998"/>
    <n v="4200"/>
    <n v="1161"/>
    <n v="0"/>
  </r>
  <r>
    <x v="25"/>
    <n v="10"/>
    <m/>
    <n v="12.478726363791894"/>
    <n v="13.593174375617574"/>
    <n v="12.588701269177031"/>
    <n v="29.67"/>
    <n v="137.36643695999999"/>
    <n v="137.36643695999999"/>
    <n v="54.640297837117522"/>
    <n v="24566"/>
    <n v="24344"/>
    <n v="15481.4100086"/>
    <n v="15481.4100086"/>
    <n v="129.8125"/>
    <n v="57.779999999999994"/>
    <n v="4200"/>
    <n v="1161"/>
    <n v="0"/>
  </r>
  <r>
    <x v="25"/>
    <n v="11"/>
    <m/>
    <n v="12.478726363791894"/>
    <n v="13.593174375617574"/>
    <n v="12.588701269177031"/>
    <n v="29.76"/>
    <n v="137.36643695999999"/>
    <n v="137.36643695999999"/>
    <n v="54.640297837117522"/>
    <n v="24563"/>
    <n v="24343"/>
    <n v="15481.4100086"/>
    <n v="15481.4100086"/>
    <n v="387.90500000000003"/>
    <n v="3.9299999999999997"/>
    <n v="4200"/>
    <n v="1161"/>
    <n v="0"/>
  </r>
  <r>
    <x v="25"/>
    <n v="12"/>
    <m/>
    <n v="12.478726363791894"/>
    <n v="13.593174375617574"/>
    <n v="12.588701269177031"/>
    <n v="31.57"/>
    <n v="137.36643695999999"/>
    <n v="137.36643695999999"/>
    <n v="54.640297837117522"/>
    <n v="24560"/>
    <n v="24342"/>
    <n v="15481.4100086"/>
    <n v="15481.4100086"/>
    <n v="681.89"/>
    <n v="0.1"/>
    <n v="4200"/>
    <n v="1161"/>
    <n v="0"/>
  </r>
  <r>
    <x v="26"/>
    <n v="1"/>
    <m/>
    <n v="12.790694522886692"/>
    <n v="13.865037863129926"/>
    <n v="12.840475294560573"/>
    <n v="32.520000000000003"/>
    <n v="137.56695859000001"/>
    <n v="137.56695859000001"/>
    <n v="54.738176268558938"/>
    <n v="24557"/>
    <n v="24341"/>
    <n v="16114.499630799999"/>
    <n v="16114.499630799999"/>
    <n v="918.70499999999993"/>
    <n v="0"/>
    <n v="4200"/>
    <n v="1161"/>
    <n v="0"/>
  </r>
  <r>
    <x v="26"/>
    <n v="2"/>
    <m/>
    <n v="12.790694522886692"/>
    <n v="13.865037863129926"/>
    <n v="12.840475294560573"/>
    <n v="30.14"/>
    <n v="137.56695859000001"/>
    <n v="137.56695859000001"/>
    <n v="54.738176268558938"/>
    <n v="24554"/>
    <n v="24340"/>
    <n v="16114.499630799999"/>
    <n v="16114.499630799999"/>
    <n v="796.85749999999996"/>
    <n v="0"/>
    <n v="4200"/>
    <n v="1161"/>
    <n v="0"/>
  </r>
  <r>
    <x v="26"/>
    <n v="3"/>
    <m/>
    <n v="12.790694522886692"/>
    <n v="13.865037863129926"/>
    <n v="12.840475294560573"/>
    <n v="30.33"/>
    <n v="137.56695859000001"/>
    <n v="137.56695859000001"/>
    <n v="54.738176268558938"/>
    <n v="24551"/>
    <n v="24339"/>
    <n v="16114.499630799999"/>
    <n v="16114.499630799999"/>
    <n v="645"/>
    <n v="0.32500000000000001"/>
    <n v="4200"/>
    <n v="1161"/>
    <n v="0"/>
  </r>
  <r>
    <x v="26"/>
    <n v="4"/>
    <m/>
    <n v="12.790694522886692"/>
    <n v="13.865037863129926"/>
    <n v="12.840475294560573"/>
    <n v="30.52"/>
    <n v="137.56695859000001"/>
    <n v="137.56695859000001"/>
    <n v="54.758175010030314"/>
    <n v="24548"/>
    <n v="24338"/>
    <n v="16114.499630799999"/>
    <n v="16114.499630799999"/>
    <n v="393.33749999999998"/>
    <n v="5.6325000000000003"/>
    <n v="4200"/>
    <n v="1161"/>
    <n v="0"/>
  </r>
  <r>
    <x v="26"/>
    <n v="5"/>
    <m/>
    <n v="12.790694522886692"/>
    <n v="13.865037863129926"/>
    <n v="12.840475294560573"/>
    <n v="29.48"/>
    <n v="137.56695859000001"/>
    <n v="137.56695859000001"/>
    <n v="54.758175010030314"/>
    <n v="24545"/>
    <n v="24337"/>
    <n v="16114.499630799999"/>
    <n v="16114.499630799999"/>
    <n v="170.59"/>
    <n v="35.347500000000004"/>
    <n v="4200"/>
    <n v="1161"/>
    <n v="0"/>
  </r>
  <r>
    <x v="26"/>
    <n v="6"/>
    <m/>
    <n v="12.790694522886692"/>
    <n v="13.865037863129926"/>
    <n v="12.840475294560573"/>
    <n v="30.67"/>
    <n v="137.56695859000001"/>
    <n v="137.56695859000001"/>
    <n v="54.758175010030314"/>
    <n v="24542"/>
    <n v="24336"/>
    <n v="16114.499630799999"/>
    <n v="16114.499630799999"/>
    <n v="42.912500000000001"/>
    <n v="148.8475"/>
    <n v="4200"/>
    <n v="1161"/>
    <n v="0"/>
  </r>
  <r>
    <x v="26"/>
    <n v="7"/>
    <m/>
    <n v="12.790694522886692"/>
    <n v="13.865037863129926"/>
    <n v="12.840475294560573"/>
    <n v="30.71"/>
    <n v="137.56695859000001"/>
    <n v="137.56695859000001"/>
    <n v="54.846267641951044"/>
    <n v="24539"/>
    <n v="24335"/>
    <n v="16114.499630799999"/>
    <n v="16114.499630799999"/>
    <n v="1.375"/>
    <n v="291.78750000000002"/>
    <n v="4200"/>
    <n v="1161"/>
    <n v="0"/>
  </r>
  <r>
    <x v="26"/>
    <n v="8"/>
    <m/>
    <n v="12.790694522886692"/>
    <n v="13.865037863129926"/>
    <n v="12.840475294560573"/>
    <n v="29.52"/>
    <n v="137.56695859000001"/>
    <n v="137.56695859000001"/>
    <n v="54.846267641951044"/>
    <n v="24536"/>
    <n v="24334"/>
    <n v="16114.499630799999"/>
    <n v="16114.499630799999"/>
    <n v="0.35"/>
    <n v="311.80250000000001"/>
    <n v="4200"/>
    <n v="1161"/>
    <n v="0"/>
  </r>
  <r>
    <x v="26"/>
    <n v="9"/>
    <m/>
    <n v="12.790694522886692"/>
    <n v="13.865037863129926"/>
    <n v="12.840475294560573"/>
    <n v="30.52"/>
    <n v="137.56695859000001"/>
    <n v="137.56695859000001"/>
    <n v="54.846267641951044"/>
    <n v="24533"/>
    <n v="24333"/>
    <n v="16114.499630799999"/>
    <n v="16114.499630799999"/>
    <n v="8.2974999999999994"/>
    <n v="230.68249999999998"/>
    <n v="4200"/>
    <n v="1161"/>
    <n v="0"/>
  </r>
  <r>
    <x v="26"/>
    <n v="10"/>
    <m/>
    <n v="12.790694522886692"/>
    <n v="13.865037863129926"/>
    <n v="12.840475294560573"/>
    <n v="29.62"/>
    <n v="137.56695859000001"/>
    <n v="137.56695859000001"/>
    <n v="54.831304809608277"/>
    <n v="24530"/>
    <n v="24332"/>
    <n v="16114.499630799999"/>
    <n v="16114.499630799999"/>
    <n v="129.8125"/>
    <n v="57.779999999999994"/>
    <n v="4200"/>
    <n v="1161"/>
    <n v="0"/>
  </r>
  <r>
    <x v="26"/>
    <n v="11"/>
    <m/>
    <n v="12.790694522886692"/>
    <n v="13.865037863129926"/>
    <n v="12.840475294560573"/>
    <n v="29.1"/>
    <n v="137.56695859000001"/>
    <n v="137.56695859000001"/>
    <n v="54.831304809608277"/>
    <n v="24527"/>
    <n v="24331"/>
    <n v="16114.499630799999"/>
    <n v="16114.499630799999"/>
    <n v="387.90500000000003"/>
    <n v="3.9299999999999997"/>
    <n v="4200"/>
    <n v="1161"/>
    <n v="0"/>
  </r>
  <r>
    <x v="26"/>
    <n v="12"/>
    <m/>
    <n v="12.790694522886692"/>
    <n v="13.865037863129926"/>
    <n v="12.840475294560573"/>
    <n v="31.67"/>
    <n v="137.56695859000001"/>
    <n v="137.56695859000001"/>
    <n v="54.831304809608277"/>
    <n v="24524"/>
    <n v="24330"/>
    <n v="16114.499630799999"/>
    <n v="16114.499630799999"/>
    <n v="681.89"/>
    <n v="0.1"/>
    <n v="4200"/>
    <n v="1161"/>
    <n v="0"/>
  </r>
  <r>
    <x v="27"/>
    <n v="1"/>
    <m/>
    <n v="13.110461885958857"/>
    <n v="14.142338620392525"/>
    <n v="13.097284800451785"/>
    <n v="32.71"/>
    <n v="137.83970545"/>
    <n v="137.83970545"/>
    <n v="54.926972042369108"/>
    <n v="24521"/>
    <n v="24329"/>
    <n v="16800.423866600002"/>
    <n v="16800.423866600002"/>
    <n v="918.70499999999993"/>
    <n v="0"/>
    <n v="4200"/>
    <n v="1161"/>
    <n v="0"/>
  </r>
  <r>
    <x v="27"/>
    <n v="2"/>
    <m/>
    <n v="13.110461885958857"/>
    <n v="14.142338620392525"/>
    <n v="13.097284800451785"/>
    <n v="29.81"/>
    <n v="137.83970545"/>
    <n v="137.83970545"/>
    <n v="54.926972042369108"/>
    <n v="24518"/>
    <n v="24328"/>
    <n v="16800.423866600002"/>
    <n v="16800.423866600002"/>
    <n v="796.85749999999996"/>
    <n v="0"/>
    <n v="4200"/>
    <n v="1161"/>
    <n v="0"/>
  </r>
  <r>
    <x v="27"/>
    <n v="3"/>
    <m/>
    <n v="13.110461885958857"/>
    <n v="14.142338620392525"/>
    <n v="13.097284800451785"/>
    <n v="30.33"/>
    <n v="137.83970545"/>
    <n v="137.83970545"/>
    <n v="54.926972042369108"/>
    <n v="24515"/>
    <n v="24327"/>
    <n v="16800.423866600002"/>
    <n v="16800.423866600002"/>
    <n v="645"/>
    <n v="0.32500000000000001"/>
    <n v="4200"/>
    <n v="1161"/>
    <n v="0"/>
  </r>
  <r>
    <x v="27"/>
    <n v="4"/>
    <m/>
    <n v="13.110461885958857"/>
    <n v="14.142338620392525"/>
    <n v="13.097284800451785"/>
    <n v="30.19"/>
    <n v="137.83970545"/>
    <n v="137.83970545"/>
    <n v="54.915219970141337"/>
    <n v="24512"/>
    <n v="24326"/>
    <n v="16800.423866600002"/>
    <n v="16800.423866600002"/>
    <n v="393.33749999999998"/>
    <n v="5.6325000000000003"/>
    <n v="4200"/>
    <n v="1161"/>
    <n v="0"/>
  </r>
  <r>
    <x v="27"/>
    <n v="5"/>
    <m/>
    <n v="13.110461885958857"/>
    <n v="14.142338620392525"/>
    <n v="13.097284800451785"/>
    <n v="30.14"/>
    <n v="137.83970545"/>
    <n v="137.83970545"/>
    <n v="54.915219970141337"/>
    <n v="24509"/>
    <n v="24325"/>
    <n v="16800.423866600002"/>
    <n v="16800.423866600002"/>
    <n v="170.59"/>
    <n v="35.347500000000004"/>
    <n v="4200"/>
    <n v="1161"/>
    <n v="0"/>
  </r>
  <r>
    <x v="27"/>
    <n v="6"/>
    <m/>
    <n v="13.110461885958857"/>
    <n v="14.142338620392525"/>
    <n v="13.097284800451785"/>
    <n v="30.67"/>
    <n v="137.83970545"/>
    <n v="137.83970545"/>
    <n v="54.915219970141337"/>
    <n v="24506"/>
    <n v="24324"/>
    <n v="16800.423866600002"/>
    <n v="16800.423866600002"/>
    <n v="42.912500000000001"/>
    <n v="148.8475"/>
    <n v="4200"/>
    <n v="1161"/>
    <n v="0"/>
  </r>
  <r>
    <x v="27"/>
    <n v="7"/>
    <m/>
    <n v="13.110461885958857"/>
    <n v="14.142338620392525"/>
    <n v="13.097284800451785"/>
    <n v="30.67"/>
    <n v="137.83970545"/>
    <n v="137.83970545"/>
    <n v="54.900439903986928"/>
    <n v="24503"/>
    <n v="24323"/>
    <n v="16800.423866600002"/>
    <n v="16800.423866600002"/>
    <n v="1.375"/>
    <n v="291.78750000000002"/>
    <n v="4200"/>
    <n v="1161"/>
    <n v="0"/>
  </r>
  <r>
    <x v="27"/>
    <n v="8"/>
    <m/>
    <n v="13.110461885958857"/>
    <n v="14.142338620392525"/>
    <n v="13.097284800451785"/>
    <n v="29.57"/>
    <n v="137.83970545"/>
    <n v="137.83970545"/>
    <n v="54.900439903986928"/>
    <n v="24500"/>
    <n v="24322"/>
    <n v="16800.423866600002"/>
    <n v="16800.423866600002"/>
    <n v="0.35"/>
    <n v="311.80250000000001"/>
    <n v="4200"/>
    <n v="1161"/>
    <n v="0"/>
  </r>
  <r>
    <x v="27"/>
    <n v="9"/>
    <m/>
    <n v="13.110461885958857"/>
    <n v="14.142338620392525"/>
    <n v="13.097284800451785"/>
    <n v="30.52"/>
    <n v="137.83970545"/>
    <n v="137.83970545"/>
    <n v="54.900439903986928"/>
    <n v="24497"/>
    <n v="24321"/>
    <n v="16800.423866600002"/>
    <n v="16800.423866600002"/>
    <n v="8.2974999999999994"/>
    <n v="230.68249999999998"/>
    <n v="4200"/>
    <n v="1161"/>
    <n v="0"/>
  </r>
  <r>
    <x v="27"/>
    <n v="10"/>
    <m/>
    <n v="13.110461885958857"/>
    <n v="14.142338620392525"/>
    <n v="13.097284800451785"/>
    <n v="29.62"/>
    <n v="137.83970545"/>
    <n v="137.83970545"/>
    <n v="54.913832305069029"/>
    <n v="24494"/>
    <n v="24320"/>
    <n v="16800.423866600002"/>
    <n v="16800.423866600002"/>
    <n v="129.8125"/>
    <n v="57.779999999999994"/>
    <n v="4200"/>
    <n v="1161"/>
    <n v="0"/>
  </r>
  <r>
    <x v="27"/>
    <n v="11"/>
    <m/>
    <n v="13.110461885958857"/>
    <n v="14.142338620392525"/>
    <n v="13.097284800451785"/>
    <n v="29.95"/>
    <n v="137.83970545"/>
    <n v="137.83970545"/>
    <n v="54.913832305069029"/>
    <n v="24491"/>
    <n v="24319"/>
    <n v="16800.423866600002"/>
    <n v="16800.423866600002"/>
    <n v="387.90500000000003"/>
    <n v="3.9299999999999997"/>
    <n v="4200"/>
    <n v="1161"/>
    <n v="0"/>
  </r>
  <r>
    <x v="27"/>
    <n v="12"/>
    <m/>
    <n v="13.110461885958857"/>
    <n v="14.142338620392525"/>
    <n v="13.097284800451785"/>
    <n v="31.24"/>
    <n v="137.83970545"/>
    <n v="137.83970545"/>
    <n v="54.913832305069029"/>
    <n v="24488"/>
    <n v="24318"/>
    <n v="16800.423866600002"/>
    <n v="16800.423866600002"/>
    <n v="681.89"/>
    <n v="0.1"/>
    <n v="4200"/>
    <n v="1161"/>
    <n v="0"/>
  </r>
  <r>
    <x v="28"/>
    <n v="1"/>
    <m/>
    <n v="13.438223433107826"/>
    <n v="14.425185392800376"/>
    <n v="13.359230496460821"/>
    <n v="32.67"/>
    <n v="138.06985766"/>
    <n v="138.06985766"/>
    <n v="55.018816277042809"/>
    <n v="24485"/>
    <n v="24317"/>
    <n v="17493.070144999998"/>
    <n v="17493.070144999998"/>
    <n v="918.70499999999993"/>
    <n v="0"/>
    <n v="4200"/>
    <n v="1161"/>
    <n v="0"/>
  </r>
  <r>
    <x v="28"/>
    <n v="2"/>
    <m/>
    <n v="13.438223433107826"/>
    <n v="14.425185392800376"/>
    <n v="13.359230496460821"/>
    <n v="29.86"/>
    <n v="138.06985766"/>
    <n v="138.06985766"/>
    <n v="55.018816277042809"/>
    <n v="24482"/>
    <n v="24316"/>
    <n v="17493.070144999998"/>
    <n v="17493.070144999998"/>
    <n v="796.85749999999996"/>
    <n v="0"/>
    <n v="4200"/>
    <n v="1161"/>
    <n v="0"/>
  </r>
  <r>
    <x v="28"/>
    <n v="3"/>
    <m/>
    <n v="13.438223433107826"/>
    <n v="14.425185392800376"/>
    <n v="13.359230496460821"/>
    <n v="30.43"/>
    <n v="138.06985766"/>
    <n v="138.06985766"/>
    <n v="55.018816277042809"/>
    <n v="24479"/>
    <n v="24315"/>
    <n v="17493.070144999998"/>
    <n v="17493.070144999998"/>
    <n v="645"/>
    <n v="0.32500000000000001"/>
    <n v="4200"/>
    <n v="1161"/>
    <n v="0"/>
  </r>
  <r>
    <x v="28"/>
    <n v="4"/>
    <m/>
    <n v="13.438223433107826"/>
    <n v="14.425185392800376"/>
    <n v="13.359230496460821"/>
    <n v="30.71"/>
    <n v="138.06985766"/>
    <n v="138.06985766"/>
    <n v="55.032353524281739"/>
    <n v="24476"/>
    <n v="24314"/>
    <n v="17493.070144999998"/>
    <n v="17493.070144999998"/>
    <n v="393.33749999999998"/>
    <n v="5.6325000000000003"/>
    <n v="4200"/>
    <n v="1161"/>
    <n v="0"/>
  </r>
  <r>
    <x v="28"/>
    <n v="5"/>
    <m/>
    <n v="13.438223433107826"/>
    <n v="14.425185392800376"/>
    <n v="13.359230496460821"/>
    <n v="29.52"/>
    <n v="138.06985766"/>
    <n v="138.06985766"/>
    <n v="55.032353524281739"/>
    <n v="24473"/>
    <n v="24313"/>
    <n v="17493.070144999998"/>
    <n v="17493.070144999998"/>
    <n v="170.59"/>
    <n v="35.347500000000004"/>
    <n v="4200"/>
    <n v="1161"/>
    <n v="0"/>
  </r>
  <r>
    <x v="28"/>
    <n v="6"/>
    <m/>
    <n v="13.438223433107826"/>
    <n v="14.425185392800376"/>
    <n v="13.359230496460821"/>
    <n v="30.62"/>
    <n v="138.06985766"/>
    <n v="138.06985766"/>
    <n v="55.032353524281739"/>
    <n v="24470"/>
    <n v="24312"/>
    <n v="17493.070144999998"/>
    <n v="17493.070144999998"/>
    <n v="42.912500000000001"/>
    <n v="148.8475"/>
    <n v="4200"/>
    <n v="1161"/>
    <n v="0"/>
  </r>
  <r>
    <x v="28"/>
    <n v="7"/>
    <m/>
    <n v="13.438223433107826"/>
    <n v="14.425185392800376"/>
    <n v="13.359230496460821"/>
    <n v="30.76"/>
    <n v="138.06985766"/>
    <n v="138.06985766"/>
    <n v="55.045072408459021"/>
    <n v="24467"/>
    <n v="24311"/>
    <n v="17493.070144999998"/>
    <n v="17493.070144999998"/>
    <n v="1.375"/>
    <n v="291.78750000000002"/>
    <n v="4200"/>
    <n v="1161"/>
    <n v="0"/>
  </r>
  <r>
    <x v="28"/>
    <n v="8"/>
    <m/>
    <n v="13.438223433107826"/>
    <n v="14.425185392800376"/>
    <n v="13.359230496460821"/>
    <n v="29.48"/>
    <n v="138.06985766"/>
    <n v="138.06985766"/>
    <n v="55.045072408459021"/>
    <n v="24464"/>
    <n v="24310"/>
    <n v="17493.070144999998"/>
    <n v="17493.070144999998"/>
    <n v="0.35"/>
    <n v="311.80250000000001"/>
    <n v="4200"/>
    <n v="1161"/>
    <n v="0"/>
  </r>
  <r>
    <x v="28"/>
    <n v="9"/>
    <m/>
    <n v="13.438223433107826"/>
    <n v="14.425185392800376"/>
    <n v="13.359230496460821"/>
    <n v="30.57"/>
    <n v="138.06985766"/>
    <n v="138.06985766"/>
    <n v="55.045072408459021"/>
    <n v="24461"/>
    <n v="24309"/>
    <n v="17493.070144999998"/>
    <n v="17493.070144999998"/>
    <n v="8.2974999999999994"/>
    <n v="230.68249999999998"/>
    <n v="4200"/>
    <n v="1161"/>
    <n v="0"/>
  </r>
  <r>
    <x v="28"/>
    <n v="10"/>
    <m/>
    <n v="13.438223433107826"/>
    <n v="14.425185392800376"/>
    <n v="13.359230496460821"/>
    <n v="29.67"/>
    <n v="138.06985766"/>
    <n v="138.06985766"/>
    <n v="55.058459509184331"/>
    <n v="24458"/>
    <n v="24308"/>
    <n v="17493.070144999998"/>
    <n v="17493.070144999998"/>
    <n v="129.8125"/>
    <n v="57.779999999999994"/>
    <n v="4200"/>
    <n v="1161"/>
    <n v="0"/>
  </r>
  <r>
    <x v="28"/>
    <n v="11"/>
    <m/>
    <n v="13.438223433107826"/>
    <n v="14.425185392800376"/>
    <n v="13.359230496460821"/>
    <n v="29.95"/>
    <n v="138.06985766"/>
    <n v="138.06985766"/>
    <n v="55.058459509184331"/>
    <n v="24455"/>
    <n v="24307"/>
    <n v="17493.070144999998"/>
    <n v="17493.070144999998"/>
    <n v="387.90500000000003"/>
    <n v="3.9299999999999997"/>
    <n v="4200"/>
    <n v="1161"/>
    <n v="0"/>
  </r>
  <r>
    <x v="28"/>
    <n v="12"/>
    <m/>
    <n v="13.438223433107826"/>
    <n v="14.425185392800376"/>
    <n v="13.359230496460821"/>
    <n v="31.1"/>
    <n v="138.06985766"/>
    <n v="138.06985766"/>
    <n v="55.058459509184331"/>
    <n v="24452"/>
    <n v="24306"/>
    <n v="17493.070144999998"/>
    <n v="17493.070144999998"/>
    <n v="681.89"/>
    <n v="0.1"/>
    <n v="4200"/>
    <n v="1161"/>
    <n v="0"/>
  </r>
  <r>
    <x v="29"/>
    <n v="1"/>
    <m/>
    <n v="13.77417901893552"/>
    <n v="14.713689100656383"/>
    <n v="13.626415106390038"/>
    <n v="32.71"/>
    <n v="138.31084708999998"/>
    <n v="138.31084708999998"/>
    <n v="55.16956846813266"/>
    <n v="24449"/>
    <n v="24305"/>
    <n v="18224.57157"/>
    <n v="18224.57157"/>
    <n v="918.70499999999993"/>
    <n v="0"/>
    <n v="4200"/>
    <n v="1161"/>
    <n v="0"/>
  </r>
  <r>
    <x v="29"/>
    <n v="2"/>
    <m/>
    <n v="13.77417901893552"/>
    <n v="14.713689100656383"/>
    <n v="13.626415106390038"/>
    <n v="29.9"/>
    <n v="138.31084708999998"/>
    <n v="138.31084708999998"/>
    <n v="55.16956846813266"/>
    <n v="24446"/>
    <n v="24304"/>
    <n v="18224.57157"/>
    <n v="18224.57157"/>
    <n v="796.85749999999996"/>
    <n v="0"/>
    <n v="4200"/>
    <n v="1161"/>
    <n v="0"/>
  </r>
  <r>
    <x v="29"/>
    <n v="3"/>
    <m/>
    <n v="13.77417901893552"/>
    <n v="14.713689100656383"/>
    <n v="13.626415106390038"/>
    <n v="30.33"/>
    <n v="138.31084708999998"/>
    <n v="138.31084708999998"/>
    <n v="55.16956846813266"/>
    <n v="24443"/>
    <n v="24303"/>
    <n v="18224.57157"/>
    <n v="18224.57157"/>
    <n v="645"/>
    <n v="0.32500000000000001"/>
    <n v="4200"/>
    <n v="1161"/>
    <n v="0"/>
  </r>
  <r>
    <x v="29"/>
    <n v="4"/>
    <m/>
    <n v="13.77417901893552"/>
    <n v="14.713689100656383"/>
    <n v="13.626415106390038"/>
    <n v="29.95"/>
    <n v="138.31084708999998"/>
    <n v="138.31084708999998"/>
    <n v="55.186642518658857"/>
    <n v="24440"/>
    <n v="24302"/>
    <n v="18224.57157"/>
    <n v="18224.57157"/>
    <n v="393.33749999999998"/>
    <n v="5.6325000000000003"/>
    <n v="4200"/>
    <n v="1161"/>
    <n v="0"/>
  </r>
  <r>
    <x v="29"/>
    <n v="5"/>
    <m/>
    <n v="13.77417901893552"/>
    <n v="14.713689100656383"/>
    <n v="13.626415106390038"/>
    <n v="30.38"/>
    <n v="138.31084708999998"/>
    <n v="138.31084708999998"/>
    <n v="55.186642518658857"/>
    <n v="24437"/>
    <n v="24301"/>
    <n v="18224.57157"/>
    <n v="18224.57157"/>
    <n v="170.59"/>
    <n v="35.347500000000004"/>
    <n v="4200"/>
    <n v="1161"/>
    <n v="0"/>
  </r>
  <r>
    <x v="29"/>
    <n v="6"/>
    <m/>
    <n v="13.77417901893552"/>
    <n v="14.713689100656383"/>
    <n v="13.626415106390038"/>
    <n v="30.67"/>
    <n v="138.31084708999998"/>
    <n v="138.31084708999998"/>
    <n v="55.186642518658857"/>
    <n v="24434"/>
    <n v="24300"/>
    <n v="18224.57157"/>
    <n v="18224.57157"/>
    <n v="42.912500000000001"/>
    <n v="148.8475"/>
    <n v="4200"/>
    <n v="1161"/>
    <n v="0"/>
  </r>
  <r>
    <x v="29"/>
    <n v="7"/>
    <m/>
    <n v="13.77417901893552"/>
    <n v="14.713689100656383"/>
    <n v="13.626415106390038"/>
    <n v="30.67"/>
    <n v="138.31084708999998"/>
    <n v="138.31084708999998"/>
    <n v="55.20332618639673"/>
    <n v="24431"/>
    <n v="24299"/>
    <n v="18224.57157"/>
    <n v="18224.57157"/>
    <n v="1.375"/>
    <n v="291.78750000000002"/>
    <n v="4200"/>
    <n v="1161"/>
    <n v="0"/>
  </r>
  <r>
    <x v="29"/>
    <n v="8"/>
    <m/>
    <n v="13.77417901893552"/>
    <n v="14.713689100656383"/>
    <n v="13.626415106390038"/>
    <n v="29.48"/>
    <n v="138.31084708999998"/>
    <n v="138.31084708999998"/>
    <n v="55.20332618639673"/>
    <n v="24428"/>
    <n v="24298"/>
    <n v="18224.57157"/>
    <n v="18224.57157"/>
    <n v="0.35"/>
    <n v="311.80250000000001"/>
    <n v="4200"/>
    <n v="1161"/>
    <n v="0"/>
  </r>
  <r>
    <x v="29"/>
    <n v="9"/>
    <m/>
    <n v="13.77417901893552"/>
    <n v="14.713689100656383"/>
    <n v="13.626415106390038"/>
    <n v="30.71"/>
    <n v="138.31084708999998"/>
    <n v="138.31084708999998"/>
    <n v="55.20332618639673"/>
    <n v="24425"/>
    <n v="24297"/>
    <n v="18224.57157"/>
    <n v="18224.57157"/>
    <n v="8.2974999999999994"/>
    <n v="230.68249999999998"/>
    <n v="4200"/>
    <n v="1161"/>
    <n v="0"/>
  </r>
  <r>
    <x v="29"/>
    <n v="10"/>
    <m/>
    <n v="13.77417901893552"/>
    <n v="14.713689100656383"/>
    <n v="13.626415106390038"/>
    <n v="29.52"/>
    <n v="138.31084708999998"/>
    <n v="138.31084708999998"/>
    <n v="55.219310327328792"/>
    <n v="24422"/>
    <n v="24296"/>
    <n v="18224.57157"/>
    <n v="18224.57157"/>
    <n v="129.8125"/>
    <n v="57.779999999999994"/>
    <n v="4200"/>
    <n v="1161"/>
    <n v="0"/>
  </r>
  <r>
    <x v="29"/>
    <n v="11"/>
    <m/>
    <n v="13.77417901893552"/>
    <n v="14.713689100656383"/>
    <n v="13.626415106390038"/>
    <n v="29.38"/>
    <n v="138.31084708999998"/>
    <n v="138.31084708999998"/>
    <n v="55.219310327328792"/>
    <n v="24419"/>
    <n v="24295"/>
    <n v="18224.57157"/>
    <n v="18224.57157"/>
    <n v="387.90500000000003"/>
    <n v="3.9299999999999997"/>
    <n v="4200"/>
    <n v="1161"/>
    <n v="0"/>
  </r>
  <r>
    <x v="29"/>
    <n v="12"/>
    <m/>
    <n v="13.77417901893552"/>
    <n v="14.713689100656383"/>
    <n v="13.626415106390038"/>
    <n v="32.049999999999997"/>
    <n v="138.31084708999998"/>
    <n v="138.31084708999998"/>
    <n v="55.219310327328792"/>
    <n v="24416"/>
    <n v="24294"/>
    <n v="18224.57157"/>
    <n v="18224.57157"/>
    <n v="681.89"/>
    <n v="0.1"/>
    <n v="4200"/>
    <n v="1161"/>
    <n v="0"/>
  </r>
  <r>
    <x v="30"/>
    <n v="1"/>
    <m/>
    <n v="14.118533494408908"/>
    <n v="15.007962882669512"/>
    <n v="13.898943408517839"/>
    <n v="32.33"/>
    <n v="138.52437333"/>
    <n v="138.52437333"/>
    <n v="55.319681793916921"/>
    <n v="24413"/>
    <n v="24293"/>
    <n v="18965.416546"/>
    <n v="18965.416546"/>
    <n v="918.70499999999993"/>
    <n v="0"/>
    <n v="4200"/>
    <n v="1161"/>
    <n v="0"/>
  </r>
  <r>
    <x v="30"/>
    <n v="2"/>
    <m/>
    <n v="14.118533494408908"/>
    <n v="15.007962882669512"/>
    <n v="13.898943408517839"/>
    <n v="30.05"/>
    <n v="138.52437333"/>
    <n v="138.52437333"/>
    <n v="55.319681793916921"/>
    <n v="24410"/>
    <n v="24292"/>
    <n v="18965.416546"/>
    <n v="18965.416546"/>
    <n v="796.85749999999996"/>
    <n v="0"/>
    <n v="4200"/>
    <n v="1161"/>
    <n v="0"/>
  </r>
  <r>
    <x v="30"/>
    <n v="3"/>
    <m/>
    <n v="14.118533494408908"/>
    <n v="15.007962882669512"/>
    <n v="13.898943408517839"/>
    <n v="30.19"/>
    <n v="138.52437333"/>
    <n v="138.52437333"/>
    <n v="55.319681793916921"/>
    <n v="24407"/>
    <n v="24291"/>
    <n v="18965.416546"/>
    <n v="18965.416546"/>
    <n v="645"/>
    <n v="0.32500000000000001"/>
    <n v="4200"/>
    <n v="1161"/>
    <n v="0"/>
  </r>
  <r>
    <x v="30"/>
    <n v="4"/>
    <m/>
    <n v="14.118533494408908"/>
    <n v="15.007962882669512"/>
    <n v="13.898943408517839"/>
    <n v="30.33"/>
    <n v="138.52437333"/>
    <n v="138.52437333"/>
    <n v="55.334705201336135"/>
    <n v="24404"/>
    <n v="24290"/>
    <n v="18965.416546"/>
    <n v="18965.416546"/>
    <n v="393.33749999999998"/>
    <n v="5.6325000000000003"/>
    <n v="4200"/>
    <n v="1161"/>
    <n v="0"/>
  </r>
  <r>
    <x v="30"/>
    <n v="5"/>
    <m/>
    <n v="14.118533494408908"/>
    <n v="15.007962882669512"/>
    <n v="13.898943408517839"/>
    <n v="30.14"/>
    <n v="138.52437333"/>
    <n v="138.52437333"/>
    <n v="55.334705201336135"/>
    <n v="24401"/>
    <n v="24289"/>
    <n v="18965.416546"/>
    <n v="18965.416546"/>
    <n v="170.59"/>
    <n v="35.347500000000004"/>
    <n v="4200"/>
    <n v="1161"/>
    <n v="0"/>
  </r>
  <r>
    <x v="30"/>
    <n v="6"/>
    <m/>
    <n v="14.118533494408908"/>
    <n v="15.007962882669512"/>
    <n v="13.898943408517839"/>
    <n v="30.52"/>
    <n v="138.52437333"/>
    <n v="138.52437333"/>
    <n v="55.334705201336135"/>
    <n v="24398"/>
    <n v="24288"/>
    <n v="18965.416546"/>
    <n v="18965.416546"/>
    <n v="42.912500000000001"/>
    <n v="148.8475"/>
    <n v="4200"/>
    <n v="1161"/>
    <n v="0"/>
  </r>
  <r>
    <x v="30"/>
    <n v="7"/>
    <m/>
    <n v="14.118533494408908"/>
    <n v="15.007962882669512"/>
    <n v="13.898943408517839"/>
    <n v="30.67"/>
    <n v="138.52437333"/>
    <n v="138.52437333"/>
    <n v="55.349275385173193"/>
    <n v="24395"/>
    <n v="24287"/>
    <n v="18965.416546"/>
    <n v="18965.416546"/>
    <n v="1.375"/>
    <n v="291.78750000000002"/>
    <n v="4200"/>
    <n v="1161"/>
    <n v="0"/>
  </r>
  <r>
    <x v="30"/>
    <n v="8"/>
    <m/>
    <n v="14.118533494408908"/>
    <n v="15.007962882669512"/>
    <n v="13.898943408517839"/>
    <n v="29.48"/>
    <n v="138.52437333"/>
    <n v="138.52437333"/>
    <n v="55.349275385173193"/>
    <n v="24392"/>
    <n v="24286"/>
    <n v="18965.416546"/>
    <n v="18965.416546"/>
    <n v="0.35"/>
    <n v="311.80250000000001"/>
    <n v="4200"/>
    <n v="1161"/>
    <n v="0"/>
  </r>
  <r>
    <x v="30"/>
    <n v="9"/>
    <m/>
    <n v="14.118533494408908"/>
    <n v="15.007962882669512"/>
    <n v="13.898943408517839"/>
    <n v="30.86"/>
    <n v="138.52437333"/>
    <n v="138.52437333"/>
    <n v="55.349275385173193"/>
    <n v="24389"/>
    <n v="24285"/>
    <n v="18965.416546"/>
    <n v="18965.416546"/>
    <n v="8.2974999999999994"/>
    <n v="230.68249999999998"/>
    <n v="4200"/>
    <n v="1161"/>
    <n v="0"/>
  </r>
  <r>
    <x v="30"/>
    <n v="10"/>
    <m/>
    <n v="14.118533494408908"/>
    <n v="15.007962882669512"/>
    <n v="13.898943408517839"/>
    <n v="29.38"/>
    <n v="138.52437333"/>
    <n v="138.52437333"/>
    <n v="55.364295457438786"/>
    <n v="24386"/>
    <n v="24284"/>
    <n v="18965.416546"/>
    <n v="18965.416546"/>
    <n v="129.8125"/>
    <n v="57.779999999999994"/>
    <n v="4200"/>
    <n v="1161"/>
    <n v="0"/>
  </r>
  <r>
    <x v="30"/>
    <n v="11"/>
    <m/>
    <n v="14.118533494408908"/>
    <n v="15.007962882669512"/>
    <n v="13.898943408517839"/>
    <n v="29.57"/>
    <n v="138.52437333"/>
    <n v="138.52437333"/>
    <n v="55.364295457438786"/>
    <n v="24383"/>
    <n v="24283"/>
    <n v="18965.416546"/>
    <n v="18965.416546"/>
    <n v="387.90500000000003"/>
    <n v="3.9299999999999997"/>
    <n v="4200"/>
    <n v="1161"/>
    <n v="0"/>
  </r>
  <r>
    <x v="30"/>
    <n v="12"/>
    <m/>
    <n v="14.118533494408908"/>
    <n v="15.007962882669512"/>
    <n v="13.898943408517839"/>
    <n v="31.81"/>
    <n v="138.52437333"/>
    <n v="138.52437333"/>
    <n v="55.364295457438786"/>
    <n v="24380"/>
    <n v="24282"/>
    <n v="18965.416546"/>
    <n v="18965.416546"/>
    <n v="681.89"/>
    <n v="0.1"/>
    <n v="4200"/>
    <n v="1161"/>
    <n v="0"/>
  </r>
  <r>
    <x v="31"/>
    <n v="1"/>
    <m/>
    <n v="14.471496831769128"/>
    <n v="15.308122140322903"/>
    <n v="14.176922276688197"/>
    <n v="32.380000000000003"/>
    <n v="138.70386191"/>
    <n v="138.70386191"/>
    <n v="55.450862655425766"/>
    <n v="24377"/>
    <n v="24281"/>
    <n v="19721.552056"/>
    <n v="19721.552056"/>
    <n v="918.70499999999993"/>
    <n v="0"/>
    <n v="4200"/>
    <n v="1161"/>
    <n v="0"/>
  </r>
  <r>
    <x v="31"/>
    <n v="2"/>
    <m/>
    <n v="14.471496831769128"/>
    <n v="15.308122140322903"/>
    <n v="14.176922276688197"/>
    <n v="30.19"/>
    <n v="138.70386191"/>
    <n v="138.70386191"/>
    <n v="55.450862655425766"/>
    <n v="24374"/>
    <n v="24280"/>
    <n v="19721.552056"/>
    <n v="19721.552056"/>
    <n v="796.85749999999996"/>
    <n v="0"/>
    <n v="4200"/>
    <n v="1161"/>
    <n v="0"/>
  </r>
  <r>
    <x v="31"/>
    <n v="3"/>
    <m/>
    <n v="14.471496831769128"/>
    <n v="15.308122140322903"/>
    <n v="14.176922276688197"/>
    <n v="30.33"/>
    <n v="138.70386191"/>
    <n v="138.70386191"/>
    <n v="55.450862655425766"/>
    <n v="24371"/>
    <n v="24279"/>
    <n v="19721.552056"/>
    <n v="19721.552056"/>
    <n v="645"/>
    <n v="0.32500000000000001"/>
    <n v="4200"/>
    <n v="1161"/>
    <n v="0"/>
  </r>
  <r>
    <x v="31"/>
    <n v="4"/>
    <m/>
    <n v="14.471496831769128"/>
    <n v="15.308122140322903"/>
    <n v="14.176922276688197"/>
    <n v="30.48"/>
    <n v="138.70386191"/>
    <n v="138.70386191"/>
    <n v="55.467252160841653"/>
    <n v="24368"/>
    <n v="24278"/>
    <n v="19721.552056"/>
    <n v="19721.552056"/>
    <n v="393.33749999999998"/>
    <n v="5.6325000000000003"/>
    <n v="4200"/>
    <n v="1161"/>
    <n v="0"/>
  </r>
  <r>
    <x v="31"/>
    <n v="5"/>
    <m/>
    <n v="14.471496831769128"/>
    <n v="15.308122140322903"/>
    <n v="14.176922276688197"/>
    <n v="29.52"/>
    <n v="138.70386191"/>
    <n v="138.70386191"/>
    <n v="55.467252160841653"/>
    <n v="24365"/>
    <n v="24277"/>
    <n v="19721.552056"/>
    <n v="19721.552056"/>
    <n v="170.59"/>
    <n v="35.347500000000004"/>
    <n v="4200"/>
    <n v="1161"/>
    <n v="0"/>
  </r>
  <r>
    <x v="31"/>
    <n v="6"/>
    <m/>
    <n v="14.471496831769128"/>
    <n v="15.308122140322903"/>
    <n v="14.176922276688197"/>
    <n v="30.71"/>
    <n v="138.70386191"/>
    <n v="138.70386191"/>
    <n v="55.467252160841653"/>
    <n v="24362"/>
    <n v="24276"/>
    <n v="19721.552056"/>
    <n v="19721.552056"/>
    <n v="42.912500000000001"/>
    <n v="148.8475"/>
    <n v="4200"/>
    <n v="1161"/>
    <n v="0"/>
  </r>
  <r>
    <x v="31"/>
    <n v="7"/>
    <m/>
    <n v="14.471496831769128"/>
    <n v="15.308122140322903"/>
    <n v="14.176922276688197"/>
    <n v="30.57"/>
    <n v="138.70386191"/>
    <n v="138.70386191"/>
    <n v="55.534263354084345"/>
    <n v="24359"/>
    <n v="24275"/>
    <n v="19721.552056"/>
    <n v="19721.552056"/>
    <n v="1.375"/>
    <n v="291.78750000000002"/>
    <n v="4200"/>
    <n v="1161"/>
    <n v="0"/>
  </r>
  <r>
    <x v="31"/>
    <n v="8"/>
    <m/>
    <n v="14.471496831769128"/>
    <n v="15.308122140322903"/>
    <n v="14.176922276688197"/>
    <n v="29.67"/>
    <n v="138.70386191"/>
    <n v="138.70386191"/>
    <n v="55.534263354084345"/>
    <n v="24356"/>
    <n v="24274"/>
    <n v="19721.552056"/>
    <n v="19721.552056"/>
    <n v="0.35"/>
    <n v="311.80250000000001"/>
    <n v="4200"/>
    <n v="1161"/>
    <n v="0"/>
  </r>
  <r>
    <x v="31"/>
    <n v="9"/>
    <m/>
    <n v="14.471496831769128"/>
    <n v="15.308122140322903"/>
    <n v="14.176922276688197"/>
    <n v="30.48"/>
    <n v="138.70386191"/>
    <n v="138.70386191"/>
    <n v="55.534263354084345"/>
    <n v="24353"/>
    <n v="24273"/>
    <n v="19721.552056"/>
    <n v="19721.552056"/>
    <n v="8.2974999999999994"/>
    <n v="230.68249999999998"/>
    <n v="4200"/>
    <n v="1161"/>
    <n v="0"/>
  </r>
  <r>
    <x v="31"/>
    <n v="10"/>
    <m/>
    <n v="14.471496831769128"/>
    <n v="15.308122140322903"/>
    <n v="14.176922276688197"/>
    <n v="29.67"/>
    <n v="138.70386191"/>
    <n v="138.70386191"/>
    <n v="55.525056998178378"/>
    <n v="24350"/>
    <n v="24272"/>
    <n v="19721.552056"/>
    <n v="19721.552056"/>
    <n v="129.8125"/>
    <n v="57.779999999999994"/>
    <n v="4200"/>
    <n v="1161"/>
    <n v="0"/>
  </r>
  <r>
    <x v="31"/>
    <n v="11"/>
    <m/>
    <n v="14.471496831769128"/>
    <n v="15.308122140322903"/>
    <n v="14.176922276688197"/>
    <n v="29.76"/>
    <n v="138.70386191"/>
    <n v="138.70386191"/>
    <n v="55.525056998178378"/>
    <n v="24347"/>
    <n v="24271"/>
    <n v="19721.552056"/>
    <n v="19721.552056"/>
    <n v="387.90500000000003"/>
    <n v="3.9299999999999997"/>
    <n v="4200"/>
    <n v="1161"/>
    <n v="0"/>
  </r>
  <r>
    <x v="31"/>
    <n v="12"/>
    <m/>
    <n v="14.471496831769128"/>
    <n v="15.308122140322903"/>
    <n v="14.176922276688197"/>
    <n v="31.38"/>
    <n v="138.70386191"/>
    <n v="138.70386191"/>
    <n v="55.525056998178378"/>
    <n v="24344"/>
    <n v="24270"/>
    <n v="19721.552056"/>
    <n v="19721.552056"/>
    <n v="681.89"/>
    <n v="0.1"/>
    <n v="4200"/>
    <n v="1161"/>
    <n v="0"/>
  </r>
  <r>
    <x v="32"/>
    <n v="1"/>
    <m/>
    <n v="14.833284252563356"/>
    <n v="15.614284583129361"/>
    <n v="14.460460722221962"/>
    <n v="32.71"/>
    <n v="138.88708321999999"/>
    <n v="138.88708321999999"/>
    <n v="55.617196333930664"/>
    <n v="24341"/>
    <n v="24269"/>
    <n v="20503.533918000001"/>
    <n v="20503.533918000001"/>
    <n v="918.70499999999993"/>
    <n v="0"/>
    <n v="4200"/>
    <n v="1161"/>
    <n v="0"/>
  </r>
  <r>
    <x v="32"/>
    <n v="2"/>
    <m/>
    <n v="14.833284252563356"/>
    <n v="15.614284583129361"/>
    <n v="14.460460722221962"/>
    <n v="29.81"/>
    <n v="138.88708321999999"/>
    <n v="138.88708321999999"/>
    <n v="55.617196333930664"/>
    <n v="24338"/>
    <n v="24268"/>
    <n v="20503.533918000001"/>
    <n v="20503.533918000001"/>
    <n v="796.85749999999996"/>
    <n v="0"/>
    <n v="4200"/>
    <n v="1161"/>
    <n v="0"/>
  </r>
  <r>
    <x v="32"/>
    <n v="3"/>
    <m/>
    <n v="14.833284252563356"/>
    <n v="15.614284583129361"/>
    <n v="14.460460722221962"/>
    <n v="30.33"/>
    <n v="138.88708321999999"/>
    <n v="138.88708321999999"/>
    <n v="55.617196333930664"/>
    <n v="24335"/>
    <n v="24267"/>
    <n v="20503.533918000001"/>
    <n v="20503.533918000001"/>
    <n v="645"/>
    <n v="0.32500000000000001"/>
    <n v="4200"/>
    <n v="1161"/>
    <n v="0"/>
  </r>
  <r>
    <x v="32"/>
    <n v="4"/>
    <m/>
    <n v="14.833284252563356"/>
    <n v="15.614284583129361"/>
    <n v="14.460460722221962"/>
    <n v="30.19"/>
    <n v="138.88708321999999"/>
    <n v="138.88708321999999"/>
    <n v="55.636026077689401"/>
    <n v="24332"/>
    <n v="24266"/>
    <n v="20503.533918000001"/>
    <n v="20503.533918000001"/>
    <n v="393.33749999999998"/>
    <n v="5.6325000000000003"/>
    <n v="4200"/>
    <n v="1161"/>
    <n v="0"/>
  </r>
  <r>
    <x v="32"/>
    <n v="5"/>
    <m/>
    <n v="14.833284252563356"/>
    <n v="15.614284583129361"/>
    <n v="14.460460722221962"/>
    <n v="30.14"/>
    <n v="138.88708321999999"/>
    <n v="138.88708321999999"/>
    <n v="55.636026077689401"/>
    <n v="24329"/>
    <n v="24265"/>
    <n v="20503.533918000001"/>
    <n v="20503.533918000001"/>
    <n v="170.59"/>
    <n v="35.347500000000004"/>
    <n v="4200"/>
    <n v="1161"/>
    <n v="0"/>
  </r>
  <r>
    <x v="32"/>
    <n v="6"/>
    <m/>
    <n v="14.833284252563356"/>
    <n v="15.614284583129361"/>
    <n v="14.460460722221962"/>
    <n v="30.67"/>
    <n v="138.88708321999999"/>
    <n v="138.88708321999999"/>
    <n v="55.636026077689401"/>
    <n v="24326"/>
    <n v="24264"/>
    <n v="20503.533918000001"/>
    <n v="20503.533918000001"/>
    <n v="42.912500000000001"/>
    <n v="148.8475"/>
    <n v="4200"/>
    <n v="1161"/>
    <n v="0"/>
  </r>
  <r>
    <x v="32"/>
    <n v="7"/>
    <m/>
    <n v="14.833284252563356"/>
    <n v="15.614284583129361"/>
    <n v="14.460460722221962"/>
    <n v="30.71"/>
    <n v="138.88708321999999"/>
    <n v="138.88708321999999"/>
    <n v="55.654359881627613"/>
    <n v="24323"/>
    <n v="24263"/>
    <n v="20503.533918000001"/>
    <n v="20503.533918000001"/>
    <n v="1.375"/>
    <n v="291.78750000000002"/>
    <n v="4200"/>
    <n v="1161"/>
    <n v="0"/>
  </r>
  <r>
    <x v="32"/>
    <n v="8"/>
    <m/>
    <n v="14.833284252563356"/>
    <n v="15.614284583129361"/>
    <n v="14.460460722221962"/>
    <n v="29.52"/>
    <n v="138.88708321999999"/>
    <n v="138.88708321999999"/>
    <n v="55.654359881627613"/>
    <n v="24320"/>
    <n v="24262"/>
    <n v="20503.533918000001"/>
    <n v="20503.533918000001"/>
    <n v="0.35"/>
    <n v="311.80250000000001"/>
    <n v="4200"/>
    <n v="1161"/>
    <n v="0"/>
  </r>
  <r>
    <x v="32"/>
    <n v="9"/>
    <m/>
    <n v="14.833284252563356"/>
    <n v="15.614284583129361"/>
    <n v="14.460460722221962"/>
    <n v="30.52"/>
    <n v="138.88708321999999"/>
    <n v="138.88708321999999"/>
    <n v="55.654359881627613"/>
    <n v="24317"/>
    <n v="24261"/>
    <n v="20503.533918000001"/>
    <n v="20503.533918000001"/>
    <n v="8.2974999999999994"/>
    <n v="230.68249999999998"/>
    <n v="4200"/>
    <n v="1161"/>
    <n v="0"/>
  </r>
  <r>
    <x v="32"/>
    <n v="10"/>
    <m/>
    <n v="14.833284252563356"/>
    <n v="15.614284583129361"/>
    <n v="14.460460722221962"/>
    <n v="29.62"/>
    <n v="138.88708321999999"/>
    <n v="138.88708321999999"/>
    <n v="55.674332904334314"/>
    <n v="24314"/>
    <n v="24260"/>
    <n v="20503.533918000001"/>
    <n v="20503.533918000001"/>
    <n v="129.8125"/>
    <n v="57.779999999999994"/>
    <n v="4200"/>
    <n v="1161"/>
    <n v="0"/>
  </r>
  <r>
    <x v="32"/>
    <n v="11"/>
    <m/>
    <n v="14.833284252563356"/>
    <n v="15.614284583129361"/>
    <n v="14.460460722221962"/>
    <n v="29.95"/>
    <n v="138.88708321999999"/>
    <n v="138.88708321999999"/>
    <n v="55.674332904334314"/>
    <n v="24311"/>
    <n v="24259"/>
    <n v="20503.533918000001"/>
    <n v="20503.533918000001"/>
    <n v="387.90500000000003"/>
    <n v="3.9299999999999997"/>
    <n v="4200"/>
    <n v="1161"/>
    <n v="0"/>
  </r>
  <r>
    <x v="32"/>
    <n v="12"/>
    <m/>
    <n v="14.833284252563356"/>
    <n v="15.614284583129361"/>
    <n v="14.460460722221962"/>
    <n v="32"/>
    <n v="138.88708321999999"/>
    <n v="138.88708321999999"/>
    <n v="55.674332904334314"/>
    <n v="24308"/>
    <n v="24258"/>
    <n v="20503.533918000001"/>
    <n v="20503.533918000001"/>
    <n v="681.89"/>
    <n v="0.1"/>
    <n v="4200"/>
    <n v="1161"/>
    <n v="0"/>
  </r>
  <r>
    <x v="33"/>
    <n v="1"/>
    <m/>
    <n v="15.204116358877437"/>
    <n v="15.926570274791949"/>
    <n v="14.7496699366664"/>
    <n v="31.9"/>
    <n v="139.05809106999999"/>
    <n v="139.05809106999999"/>
    <n v="55.76183503604372"/>
    <n v="24305"/>
    <n v="24257"/>
    <n v="21351.38031"/>
    <n v="21351.38031"/>
    <n v="918.70499999999993"/>
    <n v="0"/>
    <n v="4200"/>
    <n v="1161"/>
    <n v="0"/>
  </r>
  <r>
    <x v="33"/>
    <n v="2"/>
    <m/>
    <n v="15.204116358877437"/>
    <n v="15.926570274791949"/>
    <n v="14.7496699366664"/>
    <n v="31.29"/>
    <n v="139.05809106999999"/>
    <n v="139.05809106999999"/>
    <n v="55.76183503604372"/>
    <n v="24302"/>
    <n v="24256"/>
    <n v="21351.38031"/>
    <n v="21351.38031"/>
    <n v="796.85749999999996"/>
    <n v="0"/>
    <n v="4200"/>
    <n v="1161"/>
    <n v="0"/>
  </r>
  <r>
    <x v="33"/>
    <n v="3"/>
    <m/>
    <n v="15.204116358877437"/>
    <n v="15.926570274791949"/>
    <n v="14.7496699366664"/>
    <n v="30.33"/>
    <n v="139.05809106999999"/>
    <n v="139.05809106999999"/>
    <n v="55.76183503604372"/>
    <n v="24299"/>
    <n v="24255"/>
    <n v="21351.38031"/>
    <n v="21351.38031"/>
    <n v="645"/>
    <n v="0.32500000000000001"/>
    <n v="4200"/>
    <n v="1161"/>
    <n v="0"/>
  </r>
  <r>
    <x v="33"/>
    <n v="4"/>
    <m/>
    <n v="15.204116358877437"/>
    <n v="15.926570274791949"/>
    <n v="14.7496699366664"/>
    <n v="30.65"/>
    <n v="139.05809106999999"/>
    <n v="139.05809106999999"/>
    <n v="55.781694383028743"/>
    <n v="24296"/>
    <n v="24254"/>
    <n v="21351.38031"/>
    <n v="21351.38031"/>
    <n v="393.33749999999998"/>
    <n v="5.6325000000000003"/>
    <n v="4200"/>
    <n v="1161"/>
    <n v="0"/>
  </r>
  <r>
    <x v="33"/>
    <n v="5"/>
    <m/>
    <n v="15.204116358877437"/>
    <n v="15.926570274791949"/>
    <n v="14.7496699366664"/>
    <n v="29.71"/>
    <n v="139.05809106999999"/>
    <n v="139.05809106999999"/>
    <n v="55.781694383028743"/>
    <n v="24293"/>
    <n v="24253"/>
    <n v="21351.38031"/>
    <n v="21351.38031"/>
    <n v="170.59"/>
    <n v="35.347500000000004"/>
    <n v="4200"/>
    <n v="1161"/>
    <n v="0"/>
  </r>
  <r>
    <x v="33"/>
    <n v="6"/>
    <m/>
    <n v="15.204116358877437"/>
    <n v="15.926570274791949"/>
    <n v="14.7496699366664"/>
    <n v="30.62"/>
    <n v="139.05809106999999"/>
    <n v="139.05809106999999"/>
    <n v="55.781694383028743"/>
    <n v="24290"/>
    <n v="24252"/>
    <n v="21351.38031"/>
    <n v="21351.38031"/>
    <n v="42.912500000000001"/>
    <n v="148.8475"/>
    <n v="4200"/>
    <n v="1161"/>
    <n v="0"/>
  </r>
  <r>
    <x v="33"/>
    <n v="7"/>
    <m/>
    <n v="15.204116358877437"/>
    <n v="15.926570274791949"/>
    <n v="14.7496699366664"/>
    <n v="30.81"/>
    <n v="139.05809106999999"/>
    <n v="139.05809106999999"/>
    <n v="55.852308418814481"/>
    <n v="24287"/>
    <n v="24251"/>
    <n v="21351.38031"/>
    <n v="21351.38031"/>
    <n v="1.375"/>
    <n v="291.78750000000002"/>
    <n v="4200"/>
    <n v="1161"/>
    <n v="0"/>
  </r>
  <r>
    <x v="33"/>
    <n v="8"/>
    <m/>
    <n v="15.204116358877437"/>
    <n v="15.926570274791949"/>
    <n v="14.7496699366664"/>
    <n v="29.43"/>
    <n v="139.05809106999999"/>
    <n v="139.05809106999999"/>
    <n v="55.852308418814481"/>
    <n v="24284"/>
    <n v="24250"/>
    <n v="21351.38031"/>
    <n v="21351.38031"/>
    <n v="0.35"/>
    <n v="311.80250000000001"/>
    <n v="4200"/>
    <n v="1161"/>
    <n v="0"/>
  </r>
  <r>
    <x v="33"/>
    <n v="9"/>
    <m/>
    <n v="15.204116358877437"/>
    <n v="15.926570274791949"/>
    <n v="14.7496699366664"/>
    <n v="30.57"/>
    <n v="139.05809106999999"/>
    <n v="139.05809106999999"/>
    <n v="55.852308418814481"/>
    <n v="24281"/>
    <n v="24249"/>
    <n v="21351.38031"/>
    <n v="21351.38031"/>
    <n v="8.2974999999999994"/>
    <n v="230.68249999999998"/>
    <n v="4200"/>
    <n v="1161"/>
    <n v="0"/>
  </r>
  <r>
    <x v="33"/>
    <n v="10"/>
    <m/>
    <n v="15.204116358877437"/>
    <n v="15.926570274791949"/>
    <n v="14.7496699366664"/>
    <n v="29.67"/>
    <n v="139.05809106999999"/>
    <n v="139.05809106999999"/>
    <n v="55.84427777713428"/>
    <n v="24278"/>
    <n v="24248"/>
    <n v="21351.38031"/>
    <n v="21351.38031"/>
    <n v="129.8125"/>
    <n v="57.779999999999994"/>
    <n v="4200"/>
    <n v="1161"/>
    <n v="0"/>
  </r>
  <r>
    <x v="33"/>
    <n v="11"/>
    <m/>
    <n v="15.204116358877437"/>
    <n v="15.926570274791949"/>
    <n v="14.7496699366664"/>
    <n v="29.05"/>
    <n v="139.05809106999999"/>
    <n v="139.05809106999999"/>
    <n v="55.84427777713428"/>
    <n v="24275"/>
    <n v="24247"/>
    <n v="21351.38031"/>
    <n v="21351.38031"/>
    <n v="387.90500000000003"/>
    <n v="3.9299999999999997"/>
    <n v="4200"/>
    <n v="1161"/>
    <n v="0"/>
  </r>
  <r>
    <x v="33"/>
    <n v="12"/>
    <m/>
    <n v="15.204116358877437"/>
    <n v="15.926570274791949"/>
    <n v="14.7496699366664"/>
    <n v="31"/>
    <n v="139.05809106999999"/>
    <n v="139.05809106999999"/>
    <n v="55.84427777713428"/>
    <n v="24272"/>
    <n v="24246"/>
    <n v="21351.38031"/>
    <n v="21351.38031"/>
    <n v="681.89"/>
    <n v="0.1"/>
    <n v="4200"/>
    <n v="1161"/>
    <n v="0"/>
  </r>
  <r>
    <x v="34"/>
    <n v="1"/>
    <m/>
    <n v="15.584219267849372"/>
    <n v="16.245101680287789"/>
    <n v="15.044663335399729"/>
    <n v="32.33"/>
    <n v="139.23675015999999"/>
    <n v="139.23675015999999"/>
    <n v="55.931836266288336"/>
    <n v="24269"/>
    <n v="24245"/>
    <n v="22201.104655999996"/>
    <n v="22201.104655999996"/>
    <n v="918.70499999999993"/>
    <n v="0"/>
    <n v="4200"/>
    <n v="1161"/>
    <n v="0"/>
  </r>
  <r>
    <x v="34"/>
    <n v="2"/>
    <m/>
    <n v="15.584219267849372"/>
    <n v="16.245101680287789"/>
    <n v="15.044663335399729"/>
    <n v="29.86"/>
    <n v="139.23675015999999"/>
    <n v="139.23675015999999"/>
    <n v="55.931836266288336"/>
    <n v="24266"/>
    <n v="24244"/>
    <n v="22201.104655999996"/>
    <n v="22201.104655999996"/>
    <n v="796.85749999999996"/>
    <n v="0"/>
    <n v="4200"/>
    <n v="1161"/>
    <n v="0"/>
  </r>
  <r>
    <x v="34"/>
    <n v="3"/>
    <m/>
    <n v="15.584219267849372"/>
    <n v="16.245101680287789"/>
    <n v="15.044663335399729"/>
    <n v="30.76"/>
    <n v="139.23675015999999"/>
    <n v="139.23675015999999"/>
    <n v="55.931836266288336"/>
    <n v="24263"/>
    <n v="24243"/>
    <n v="22201.104655999996"/>
    <n v="22201.104655999996"/>
    <n v="645"/>
    <n v="0.32500000000000001"/>
    <n v="4200"/>
    <n v="1161"/>
    <n v="0"/>
  </r>
  <r>
    <x v="34"/>
    <n v="4"/>
    <m/>
    <n v="15.584219267849372"/>
    <n v="16.245101680287789"/>
    <n v="15.044663335399729"/>
    <n v="30.38"/>
    <n v="139.23675015999999"/>
    <n v="139.23675015999999"/>
    <n v="55.947715494917645"/>
    <n v="24260"/>
    <n v="24242"/>
    <n v="22201.104655999996"/>
    <n v="22201.104655999996"/>
    <n v="393.33749999999998"/>
    <n v="5.6325000000000003"/>
    <n v="4200"/>
    <n v="1161"/>
    <n v="0"/>
  </r>
  <r>
    <x v="34"/>
    <n v="5"/>
    <m/>
    <n v="15.584219267849372"/>
    <n v="16.245101680287789"/>
    <n v="15.044663335399729"/>
    <n v="29.52"/>
    <n v="139.23675015999999"/>
    <n v="139.23675015999999"/>
    <n v="55.947715494917645"/>
    <n v="24257"/>
    <n v="24241"/>
    <n v="22201.104655999996"/>
    <n v="22201.104655999996"/>
    <n v="170.59"/>
    <n v="35.347500000000004"/>
    <n v="4200"/>
    <n v="1161"/>
    <n v="0"/>
  </r>
  <r>
    <x v="34"/>
    <n v="6"/>
    <m/>
    <n v="15.584219267849372"/>
    <n v="16.245101680287789"/>
    <n v="15.044663335399729"/>
    <n v="30.62"/>
    <n v="139.23675015999999"/>
    <n v="139.23675015999999"/>
    <n v="55.947715494917645"/>
    <n v="24254"/>
    <n v="24240"/>
    <n v="22201.104655999996"/>
    <n v="22201.104655999996"/>
    <n v="42.912500000000001"/>
    <n v="148.8475"/>
    <n v="4200"/>
    <n v="1161"/>
    <n v="0"/>
  </r>
  <r>
    <x v="34"/>
    <n v="7"/>
    <m/>
    <n v="15.584219267849372"/>
    <n v="16.245101680287789"/>
    <n v="15.044663335399729"/>
    <n v="30.76"/>
    <n v="139.23675015999999"/>
    <n v="139.23675015999999"/>
    <n v="55.963488764315429"/>
    <n v="24251"/>
    <n v="24239"/>
    <n v="22201.104655999996"/>
    <n v="22201.104655999996"/>
    <n v="1.375"/>
    <n v="291.78750000000002"/>
    <n v="4200"/>
    <n v="1161"/>
    <n v="0"/>
  </r>
  <r>
    <x v="34"/>
    <n v="8"/>
    <m/>
    <n v="15.584219267849372"/>
    <n v="16.245101680287789"/>
    <n v="15.044663335399729"/>
    <n v="29.48"/>
    <n v="139.23675015999999"/>
    <n v="139.23675015999999"/>
    <n v="55.963488764315429"/>
    <n v="24248"/>
    <n v="24238"/>
    <n v="22201.104655999996"/>
    <n v="22201.104655999996"/>
    <n v="0.35"/>
    <n v="311.80250000000001"/>
    <n v="4200"/>
    <n v="1161"/>
    <n v="0"/>
  </r>
  <r>
    <x v="34"/>
    <n v="9"/>
    <m/>
    <n v="15.584219267849372"/>
    <n v="16.245101680287789"/>
    <n v="15.044663335399729"/>
    <n v="30.57"/>
    <n v="139.23675015999999"/>
    <n v="139.23675015999999"/>
    <n v="55.963488764315429"/>
    <n v="24245"/>
    <n v="24237"/>
    <n v="22201.104655999996"/>
    <n v="22201.104655999996"/>
    <n v="8.2974999999999994"/>
    <n v="230.68249999999998"/>
    <n v="4200"/>
    <n v="1161"/>
    <n v="0"/>
  </r>
  <r>
    <x v="34"/>
    <n v="10"/>
    <m/>
    <n v="15.584219267849372"/>
    <n v="16.245101680287789"/>
    <n v="15.044663335399729"/>
    <n v="29.67"/>
    <n v="139.23675015999999"/>
    <n v="139.23675015999999"/>
    <n v="55.979858844140516"/>
    <n v="24242"/>
    <n v="24236"/>
    <n v="22201.104655999996"/>
    <n v="22201.104655999996"/>
    <n v="129.8125"/>
    <n v="57.779999999999994"/>
    <n v="4200"/>
    <n v="1161"/>
    <n v="0"/>
  </r>
  <r>
    <x v="34"/>
    <n v="11"/>
    <m/>
    <n v="15.584219267849372"/>
    <n v="16.245101680287789"/>
    <n v="15.044663335399729"/>
    <n v="29.95"/>
    <n v="139.23675015999999"/>
    <n v="139.23675015999999"/>
    <n v="55.979858844140516"/>
    <n v="24239"/>
    <n v="24235"/>
    <n v="22201.104655999996"/>
    <n v="22201.104655999996"/>
    <n v="387.90500000000003"/>
    <n v="3.9299999999999997"/>
    <n v="4200"/>
    <n v="1161"/>
    <n v="0"/>
  </r>
  <r>
    <x v="34"/>
    <n v="12"/>
    <m/>
    <n v="15.584219267849372"/>
    <n v="16.245101680287789"/>
    <n v="15.044663335399729"/>
    <n v="31.38"/>
    <n v="139.23675015999999"/>
    <n v="139.23675015999999"/>
    <n v="55.979858844140516"/>
    <n v="24236"/>
    <n v="24234"/>
    <n v="22201.104655999996"/>
    <n v="22201.104655999996"/>
    <n v="681.89"/>
    <n v="0.1"/>
    <n v="4200"/>
    <n v="1161"/>
    <n v="0"/>
  </r>
  <r>
    <x v="35"/>
    <n v="1"/>
    <m/>
    <n v="15.973824749545606"/>
    <n v="16.570003713893545"/>
    <n v="15.345556602107724"/>
    <n v="32.43"/>
    <n v="139.40802972"/>
    <n v="139.40802972"/>
    <n v="56.066162303005989"/>
    <n v="24233"/>
    <n v="24233"/>
    <n v="23110.083704000001"/>
    <n v="23110.083704000001"/>
    <n v="918.70499999999993"/>
    <n v="0"/>
    <n v="4200"/>
    <n v="1161"/>
    <n v="0"/>
  </r>
  <r>
    <x v="35"/>
    <n v="2"/>
    <m/>
    <n v="15.973824749545606"/>
    <n v="16.570003713893545"/>
    <n v="15.345556602107724"/>
    <n v="29.9"/>
    <n v="139.40802972"/>
    <n v="139.40802972"/>
    <n v="56.066162303005989"/>
    <n v="24230"/>
    <n v="24232"/>
    <n v="23110.083704000001"/>
    <n v="23110.083704000001"/>
    <n v="796.85749999999996"/>
    <n v="0"/>
    <n v="4200"/>
    <n v="1161"/>
    <n v="0"/>
  </r>
  <r>
    <x v="35"/>
    <n v="3"/>
    <m/>
    <n v="15.973824749545606"/>
    <n v="16.570003713893545"/>
    <n v="15.345556602107724"/>
    <n v="30.33"/>
    <n v="139.40802972"/>
    <n v="139.40802972"/>
    <n v="56.066162303005989"/>
    <n v="24227"/>
    <n v="24231"/>
    <n v="23110.083704000001"/>
    <n v="23110.083704000001"/>
    <n v="645"/>
    <n v="0.32500000000000001"/>
    <n v="4200"/>
    <n v="1161"/>
    <n v="0"/>
  </r>
  <r>
    <x v="35"/>
    <n v="4"/>
    <m/>
    <n v="15.973824749545606"/>
    <n v="16.570003713893545"/>
    <n v="15.345556602107724"/>
    <n v="30.29"/>
    <n v="139.40802972"/>
    <n v="139.40802972"/>
    <n v="56.082281378105314"/>
    <n v="24224"/>
    <n v="24230"/>
    <n v="23110.083704000001"/>
    <n v="23110.083704000001"/>
    <n v="393.33749999999998"/>
    <n v="5.6325000000000003"/>
    <n v="4200"/>
    <n v="1161"/>
    <n v="0"/>
  </r>
  <r>
    <x v="35"/>
    <n v="5"/>
    <m/>
    <n v="15.973824749545606"/>
    <n v="16.570003713893545"/>
    <n v="15.345556602107724"/>
    <n v="30.05"/>
    <n v="139.40802972"/>
    <n v="139.40802972"/>
    <n v="56.082281378105314"/>
    <n v="24221"/>
    <n v="24229"/>
    <n v="23110.083704000001"/>
    <n v="23110.083704000001"/>
    <n v="170.59"/>
    <n v="35.347500000000004"/>
    <n v="4200"/>
    <n v="1161"/>
    <n v="0"/>
  </r>
  <r>
    <x v="35"/>
    <n v="6"/>
    <m/>
    <n v="15.973824749545606"/>
    <n v="16.570003713893545"/>
    <n v="15.345556602107724"/>
    <n v="30.67"/>
    <n v="139.40802972"/>
    <n v="139.40802972"/>
    <n v="56.082281378105314"/>
    <n v="24218"/>
    <n v="24228"/>
    <n v="23110.083704000001"/>
    <n v="23110.083704000001"/>
    <n v="42.912500000000001"/>
    <n v="148.8475"/>
    <n v="4200"/>
    <n v="1161"/>
    <n v="0"/>
  </r>
  <r>
    <x v="35"/>
    <n v="7"/>
    <m/>
    <n v="15.973824749545606"/>
    <n v="16.570003713893545"/>
    <n v="15.345556602107724"/>
    <n v="30.62"/>
    <n v="139.40802972"/>
    <n v="139.40802972"/>
    <n v="56.098223299861921"/>
    <n v="24215"/>
    <n v="24227"/>
    <n v="23110.083704000001"/>
    <n v="23110.083704000001"/>
    <n v="1.375"/>
    <n v="291.78750000000002"/>
    <n v="4200"/>
    <n v="1161"/>
    <n v="0"/>
  </r>
  <r>
    <x v="35"/>
    <n v="8"/>
    <m/>
    <n v="15.973824749545606"/>
    <n v="16.570003713893545"/>
    <n v="15.345556602107724"/>
    <n v="29.52"/>
    <n v="139.40802972"/>
    <n v="139.40802972"/>
    <n v="56.098223299861921"/>
    <n v="24212"/>
    <n v="24226"/>
    <n v="23110.083704000001"/>
    <n v="23110.083704000001"/>
    <n v="0.35"/>
    <n v="311.80250000000001"/>
    <n v="4200"/>
    <n v="1161"/>
    <n v="0"/>
  </r>
  <r>
    <x v="35"/>
    <n v="9"/>
    <m/>
    <n v="15.973824749545606"/>
    <n v="16.570003713893545"/>
    <n v="15.345556602107724"/>
    <n v="30.71"/>
    <n v="139.40802972"/>
    <n v="139.40802972"/>
    <n v="56.098223299861921"/>
    <n v="24209"/>
    <n v="24225"/>
    <n v="23110.083704000001"/>
    <n v="23110.083704000001"/>
    <n v="8.2974999999999994"/>
    <n v="230.68249999999998"/>
    <n v="4200"/>
    <n v="1161"/>
    <n v="0"/>
  </r>
  <r>
    <x v="35"/>
    <n v="10"/>
    <m/>
    <n v="15.973824749545606"/>
    <n v="16.570003713893545"/>
    <n v="15.345556602107724"/>
    <n v="29.52"/>
    <n v="139.40802972"/>
    <n v="139.40802972"/>
    <n v="56.113735198306337"/>
    <n v="24206"/>
    <n v="24224"/>
    <n v="23110.083704000001"/>
    <n v="23110.083704000001"/>
    <n v="129.8125"/>
    <n v="57.779999999999994"/>
    <n v="4200"/>
    <n v="1161"/>
    <n v="0"/>
  </r>
  <r>
    <x v="35"/>
    <n v="11"/>
    <m/>
    <n v="15.973824749545606"/>
    <n v="16.570003713893545"/>
    <n v="15.345556602107724"/>
    <n v="29.38"/>
    <n v="139.40802972"/>
    <n v="139.40802972"/>
    <n v="56.113735198306337"/>
    <n v="24203"/>
    <n v="24223"/>
    <n v="23110.083704000001"/>
    <n v="23110.083704000001"/>
    <n v="387.90500000000003"/>
    <n v="3.9299999999999997"/>
    <n v="4200"/>
    <n v="1161"/>
    <n v="0"/>
  </r>
  <r>
    <x v="35"/>
    <n v="12"/>
    <m/>
    <n v="15.973824749545606"/>
    <n v="16.570003713893545"/>
    <n v="15.345556602107724"/>
    <n v="32.81"/>
    <n v="139.40802972"/>
    <n v="139.40802972"/>
    <n v="56.113735198306337"/>
    <n v="24200"/>
    <n v="24222"/>
    <n v="23110.083704000001"/>
    <n v="23110.083704000001"/>
    <n v="681.89"/>
    <n v="0.1"/>
    <n v="4200"/>
    <n v="1161"/>
    <n v="0"/>
  </r>
  <r>
    <x v="36"/>
    <n v="1"/>
    <m/>
    <n v="16.373170368284246"/>
    <n v="16.901403788171415"/>
    <n v="15.652467734149878"/>
    <n v="32.43"/>
    <n v="139.55054196999998"/>
    <n v="139.55054196999998"/>
    <n v="56.231485221243297"/>
    <n v="24197"/>
    <n v="24221"/>
    <n v="24037.998131999997"/>
    <n v="24037.998131999997"/>
    <n v="918.70499999999993"/>
    <n v="0"/>
    <n v="4200"/>
    <n v="1161"/>
    <n v="0"/>
  </r>
  <r>
    <x v="36"/>
    <n v="2"/>
    <m/>
    <n v="16.373170368284246"/>
    <n v="16.901403788171415"/>
    <n v="15.652467734149878"/>
    <n v="29.9"/>
    <n v="139.55054196999998"/>
    <n v="139.55054196999998"/>
    <n v="56.231485221243297"/>
    <n v="24194"/>
    <n v="24220"/>
    <n v="24037.998131999997"/>
    <n v="24037.998131999997"/>
    <n v="796.85749999999996"/>
    <n v="0"/>
    <n v="4200"/>
    <n v="1161"/>
    <n v="0"/>
  </r>
  <r>
    <x v="36"/>
    <n v="3"/>
    <m/>
    <n v="16.373170368284246"/>
    <n v="16.901403788171415"/>
    <n v="15.652467734149878"/>
    <n v="30.33"/>
    <n v="139.55054196999998"/>
    <n v="139.55054196999998"/>
    <n v="56.231485221243297"/>
    <n v="24191"/>
    <n v="24219"/>
    <n v="24037.998131999997"/>
    <n v="24037.998131999997"/>
    <n v="645"/>
    <n v="0.32500000000000001"/>
    <n v="4200"/>
    <n v="1161"/>
    <n v="0"/>
  </r>
  <r>
    <x v="36"/>
    <n v="4"/>
    <m/>
    <n v="16.373170368284246"/>
    <n v="16.901403788171415"/>
    <n v="15.652467734149878"/>
    <n v="30.29"/>
    <n v="139.55054196999998"/>
    <n v="139.55054196999998"/>
    <n v="56.225288093662172"/>
    <n v="24188"/>
    <n v="24218"/>
    <n v="24037.998131999997"/>
    <n v="24037.998131999997"/>
    <n v="393.33749999999998"/>
    <n v="5.6325000000000003"/>
    <n v="4200"/>
    <n v="1161"/>
    <n v="0"/>
  </r>
  <r>
    <x v="36"/>
    <n v="5"/>
    <m/>
    <n v="16.373170368284246"/>
    <n v="16.901403788171415"/>
    <n v="15.652467734149878"/>
    <n v="30.05"/>
    <n v="139.55054196999998"/>
    <n v="139.55054196999998"/>
    <n v="56.225288093662172"/>
    <n v="24185"/>
    <n v="24217"/>
    <n v="24037.998131999997"/>
    <n v="24037.998131999997"/>
    <n v="170.59"/>
    <n v="35.347500000000004"/>
    <n v="4200"/>
    <n v="1161"/>
    <n v="0"/>
  </r>
  <r>
    <x v="36"/>
    <n v="6"/>
    <m/>
    <n v="16.373170368284246"/>
    <n v="16.901403788171415"/>
    <n v="15.652467734149878"/>
    <n v="30.67"/>
    <n v="139.55054196999998"/>
    <n v="139.55054196999998"/>
    <n v="56.225288093662172"/>
    <n v="24182"/>
    <n v="24216"/>
    <n v="24037.998131999997"/>
    <n v="24037.998131999997"/>
    <n v="42.912500000000001"/>
    <n v="148.8475"/>
    <n v="4200"/>
    <n v="1161"/>
    <n v="0"/>
  </r>
  <r>
    <x v="36"/>
    <n v="7"/>
    <m/>
    <n v="16.373170368284246"/>
    <n v="16.901403788171415"/>
    <n v="15.652467734149878"/>
    <n v="30.62"/>
    <n v="139.55054196999998"/>
    <n v="139.55054196999998"/>
    <n v="56.233148117645847"/>
    <n v="24179"/>
    <n v="24215"/>
    <n v="24037.998131999997"/>
    <n v="24037.998131999997"/>
    <n v="1.375"/>
    <n v="291.78750000000002"/>
    <n v="4200"/>
    <n v="1161"/>
    <n v="0"/>
  </r>
  <r>
    <x v="36"/>
    <n v="8"/>
    <m/>
    <n v="16.373170368284246"/>
    <n v="16.901403788171415"/>
    <n v="15.652467734149878"/>
    <n v="29.52"/>
    <n v="139.55054196999998"/>
    <n v="139.55054196999998"/>
    <n v="56.233148117645847"/>
    <n v="24176"/>
    <n v="24214"/>
    <n v="24037.998131999997"/>
    <n v="24037.998131999997"/>
    <n v="0.35"/>
    <n v="311.80250000000001"/>
    <n v="4200"/>
    <n v="1161"/>
    <n v="0"/>
  </r>
  <r>
    <x v="36"/>
    <n v="9"/>
    <m/>
    <n v="16.373170368284246"/>
    <n v="16.901403788171415"/>
    <n v="15.652467734149878"/>
    <n v="30.71"/>
    <n v="139.55054196999998"/>
    <n v="139.55054196999998"/>
    <n v="56.233148117645847"/>
    <n v="24173"/>
    <n v="24213"/>
    <n v="24037.998131999997"/>
    <n v="24037.998131999997"/>
    <n v="8.2974999999999994"/>
    <n v="230.68249999999998"/>
    <n v="4200"/>
    <n v="1161"/>
    <n v="0"/>
  </r>
  <r>
    <x v="36"/>
    <n v="10"/>
    <m/>
    <n v="16.373170368284246"/>
    <n v="16.901403788171415"/>
    <n v="15.652467734149878"/>
    <n v="29.52"/>
    <n v="139.55054196999998"/>
    <n v="139.55054196999998"/>
    <n v="56.24040667936039"/>
    <n v="24170"/>
    <n v="24212"/>
    <n v="24037.998131999997"/>
    <n v="24037.998131999997"/>
    <n v="129.8125"/>
    <n v="57.779999999999994"/>
    <n v="4200"/>
    <n v="1161"/>
    <n v="0"/>
  </r>
  <r>
    <x v="36"/>
    <n v="11"/>
    <m/>
    <n v="16.373170368284246"/>
    <n v="16.901403788171415"/>
    <n v="15.652467734149878"/>
    <n v="29.38"/>
    <n v="139.55054196999998"/>
    <n v="139.55054196999998"/>
    <n v="56.24040667936039"/>
    <n v="24167"/>
    <n v="24211"/>
    <n v="24037.998131999997"/>
    <n v="24037.998131999997"/>
    <n v="387.90500000000003"/>
    <n v="3.9299999999999997"/>
    <n v="4200"/>
    <n v="1161"/>
    <n v="0"/>
  </r>
  <r>
    <x v="36"/>
    <n v="12"/>
    <m/>
    <n v="16.373170368284246"/>
    <n v="16.901403788171415"/>
    <n v="15.652467734149878"/>
    <n v="32.81"/>
    <n v="139.55054196999998"/>
    <n v="139.55054196999998"/>
    <n v="56.24040667936039"/>
    <n v="24164"/>
    <n v="24210"/>
    <n v="24037.998131999997"/>
    <n v="24037.998131999997"/>
    <n v="681.89"/>
    <n v="0.1"/>
    <n v="4200"/>
    <n v="1161"/>
    <n v="0"/>
  </r>
  <r>
    <x v="37"/>
    <n v="1"/>
    <m/>
    <n v="16.782499627491351"/>
    <n v="17.239431863934843"/>
    <n v="15.965517088832875"/>
    <n v="32.43"/>
    <n v="139.64615723"/>
    <n v="139.64615723"/>
    <n v="56.28712330862696"/>
    <n v="24161"/>
    <n v="24209"/>
    <n v="25003.170113746608"/>
    <n v="25003.170113746608"/>
    <n v="918.70499999999993"/>
    <n v="0"/>
    <n v="4200"/>
    <n v="1161"/>
    <n v="0"/>
  </r>
  <r>
    <x v="37"/>
    <n v="2"/>
    <m/>
    <n v="16.782499627491351"/>
    <n v="17.239431863934843"/>
    <n v="15.965517088832875"/>
    <n v="29.9"/>
    <n v="139.64615723"/>
    <n v="139.64615723"/>
    <n v="56.28712330862696"/>
    <n v="24158"/>
    <n v="24208"/>
    <n v="25003.170113746608"/>
    <n v="25003.170113746608"/>
    <n v="796.85749999999996"/>
    <n v="0"/>
    <n v="4200"/>
    <n v="1161"/>
    <n v="0"/>
  </r>
  <r>
    <x v="37"/>
    <n v="3"/>
    <m/>
    <n v="16.782499627491351"/>
    <n v="17.239431863934843"/>
    <n v="15.965517088832875"/>
    <n v="30.33"/>
    <n v="139.64615723"/>
    <n v="139.64615723"/>
    <n v="56.28712330862696"/>
    <n v="24155"/>
    <n v="24207"/>
    <n v="25003.170113746608"/>
    <n v="25003.170113746608"/>
    <n v="645"/>
    <n v="0.32500000000000001"/>
    <n v="4200"/>
    <n v="1161"/>
    <n v="0"/>
  </r>
  <r>
    <x v="37"/>
    <n v="4"/>
    <m/>
    <n v="16.782499627491351"/>
    <n v="17.239431863934843"/>
    <n v="15.965517088832875"/>
    <n v="30.29"/>
    <n v="139.64615723"/>
    <n v="139.64615723"/>
    <n v="56.29657141794857"/>
    <n v="24152"/>
    <n v="24206"/>
    <n v="25003.170113746608"/>
    <n v="25003.170113746608"/>
    <n v="393.33749999999998"/>
    <n v="5.6325000000000003"/>
    <n v="4200"/>
    <n v="1161"/>
    <n v="0"/>
  </r>
  <r>
    <x v="37"/>
    <n v="5"/>
    <m/>
    <n v="16.782499627491351"/>
    <n v="17.239431863934843"/>
    <n v="15.965517088832875"/>
    <n v="30.05"/>
    <n v="139.64615723"/>
    <n v="139.64615723"/>
    <n v="56.29657141794857"/>
    <n v="24149"/>
    <n v="24205"/>
    <n v="25003.170113746608"/>
    <n v="25003.170113746608"/>
    <n v="170.59"/>
    <n v="35.347500000000004"/>
    <n v="4200"/>
    <n v="1161"/>
    <n v="0"/>
  </r>
  <r>
    <x v="37"/>
    <n v="6"/>
    <m/>
    <n v="16.782499627491351"/>
    <n v="17.239431863934843"/>
    <n v="15.965517088832875"/>
    <n v="30.67"/>
    <n v="139.64615723"/>
    <n v="139.64615723"/>
    <n v="56.29657141794857"/>
    <n v="24146"/>
    <n v="24204"/>
    <n v="25003.170113746608"/>
    <n v="25003.170113746608"/>
    <n v="42.912500000000001"/>
    <n v="148.8475"/>
    <n v="4200"/>
    <n v="1161"/>
    <n v="0"/>
  </r>
  <r>
    <x v="37"/>
    <n v="7"/>
    <m/>
    <n v="16.782499627491351"/>
    <n v="17.239431863934843"/>
    <n v="15.965517088832875"/>
    <n v="30.62"/>
    <n v="139.64615723"/>
    <n v="139.64615723"/>
    <n v="56.305279881211469"/>
    <n v="24143"/>
    <n v="24203"/>
    <n v="25003.170113746608"/>
    <n v="25003.170113746608"/>
    <n v="1.375"/>
    <n v="291.78750000000002"/>
    <n v="4200"/>
    <n v="1161"/>
    <n v="0"/>
  </r>
  <r>
    <x v="37"/>
    <n v="8"/>
    <m/>
    <n v="16.782499627491351"/>
    <n v="17.239431863934843"/>
    <n v="15.965517088832875"/>
    <n v="29.52"/>
    <n v="139.64615723"/>
    <n v="139.64615723"/>
    <n v="56.305279881211469"/>
    <n v="24140"/>
    <n v="24202"/>
    <n v="25003.170113746608"/>
    <n v="25003.170113746608"/>
    <n v="0.35"/>
    <n v="311.80250000000001"/>
    <n v="4200"/>
    <n v="1161"/>
    <n v="0"/>
  </r>
  <r>
    <x v="37"/>
    <n v="9"/>
    <m/>
    <n v="16.782499627491351"/>
    <n v="17.239431863934843"/>
    <n v="15.965517088832875"/>
    <n v="30.71"/>
    <n v="139.64615723"/>
    <n v="139.64615723"/>
    <n v="56.305279881211469"/>
    <n v="24137"/>
    <n v="24201"/>
    <n v="25003.170113746608"/>
    <n v="25003.170113746608"/>
    <n v="8.2974999999999994"/>
    <n v="230.68249999999998"/>
    <n v="4200"/>
    <n v="1161"/>
    <n v="0"/>
  </r>
  <r>
    <x v="37"/>
    <n v="10"/>
    <m/>
    <n v="16.782499627491351"/>
    <n v="17.239431863934843"/>
    <n v="15.965517088832875"/>
    <n v="29.52"/>
    <n v="139.64615723"/>
    <n v="139.64615723"/>
    <n v="56.313952610674917"/>
    <n v="24134"/>
    <n v="24200"/>
    <n v="25003.170113746608"/>
    <n v="25003.170113746608"/>
    <n v="129.8125"/>
    <n v="57.779999999999994"/>
    <n v="4200"/>
    <n v="1161"/>
    <n v="0"/>
  </r>
  <r>
    <x v="37"/>
    <n v="11"/>
    <m/>
    <n v="16.782499627491351"/>
    <n v="17.239431863934843"/>
    <n v="15.965517088832875"/>
    <n v="29.38"/>
    <n v="139.64615723"/>
    <n v="139.64615723"/>
    <n v="56.313952610674917"/>
    <n v="24131"/>
    <n v="24199"/>
    <n v="25003.170113746608"/>
    <n v="25003.170113746608"/>
    <n v="387.90500000000003"/>
    <n v="3.9299999999999997"/>
    <n v="4200"/>
    <n v="1161"/>
    <n v="0"/>
  </r>
  <r>
    <x v="37"/>
    <n v="12"/>
    <m/>
    <n v="16.782499627491351"/>
    <n v="17.239431863934843"/>
    <n v="15.965517088832875"/>
    <n v="32.81"/>
    <n v="139.64615723"/>
    <n v="139.64615723"/>
    <n v="56.313952610674917"/>
    <n v="24128"/>
    <n v="24198"/>
    <n v="25003.170113746608"/>
    <n v="25003.170113746608"/>
    <n v="681.89"/>
    <n v="0.1"/>
    <n v="4200"/>
    <n v="1161"/>
    <n v="0"/>
  </r>
  <r>
    <x v="38"/>
    <n v="1"/>
    <m/>
    <n v="17.202062118178635"/>
    <n v="17.58422050121354"/>
    <n v="16.284827430609532"/>
    <n v="32.43"/>
    <n v="139.74177249000002"/>
    <n v="139.74177249000002"/>
    <n v="56.360341222940619"/>
    <n v="24125"/>
    <n v="24197"/>
    <n v="26007.095611873126"/>
    <n v="26007.095611873126"/>
    <n v="918.70499999999993"/>
    <n v="0"/>
    <n v="4200"/>
    <n v="1161"/>
    <n v="0"/>
  </r>
  <r>
    <x v="38"/>
    <n v="2"/>
    <m/>
    <n v="17.202062118178635"/>
    <n v="17.58422050121354"/>
    <n v="16.284827430609532"/>
    <n v="29.9"/>
    <n v="139.74177249000002"/>
    <n v="139.74177249000002"/>
    <n v="56.360341222940619"/>
    <n v="24122"/>
    <n v="24196"/>
    <n v="26007.095611873126"/>
    <n v="26007.095611873126"/>
    <n v="796.85749999999996"/>
    <n v="0"/>
    <n v="4200"/>
    <n v="1161"/>
    <n v="0"/>
  </r>
  <r>
    <x v="38"/>
    <n v="3"/>
    <m/>
    <n v="17.202062118178635"/>
    <n v="17.58422050121354"/>
    <n v="16.284827430609532"/>
    <n v="30.33"/>
    <n v="139.74177249000002"/>
    <n v="139.74177249000002"/>
    <n v="56.360341222940619"/>
    <n v="24119"/>
    <n v="24195"/>
    <n v="26007.095611873126"/>
    <n v="26007.095611873126"/>
    <n v="645"/>
    <n v="0.32500000000000001"/>
    <n v="4200"/>
    <n v="1161"/>
    <n v="0"/>
  </r>
  <r>
    <x v="38"/>
    <n v="4"/>
    <m/>
    <n v="17.202062118178635"/>
    <n v="17.58422050121354"/>
    <n v="16.284827430609532"/>
    <n v="30.29"/>
    <n v="139.74177249000002"/>
    <n v="139.74177249000002"/>
    <n v="56.371727342339497"/>
    <n v="24116"/>
    <n v="24194"/>
    <n v="26007.095611873126"/>
    <n v="26007.095611873126"/>
    <n v="393.33749999999998"/>
    <n v="5.6325000000000003"/>
    <n v="4200"/>
    <n v="1161"/>
    <n v="0"/>
  </r>
  <r>
    <x v="38"/>
    <n v="5"/>
    <m/>
    <n v="17.202062118178635"/>
    <n v="17.58422050121354"/>
    <n v="16.284827430609532"/>
    <n v="30.05"/>
    <n v="139.74177249000002"/>
    <n v="139.74177249000002"/>
    <n v="56.371727342339497"/>
    <n v="24113"/>
    <n v="24193"/>
    <n v="26007.095611873126"/>
    <n v="26007.095611873126"/>
    <n v="170.59"/>
    <n v="35.347500000000004"/>
    <n v="4200"/>
    <n v="1161"/>
    <n v="0"/>
  </r>
  <r>
    <x v="38"/>
    <n v="6"/>
    <m/>
    <n v="17.202062118178635"/>
    <n v="17.58422050121354"/>
    <n v="16.284827430609532"/>
    <n v="30.67"/>
    <n v="139.74177249000002"/>
    <n v="139.74177249000002"/>
    <n v="56.371727342339497"/>
    <n v="24110"/>
    <n v="24192"/>
    <n v="26007.095611873126"/>
    <n v="26007.095611873126"/>
    <n v="42.912500000000001"/>
    <n v="148.8475"/>
    <n v="4200"/>
    <n v="1161"/>
    <n v="0"/>
  </r>
  <r>
    <x v="38"/>
    <n v="7"/>
    <m/>
    <n v="17.202062118178635"/>
    <n v="17.58422050121354"/>
    <n v="16.284827430609532"/>
    <n v="30.62"/>
    <n v="139.74177249000002"/>
    <n v="139.74177249000002"/>
    <n v="56.382442479883373"/>
    <n v="24107"/>
    <n v="24191"/>
    <n v="26007.095611873126"/>
    <n v="26007.095611873126"/>
    <n v="1.375"/>
    <n v="291.78750000000002"/>
    <n v="4200"/>
    <n v="1161"/>
    <n v="0"/>
  </r>
  <r>
    <x v="38"/>
    <n v="8"/>
    <m/>
    <n v="17.202062118178635"/>
    <n v="17.58422050121354"/>
    <n v="16.284827430609532"/>
    <n v="29.52"/>
    <n v="139.74177249000002"/>
    <n v="139.74177249000002"/>
    <n v="56.382442479883373"/>
    <n v="24104"/>
    <n v="24190"/>
    <n v="26007.095611873126"/>
    <n v="26007.095611873126"/>
    <n v="0.35"/>
    <n v="311.80250000000001"/>
    <n v="4200"/>
    <n v="1161"/>
    <n v="0"/>
  </r>
  <r>
    <x v="38"/>
    <n v="9"/>
    <m/>
    <n v="17.202062118178635"/>
    <n v="17.58422050121354"/>
    <n v="16.284827430609532"/>
    <n v="30.71"/>
    <n v="139.74177249000002"/>
    <n v="139.74177249000002"/>
    <n v="56.382442479883373"/>
    <n v="24101"/>
    <n v="24189"/>
    <n v="26007.095611873126"/>
    <n v="26007.095611873126"/>
    <n v="8.2974999999999994"/>
    <n v="230.68249999999998"/>
    <n v="4200"/>
    <n v="1161"/>
    <n v="0"/>
  </r>
  <r>
    <x v="38"/>
    <n v="10"/>
    <m/>
    <n v="17.202062118178635"/>
    <n v="17.58422050121354"/>
    <n v="16.284827430609532"/>
    <n v="29.52"/>
    <n v="139.74177249000002"/>
    <n v="139.74177249000002"/>
    <n v="56.392767327176983"/>
    <n v="24098"/>
    <n v="24188"/>
    <n v="26007.095611873126"/>
    <n v="26007.095611873126"/>
    <n v="129.8125"/>
    <n v="57.779999999999994"/>
    <n v="4200"/>
    <n v="1161"/>
    <n v="0"/>
  </r>
  <r>
    <x v="38"/>
    <n v="11"/>
    <m/>
    <n v="17.202062118178635"/>
    <n v="17.58422050121354"/>
    <n v="16.284827430609532"/>
    <n v="29.38"/>
    <n v="139.74177249000002"/>
    <n v="139.74177249000002"/>
    <n v="56.392767327176983"/>
    <n v="24095"/>
    <n v="24187"/>
    <n v="26007.095611873126"/>
    <n v="26007.095611873126"/>
    <n v="387.90500000000003"/>
    <n v="3.9299999999999997"/>
    <n v="4200"/>
    <n v="1161"/>
    <n v="0"/>
  </r>
  <r>
    <x v="38"/>
    <n v="12"/>
    <m/>
    <n v="17.202062118178635"/>
    <n v="17.58422050121354"/>
    <n v="16.284827430609532"/>
    <n v="32.81"/>
    <n v="139.74177249000002"/>
    <n v="139.74177249000002"/>
    <n v="56.392767327176983"/>
    <n v="24092"/>
    <n v="24186"/>
    <n v="26007.095611873126"/>
    <n v="26007.095611873126"/>
    <n v="681.89"/>
    <n v="0.1"/>
    <n v="4200"/>
    <n v="1161"/>
    <n v="0"/>
  </r>
  <r>
    <x v="39"/>
    <n v="1"/>
    <m/>
    <n v="17.632113671133098"/>
    <n v="17.935904911237813"/>
    <n v="16.610523979221721"/>
    <n v="32.43"/>
    <n v="139.84"/>
    <n v="139.84"/>
    <n v="56.440495933639134"/>
    <n v="24089"/>
    <n v="24185"/>
    <n v="26010.095611873101"/>
    <n v="26010.095611873101"/>
    <n v="918.70499999999993"/>
    <n v="0"/>
    <n v="4200"/>
    <n v="1161"/>
    <n v="0"/>
  </r>
  <r>
    <x v="39"/>
    <n v="2"/>
    <m/>
    <n v="17.632113671133098"/>
    <n v="17.935904911237813"/>
    <n v="16.610523979221721"/>
    <n v="29.9"/>
    <n v="139.84"/>
    <n v="139.84"/>
    <n v="56.440495933639134"/>
    <n v="24086"/>
    <n v="24184"/>
    <n v="26010.095611873101"/>
    <n v="26010.095611873101"/>
    <n v="796.85749999999996"/>
    <n v="0"/>
    <n v="4200"/>
    <n v="1161"/>
    <n v="0"/>
  </r>
  <r>
    <x v="39"/>
    <n v="3"/>
    <m/>
    <n v="17.632113671133098"/>
    <n v="17.935904911237813"/>
    <n v="16.610523979221721"/>
    <n v="30.33"/>
    <n v="139.84"/>
    <n v="139.84"/>
    <n v="56.440495933639134"/>
    <n v="24083"/>
    <n v="24183"/>
    <n v="26010.095611873101"/>
    <n v="26010.095611873101"/>
    <n v="645"/>
    <n v="0.32500000000000001"/>
    <n v="4200"/>
    <n v="1161"/>
    <n v="0"/>
  </r>
  <r>
    <x v="39"/>
    <n v="4"/>
    <m/>
    <n v="17.632113671133098"/>
    <n v="17.935904911237813"/>
    <n v="16.610523979221721"/>
    <n v="30.29"/>
    <n v="139.84"/>
    <n v="139.84"/>
    <n v="56.450384286693101"/>
    <n v="24080"/>
    <n v="24182"/>
    <n v="26010.095611873101"/>
    <n v="26010.095611873101"/>
    <n v="393.33749999999998"/>
    <n v="5.6325000000000003"/>
    <n v="4200"/>
    <n v="1161"/>
    <n v="0"/>
  </r>
  <r>
    <x v="39"/>
    <n v="5"/>
    <m/>
    <n v="17.632113671133098"/>
    <n v="17.935904911237813"/>
    <n v="16.610523979221721"/>
    <n v="30.05"/>
    <n v="139.84"/>
    <n v="139.84"/>
    <n v="56.450384286693101"/>
    <n v="24077"/>
    <n v="24181"/>
    <n v="26010.095611873101"/>
    <n v="26010.095611873101"/>
    <n v="170.59"/>
    <n v="35.347500000000004"/>
    <n v="4200"/>
    <n v="1161"/>
    <n v="0"/>
  </r>
  <r>
    <x v="39"/>
    <n v="6"/>
    <m/>
    <n v="17.632113671133098"/>
    <n v="17.935904911237813"/>
    <n v="16.610523979221721"/>
    <n v="30.67"/>
    <n v="139.84"/>
    <n v="139.84"/>
    <n v="56.450384286693101"/>
    <n v="24074"/>
    <n v="24180"/>
    <n v="26010.095611873101"/>
    <n v="26010.095611873101"/>
    <n v="42.912500000000001"/>
    <n v="148.8475"/>
    <n v="4200"/>
    <n v="1161"/>
    <n v="0"/>
  </r>
  <r>
    <x v="39"/>
    <n v="7"/>
    <m/>
    <n v="17.632113671133098"/>
    <n v="17.935904911237813"/>
    <n v="16.610523979221721"/>
    <n v="30.62"/>
    <n v="139.84"/>
    <n v="139.84"/>
    <n v="56.459906782178663"/>
    <n v="24071"/>
    <n v="24179"/>
    <n v="26010.095611873101"/>
    <n v="26010.095611873101"/>
    <n v="1.375"/>
    <n v="291.78750000000002"/>
    <n v="4200"/>
    <n v="1161"/>
    <n v="0"/>
  </r>
  <r>
    <x v="39"/>
    <n v="8"/>
    <m/>
    <n v="17.632113671133098"/>
    <n v="17.935904911237813"/>
    <n v="16.610523979221721"/>
    <n v="29.52"/>
    <n v="139.84"/>
    <n v="139.84"/>
    <n v="56.459906782178663"/>
    <n v="24068"/>
    <n v="24178"/>
    <n v="26010.095611873101"/>
    <n v="26010.095611873101"/>
    <n v="0.35"/>
    <n v="311.80250000000001"/>
    <n v="4200"/>
    <n v="1161"/>
    <n v="0"/>
  </r>
  <r>
    <x v="39"/>
    <n v="9"/>
    <m/>
    <n v="17.632113671133098"/>
    <n v="17.935904911237813"/>
    <n v="16.610523979221721"/>
    <n v="30.71"/>
    <n v="139.84"/>
    <n v="139.84"/>
    <n v="56.459906782178663"/>
    <n v="24065"/>
    <n v="24177"/>
    <n v="26010.095611873101"/>
    <n v="26010.095611873101"/>
    <n v="8.2974999999999994"/>
    <n v="230.68249999999998"/>
    <n v="4200"/>
    <n v="1161"/>
    <n v="0"/>
  </r>
  <r>
    <x v="39"/>
    <n v="10"/>
    <m/>
    <n v="17.632113671133098"/>
    <n v="17.935904911237813"/>
    <n v="16.610523979221721"/>
    <n v="29.52"/>
    <n v="139.84"/>
    <n v="139.84"/>
    <n v="56.470342302783557"/>
    <n v="24062"/>
    <n v="24176"/>
    <n v="26010.095611873101"/>
    <n v="26010.095611873101"/>
    <n v="129.8125"/>
    <n v="57.779999999999994"/>
    <n v="4200"/>
    <n v="1161"/>
    <n v="0"/>
  </r>
  <r>
    <x v="39"/>
    <n v="11"/>
    <m/>
    <n v="17.632113671133098"/>
    <n v="17.935904911237813"/>
    <n v="16.610523979221721"/>
    <n v="29.38"/>
    <n v="139.84"/>
    <n v="139.84"/>
    <n v="56.470342302783557"/>
    <n v="24059"/>
    <n v="24175"/>
    <n v="26010.095611873101"/>
    <n v="26010.095611873101"/>
    <n v="387.90500000000003"/>
    <n v="3.9299999999999997"/>
    <n v="4200"/>
    <n v="1161"/>
    <n v="0"/>
  </r>
  <r>
    <x v="39"/>
    <n v="12"/>
    <m/>
    <n v="17.632113671133098"/>
    <n v="17.935904911237813"/>
    <n v="16.610523979221721"/>
    <n v="32.81"/>
    <n v="139.84"/>
    <n v="139.84"/>
    <n v="56.470342302783557"/>
    <n v="24056"/>
    <n v="24174"/>
    <n v="26010.095611873101"/>
    <n v="26010.095611873101"/>
    <n v="681.89"/>
    <n v="0.1"/>
    <n v="4200"/>
    <n v="1161"/>
    <n v="0"/>
  </r>
  <r>
    <x v="40"/>
    <n v="1"/>
    <m/>
    <n v="18.072916512911423"/>
    <n v="18.294623009462569"/>
    <n v="16.942734458806157"/>
    <n v="32.43"/>
    <n v="140.54"/>
    <n v="140.54"/>
    <n v="56.774206394221629"/>
    <n v="24053"/>
    <n v="24173"/>
    <n v="26010.095611873101"/>
    <n v="26010.095611873101"/>
    <n v="918.70499999999993"/>
    <n v="0"/>
    <n v="4200"/>
    <n v="1161"/>
    <n v="0"/>
  </r>
  <r>
    <x v="40"/>
    <n v="2"/>
    <m/>
    <n v="18.072916512911423"/>
    <n v="18.294623009462569"/>
    <n v="16.942734458806157"/>
    <n v="29.9"/>
    <n v="140.54"/>
    <n v="140.54"/>
    <n v="56.774206394221629"/>
    <n v="24050"/>
    <n v="24172"/>
    <n v="26010.095611873101"/>
    <n v="26010.095611873101"/>
    <n v="796.85749999999996"/>
    <n v="0"/>
    <n v="4200"/>
    <n v="1161"/>
    <n v="0"/>
  </r>
  <r>
    <x v="40"/>
    <n v="3"/>
    <m/>
    <n v="18.072916512911423"/>
    <n v="18.294623009462569"/>
    <n v="16.942734458806157"/>
    <n v="30.33"/>
    <n v="140.54"/>
    <n v="140.54"/>
    <n v="56.774206394221629"/>
    <n v="24047"/>
    <n v="24171"/>
    <n v="26010.095611873101"/>
    <n v="26010.095611873101"/>
    <n v="645"/>
    <n v="0.32500000000000001"/>
    <n v="4200"/>
    <n v="1161"/>
    <n v="0"/>
  </r>
  <r>
    <x v="40"/>
    <n v="4"/>
    <m/>
    <n v="18.072916512911423"/>
    <n v="18.294623009462569"/>
    <n v="16.942734458806157"/>
    <n v="30.29"/>
    <n v="140.54"/>
    <n v="140.54"/>
    <n v="56.789365963468306"/>
    <n v="24044"/>
    <n v="24170"/>
    <n v="26010.095611873101"/>
    <n v="26010.095611873101"/>
    <n v="393.33749999999998"/>
    <n v="5.6325000000000003"/>
    <n v="4200"/>
    <n v="1161"/>
    <n v="0"/>
  </r>
  <r>
    <x v="40"/>
    <n v="5"/>
    <m/>
    <n v="18.072916512911423"/>
    <n v="18.294623009462569"/>
    <n v="16.942734458806157"/>
    <n v="30.05"/>
    <n v="140.54"/>
    <n v="140.54"/>
    <n v="56.789365963468306"/>
    <n v="24041"/>
    <n v="24169"/>
    <n v="26010.095611873101"/>
    <n v="26010.095611873101"/>
    <n v="170.59"/>
    <n v="35.347500000000004"/>
    <n v="4200"/>
    <n v="1161"/>
    <n v="0"/>
  </r>
  <r>
    <x v="40"/>
    <n v="6"/>
    <m/>
    <n v="18.072916512911423"/>
    <n v="18.294623009462569"/>
    <n v="16.942734458806157"/>
    <n v="30.67"/>
    <n v="140.54"/>
    <n v="140.54"/>
    <n v="56.789365963468306"/>
    <n v="24038"/>
    <n v="24168"/>
    <n v="26010.095611873101"/>
    <n v="26010.095611873101"/>
    <n v="42.912500000000001"/>
    <n v="148.8475"/>
    <n v="4200"/>
    <n v="1161"/>
    <n v="0"/>
  </r>
  <r>
    <x v="40"/>
    <n v="7"/>
    <m/>
    <n v="18.072916512911423"/>
    <n v="18.294623009462569"/>
    <n v="16.942734458806157"/>
    <n v="30.62"/>
    <n v="140.54"/>
    <n v="140.54"/>
    <n v="56.804508310589377"/>
    <n v="24035"/>
    <n v="24167"/>
    <n v="26010.095611873101"/>
    <n v="26010.095611873101"/>
    <n v="1.375"/>
    <n v="291.78750000000002"/>
    <n v="4200"/>
    <n v="1161"/>
    <n v="0"/>
  </r>
  <r>
    <x v="40"/>
    <n v="8"/>
    <m/>
    <n v="18.072916512911423"/>
    <n v="18.294623009462569"/>
    <n v="16.942734458806157"/>
    <n v="29.52"/>
    <n v="140.54"/>
    <n v="140.54"/>
    <n v="56.804508310589377"/>
    <n v="24032"/>
    <n v="24166"/>
    <n v="26010.095611873101"/>
    <n v="26010.095611873101"/>
    <n v="0.35"/>
    <n v="311.80250000000001"/>
    <n v="4200"/>
    <n v="1161"/>
    <n v="0"/>
  </r>
  <r>
    <x v="40"/>
    <n v="9"/>
    <m/>
    <n v="18.072916512911423"/>
    <n v="18.294623009462569"/>
    <n v="16.942734458806157"/>
    <n v="30.71"/>
    <n v="140.54"/>
    <n v="140.54"/>
    <n v="56.804508310589377"/>
    <n v="24029"/>
    <n v="24165"/>
    <n v="26010.095611873101"/>
    <n v="26010.095611873101"/>
    <n v="8.2974999999999994"/>
    <n v="230.68249999999998"/>
    <n v="4200"/>
    <n v="1161"/>
    <n v="0"/>
  </r>
  <r>
    <x v="40"/>
    <n v="10"/>
    <m/>
    <n v="18.072916512911423"/>
    <n v="18.294623009462569"/>
    <n v="16.942734458806157"/>
    <n v="29.52"/>
    <n v="140.54"/>
    <n v="140.54"/>
    <n v="56.820479986063098"/>
    <n v="24026"/>
    <n v="24164"/>
    <n v="26010.095611873101"/>
    <n v="26010.095611873101"/>
    <n v="129.8125"/>
    <n v="57.779999999999994"/>
    <n v="4200"/>
    <n v="1161"/>
    <n v="0"/>
  </r>
  <r>
    <x v="40"/>
    <n v="11"/>
    <m/>
    <n v="18.072916512911423"/>
    <n v="18.294623009462569"/>
    <n v="16.942734458806157"/>
    <n v="29.38"/>
    <n v="140.54"/>
    <n v="140.54"/>
    <n v="56.820479986063098"/>
    <n v="24023"/>
    <n v="24163"/>
    <n v="26010.095611873101"/>
    <n v="26010.095611873101"/>
    <n v="387.90500000000003"/>
    <n v="3.9299999999999997"/>
    <n v="4200"/>
    <n v="1161"/>
    <n v="0"/>
  </r>
  <r>
    <x v="40"/>
    <n v="12"/>
    <m/>
    <n v="18.072916512911423"/>
    <n v="18.294623009462569"/>
    <n v="16.942734458806157"/>
    <n v="32.81"/>
    <n v="140.54"/>
    <n v="140.54"/>
    <n v="56.820479986063098"/>
    <n v="24020"/>
    <n v="24162"/>
    <n v="26010.095611873101"/>
    <n v="26010.095611873101"/>
    <n v="681.89"/>
    <n v="0.1"/>
    <n v="4200"/>
    <n v="1161"/>
    <n v="0"/>
  </r>
  <r>
    <x v="41"/>
    <n v="1"/>
    <m/>
    <n v="18.524739425734207"/>
    <n v="18.66051546965182"/>
    <n v="17.281589147982281"/>
    <n v="32.43"/>
    <n v="141.24350400457664"/>
    <n v="141.24350400457664"/>
    <n v="56.047160312110741"/>
    <n v="24017.053800489852"/>
    <n v="24161"/>
    <n v="26634.337906558056"/>
    <n v="26634.337906558056"/>
    <n v="918.70499999999993"/>
    <n v="0"/>
    <n v="4200"/>
    <n v="1161"/>
    <n v="0"/>
  </r>
  <r>
    <x v="41"/>
    <n v="2"/>
    <m/>
    <n v="18.524739425734207"/>
    <n v="18.66051546965182"/>
    <n v="17.281589147982281"/>
    <n v="29.9"/>
    <n v="141.24350400457664"/>
    <n v="141.24350400457664"/>
    <n v="56.047160312110741"/>
    <n v="24014.0538071909"/>
    <n v="24160"/>
    <n v="26634.337906558056"/>
    <n v="26634.337906558056"/>
    <n v="796.85749999999996"/>
    <n v="0"/>
    <n v="4200"/>
    <n v="1161"/>
    <n v="0"/>
  </r>
  <r>
    <x v="41"/>
    <n v="3"/>
    <m/>
    <n v="18.524739425734207"/>
    <n v="18.66051546965182"/>
    <n v="17.281589147982281"/>
    <n v="30.33"/>
    <n v="141.24350400457664"/>
    <n v="141.24350400457664"/>
    <n v="56.047160312110741"/>
    <n v="24011.053813893617"/>
    <n v="24159"/>
    <n v="26634.337906558056"/>
    <n v="26634.337906558056"/>
    <n v="645"/>
    <n v="0.32500000000000001"/>
    <n v="4200"/>
    <n v="1161"/>
    <n v="0"/>
  </r>
  <r>
    <x v="41"/>
    <n v="4"/>
    <m/>
    <n v="18.524739425734207"/>
    <n v="18.66051546965182"/>
    <n v="17.281589147982281"/>
    <n v="30.29"/>
    <n v="141.24350400457664"/>
    <n v="141.24350400457664"/>
    <n v="56.068175571021079"/>
    <n v="24008.053820598005"/>
    <n v="24158"/>
    <n v="26634.337906558056"/>
    <n v="26634.337906558056"/>
    <n v="393.33749999999998"/>
    <n v="5.6325000000000003"/>
    <n v="4200"/>
    <n v="1161"/>
    <n v="0"/>
  </r>
  <r>
    <x v="41"/>
    <n v="5"/>
    <m/>
    <n v="18.524739425734207"/>
    <n v="18.66051546965182"/>
    <n v="17.281589147982281"/>
    <n v="30.05"/>
    <n v="141.24350400457664"/>
    <n v="141.24350400457664"/>
    <n v="56.068175571021079"/>
    <n v="24005.053827304066"/>
    <n v="24157"/>
    <n v="26634.337906558056"/>
    <n v="26634.337906558056"/>
    <n v="170.59"/>
    <n v="35.347500000000004"/>
    <n v="4200"/>
    <n v="1161"/>
    <n v="0"/>
  </r>
  <r>
    <x v="41"/>
    <n v="6"/>
    <m/>
    <n v="18.524739425734207"/>
    <n v="18.66051546965182"/>
    <n v="17.281589147982281"/>
    <n v="30.67"/>
    <n v="141.24350400457664"/>
    <n v="141.24350400457664"/>
    <n v="56.068175571021079"/>
    <n v="24002.053834011793"/>
    <n v="24156"/>
    <n v="26634.337906558056"/>
    <n v="26634.337906558056"/>
    <n v="42.912500000000001"/>
    <n v="148.8475"/>
    <n v="4200"/>
    <n v="1161"/>
    <n v="0"/>
  </r>
  <r>
    <x v="41"/>
    <n v="7"/>
    <m/>
    <n v="18.524739425734207"/>
    <n v="18.66051546965182"/>
    <n v="17.281589147982281"/>
    <n v="30.62"/>
    <n v="141.24350400457664"/>
    <n v="141.24350400457664"/>
    <n v="56.08320399254012"/>
    <n v="23999.053840721197"/>
    <n v="24155"/>
    <n v="26634.337906558056"/>
    <n v="26634.337906558056"/>
    <n v="1.375"/>
    <n v="291.78750000000002"/>
    <n v="4200"/>
    <n v="1161"/>
    <n v="0"/>
  </r>
  <r>
    <x v="41"/>
    <n v="8"/>
    <m/>
    <n v="18.524739425734207"/>
    <n v="18.66051546965182"/>
    <n v="17.281589147982281"/>
    <n v="29.52"/>
    <n v="141.24350400457664"/>
    <n v="141.24350400457664"/>
    <n v="56.08320399254012"/>
    <n v="23996.053847432275"/>
    <n v="24154"/>
    <n v="26634.337906558056"/>
    <n v="26634.337906558056"/>
    <n v="0.35"/>
    <n v="311.80250000000001"/>
    <n v="4200"/>
    <n v="1161"/>
    <n v="0"/>
  </r>
  <r>
    <x v="41"/>
    <n v="9"/>
    <m/>
    <n v="18.524739425734207"/>
    <n v="18.66051546965182"/>
    <n v="17.281589147982281"/>
    <n v="30.71"/>
    <n v="141.24350400457664"/>
    <n v="141.24350400457664"/>
    <n v="56.08320399254012"/>
    <n v="23993.053854145026"/>
    <n v="24153"/>
    <n v="26634.337906558056"/>
    <n v="26634.337906558056"/>
    <n v="8.2974999999999994"/>
    <n v="230.68249999999998"/>
    <n v="4200"/>
    <n v="1161"/>
    <n v="0"/>
  </r>
  <r>
    <x v="41"/>
    <n v="10"/>
    <m/>
    <n v="18.524739425734207"/>
    <n v="18.66051546965182"/>
    <n v="17.281589147982281"/>
    <n v="29.52"/>
    <n v="141.24350400457664"/>
    <n v="141.24350400457664"/>
    <n v="56.098236577903634"/>
    <n v="23990.053860859447"/>
    <n v="24152"/>
    <n v="26634.337906558056"/>
    <n v="26634.337906558056"/>
    <n v="129.8125"/>
    <n v="57.779999999999994"/>
    <n v="4200"/>
    <n v="1161"/>
    <n v="0"/>
  </r>
  <r>
    <x v="41"/>
    <n v="11"/>
    <m/>
    <n v="18.524739425734207"/>
    <n v="18.66051546965182"/>
    <n v="17.281589147982281"/>
    <n v="29.38"/>
    <n v="141.24350400457664"/>
    <n v="141.24350400457664"/>
    <n v="56.098236577903634"/>
    <n v="23987.053867575542"/>
    <n v="24151"/>
    <n v="26634.337906558056"/>
    <n v="26634.337906558056"/>
    <n v="387.90500000000003"/>
    <n v="3.9299999999999997"/>
    <n v="4200"/>
    <n v="1161"/>
    <n v="0"/>
  </r>
  <r>
    <x v="41"/>
    <n v="12"/>
    <m/>
    <n v="18.524739425734207"/>
    <n v="18.66051546965182"/>
    <n v="17.281589147982281"/>
    <n v="32.81"/>
    <n v="141.24350400457664"/>
    <n v="141.24350400457664"/>
    <n v="56.098236577903634"/>
    <n v="23984.053874293317"/>
    <n v="24150"/>
    <n v="26634.337906558056"/>
    <n v="26634.337906558056"/>
    <n v="681.89"/>
    <n v="0.1"/>
    <n v="4200"/>
    <n v="1161"/>
    <n v="0"/>
  </r>
  <r>
    <x v="42"/>
    <n v="1"/>
    <m/>
    <m/>
    <m/>
    <n v="17.627220930941927"/>
    <n v="32.43"/>
    <n v="141.95052955379862"/>
    <n v="141.95052955379862"/>
    <n v="56.379048688920022"/>
    <n v="23981.161321066978"/>
    <n v="24149"/>
    <n v="27273.562016315449"/>
    <n v="27273.562016315449"/>
    <n v="918.70499999999993"/>
    <n v="0"/>
    <n v="4200"/>
    <n v="1161"/>
    <n v="0"/>
  </r>
  <r>
    <x v="42"/>
    <n v="2"/>
    <m/>
    <m/>
    <m/>
    <n v="17.627220930941927"/>
    <n v="29.9"/>
    <n v="141.95052955379862"/>
    <n v="141.95052955379862"/>
    <n v="56.379048688920022"/>
    <n v="23978.161341150095"/>
    <n v="24148"/>
    <n v="27273.562016315449"/>
    <n v="27273.562016315449"/>
    <n v="796.85749999999996"/>
    <n v="0"/>
    <n v="4200"/>
    <n v="1161"/>
    <n v="0"/>
  </r>
  <r>
    <x v="42"/>
    <n v="3"/>
    <m/>
    <m/>
    <m/>
    <n v="17.627220930941927"/>
    <n v="30.33"/>
    <n v="141.95052955379862"/>
    <n v="141.95052955379862"/>
    <n v="56.379048688920022"/>
    <n v="23975.16136123821"/>
    <n v="24147"/>
    <n v="27273.562016315449"/>
    <n v="27273.562016315449"/>
    <n v="645"/>
    <n v="0.32500000000000001"/>
    <n v="4200"/>
    <n v="1161"/>
    <n v="0"/>
  </r>
  <r>
    <x v="42"/>
    <n v="4"/>
    <m/>
    <m/>
    <m/>
    <n v="17.627220930941927"/>
    <n v="30.29"/>
    <n v="141.95052955379862"/>
    <n v="141.95052955379862"/>
    <n v="56.379048688920022"/>
    <n v="23972.161381331331"/>
    <n v="24146"/>
    <n v="27273.562016315449"/>
    <n v="27273.562016315449"/>
    <n v="393.33749999999998"/>
    <n v="5.6325000000000003"/>
    <n v="4200"/>
    <n v="1161"/>
    <n v="0"/>
  </r>
  <r>
    <x v="42"/>
    <n v="5"/>
    <m/>
    <m/>
    <m/>
    <n v="17.627220930941927"/>
    <n v="30.05"/>
    <n v="141.95052955379862"/>
    <n v="141.95052955379862"/>
    <n v="56.379048688920022"/>
    <n v="23969.161401429457"/>
    <n v="24145"/>
    <n v="27273.562016315449"/>
    <n v="27273.562016315449"/>
    <n v="170.59"/>
    <n v="35.347500000000004"/>
    <n v="4200"/>
    <n v="1161"/>
    <n v="0"/>
  </r>
  <r>
    <x v="42"/>
    <n v="6"/>
    <m/>
    <m/>
    <m/>
    <n v="17.627220930941927"/>
    <n v="30.67"/>
    <n v="141.95052955379862"/>
    <n v="141.95052955379862"/>
    <n v="56.379048688920022"/>
    <n v="23966.161421532583"/>
    <n v="24144"/>
    <n v="27273.562016315449"/>
    <n v="27273.562016315449"/>
    <n v="42.912500000000001"/>
    <n v="148.8475"/>
    <n v="4200"/>
    <n v="1161"/>
    <n v="0"/>
  </r>
  <r>
    <x v="42"/>
    <n v="7"/>
    <m/>
    <m/>
    <m/>
    <n v="17.627220930941927"/>
    <n v="30.62"/>
    <n v="141.95052955379862"/>
    <n v="141.95052955379862"/>
    <n v="56.379048688920022"/>
    <n v="23963.161441640725"/>
    <n v="24143"/>
    <n v="27273.562016315449"/>
    <n v="27273.562016315449"/>
    <n v="1.375"/>
    <n v="291.78750000000002"/>
    <n v="4200"/>
    <n v="1161"/>
    <n v="0"/>
  </r>
  <r>
    <x v="42"/>
    <n v="8"/>
    <m/>
    <m/>
    <m/>
    <n v="17.627220930941927"/>
    <n v="29.52"/>
    <n v="141.95052955379862"/>
    <n v="141.95052955379862"/>
    <n v="56.379048688920022"/>
    <n v="23960.161461753883"/>
    <n v="24142"/>
    <n v="27273.562016315449"/>
    <n v="27273.562016315449"/>
    <n v="0.35"/>
    <n v="311.80250000000001"/>
    <n v="4200"/>
    <n v="1161"/>
    <n v="0"/>
  </r>
  <r>
    <x v="42"/>
    <n v="9"/>
    <m/>
    <m/>
    <m/>
    <n v="17.627220930941927"/>
    <n v="30.71"/>
    <n v="141.95052955379862"/>
    <n v="141.95052955379862"/>
    <n v="56.379048688920022"/>
    <n v="23957.161481872052"/>
    <n v="24141"/>
    <n v="27273.562016315449"/>
    <n v="27273.562016315449"/>
    <n v="8.2974999999999994"/>
    <n v="230.68249999999998"/>
    <n v="4200"/>
    <n v="1161"/>
    <n v="0"/>
  </r>
  <r>
    <x v="42"/>
    <n v="10"/>
    <m/>
    <m/>
    <m/>
    <n v="17.627220930941927"/>
    <n v="29.52"/>
    <n v="141.95052955379862"/>
    <n v="141.95052955379862"/>
    <n v="56.379048688920022"/>
    <n v="23954.161501995226"/>
    <n v="24140"/>
    <n v="27273.562016315449"/>
    <n v="27273.562016315449"/>
    <n v="129.8125"/>
    <n v="57.779999999999994"/>
    <n v="4200"/>
    <n v="1161"/>
    <n v="0"/>
  </r>
  <r>
    <x v="42"/>
    <n v="11"/>
    <m/>
    <m/>
    <m/>
    <n v="17.627220930941927"/>
    <n v="29.38"/>
    <n v="141.95052955379862"/>
    <n v="141.95052955379862"/>
    <n v="56.379048688920022"/>
    <n v="23951.161522123413"/>
    <n v="24139"/>
    <n v="27273.562016315449"/>
    <n v="27273.562016315449"/>
    <n v="387.90500000000003"/>
    <n v="3.9299999999999997"/>
    <n v="4200"/>
    <n v="1161"/>
    <n v="0"/>
  </r>
  <r>
    <x v="42"/>
    <n v="12"/>
    <m/>
    <m/>
    <m/>
    <n v="17.627220930941927"/>
    <n v="32.81"/>
    <n v="141.95052955379862"/>
    <n v="141.95052955379862"/>
    <n v="56.379048688920022"/>
    <n v="23948.161542256628"/>
    <n v="24138"/>
    <n v="27273.562016315449"/>
    <n v="27273.562016315449"/>
    <n v="681.89"/>
    <n v="0.1"/>
    <n v="4200"/>
    <n v="1161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">
  <r>
    <x v="0"/>
    <n v="3.4119999999999999"/>
    <n v="6.6145431549056699"/>
    <n v="3.22"/>
    <n v="672.80825918693779"/>
    <n v="9.0326946012654545"/>
    <n v="10.100210866762"/>
    <n v="12.759999999999987"/>
    <n v="8.2767889420950311"/>
    <n v="0.86162231376373388"/>
    <n v="332.28448403002676"/>
    <n v="785.42382844601207"/>
    <n v="706.88144560141018"/>
    <n v="597.8861696134619"/>
    <n v="516.35370934786215"/>
    <n v="121.61550489098488"/>
    <n v="974.17608841809999"/>
    <n v="192.30104310978115"/>
    <n v="417.63542342875638"/>
    <n v="1994.4411425298797"/>
    <m/>
    <n v="2926.6635745911367"/>
  </r>
  <r>
    <x v="1"/>
    <n v="3.4119999999999999"/>
    <n v="6.65948938012379"/>
    <n v="3.2280000000000002"/>
    <n v="668.07399668742369"/>
    <n v="9.2484880402426786"/>
    <n v="10.242073513409206"/>
    <n v="12.863999999999988"/>
    <n v="8.3952412804142877"/>
    <n v="0.86373287526832121"/>
    <n v="332.19678296536182"/>
    <n v="773.24932431927755"/>
    <n v="695.9243918873492"/>
    <n v="591.15569892400902"/>
    <n v="508.12395663771969"/>
    <n v="120.50651716030856"/>
    <n v="969.00782764597238"/>
    <n v="195.52111265043322"/>
    <n v="424.14445165734008"/>
    <n v="1995.9372186985383"/>
    <m/>
    <n v="3033.7744795638791"/>
  </r>
  <r>
    <x v="2"/>
    <n v="3.4119999999999999"/>
    <n v="6.7044356053419101"/>
    <n v="3.2360000000000002"/>
    <n v="663.33973418790958"/>
    <n v="9.4642814792199026"/>
    <n v="10.383936160056413"/>
    <n v="12.967999999999989"/>
    <n v="8.5136936187335444"/>
    <n v="0.86584343677290854"/>
    <n v="332.10908190069688"/>
    <n v="761.07482019254303"/>
    <n v="684.96733817328823"/>
    <n v="584.42522823455613"/>
    <n v="499.89420392757722"/>
    <n v="119.39752942963224"/>
    <n v="963.83956687384477"/>
    <n v="198.7411821910853"/>
    <n v="430.65347988592379"/>
    <n v="1997.433294867197"/>
    <m/>
    <n v="3140.8853845366216"/>
  </r>
  <r>
    <x v="3"/>
    <n v="3.4119999999999999"/>
    <n v="6.7493818305600302"/>
    <n v="3.2440000000000002"/>
    <n v="658.60547168839548"/>
    <n v="9.6800749181971266"/>
    <n v="10.525798806703619"/>
    <n v="13.07199999999999"/>
    <n v="8.632145957052801"/>
    <n v="0.86795399827749586"/>
    <n v="332.02138083603194"/>
    <n v="748.90031606580851"/>
    <n v="674.01028445922725"/>
    <n v="577.69475754510324"/>
    <n v="491.66445121743476"/>
    <n v="118.28854169895592"/>
    <n v="958.67130610171716"/>
    <n v="201.96125173173738"/>
    <n v="437.16250811450749"/>
    <n v="1998.9293710358556"/>
    <m/>
    <n v="3247.996289509364"/>
  </r>
  <r>
    <x v="4"/>
    <n v="3.4119999999999999"/>
    <n v="6.7943280557781502"/>
    <n v="3.2520000000000002"/>
    <n v="653.87120918888138"/>
    <n v="9.8958683571743506"/>
    <n v="10.667661453350826"/>
    <n v="13.175999999999991"/>
    <n v="8.7505982953720576"/>
    <n v="0.87006455978208319"/>
    <n v="331.933679771367"/>
    <n v="736.72581193907399"/>
    <n v="663.05323074516627"/>
    <n v="570.96428685565036"/>
    <n v="483.4346985072923"/>
    <n v="117.17955396827961"/>
    <n v="953.50304532958955"/>
    <n v="205.18132127238945"/>
    <n v="443.67153634309119"/>
    <n v="2000.4254472045143"/>
    <m/>
    <n v="3355.1071944821065"/>
  </r>
  <r>
    <x v="5"/>
    <n v="3.4119999999999999"/>
    <n v="6.8392742809962703"/>
    <n v="3.2600000000000002"/>
    <n v="649.13694668936728"/>
    <n v="10.111661796151575"/>
    <n v="10.809524099998033"/>
    <n v="13.279999999999992"/>
    <n v="8.8690506336913142"/>
    <n v="0.87217512128667052"/>
    <n v="331.84597870670206"/>
    <n v="724.55130781233947"/>
    <n v="652.0961770311053"/>
    <n v="564.23381616619747"/>
    <n v="475.20494579714983"/>
    <n v="116.07056623760329"/>
    <n v="948.33478455746194"/>
    <n v="208.40139081304153"/>
    <n v="450.18056457167489"/>
    <n v="2001.9215233731729"/>
    <m/>
    <n v="3462.2180994548489"/>
  </r>
  <r>
    <x v="6"/>
    <n v="3.4119999999999999"/>
    <n v="6.8842205062143904"/>
    <n v="3.2680000000000002"/>
    <n v="644.40268418985318"/>
    <n v="10.327455235128799"/>
    <n v="10.951386746645239"/>
    <n v="13.383999999999993"/>
    <n v="8.9875029720105708"/>
    <n v="0.87428568279125785"/>
    <n v="331.75827764203711"/>
    <n v="712.37680368560495"/>
    <n v="641.13912331704432"/>
    <n v="557.50334547674458"/>
    <n v="466.97519308700737"/>
    <n v="114.96157850692697"/>
    <n v="943.16652378533433"/>
    <n v="211.62146035369361"/>
    <n v="456.68959280025859"/>
    <n v="2003.4175995418316"/>
    <m/>
    <n v="3569.3290044275914"/>
  </r>
  <r>
    <x v="7"/>
    <n v="3.4119999999999999"/>
    <n v="6.9291667314325105"/>
    <n v="3.2760000000000002"/>
    <n v="639.66842169033907"/>
    <n v="10.543248674106023"/>
    <n v="11.093249393292446"/>
    <n v="13.487999999999994"/>
    <n v="9.1059553103298274"/>
    <n v="0.87639624429584517"/>
    <n v="331.67057657737217"/>
    <n v="700.20229955887044"/>
    <n v="630.18206960298335"/>
    <n v="550.7728747872917"/>
    <n v="458.74544037686491"/>
    <n v="113.85259077625065"/>
    <n v="937.99826301320672"/>
    <n v="214.84152989434568"/>
    <n v="463.1986210288423"/>
    <n v="2004.9136757104902"/>
    <m/>
    <n v="3676.4399094003338"/>
  </r>
  <r>
    <x v="8"/>
    <n v="3.4119999999999999"/>
    <n v="6.9741129566506306"/>
    <n v="3.2840000000000003"/>
    <n v="634.93415919082497"/>
    <n v="10.759042113083247"/>
    <n v="11.235112039939652"/>
    <n v="13.591999999999995"/>
    <n v="9.224407648649084"/>
    <n v="0.8785068058004325"/>
    <n v="331.58287551270723"/>
    <n v="688.02779543213592"/>
    <n v="619.22501588892237"/>
    <n v="544.04240409783881"/>
    <n v="450.51568766672244"/>
    <n v="112.74360304557433"/>
    <n v="932.83000224107911"/>
    <n v="218.06159943499776"/>
    <n v="469.707649257426"/>
    <n v="2006.4097518791489"/>
    <m/>
    <n v="3783.5508143730763"/>
  </r>
  <r>
    <x v="9"/>
    <n v="3.4119999999999999"/>
    <n v="7.0190591818687507"/>
    <n v="3.2920000000000003"/>
    <n v="630.19989669131087"/>
    <n v="10.974835552060471"/>
    <n v="11.376974686586859"/>
    <n v="13.695999999999996"/>
    <n v="9.3428599869683406"/>
    <n v="0.88061736730501983"/>
    <n v="331.49517444804229"/>
    <n v="675.8532913054014"/>
    <n v="608.2679621748614"/>
    <n v="537.31193340838593"/>
    <n v="442.28593495657998"/>
    <n v="111.63461531489801"/>
    <n v="927.6617414689515"/>
    <n v="221.28166897564984"/>
    <n v="476.2166774860097"/>
    <n v="2007.9058280478075"/>
    <m/>
    <n v="3890.6617193458187"/>
  </r>
  <r>
    <x v="10"/>
    <n v="3.4119999999999999"/>
    <n v="7.0640054070868681"/>
    <n v="3.3"/>
    <n v="625.46563419179665"/>
    <n v="11.190628991037693"/>
    <n v="11.518837333234069"/>
    <n v="13.8"/>
    <n v="9.4613123252875919"/>
    <n v="0.88272792880960704"/>
    <n v="331.40747338337758"/>
    <n v="663.67878717866665"/>
    <n v="597.31090846079996"/>
    <n v="530.58146271893293"/>
    <n v="434.05618224643769"/>
    <n v="110.52562758422165"/>
    <n v="922.49348069682435"/>
    <n v="224.50173851630203"/>
    <n v="482.72570571459363"/>
    <n v="2009.4019042164659"/>
    <m/>
    <n v="3997.7726243185602"/>
  </r>
  <r>
    <x v="11"/>
    <n v="3.4119999999999999"/>
    <n v="7.1509267544549466"/>
    <n v="3.3015590000000001"/>
    <n v="608.1527330872525"/>
    <n v="11.401529818829824"/>
    <n v="11.725685088053469"/>
    <n v="13.886512"/>
    <n v="9.5224392825295894"/>
    <n v="0.88500750520619786"/>
    <n v="331.11625407322299"/>
    <n v="647.46748751540326"/>
    <n v="582.72073876386298"/>
    <n v="518.47639290197708"/>
    <n v="423.37992276068093"/>
    <n v="108.28898047912446"/>
    <n v="908.94754083650048"/>
    <n v="224.21212322543218"/>
    <n v="494.96475916607523"/>
    <n v="1994.2060049955637"/>
    <m/>
    <n v="4071.1647895096144"/>
  </r>
  <r>
    <x v="12"/>
    <n v="3.4119999999999999"/>
    <n v="7.2389176537546671"/>
    <n v="3.30253"/>
    <n v="590.83983198270835"/>
    <n v="11.616405325721676"/>
    <n v="11.93624727970673"/>
    <n v="13.954171000000001"/>
    <n v="9.5839611643627212"/>
    <n v="0.88729296843198968"/>
    <n v="330.9257571682009"/>
    <n v="631.65217193638227"/>
    <n v="568.48695474274405"/>
    <n v="506.64749691612809"/>
    <n v="413.03471971289258"/>
    <n v="106.05233337402728"/>
    <n v="895.40160097617661"/>
    <n v="223.92250793456233"/>
    <n v="507.20381261755682"/>
    <n v="1962.1164142451546"/>
    <m/>
    <n v="4217.4901363808576"/>
  </r>
  <r>
    <x v="13"/>
    <n v="3.4119999999999999"/>
    <n v="7.302377720492446"/>
    <n v="3.3036409999999998"/>
    <n v="573.52693087816419"/>
    <n v="11.802056259305916"/>
    <n v="12.08833891284468"/>
    <n v="13.997324000000001"/>
    <n v="9.6531179818082791"/>
    <n v="0.88925478972545646"/>
    <n v="331.30107414508501"/>
    <n v="617.91187523118072"/>
    <n v="556.12068770806263"/>
    <n v="497.00853788104638"/>
    <n v="404.74184677448062"/>
    <n v="103.81568626893011"/>
    <n v="881.85566111585274"/>
    <n v="223.63289264369249"/>
    <n v="519.44286606903836"/>
    <n v="1932.8784015467093"/>
    <m/>
    <n v="4282.0119933923825"/>
  </r>
  <r>
    <x v="14"/>
    <n v="3.4119999999999999"/>
    <n v="7.4469618234936279"/>
    <n v="3.3131979999999999"/>
    <n v="556.21402977362004"/>
    <n v="12.111568890511583"/>
    <n v="12.357536678854581"/>
    <n v="14.100529"/>
    <n v="9.7274060500263637"/>
    <n v="0.8924520000414683"/>
    <n v="330.07754356289564"/>
    <n v="604.50392112234965"/>
    <n v="544.05352901011474"/>
    <n v="487.85587729521859"/>
    <n v="394.81578406430697"/>
    <n v="101.57903916383293"/>
    <n v="868.30972125552887"/>
    <n v="223.34327735282264"/>
    <n v="531.68191952051995"/>
    <n v="1889.2139181923412"/>
    <m/>
    <n v="4307.3495057401396"/>
  </r>
  <r>
    <x v="15"/>
    <n v="3.4119999999999999"/>
    <n v="7.5579488575039955"/>
    <n v="3.3880159999999999"/>
    <n v="538.90112866907589"/>
    <n v="12.378665525149154"/>
    <n v="12.614787706568169"/>
    <n v="14.824436"/>
    <n v="9.8066675844966884"/>
    <n v="0.89494059863781383"/>
    <n v="330.26058639828216"/>
    <n v="591.85248951264384"/>
    <n v="532.66724056137946"/>
    <n v="479.45148196275602"/>
    <n v="386.25915595615032"/>
    <n v="99.342392058735754"/>
    <n v="854.763781395205"/>
    <n v="223.05366206195279"/>
    <n v="543.92097297200155"/>
    <n v="1865.6788210078303"/>
    <m/>
    <n v="4268.1226930839966"/>
  </r>
  <r>
    <x v="16"/>
    <n v="3.4119999999999999"/>
    <n v="7.5714163701222743"/>
    <n v="3.4313090000000002"/>
    <n v="521.58822756453208"/>
    <n v="12.463080238937028"/>
    <n v="12.680915008767705"/>
    <n v="15.217358000000001"/>
    <n v="9.8741992696547687"/>
    <n v="0.89628488788144389"/>
    <n v="329.85134261423076"/>
    <n v="581.11669764603766"/>
    <n v="523.00502788143388"/>
    <n v="472.68560384871955"/>
    <n v="378.4903821942803"/>
    <n v="97.105744953638549"/>
    <n v="841.21784153488113"/>
    <n v="222.76404677108295"/>
    <n v="556.16002642348315"/>
    <n v="1818.8624107485023"/>
    <m/>
    <n v="4266.4474007373328"/>
  </r>
  <r>
    <x v="17"/>
    <n v="3.4119999999999999"/>
    <n v="7.6178553973680234"/>
    <n v="3.4590559999999999"/>
    <n v="499.45843221443903"/>
    <n v="12.610954691482007"/>
    <n v="12.790951865091673"/>
    <n v="15.475415999999999"/>
    <n v="9.9418246440066174"/>
    <n v="0.8979712989076909"/>
    <n v="331.36141135862437"/>
    <n v="572.006354242724"/>
    <n v="514.80571881845162"/>
    <n v="467.14811296909187"/>
    <n v="372.63790918317289"/>
    <n v="94.708031475446276"/>
    <n v="827.67190167455692"/>
    <n v="222.47443148021304"/>
    <n v="568.39907987496463"/>
    <n v="1797.2757481829826"/>
    <m/>
    <n v="4297.3542156431349"/>
  </r>
  <r>
    <x v="18"/>
    <n v="3.4119999999999999"/>
    <n v="7.6654421259684886"/>
    <n v="3.4801530000000001"/>
    <n v="488.51412650213001"/>
    <n v="12.751851183406297"/>
    <n v="12.901668223589098"/>
    <n v="15.677279"/>
    <n v="10.005839215101393"/>
    <n v="0.89972220862440766"/>
    <n v="330.64722634540823"/>
    <n v="563.91505667829995"/>
    <n v="507.52355101046999"/>
    <n v="462.02771229636926"/>
    <n v="363.84300670541199"/>
    <n v="91.878092906421344"/>
    <n v="815.86445548581162"/>
    <n v="221.84023210125414"/>
    <n v="576.46895799881497"/>
    <n v="1573.9481557582549"/>
    <m/>
    <n v="4299.3780605789443"/>
  </r>
  <r>
    <x v="19"/>
    <n v="3.4119999999999999"/>
    <n v="7.7059003345348707"/>
    <n v="3.495698"/>
    <n v="478.76667382776276"/>
    <n v="12.878074814699044"/>
    <n v="12.996027578247961"/>
    <n v="15.826098999999999"/>
    <n v="10.211785920877965"/>
    <n v="0.90140245620864856"/>
    <n v="330.67242878060813"/>
    <n v="545.67366719453264"/>
    <n v="491.10630047507937"/>
    <n v="454.11836854776146"/>
    <n v="356.5337535473372"/>
    <n v="89.320606806414332"/>
    <n v="804.44644550360329"/>
    <n v="221.47803551729379"/>
    <n v="585.63411049743127"/>
    <n v="1484.1432935859859"/>
    <m/>
    <n v="4348.1333795286018"/>
  </r>
  <r>
    <x v="20"/>
    <n v="3.4119999999999999"/>
    <n v="7.8387325465471704"/>
    <n v="3.50861"/>
    <n v="469.20530508386429"/>
    <n v="13.138373175403679"/>
    <n v="13.247079244027672"/>
    <n v="15.950364"/>
    <n v="10.324847527955672"/>
    <n v="0.91536854940737056"/>
    <n v="330.71056486493057"/>
    <n v="534.21468321252462"/>
    <n v="480.79321489127216"/>
    <n v="448.55981214949412"/>
    <n v="349.621366750763"/>
    <n v="86.671267163192766"/>
    <n v="789.97207818690231"/>
    <n v="221.23286660026929"/>
    <n v="593.78906159250687"/>
    <n v="1432.8602460861189"/>
    <m/>
    <n v="4394.4722488570169"/>
  </r>
  <r>
    <x v="21"/>
    <n v="3.4119999999999999"/>
    <n v="7.9123995670631304"/>
    <n v="3.5193159999999999"/>
    <n v="460.80141953108614"/>
    <n v="13.311284566269569"/>
    <n v="13.392730273524553"/>
    <n v="16.053467000000001"/>
    <n v="10.422133705949232"/>
    <n v="0.92228773719655299"/>
    <n v="331.7408410556875"/>
    <n v="523.74696086204528"/>
    <n v="471.37226477584079"/>
    <n v="443.56034491393473"/>
    <n v="344.27768549243234"/>
    <n v="84.077648389412488"/>
    <n v="776.50114529808343"/>
    <n v="221.16242480581636"/>
    <n v="603.54902549531459"/>
    <n v="1400.0557484766291"/>
    <m/>
    <n v="4451.0655384659776"/>
  </r>
  <r>
    <x v="22"/>
    <n v="3.4119999999999999"/>
    <n v="7.9798498222430796"/>
    <n v="3.5227819999999999"/>
    <n v="448.9680588574933"/>
    <n v="13.467351130942429"/>
    <n v="13.526187078456436"/>
    <n v="16.093312999999998"/>
    <n v="10.509140481611231"/>
    <n v="0.92886814738333401"/>
    <n v="330.71991389870954"/>
    <n v="514.24394680031855"/>
    <n v="462.81955212028669"/>
    <n v="439.13899391397274"/>
    <n v="337.58189096149357"/>
    <n v="81.013387467327419"/>
    <n v="756.07411269173133"/>
    <n v="219.01356061798984"/>
    <n v="609.77760735319009"/>
    <n v="1365.1062828763347"/>
    <n v="-2.4962909968636704E-2"/>
    <n v="4482.8025509059607"/>
  </r>
  <r>
    <x v="23"/>
    <n v="3.4119999999999999"/>
    <n v="8.0406899700096481"/>
    <n v="3.5268039999999998"/>
    <n v="438.64933343630025"/>
    <n v="13.60481137872558"/>
    <n v="13.645944257636755"/>
    <n v="16.138203000000001"/>
    <n v="10.592155525540097"/>
    <n v="0.93537774623941372"/>
    <n v="330.60680978363189"/>
    <n v="505.45953644476799"/>
    <n v="454.91358280029118"/>
    <n v="435.22116351054132"/>
    <n v="332.74292029568323"/>
    <n v="78.092325966999098"/>
    <n v="738.97511995197067"/>
    <n v="217.5062407325257"/>
    <n v="617.5355605659513"/>
    <n v="1340.8743680735377"/>
    <n v="-1.7750936397230133E-2"/>
    <n v="4538.935816731233"/>
  </r>
  <r>
    <x v="24"/>
    <n v="3.4119999999999999"/>
    <n v="8.097919671547853"/>
    <n v="3.5309159999999999"/>
    <n v="428.49068464517916"/>
    <n v="13.730995849146662"/>
    <n v="13.757258943764725"/>
    <n v="16.182312"/>
    <n v="10.669701489609984"/>
    <n v="0.94157686041445254"/>
    <n v="330.55294722110727"/>
    <n v="497.34026418637325"/>
    <n v="447.60623776773593"/>
    <n v="431.67782190624621"/>
    <n v="328.78692724967812"/>
    <n v="75.547186339676443"/>
    <n v="724.24061724552689"/>
    <n v="216.24502078549645"/>
    <n v="624.34485359478913"/>
    <n v="1321.9903250769321"/>
    <n v="-1.4083379805176377E-2"/>
    <n v="4611.419753530774"/>
  </r>
  <r>
    <x v="25"/>
    <n v="3.4119999999999999"/>
    <n v="8.1442056963501859"/>
    <n v="3.5525690000000001"/>
    <n v="419.96632373958204"/>
    <n v="13.856800920134059"/>
    <n v="13.854035504868611"/>
    <n v="16.343616000000001"/>
    <n v="10.73640826694389"/>
    <n v="0.9476431484775153"/>
    <n v="331.47817747684871"/>
    <n v="489.66660590760102"/>
    <n v="440.69994531684091"/>
    <n v="428.54515812200174"/>
    <n v="326.45875537598249"/>
    <n v="73.557104440479094"/>
    <n v="714.10506721254205"/>
    <n v="215.98241467192588"/>
    <n v="632.1738356474624"/>
    <n v="1269.755719250777"/>
    <n v="-3.9512093874904397E-2"/>
    <n v="4703.31521126594"/>
  </r>
  <r>
    <x v="26"/>
    <n v="3.4119999999999999"/>
    <n v="8.190389842037554"/>
    <n v="3.571126"/>
    <n v="409.20794973943828"/>
    <n v="13.962350937101309"/>
    <n v="13.945349522989035"/>
    <n v="16.477599999999999"/>
    <n v="10.794933364893012"/>
    <n v="0.95346645711965128"/>
    <n v="330.49955641127411"/>
    <n v="482.48162171628343"/>
    <n v="434.23345954465509"/>
    <n v="425.67586007042604"/>
    <n v="323.00687117341255"/>
    <n v="71.580049523243872"/>
    <n v="702.11188868464501"/>
    <n v="214.87369112535382"/>
    <n v="635.68338378535623"/>
    <n v="1238.8641198064383"/>
    <n v="-2.4328773618414012E-2"/>
    <n v="4769.3422936381139"/>
  </r>
  <r>
    <x v="27"/>
    <n v="3.4119999999999999"/>
    <n v="8.2332268822196752"/>
    <n v="3.5890789999999999"/>
    <n v="399.99777718645038"/>
    <n v="14.056521674320575"/>
    <n v="14.029313704122087"/>
    <n v="16.606939000000001"/>
    <n v="10.848665500903758"/>
    <n v="0.95919143200787138"/>
    <n v="330.49845894926551"/>
    <n v="475.9490726916689"/>
    <n v="428.35416542250204"/>
    <n v="423.01941682911723"/>
    <n v="321.08715964599293"/>
    <n v="70.269077300066343"/>
    <n v="694.36081355544411"/>
    <n v="214.64096812911305"/>
    <n v="640.46196297382551"/>
    <n v="1219.4333830649186"/>
    <n v="-1.5684316327246317E-2"/>
    <n v="4846.6956681214724"/>
  </r>
  <r>
    <x v="28"/>
    <n v="3.4119999999999999"/>
    <n v="8.2697894035397219"/>
    <n v="3.6062970000000001"/>
    <n v="390.91180449753591"/>
    <n v="14.136098504584176"/>
    <n v="14.101060796918411"/>
    <n v="16.730574000000001"/>
    <n v="10.899056144516432"/>
    <n v="0.9646849986418109"/>
    <n v="330.55121730146027"/>
    <n v="470.13786233879659"/>
    <n v="423.12407610491692"/>
    <n v="420.62805703977875"/>
    <n v="319.55444708637162"/>
    <n v="69.492706259570554"/>
    <n v="688.81210476729075"/>
    <n v="214.80559204893063"/>
    <n v="644.3605745394625"/>
    <n v="1205.6044323480062"/>
    <n v="-1.1340472475958374E-2"/>
    <n v="4933.1468940860677"/>
  </r>
  <r>
    <x v="29"/>
    <n v="3.4119999999999999"/>
    <n v="8.3010546150143298"/>
    <n v="3.623122"/>
    <n v="383.06877552965955"/>
    <n v="14.202269064005705"/>
    <n v="14.162568346324433"/>
    <n v="16.850977"/>
    <n v="10.943632750534501"/>
    <n v="0.97012409558935375"/>
    <n v="331.51235626754573"/>
    <n v="465.03036657069157"/>
    <n v="418.5273299136224"/>
    <n v="418.50725969556311"/>
    <n v="319.29192758826025"/>
    <n v="69.270346446215157"/>
    <n v="686.87307163244111"/>
    <n v="215.76662123037423"/>
    <n v="649.73602395822979"/>
    <n v="1198.4258865858853"/>
    <n v="-5.9543126829254556E-3"/>
    <n v="5031.9627347048136"/>
  </r>
  <r>
    <x v="30"/>
    <n v="3.4119999999999999"/>
    <n v="8.3275989943828534"/>
    <n v="3.6397010000000001"/>
    <n v="372.89261827547023"/>
    <n v="14.257660809486611"/>
    <n v="14.214877761536375"/>
    <n v="16.969263000000002"/>
    <n v="10.981582822701254"/>
    <n v="0.97538625690068848"/>
    <n v="330.5724525297955"/>
    <n v="460.59611535548845"/>
    <n v="414.53650381993964"/>
    <n v="416.42666994176869"/>
    <n v="317.48873805314884"/>
    <n v="69.088351765119057"/>
    <n v="681.83158310216493"/>
    <n v="215.3838096456148"/>
    <n v="651.11539399671483"/>
    <n v="1185.1242283098265"/>
    <n v="-1.109927482787687E-2"/>
    <n v="5106.3784194892005"/>
  </r>
  <r>
    <x v="31"/>
    <n v="3.4119999999999999"/>
    <n v="8.3494125211931092"/>
    <n v="3.6560069999999998"/>
    <n v="363.40195405575997"/>
    <n v="14.30328424720304"/>
    <n v="14.258012834356226"/>
    <n v="17.085235999999998"/>
    <n v="11.012506139039157"/>
    <n v="0.98007867816816163"/>
    <n v="330.42019434888834"/>
    <n v="456.87448998397741"/>
    <n v="411.1870409855797"/>
    <n v="414.52127371504622"/>
    <n v="316.75906844902772"/>
    <n v="69.096914198654005"/>
    <n v="679.14419471165479"/>
    <n v="215.32643186869478"/>
    <n v="653.82267965171081"/>
    <n v="1174.6918590547461"/>
    <n v="-8.8027643059483962E-3"/>
    <n v="5194.1820392811978"/>
  </r>
  <r>
    <x v="32"/>
    <n v="3.4119999999999999"/>
    <n v="8.3668992443359684"/>
    <n v="3.6720199999999998"/>
    <n v="354.01670363087203"/>
    <n v="14.33977331883257"/>
    <n v="14.292741239117538"/>
    <n v="17.198823999999998"/>
    <n v="11.0365098007554"/>
    <n v="0.98429763655557467"/>
    <n v="330.22830310790187"/>
    <n v="453.87905072495818"/>
    <n v="408.49114565246236"/>
    <n v="412.76444890663794"/>
    <n v="316.18866387824568"/>
    <n v="69.102726492425504"/>
    <n v="677.29312871746174"/>
    <n v="215.32191801218977"/>
    <n v="656.22281892092496"/>
    <n v="1165.1227952647812"/>
    <n v="-8.1460203509582385E-3"/>
    <n v="5275.6032530634193"/>
  </r>
  <r>
    <x v="33"/>
    <n v="3.4119999999999999"/>
    <n v="8.3820133515158552"/>
    <n v="3.6878350000000002"/>
    <n v="345.61365104914455"/>
    <n v="14.371698710856524"/>
    <n v="14.322822084287804"/>
    <n v="17.310966000000001"/>
    <n v="11.053065298474133"/>
    <n v="0.98810952618150916"/>
    <n v="330.93029938973899"/>
    <n v="451.27329007356576"/>
    <n v="406.14596106620917"/>
    <n v="411.15410932159227"/>
    <n v="316.62927262134241"/>
    <n v="69.292832204904883"/>
    <n v="677.47048870015078"/>
    <n v="215.97685260711106"/>
    <n v="660.42299242267268"/>
    <n v="1159.4596184884074"/>
    <n v="-4.8605836220780851E-3"/>
    <n v="5359.256897805185"/>
  </r>
  <r>
    <x v="34"/>
    <n v="3.4119999999999999"/>
    <n v="8.3945062409389717"/>
    <n v="3.7035469999999999"/>
    <n v="335.31520701696746"/>
    <n v="14.398754962505095"/>
    <n v="14.347722981616645"/>
    <n v="17.422353999999999"/>
    <n v="11.06150710486053"/>
    <n v="0.99146862554272841"/>
    <n v="329.81921028319863"/>
    <n v="448.92414645913277"/>
    <n v="404.03173181321949"/>
    <n v="409.68696562672051"/>
    <n v="315.48431158699367"/>
    <n v="69.10064719926315"/>
    <n v="674.29231234221595"/>
    <n v="215.54449635579306"/>
    <n v="660.41878387762711"/>
    <n v="1148.3961477918631"/>
    <n v="-9.5419198048206644E-3"/>
    <n v="5409.8047095777374"/>
  </r>
  <r>
    <x v="35"/>
    <n v="3.4119999999999999"/>
    <n v="8.405648247040185"/>
    <n v="3.7192210000000001"/>
    <n v="326.32083832269967"/>
    <n v="14.421297347885083"/>
    <n v="14.374589757458491"/>
    <n v="17.533472"/>
    <n v="11.061324610560973"/>
    <n v="0.99435966112915053"/>
    <n v="329.70775549960115"/>
    <n v="446.81914432469313"/>
    <n v="402.13722989222384"/>
    <n v="408.35116049756937"/>
    <n v="315.35039504397855"/>
    <n v="69.099013800494049"/>
    <n v="674.08999057112578"/>
    <n v="216.09082431746859"/>
    <n v="661.87033342277857"/>
    <n v="1142.7026533663559"/>
    <n v="-4.9577791047581421E-3"/>
    <n v="5480.87412810562"/>
  </r>
  <r>
    <x v="36"/>
    <n v="3.4119999999999999"/>
    <n v="8.4157941304593287"/>
    <n v="3.7342439999999999"/>
    <n v="317.27929729435795"/>
    <n v="14.442716324292093"/>
    <n v="14.396076002539097"/>
    <n v="17.640267999999999"/>
    <n v="11.061161808558927"/>
    <n v="0.99678594057528325"/>
    <n v="329.59197692239553"/>
    <n v="444.93363732543077"/>
    <n v="400.44027359288771"/>
    <n v="407.18001880876142"/>
    <n v="315.35075649430536"/>
    <n v="69.098269733041036"/>
    <n v="673.74294545438158"/>
    <n v="216.56805681692848"/>
    <n v="662.45367395940343"/>
    <n v="1138.2527795901376"/>
    <n v="-3.8941659609428303E-3"/>
    <n v="5552.877196279107"/>
  </r>
  <r>
    <x v="37"/>
    <n v="3.4119999999999999"/>
    <n v="8.4249576911533275"/>
    <n v="3.7486199999999998"/>
    <n v="309.0327885386979"/>
    <n v="14.463387768104882"/>
    <n v="14.415573627853872"/>
    <n v="17.742751999999999"/>
    <n v="11.060984269870238"/>
    <n v="0.99883765299838911"/>
    <n v="330.38425668389834"/>
    <n v="443.23224032927942"/>
    <n v="398.90901629635147"/>
    <n v="406.16617227636692"/>
    <n v="316.21501157090557"/>
    <n v="69.287929119915759"/>
    <n v="676.01698519000036"/>
    <n v="217.86563789678891"/>
    <n v="664.09491960269349"/>
    <n v="1139.0083511970365"/>
    <n v="6.6379948324923888E-4"/>
    <n v="5625.826179594088"/>
  </r>
  <r>
    <x v="38"/>
    <n v="3.4119999999999999"/>
    <n v="8.4317027270645557"/>
    <n v="3.7624629999999999"/>
    <n v="299.08207866584496"/>
    <n v="14.479360058071141"/>
    <n v="14.430632056057418"/>
    <n v="17.841685999999999"/>
    <n v="11.060819877644116"/>
    <n v="1.000515791422204"/>
    <n v="329.30082876880681"/>
    <n v="441.72625620838903"/>
    <n v="397.55363058755012"/>
    <n v="405.24884432213236"/>
    <n v="315.35133277187407"/>
    <n v="69.099841707048881"/>
    <n v="674.18015291632946"/>
    <n v="217.82135298035433"/>
    <n v="662.19985842912183"/>
    <n v="1133.2958452543965"/>
    <n v="-5.0153327994799657E-3"/>
    <n v="5699.7335046801154"/>
  </r>
  <r>
    <x v="39"/>
    <n v="3.4119999999999999"/>
    <n v="8.436276245805697"/>
    <n v="3.7758560000000001"/>
    <n v="289.94106646626875"/>
    <n v="14.490826281137791"/>
    <n v="14.441786791770996"/>
    <n v="17.937657999999999"/>
    <n v="11.060728336680551"/>
    <n v="1.0017630316729063"/>
    <n v="329.08521921166783"/>
    <n v="440.43760058613827"/>
    <n v="396.39384052752445"/>
    <n v="404.44344892440404"/>
    <n v="315.35172316890521"/>
    <n v="69.101084056966499"/>
    <n v="674.11916095875756"/>
    <n v="218.30877179722594"/>
    <n v="662.10923900502735"/>
    <n v="1130.9268049418979"/>
    <n v="-2.0903988331191226E-3"/>
    <n v="5774.6117614172472"/>
  </r>
  <r>
    <x v="40"/>
    <n v="3.4119999999999999"/>
    <n v="8.4384683863519196"/>
    <n v="3.7888030000000001"/>
    <n v="281.05143254228147"/>
    <n v="14.497546310944491"/>
    <n v="14.448640967099756"/>
    <n v="18.030645"/>
    <n v="11.060691187179341"/>
    <n v="1.0025683368435454"/>
    <n v="329.01940173233208"/>
    <n v="439.3508566860047"/>
    <n v="395.41577101740427"/>
    <n v="403.74965954711087"/>
    <n v="315.35202464956387"/>
    <n v="69.102773757170596"/>
    <n v="675.82131711470868"/>
    <n v="219.32918139597865"/>
    <n v="661.47069408085599"/>
    <n v="1131.8971653838944"/>
    <n v="8.5802232094622788E-4"/>
    <n v="5850.4737050806871"/>
  </r>
  <r>
    <x v="41"/>
    <n v="3.4119999999999999"/>
    <n v="8.4406605268981423"/>
    <n v="3.8017500000000002"/>
    <n v="272.43435604613853"/>
    <n v="14.504266340751192"/>
    <n v="14.455495142428516"/>
    <n v="18.123632000000001"/>
    <n v="11.06065403767813"/>
    <n v="1.0033736420141846"/>
    <n v="328.95359741657933"/>
    <n v="438.26411278587113"/>
    <n v="394.43770150728403"/>
    <n v="403.05587016981769"/>
    <n v="315.35232613051073"/>
    <n v="69.104463498692226"/>
    <n v="677.52777122827206"/>
    <n v="220.35436054998397"/>
    <n v="660.83276497594238"/>
    <n v="1132.8683584168095"/>
    <m/>
    <n v="5927.3322585136057"/>
  </r>
  <r>
    <x v="42"/>
    <n v="3.4119999999999999"/>
    <n v="8.4428526674443649"/>
    <n v="3.8146970000000002"/>
    <n v="264.08148032872396"/>
    <n v="14.510986370557893"/>
    <n v="14.462349317757276"/>
    <n v="18.216619000000001"/>
    <n v="11.06061688817692"/>
    <n v="1.0041789471848237"/>
    <n v="328.88780626177669"/>
    <n v="437.17736888573756"/>
    <n v="393.4596319971638"/>
    <n v="402.36208079252452"/>
    <n v="315.35262761174585"/>
    <n v="69.106153281532414"/>
    <n v="679.23853415182384"/>
    <n v="221.38433155289479"/>
    <n v="660.19545109638432"/>
    <n v="1133.8403847550246"/>
    <m/>
    <n v="6005.2005143285196"/>
  </r>
  <r>
    <x v="43"/>
    <n v="3.4119999999999999"/>
    <n v="8.4450448079905875"/>
    <n v="3.8276440000000003"/>
    <n v="255.98470495696014"/>
    <n v="14.517706400364593"/>
    <n v="14.469203493086036"/>
    <n v="18.309606000000002"/>
    <n v="11.06057973867571"/>
    <n v="1.0049842523554628"/>
    <n v="328.8220282652922"/>
    <n v="436.09062498560399"/>
    <n v="392.48156248704362"/>
    <n v="401.66829141523135"/>
    <n v="315.35292909326915"/>
    <n v="69.107843105692154"/>
    <n v="680.95361676514312"/>
    <n v="222.41911680256794"/>
    <n v="659.55875184885201"/>
    <n v="1134.813245113535"/>
    <m/>
    <n v="6084.0917371375544"/>
  </r>
  <r>
    <x v="44"/>
    <n v="3.4119999999999999"/>
    <n v="8.4472369485368102"/>
    <n v="3.8405910000000003"/>
    <n v="248.13617785818846"/>
    <n v="14.524426430171294"/>
    <n v="14.476057668414796"/>
    <n v="18.402593000000003"/>
    <n v="11.060542589174499"/>
    <n v="1.005789557526102"/>
    <n v="328.75626342449397"/>
    <n v="435.00388108547043"/>
    <n v="391.50349297692338"/>
    <n v="400.97450203793818"/>
    <n v="315.35323057508066"/>
    <n v="69.10953297117247"/>
    <n v="682.67302997548063"/>
    <n v="223.45873880155131"/>
    <n v="658.9226666405882"/>
    <n v="1135.7869402079475"/>
    <m/>
    <n v="6164.0193658120461"/>
  </r>
  <r>
    <x v="45"/>
    <n v="3.4119999999999999"/>
    <n v="8.4494290890830328"/>
    <n v="3.8535380000000004"/>
    <n v="240.52828770540347"/>
    <n v="14.531146459977995"/>
    <n v="14.482911843743556"/>
    <n v="18.495580000000004"/>
    <n v="11.060505439673289"/>
    <n v="1.0065948626967411"/>
    <n v="328.69051173675098"/>
    <n v="433.91713718533686"/>
    <n v="390.5254234668032"/>
    <n v="400.28071266064501"/>
    <n v="315.35353205718042"/>
    <n v="69.111222877974356"/>
    <n v="684.39678471762738"/>
    <n v="224.50322015757334"/>
    <n v="658.28719487940702"/>
    <n v="1136.7614707544849"/>
    <m/>
    <n v="6244.9970157718099"/>
  </r>
  <r>
    <x v="46"/>
    <n v="3.4119999999999999"/>
    <n v="8.4516212296292554"/>
    <n v="3.8664850000000004"/>
    <n v="233.15365653595757"/>
    <n v="14.537866489784696"/>
    <n v="14.489766019072317"/>
    <n v="18.588567000000005"/>
    <n v="11.060468290172079"/>
    <n v="1.0074001678673803"/>
    <n v="328.62477319943252"/>
    <n v="432.83039328520329"/>
    <n v="389.54735395668297"/>
    <n v="399.58692328335184"/>
    <n v="315.35383353956837"/>
    <n v="69.112912826098835"/>
    <n v="686.12489195398507"/>
    <n v="225.55258358403458"/>
    <n v="657.65233597369388"/>
    <n v="1137.7368374699838"/>
    <m/>
    <n v="6327.0384813044739"/>
  </r>
  <r>
    <x v="47"/>
    <n v="3.4119999999999999"/>
    <n v="8.4538133701754781"/>
    <n v="3.8794320000000004"/>
    <n v="226.00513259657671"/>
    <n v="14.544586519591396"/>
    <n v="14.496620194401077"/>
    <n v="18.681554000000006"/>
    <n v="11.060431140670868"/>
    <n v="1.0082054730380194"/>
    <n v="328.55904780990846"/>
    <n v="431.74364938506972"/>
    <n v="388.56928444656273"/>
    <n v="398.89313390605867"/>
    <n v="315.35413502224458"/>
    <n v="69.114602815546931"/>
    <n v="687.85736267463608"/>
    <n v="226.60685190050145"/>
    <n v="657.01808933240477"/>
    <n v="1138.7130410718958"/>
    <m/>
    <n v="6409.2899815614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1" cacheId="134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B15" firstHeaderRow="2" firstDataRow="2" firstDataCol="1"/>
  <pivotFields count="18">
    <pivotField axis="axisRow" compact="0" outline="0" showAll="0">
      <items count="4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x="13"/>
        <item x="14"/>
        <item x="15"/>
        <item x="16"/>
        <item x="17"/>
        <item x="18"/>
        <item x="19"/>
        <item x="20"/>
        <item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t="default"/>
      </items>
    </pivotField>
    <pivotField compact="0" outline="0" showAll="0"/>
    <pivotField compact="0" outline="0" showAll="0"/>
    <pivotField compact="0" numFmtId="4" outline="0" showAll="0"/>
    <pivotField dataField="1" compact="0" numFmtId="4" outline="0" showAll="0" defaultSubtotal="0"/>
    <pivotField compact="0" numFmtId="4" outline="0" showAll="0"/>
    <pivotField compact="0" outline="0" showAll="0"/>
    <pivotField compact="0" numFmtId="167" outline="0" showAll="0"/>
    <pivotField compact="0" numFmtId="167" outline="0" showAll="0" defaultSubtotal="0"/>
    <pivotField compact="0" numFmtId="167" outline="0" showAll="0"/>
    <pivotField compact="0" outline="0" showAll="0"/>
    <pivotField compact="0" numFmtId="167" outline="0" showAll="0" defaultSubtotal="0"/>
    <pivotField compact="0" numFmtId="167" outline="0" showAll="0"/>
    <pivotField compact="0" outline="0" showAll="0"/>
    <pivotField compact="0" outline="0" showAll="0"/>
    <pivotField compact="0" numFmtId="1" outline="0" showAll="0"/>
    <pivotField compact="0" numFmtId="1" outline="0" showAll="0"/>
    <pivotField compact="0" outline="0" showAll="0"/>
  </pivotFields>
  <rowFields count="1">
    <field x="0"/>
  </rowFields>
  <rowItems count="11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Average of ElecPrice_2014BP" fld="4" subtotal="average" baseField="0" baseItem="12"/>
  </dataFields>
  <formats count="1">
    <format dxfId="17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3" cacheId="13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 chartFormat="2">
  <location ref="L3:O29" firstHeaderRow="1" firstDataRow="2" firstDataCol="1"/>
  <pivotFields count="19"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numFmtId="4" outline="0" showAll="0"/>
    <pivotField compact="0" numFmtId="4" outline="0" showAll="0"/>
    <pivotField compact="0" outline="0" showAll="0"/>
    <pivotField compact="0" numFmtId="167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numFmtId="167" outline="0" showAll="0"/>
    <pivotField compact="0" outline="0" showAll="0"/>
    <pivotField compact="0" outline="0" showAll="0"/>
    <pivotField compact="0" numFmtId="1" outline="0" showAll="0"/>
    <pivotField compact="0" numFmtId="1" outline="0" showAll="0"/>
    <pivotField compact="0" outline="0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ElecPrice 2012 BP" fld="3" subtotal="average" baseField="0" baseItem="7"/>
    <dataField name="Average of ElecPrice 2013 BP" fld="4" subtotal="average" baseField="0" baseItem="7"/>
    <dataField name="Average of ElecPrice 2014 BP" fld="5" subtotal="average" baseField="0" baseItem="7"/>
  </dataFields>
  <formats count="3">
    <format dxfId="7">
      <pivotArea type="all" dataOnly="0" outline="0" fieldPosition="0"/>
    </format>
    <format dxfId="6">
      <pivotArea outline="0" collapsedLevelsAreSubtotals="1" fieldPosition="0">
        <references count="1">
          <reference field="0" count="1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">
      <pivotArea outline="0" collapsedLevelsAreSubtotals="1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139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 chartFormat="1">
  <location ref="A3:B23" firstHeaderRow="2" firstDataRow="2" firstDataCol="1"/>
  <pivotFields count="22">
    <pivotField axis="axisRow" compact="0" outline="0" showAll="0" defaultSubtotal="0">
      <items count="4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numFmtId="43" outline="0" showAll="0"/>
    <pivotField dataField="1" compact="0" numFmtId="43" outline="0" showAll="0"/>
    <pivotField compact="0" numFmtId="43" outline="0" showAll="0"/>
    <pivotField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43" outline="0" showAll="0" defaultSubtotal="0"/>
  </pivotFields>
  <rowFields count="1">
    <field x="0"/>
  </rowFields>
  <rowItems count="19"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Sum of HPHeat" fld="2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34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C15" firstHeaderRow="1" firstDataRow="2" firstDataCol="1"/>
  <pivotFields count="18">
    <pivotField axis="axisRow" compact="0" outline="0" showAll="0">
      <items count="4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x="13"/>
        <item x="14"/>
        <item x="15"/>
        <item x="16"/>
        <item x="17"/>
        <item x="18"/>
        <item x="19"/>
        <item x="20"/>
        <item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t="default"/>
      </items>
    </pivotField>
    <pivotField compact="0" outline="0" showAll="0"/>
    <pivotField compact="0" outline="0" showAll="0"/>
    <pivotField compact="0" numFmtId="4" outline="0" showAll="0"/>
    <pivotField compact="0" numFmtId="4" outline="0" showAll="0" defaultSubtotal="0"/>
    <pivotField compact="0" numFmtId="4" outline="0" showAll="0"/>
    <pivotField compact="0" outline="0" showAll="0"/>
    <pivotField compact="0" numFmtId="167" outline="0" showAll="0"/>
    <pivotField compact="0" numFmtId="167" outline="0" showAll="0" defaultSubtotal="0"/>
    <pivotField compact="0" numFmtId="167" outline="0" showAll="0"/>
    <pivotField compact="0" outline="0" showAll="0"/>
    <pivotField dataField="1" compact="0" numFmtId="167" outline="0" showAll="0" defaultSubtotal="0"/>
    <pivotField dataField="1" compact="0" numFmtId="167" outline="0" showAll="0"/>
    <pivotField compact="0" outline="0" showAll="0"/>
    <pivotField compact="0" outline="0" showAll="0"/>
    <pivotField compact="0" numFmtId="1" outline="0" showAll="0"/>
    <pivotField compact="0" numFmtId="1" outline="0" showAll="0"/>
    <pivotField compact="0" outline="0" showAll="0"/>
  </pivotFields>
  <rowFields count="1">
    <field x="0"/>
  </rowFields>
  <rowItems count="11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Real Personal Income (millions)" fld="12" baseField="0" baseItem="0"/>
    <dataField name="Sum of Real Personal Income (millions) 2013 BP" fld="11" baseField="0" baseItem="0"/>
  </dataFields>
  <formats count="2">
    <format dxfId="16">
      <pivotArea type="all" dataOnly="0" outline="0" fieldPosition="0"/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34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C15" firstHeaderRow="1" firstDataRow="2" firstDataCol="1"/>
  <pivotFields count="18">
    <pivotField axis="axisRow" compact="0" outline="0" showAll="0">
      <items count="4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x="13"/>
        <item x="14"/>
        <item x="15"/>
        <item x="16"/>
        <item x="17"/>
        <item x="18"/>
        <item x="19"/>
        <item x="20"/>
        <item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t="default"/>
      </items>
    </pivotField>
    <pivotField compact="0" outline="0" showAll="0"/>
    <pivotField compact="0" outline="0" showAll="0"/>
    <pivotField compact="0" numFmtId="4" outline="0" showAll="0"/>
    <pivotField compact="0" numFmtId="4" outline="0" showAll="0" defaultSubtotal="0"/>
    <pivotField compact="0" numFmtId="4" outline="0" showAll="0"/>
    <pivotField compact="0" outline="0" showAll="0"/>
    <pivotField dataField="1" compact="0" numFmtId="167" outline="0" showAll="0"/>
    <pivotField dataField="1" compact="0" numFmtId="167" outline="0" showAll="0" defaultSubtotal="0"/>
    <pivotField compact="0" numFmtId="167" outline="0" showAll="0"/>
    <pivotField compact="0" outline="0" showAll="0"/>
    <pivotField compact="0" numFmtId="167" outline="0" showAll="0" defaultSubtotal="0"/>
    <pivotField compact="0" numFmtId="167" outline="0" showAll="0"/>
    <pivotField compact="0" outline="0" showAll="0"/>
    <pivotField compact="0" outline="0" showAll="0"/>
    <pivotField compact="0" numFmtId="1" outline="0" showAll="0"/>
    <pivotField compact="0" numFmtId="1" outline="0" showAll="0"/>
    <pivotField compact="0" outline="0" showAll="0"/>
  </pivotFields>
  <rowFields count="1">
    <field x="0"/>
  </rowFields>
  <rowItems count="11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Population" fld="7" baseField="0" baseItem="0"/>
    <dataField name="Sum of Population 2013BP" fld="8" baseField="0" baseItem="0"/>
  </dataFields>
  <formats count="2">
    <format dxfId="14">
      <pivotArea type="all" dataOnly="0" outline="0" fieldPosition="0"/>
    </format>
    <format dxfId="13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5" cacheId="13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 chartFormat="3">
  <location ref="A3:C48" firstHeaderRow="1" firstDataRow="2" firstDataCol="1"/>
  <pivotFields count="9"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/>
    <pivotField compact="0" outline="0" showAll="0"/>
    <pivotField compact="0" outline="0" showAll="0"/>
    <pivotField compact="0" numFmtId="2" outline="0" showAll="0"/>
    <pivotField compact="0" numFmtId="2" outline="0" showAll="0"/>
    <pivotField dataField="1" compact="0" outline="0" showAll="0"/>
    <pivotField dataField="1" compact="0" numFmtId="2" outline="0" showAll="0"/>
    <pivotField compact="0" outline="0" showAll="0"/>
  </pivotFields>
  <rowFields count="1">
    <field x="0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Households_2014BP" fld="7" subtotal="average" baseField="0" baseItem="0"/>
    <dataField name="Average of Households (thousands)" fld="6" subtotal="average" baseField="0" baseItem="0"/>
  </dataFields>
  <formats count="1">
    <format dxfId="10">
      <pivotArea type="all" dataOnly="0" outline="0" fieldPosition="0"/>
    </format>
  </formats>
  <chartFormats count="4"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7" cacheId="13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 chartFormat="2">
  <location ref="F3:G15" firstHeaderRow="2" firstDataRow="2" firstDataCol="1"/>
  <pivotFields count="9">
    <pivotField axis="axisRow" compact="0" outline="0" showAll="0">
      <items count="4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x="14"/>
        <item x="15"/>
        <item x="16"/>
        <item x="17"/>
        <item x="18"/>
        <item x="19"/>
        <item x="20"/>
        <item x="21"/>
        <item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t="default"/>
      </items>
    </pivotField>
    <pivotField compact="0" outline="0" showAll="0"/>
    <pivotField compact="0" outline="0" showAll="0"/>
    <pivotField compact="0" outline="0" showAll="0"/>
    <pivotField dataField="1" compact="0" numFmtId="2" outline="0" showAll="0"/>
    <pivotField compact="0" numFmtId="2" outline="0" showAll="0"/>
    <pivotField compact="0" outline="0" showAll="0"/>
    <pivotField compact="0" numFmtId="2" outline="0" showAll="0"/>
    <pivotField compact="0" outline="0" showAll="0"/>
  </pivotFields>
  <rowFields count="1">
    <field x="0"/>
  </rowFields>
  <rowItems count="11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Sum of Real Personal Income (millions)_2014BP" fld="4" baseField="0" baseItem="0"/>
  </dataFields>
  <formats count="2">
    <format dxfId="12">
      <pivotArea type="all" dataOnly="0" outline="0" fieldPosition="0"/>
    </format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" cacheId="136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 chartFormat="1">
  <location ref="A3:D19" firstHeaderRow="1" firstDataRow="2" firstDataCol="1"/>
  <pivotFields count="7">
    <pivotField axis="axisRow" compact="0" outline="0" showAll="0">
      <items count="44">
        <item h="1" x="0"/>
        <item h="1" x="1"/>
        <item h="1" x="2"/>
        <item h="1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t="default"/>
      </items>
    </pivotField>
    <pivotField compact="0" outline="0" showAll="0"/>
    <pivotField compact="0" outline="0" showAll="0"/>
    <pivotField compact="0" outline="0" showAll="0"/>
    <pivotField dataField="1" compact="0" numFmtId="4" outline="0" showAll="0"/>
    <pivotField dataField="1" compact="0" numFmtId="4" outline="0" showAll="0"/>
    <pivotField dataField="1" compact="0" numFmtId="4" outline="0" showAll="0" defaultSubtotal="0"/>
  </pivotFields>
  <rowFields count="1">
    <field x="0"/>
  </rowFields>
  <rowItems count="15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ElecPrice" fld="4" subtotal="average" baseField="0" baseItem="0"/>
    <dataField name="Average of ElecPrice2" fld="5" subtotal="average" baseField="0" baseItem="0"/>
    <dataField name="Average of ElecPrice_2014BP" fld="6" subtotal="average" baseField="0" baseItem="10"/>
  </dataFields>
  <formats count="2">
    <format dxfId="9">
      <pivotArea type="all" dataOnly="0" outline="0" fieldPosition="0"/>
    </format>
    <format dxfId="8">
      <pivotArea outline="0" collapsedLevelsAreSubtotals="1" fieldPosition="0">
        <references count="1">
          <reference field="0" count="0" selected="0"/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137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 chartFormat="1">
  <location ref="A3:B23" firstHeaderRow="2" firstDataRow="2" firstDataCol="1"/>
  <pivotFields count="22">
    <pivotField axis="axisRow" compact="0" outline="0" showAll="0" defaultSubtotal="0">
      <items count="4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numFmtId="43" outline="0" showAll="0"/>
    <pivotField dataField="1" compact="0" numFmtId="43" outline="0" showAll="0"/>
    <pivotField compact="0" numFmtId="43" outline="0" showAll="0"/>
    <pivotField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43" outline="0" showAll="0" defaultSubtotal="0"/>
  </pivotFields>
  <rowFields count="1">
    <field x="0"/>
  </rowFields>
  <rowItems count="19"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Sum of HPHeat" fld="2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13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3:B29" firstHeaderRow="2" firstDataRow="2" firstDataCol="1"/>
  <pivotFields count="19"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compact="0" outline="0" showAll="0"/>
    <pivotField compact="0" numFmtId="167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numFmtId="167" outline="0" showAll="0"/>
    <pivotField compact="0" outline="0" showAll="0"/>
    <pivotField compact="0" outline="0" showAll="0"/>
    <pivotField compact="0" numFmtId="1" outline="0" showAll="0"/>
    <pivotField compact="0" numFmtId="1" outline="0" showAll="0"/>
    <pivotField compact="0" outline="0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Sum of Sales" fld="2" baseField="0" baseItem="11"/>
  </dataFields>
  <formats count="2">
    <format dxfId="1">
      <pivotArea type="all" dataOnly="0" outline="0" fieldPosition="0"/>
    </format>
    <format dxfId="0">
      <pivotArea outline="0" collapsedLevelsAreSubtotals="1" fieldPosition="0">
        <references count="1">
          <reference field="0" count="1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2" cacheId="13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 chartFormat="2">
  <location ref="G3:I29" firstHeaderRow="1" firstDataRow="2" firstDataCol="1"/>
  <pivotFields count="19"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compact="0" outline="0" showAll="0"/>
    <pivotField compact="0" numFmtId="167" outline="0" showAll="0"/>
    <pivotField compact="0" numFmtId="167" outline="0" showAll="0"/>
    <pivotField dataField="1" compact="0" outline="0" showAll="0"/>
    <pivotField dataField="1" compact="0" outline="0" showAll="0"/>
    <pivotField compact="0" outline="0" showAll="0"/>
    <pivotField compact="0" numFmtId="167" outline="0" showAll="0"/>
    <pivotField compact="0" outline="0" showAll="0"/>
    <pivotField compact="0" outline="0" showAll="0"/>
    <pivotField compact="0" numFmtId="1" outline="0" showAll="0"/>
    <pivotField compact="0" numFmtId="1" outline="0" showAll="0"/>
    <pivotField compact="0" outline="0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Customers_2012MTP" fld="10" subtotal="average" baseField="0" baseItem="7"/>
    <dataField name="Average of Customers" fld="11" subtotal="average" baseField="0" baseItem="5" numFmtId="167"/>
  </dataFields>
  <formats count="3">
    <format dxfId="4">
      <pivotArea type="all" dataOnly="0" outline="0" fieldPosition="0"/>
    </format>
    <format dxfId="3">
      <pivotArea outline="0" collapsedLevelsAreSubtotals="1" fieldPosition="0">
        <references count="1">
          <reference field="0" count="1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">
      <pivotArea outline="0" collapsedLevelsAreSubtotals="1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5.bin"/><Relationship Id="rId1" Type="http://schemas.openxmlformats.org/officeDocument/2006/relationships/pivotTable" Target="../pivotTables/pivotTable1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5"/>
  <sheetViews>
    <sheetView tabSelected="1" workbookViewId="0"/>
  </sheetViews>
  <sheetFormatPr defaultRowHeight="12.75" x14ac:dyDescent="0.2"/>
  <cols>
    <col min="2" max="2" width="23.85546875" bestFit="1" customWidth="1"/>
    <col min="3" max="3" width="88.28515625" bestFit="1" customWidth="1"/>
  </cols>
  <sheetData>
    <row r="3" spans="2:3" ht="15" x14ac:dyDescent="0.25">
      <c r="B3" s="7" t="s">
        <v>72</v>
      </c>
    </row>
    <row r="4" spans="2:3" x14ac:dyDescent="0.2">
      <c r="B4" t="s">
        <v>0</v>
      </c>
      <c r="C4" t="s">
        <v>113</v>
      </c>
    </row>
    <row r="5" spans="2:3" x14ac:dyDescent="0.2">
      <c r="B5" t="s">
        <v>1</v>
      </c>
      <c r="C5" t="s">
        <v>20</v>
      </c>
    </row>
    <row r="6" spans="2:3" x14ac:dyDescent="0.2">
      <c r="B6" t="s">
        <v>2</v>
      </c>
      <c r="C6" t="s">
        <v>21</v>
      </c>
    </row>
    <row r="7" spans="2:3" x14ac:dyDescent="0.2">
      <c r="B7" t="s">
        <v>3</v>
      </c>
      <c r="C7" t="s">
        <v>22</v>
      </c>
    </row>
    <row r="8" spans="2:3" x14ac:dyDescent="0.2">
      <c r="B8" t="s">
        <v>4</v>
      </c>
      <c r="C8" t="s">
        <v>23</v>
      </c>
    </row>
    <row r="9" spans="2:3" x14ac:dyDescent="0.2">
      <c r="B9" t="s">
        <v>5</v>
      </c>
      <c r="C9" t="s">
        <v>24</v>
      </c>
    </row>
    <row r="10" spans="2:3" x14ac:dyDescent="0.2">
      <c r="B10" t="s">
        <v>6</v>
      </c>
      <c r="C10" t="s">
        <v>25</v>
      </c>
    </row>
    <row r="11" spans="2:3" x14ac:dyDescent="0.2">
      <c r="B11" t="s">
        <v>7</v>
      </c>
      <c r="C11" t="s">
        <v>26</v>
      </c>
    </row>
    <row r="12" spans="2:3" x14ac:dyDescent="0.2">
      <c r="B12" t="s">
        <v>8</v>
      </c>
      <c r="C12" t="s">
        <v>27</v>
      </c>
    </row>
    <row r="13" spans="2:3" x14ac:dyDescent="0.2">
      <c r="B13" t="s">
        <v>9</v>
      </c>
      <c r="C13" t="s">
        <v>28</v>
      </c>
    </row>
    <row r="14" spans="2:3" x14ac:dyDescent="0.2">
      <c r="B14" t="s">
        <v>10</v>
      </c>
      <c r="C14" t="s">
        <v>29</v>
      </c>
    </row>
    <row r="15" spans="2:3" x14ac:dyDescent="0.2">
      <c r="B15" t="s">
        <v>11</v>
      </c>
      <c r="C15" t="s">
        <v>30</v>
      </c>
    </row>
    <row r="16" spans="2:3" x14ac:dyDescent="0.2">
      <c r="B16" t="s">
        <v>12</v>
      </c>
      <c r="C16" t="s">
        <v>31</v>
      </c>
    </row>
    <row r="17" spans="2:3" x14ac:dyDescent="0.2">
      <c r="B17" t="s">
        <v>100</v>
      </c>
      <c r="C17" t="s">
        <v>116</v>
      </c>
    </row>
    <row r="18" spans="2:3" x14ac:dyDescent="0.2">
      <c r="B18" t="s">
        <v>13</v>
      </c>
      <c r="C18" t="s">
        <v>32</v>
      </c>
    </row>
    <row r="19" spans="2:3" x14ac:dyDescent="0.2">
      <c r="B19" t="s">
        <v>14</v>
      </c>
      <c r="C19" t="s">
        <v>33</v>
      </c>
    </row>
    <row r="21" spans="2:3" ht="15" x14ac:dyDescent="0.25">
      <c r="B21" s="7" t="s">
        <v>34</v>
      </c>
    </row>
    <row r="22" spans="2:3" x14ac:dyDescent="0.2">
      <c r="B22" t="s">
        <v>16</v>
      </c>
      <c r="C22" t="s">
        <v>120</v>
      </c>
    </row>
    <row r="23" spans="2:3" x14ac:dyDescent="0.2">
      <c r="B23" t="s">
        <v>17</v>
      </c>
      <c r="C23" t="s">
        <v>121</v>
      </c>
    </row>
    <row r="24" spans="2:3" x14ac:dyDescent="0.2">
      <c r="B24" t="s">
        <v>5</v>
      </c>
      <c r="C24" t="s">
        <v>122</v>
      </c>
    </row>
    <row r="25" spans="2:3" x14ac:dyDescent="0.2">
      <c r="B25" t="s">
        <v>19</v>
      </c>
      <c r="C25" t="s">
        <v>123</v>
      </c>
    </row>
    <row r="28" spans="2:3" ht="15" x14ac:dyDescent="0.25">
      <c r="B28" s="7" t="s">
        <v>73</v>
      </c>
    </row>
    <row r="29" spans="2:3" x14ac:dyDescent="0.2">
      <c r="B29" t="s">
        <v>57</v>
      </c>
      <c r="C29" t="s">
        <v>57</v>
      </c>
    </row>
    <row r="30" spans="2:3" x14ac:dyDescent="0.2">
      <c r="B30" t="s">
        <v>58</v>
      </c>
      <c r="C30" t="s">
        <v>59</v>
      </c>
    </row>
    <row r="31" spans="2:3" x14ac:dyDescent="0.2">
      <c r="B31" t="s">
        <v>61</v>
      </c>
      <c r="C31" t="s">
        <v>63</v>
      </c>
    </row>
    <row r="32" spans="2:3" x14ac:dyDescent="0.2">
      <c r="B32" t="s">
        <v>62</v>
      </c>
      <c r="C32" t="s">
        <v>64</v>
      </c>
    </row>
    <row r="33" spans="2:3" x14ac:dyDescent="0.2">
      <c r="B33" t="s">
        <v>48</v>
      </c>
      <c r="C33" t="s">
        <v>65</v>
      </c>
    </row>
    <row r="34" spans="2:3" x14ac:dyDescent="0.2">
      <c r="B34" t="s">
        <v>66</v>
      </c>
      <c r="C34" t="s">
        <v>67</v>
      </c>
    </row>
    <row r="35" spans="2:3" x14ac:dyDescent="0.2">
      <c r="B35" t="s">
        <v>118</v>
      </c>
      <c r="C35" t="s">
        <v>119</v>
      </c>
    </row>
    <row r="36" spans="2:3" x14ac:dyDescent="0.2">
      <c r="B36" t="s">
        <v>68</v>
      </c>
      <c r="C36" t="s">
        <v>69</v>
      </c>
    </row>
    <row r="37" spans="2:3" x14ac:dyDescent="0.2">
      <c r="B37" t="s">
        <v>70</v>
      </c>
      <c r="C37" t="s">
        <v>71</v>
      </c>
    </row>
    <row r="39" spans="2:3" x14ac:dyDescent="0.2">
      <c r="B39" s="6" t="s">
        <v>82</v>
      </c>
    </row>
    <row r="40" spans="2:3" x14ac:dyDescent="0.2">
      <c r="B40" t="s">
        <v>83</v>
      </c>
      <c r="C40" t="s">
        <v>81</v>
      </c>
    </row>
    <row r="41" spans="2:3" x14ac:dyDescent="0.2">
      <c r="B41" t="s">
        <v>84</v>
      </c>
      <c r="C41" t="s">
        <v>92</v>
      </c>
    </row>
    <row r="42" spans="2:3" x14ac:dyDescent="0.2">
      <c r="B42" t="s">
        <v>85</v>
      </c>
      <c r="C42" t="s">
        <v>93</v>
      </c>
    </row>
    <row r="43" spans="2:3" x14ac:dyDescent="0.2">
      <c r="B43" t="s">
        <v>86</v>
      </c>
      <c r="C43" t="s">
        <v>94</v>
      </c>
    </row>
    <row r="44" spans="2:3" x14ac:dyDescent="0.2">
      <c r="B44" t="s">
        <v>87</v>
      </c>
      <c r="C44" t="s">
        <v>95</v>
      </c>
    </row>
    <row r="45" spans="2:3" x14ac:dyDescent="0.2">
      <c r="B45" t="s">
        <v>88</v>
      </c>
      <c r="C45" t="s">
        <v>96</v>
      </c>
    </row>
    <row r="46" spans="2:3" x14ac:dyDescent="0.2">
      <c r="B46" t="s">
        <v>89</v>
      </c>
      <c r="C46" t="s">
        <v>97</v>
      </c>
    </row>
    <row r="47" spans="2:3" x14ac:dyDescent="0.2">
      <c r="B47" t="s">
        <v>90</v>
      </c>
      <c r="C47" t="s">
        <v>98</v>
      </c>
    </row>
    <row r="48" spans="2:3" x14ac:dyDescent="0.2">
      <c r="B48" t="s">
        <v>91</v>
      </c>
      <c r="C48" t="s">
        <v>99</v>
      </c>
    </row>
    <row r="50" spans="3:3" x14ac:dyDescent="0.2">
      <c r="C50" s="6" t="s">
        <v>50</v>
      </c>
    </row>
    <row r="52" spans="3:3" x14ac:dyDescent="0.2">
      <c r="C52" s="13" t="s">
        <v>53</v>
      </c>
    </row>
    <row r="53" spans="3:3" x14ac:dyDescent="0.2">
      <c r="C53" s="10" t="s">
        <v>54</v>
      </c>
    </row>
    <row r="54" spans="3:3" x14ac:dyDescent="0.2">
      <c r="C54" s="11" t="s">
        <v>55</v>
      </c>
    </row>
    <row r="55" spans="3:3" x14ac:dyDescent="0.2">
      <c r="C55" s="12" t="s">
        <v>56</v>
      </c>
    </row>
  </sheetData>
  <phoneticPr fontId="0" type="noConversion"/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abSelected="1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5.85546875" customWidth="1"/>
    <col min="2" max="2" width="7" style="9" bestFit="1" customWidth="1"/>
    <col min="3" max="3" width="8.28515625" style="9" bestFit="1" customWidth="1"/>
    <col min="4" max="5" width="8.28515625" style="9" customWidth="1"/>
    <col min="6" max="6" width="7.28515625" style="9" bestFit="1" customWidth="1"/>
    <col min="7" max="7" width="8.28515625" style="9" bestFit="1" customWidth="1"/>
    <col min="8" max="8" width="8.28515625" style="9" customWidth="1"/>
    <col min="9" max="9" width="6.7109375" style="9" bestFit="1" customWidth="1"/>
    <col min="10" max="10" width="8.7109375" style="9" bestFit="1" customWidth="1"/>
    <col min="11" max="11" width="8.7109375" style="44" bestFit="1" customWidth="1"/>
    <col min="12" max="14" width="10.28515625" style="44" bestFit="1" customWidth="1"/>
    <col min="15" max="15" width="8.7109375" style="44" bestFit="1" customWidth="1"/>
    <col min="16" max="16" width="8.7109375" style="44" customWidth="1"/>
    <col min="17" max="17" width="8.7109375" style="44" bestFit="1" customWidth="1"/>
    <col min="18" max="18" width="8.7109375" style="44" customWidth="1"/>
    <col min="19" max="19" width="10.28515625" style="44" bestFit="1" customWidth="1"/>
    <col min="20" max="20" width="10.28515625" style="44" customWidth="1"/>
    <col min="21" max="21" width="8.7109375" style="44" bestFit="1" customWidth="1"/>
    <col min="22" max="22" width="8.7109375" style="44" customWidth="1"/>
    <col min="23" max="23" width="10.28515625" style="44" bestFit="1" customWidth="1"/>
    <col min="24" max="24" width="11.42578125" customWidth="1"/>
  </cols>
  <sheetData>
    <row r="1" spans="1:28" s="3" customFormat="1" x14ac:dyDescent="0.2">
      <c r="A1" s="18" t="s">
        <v>15</v>
      </c>
      <c r="B1" s="41" t="s">
        <v>0</v>
      </c>
      <c r="C1" s="41" t="s">
        <v>1</v>
      </c>
      <c r="D1" s="41" t="s">
        <v>164</v>
      </c>
      <c r="E1" s="41" t="s">
        <v>147</v>
      </c>
      <c r="F1" s="41" t="s">
        <v>2</v>
      </c>
      <c r="G1" s="41" t="s">
        <v>3</v>
      </c>
      <c r="H1" s="41" t="s">
        <v>166</v>
      </c>
      <c r="I1" s="41" t="s">
        <v>4</v>
      </c>
      <c r="J1" s="41" t="s">
        <v>5</v>
      </c>
      <c r="K1" s="37" t="s">
        <v>6</v>
      </c>
      <c r="L1" s="38" t="s">
        <v>7</v>
      </c>
      <c r="M1" s="38" t="s">
        <v>8</v>
      </c>
      <c r="N1" s="38" t="s">
        <v>9</v>
      </c>
      <c r="O1" s="37" t="s">
        <v>10</v>
      </c>
      <c r="P1" s="37" t="s">
        <v>230</v>
      </c>
      <c r="Q1" s="37" t="s">
        <v>11</v>
      </c>
      <c r="R1" s="37" t="s">
        <v>231</v>
      </c>
      <c r="S1" s="37" t="s">
        <v>12</v>
      </c>
      <c r="T1" s="37" t="s">
        <v>232</v>
      </c>
      <c r="U1" s="38" t="s">
        <v>100</v>
      </c>
      <c r="V1" s="38" t="s">
        <v>174</v>
      </c>
      <c r="W1" s="38" t="s">
        <v>13</v>
      </c>
      <c r="X1" s="215" t="s">
        <v>14</v>
      </c>
    </row>
    <row r="2" spans="1:28" hidden="1" x14ac:dyDescent="0.2">
      <c r="A2" s="24">
        <v>1995</v>
      </c>
      <c r="B2" s="114">
        <v>3.4119999999999999</v>
      </c>
      <c r="C2" s="118">
        <v>6.6145431549056699</v>
      </c>
      <c r="D2" s="118">
        <v>3.22</v>
      </c>
      <c r="E2" s="118">
        <v>672.80825918693779</v>
      </c>
      <c r="F2" s="118">
        <v>9.0326946012654545</v>
      </c>
      <c r="G2" s="118">
        <v>10.100210866762</v>
      </c>
      <c r="H2" s="118">
        <v>12.759999999999987</v>
      </c>
      <c r="I2" s="118">
        <v>8.2767889420950311</v>
      </c>
      <c r="J2" s="118">
        <v>0.86162231376373388</v>
      </c>
      <c r="K2" s="118">
        <v>332.28448403002676</v>
      </c>
      <c r="L2" s="118">
        <v>785.42382844601207</v>
      </c>
      <c r="M2" s="118">
        <v>706.88144560141018</v>
      </c>
      <c r="N2" s="118">
        <v>597.8861696134619</v>
      </c>
      <c r="O2" s="118">
        <v>516.35370934786215</v>
      </c>
      <c r="P2" s="281">
        <f t="shared" ref="P2:T10" si="0">P3</f>
        <v>0.50630267962829545</v>
      </c>
      <c r="Q2" s="118">
        <v>121.61550489098488</v>
      </c>
      <c r="R2" s="281">
        <f t="shared" si="0"/>
        <v>0.21055920001753098</v>
      </c>
      <c r="S2" s="118">
        <v>974.17608841809999</v>
      </c>
      <c r="T2" s="281">
        <f t="shared" si="0"/>
        <v>2.9082772397857122</v>
      </c>
      <c r="U2" s="118">
        <v>192.30104310978115</v>
      </c>
      <c r="V2" s="118">
        <v>417.63542342875638</v>
      </c>
      <c r="W2" s="118">
        <v>1994.4411425298797</v>
      </c>
      <c r="X2" s="216">
        <v>2905.497023945918</v>
      </c>
    </row>
    <row r="3" spans="1:28" hidden="1" x14ac:dyDescent="0.2">
      <c r="A3" s="24">
        <v>1996</v>
      </c>
      <c r="B3" s="114">
        <v>3.4119999999999999</v>
      </c>
      <c r="C3" s="122">
        <f>C2+((C$12-C$2)/10)</f>
        <v>6.6592920626215495</v>
      </c>
      <c r="D3" s="122">
        <f t="shared" ref="D3:W11" si="1">D2+((D$12-D$2)/10)</f>
        <v>3.2280000000000002</v>
      </c>
      <c r="E3" s="122">
        <f t="shared" si="1"/>
        <v>668.07399668742369</v>
      </c>
      <c r="F3" s="122">
        <f t="shared" si="1"/>
        <v>9.2506298859263261</v>
      </c>
      <c r="G3" s="122">
        <f t="shared" si="1"/>
        <v>10.242185675954905</v>
      </c>
      <c r="H3" s="122">
        <f t="shared" si="1"/>
        <v>12.863999999999988</v>
      </c>
      <c r="I3" s="122">
        <f t="shared" si="1"/>
        <v>8.396960714060187</v>
      </c>
      <c r="J3" s="122">
        <f t="shared" si="1"/>
        <v>0.86375195184880027</v>
      </c>
      <c r="K3" s="122">
        <f t="shared" si="1"/>
        <v>332.19678296536182</v>
      </c>
      <c r="L3" s="122">
        <f t="shared" si="1"/>
        <v>773.49978643912505</v>
      </c>
      <c r="M3" s="122">
        <f t="shared" si="1"/>
        <v>696.14980779521193</v>
      </c>
      <c r="N3" s="122">
        <f t="shared" si="1"/>
        <v>591.67097493347887</v>
      </c>
      <c r="O3" s="122">
        <f t="shared" si="1"/>
        <v>508.12395663771969</v>
      </c>
      <c r="P3" s="281">
        <f t="shared" si="0"/>
        <v>0.50630267962829545</v>
      </c>
      <c r="Q3" s="122">
        <f t="shared" si="1"/>
        <v>120.50651716030856</v>
      </c>
      <c r="R3" s="281">
        <f t="shared" si="0"/>
        <v>0.21055920001753098</v>
      </c>
      <c r="S3" s="122">
        <f t="shared" si="1"/>
        <v>969.00782764597238</v>
      </c>
      <c r="T3" s="281">
        <f t="shared" si="0"/>
        <v>2.9082772397857122</v>
      </c>
      <c r="U3" s="122">
        <f t="shared" si="1"/>
        <v>194.40733751914303</v>
      </c>
      <c r="V3" s="122">
        <f t="shared" si="1"/>
        <v>424.14445165734008</v>
      </c>
      <c r="W3" s="122">
        <f t="shared" si="1"/>
        <v>1995.9372186985383</v>
      </c>
      <c r="X3" s="217">
        <v>3007.1968255423126</v>
      </c>
      <c r="Y3" s="141"/>
      <c r="Z3" s="141"/>
      <c r="AA3" s="141"/>
      <c r="AB3" s="141"/>
    </row>
    <row r="4" spans="1:28" hidden="1" x14ac:dyDescent="0.2">
      <c r="A4" s="24">
        <v>1997</v>
      </c>
      <c r="B4" s="114">
        <v>3.4119999999999999</v>
      </c>
      <c r="C4" s="122">
        <f t="shared" ref="C4:C11" si="2">C3+((C$12-C$2)/10)</f>
        <v>6.7040409703374291</v>
      </c>
      <c r="D4" s="122">
        <f t="shared" si="1"/>
        <v>3.2360000000000002</v>
      </c>
      <c r="E4" s="122">
        <f t="shared" si="1"/>
        <v>663.33973418790958</v>
      </c>
      <c r="F4" s="122">
        <f t="shared" si="1"/>
        <v>9.4685651705871976</v>
      </c>
      <c r="G4" s="122">
        <f t="shared" si="1"/>
        <v>10.384160485147811</v>
      </c>
      <c r="H4" s="122">
        <f t="shared" si="1"/>
        <v>12.967999999999989</v>
      </c>
      <c r="I4" s="122">
        <f t="shared" si="1"/>
        <v>8.5171324860253428</v>
      </c>
      <c r="J4" s="122">
        <f t="shared" si="1"/>
        <v>0.86588158993386666</v>
      </c>
      <c r="K4" s="122">
        <f t="shared" si="1"/>
        <v>332.10908190069688</v>
      </c>
      <c r="L4" s="122">
        <f t="shared" si="1"/>
        <v>761.57574443223803</v>
      </c>
      <c r="M4" s="122">
        <f t="shared" si="1"/>
        <v>685.41816998901368</v>
      </c>
      <c r="N4" s="122">
        <f t="shared" si="1"/>
        <v>585.45578025349596</v>
      </c>
      <c r="O4" s="122">
        <f t="shared" si="1"/>
        <v>499.89420392757722</v>
      </c>
      <c r="P4" s="281">
        <f t="shared" si="0"/>
        <v>0.50630267962829545</v>
      </c>
      <c r="Q4" s="122">
        <f t="shared" si="1"/>
        <v>119.39752942963224</v>
      </c>
      <c r="R4" s="281">
        <f t="shared" si="0"/>
        <v>0.21055920001753098</v>
      </c>
      <c r="S4" s="122">
        <f t="shared" si="1"/>
        <v>963.83956687384477</v>
      </c>
      <c r="T4" s="281">
        <f t="shared" si="0"/>
        <v>2.9082772397857122</v>
      </c>
      <c r="U4" s="122">
        <f t="shared" si="1"/>
        <v>196.51363192850491</v>
      </c>
      <c r="V4" s="122">
        <f t="shared" si="1"/>
        <v>430.65347988592379</v>
      </c>
      <c r="W4" s="122">
        <f t="shared" si="1"/>
        <v>1997.433294867197</v>
      </c>
      <c r="X4" s="217">
        <v>3108.8966271387071</v>
      </c>
      <c r="Y4" s="141"/>
      <c r="Z4" s="141"/>
      <c r="AA4" s="141"/>
      <c r="AB4" s="141"/>
    </row>
    <row r="5" spans="1:28" hidden="1" x14ac:dyDescent="0.2">
      <c r="A5" s="24">
        <v>1998</v>
      </c>
      <c r="B5" s="114">
        <v>3.4119999999999999</v>
      </c>
      <c r="C5" s="122">
        <f t="shared" si="2"/>
        <v>6.7487898780533087</v>
      </c>
      <c r="D5" s="122">
        <f t="shared" si="1"/>
        <v>3.2440000000000002</v>
      </c>
      <c r="E5" s="122">
        <f t="shared" si="1"/>
        <v>658.60547168839548</v>
      </c>
      <c r="F5" s="122">
        <f t="shared" si="1"/>
        <v>9.6865004552480691</v>
      </c>
      <c r="G5" s="122">
        <f t="shared" si="1"/>
        <v>10.526135294340717</v>
      </c>
      <c r="H5" s="122">
        <f t="shared" si="1"/>
        <v>13.07199999999999</v>
      </c>
      <c r="I5" s="122">
        <f t="shared" si="1"/>
        <v>8.6373042579904986</v>
      </c>
      <c r="J5" s="122">
        <f t="shared" si="1"/>
        <v>0.86801122801893305</v>
      </c>
      <c r="K5" s="122">
        <f t="shared" si="1"/>
        <v>332.02138083603194</v>
      </c>
      <c r="L5" s="122">
        <f t="shared" si="1"/>
        <v>749.651702425351</v>
      </c>
      <c r="M5" s="122">
        <f t="shared" si="1"/>
        <v>674.68653218281543</v>
      </c>
      <c r="N5" s="122">
        <f t="shared" si="1"/>
        <v>579.24058557351304</v>
      </c>
      <c r="O5" s="122">
        <f t="shared" si="1"/>
        <v>491.66445121743476</v>
      </c>
      <c r="P5" s="281">
        <f t="shared" si="0"/>
        <v>0.50630267962829545</v>
      </c>
      <c r="Q5" s="122">
        <f t="shared" si="1"/>
        <v>118.28854169895592</v>
      </c>
      <c r="R5" s="281">
        <f t="shared" si="0"/>
        <v>0.21055920001753098</v>
      </c>
      <c r="S5" s="122">
        <f t="shared" si="1"/>
        <v>958.67130610171716</v>
      </c>
      <c r="T5" s="281">
        <f t="shared" si="0"/>
        <v>2.9082772397857122</v>
      </c>
      <c r="U5" s="122">
        <f t="shared" si="1"/>
        <v>198.61992633786679</v>
      </c>
      <c r="V5" s="122">
        <f t="shared" si="1"/>
        <v>437.16250811450749</v>
      </c>
      <c r="W5" s="122">
        <f t="shared" si="1"/>
        <v>1998.9293710358556</v>
      </c>
      <c r="X5" s="217">
        <v>3210.5964287351017</v>
      </c>
      <c r="Y5" s="141"/>
      <c r="Z5" s="141"/>
      <c r="AA5" s="141"/>
      <c r="AB5" s="141"/>
    </row>
    <row r="6" spans="1:28" hidden="1" x14ac:dyDescent="0.2">
      <c r="A6" s="24">
        <v>1999</v>
      </c>
      <c r="B6" s="114">
        <v>3.4119999999999999</v>
      </c>
      <c r="C6" s="122">
        <f t="shared" si="2"/>
        <v>6.7935387857691882</v>
      </c>
      <c r="D6" s="122">
        <f t="shared" si="1"/>
        <v>3.2520000000000002</v>
      </c>
      <c r="E6" s="122">
        <f t="shared" si="1"/>
        <v>653.87120918888138</v>
      </c>
      <c r="F6" s="122">
        <f t="shared" si="1"/>
        <v>9.9044357399089407</v>
      </c>
      <c r="G6" s="122">
        <f t="shared" si="1"/>
        <v>10.668110103533623</v>
      </c>
      <c r="H6" s="122">
        <f t="shared" si="1"/>
        <v>13.175999999999991</v>
      </c>
      <c r="I6" s="122">
        <f t="shared" si="1"/>
        <v>8.7574760299556544</v>
      </c>
      <c r="J6" s="122">
        <f t="shared" si="1"/>
        <v>0.87014086610399943</v>
      </c>
      <c r="K6" s="122">
        <f t="shared" si="1"/>
        <v>331.933679771367</v>
      </c>
      <c r="L6" s="122">
        <f t="shared" si="1"/>
        <v>737.72766041846398</v>
      </c>
      <c r="M6" s="122">
        <f t="shared" si="1"/>
        <v>663.95489437661718</v>
      </c>
      <c r="N6" s="122">
        <f t="shared" si="1"/>
        <v>573.02539089353013</v>
      </c>
      <c r="O6" s="122">
        <f t="shared" si="1"/>
        <v>483.4346985072923</v>
      </c>
      <c r="P6" s="281">
        <f t="shared" si="0"/>
        <v>0.50630267962829545</v>
      </c>
      <c r="Q6" s="122">
        <f t="shared" si="1"/>
        <v>117.17955396827961</v>
      </c>
      <c r="R6" s="281">
        <f t="shared" si="0"/>
        <v>0.21055920001753098</v>
      </c>
      <c r="S6" s="122">
        <f t="shared" si="1"/>
        <v>953.50304532958955</v>
      </c>
      <c r="T6" s="281">
        <f t="shared" si="0"/>
        <v>2.9082772397857122</v>
      </c>
      <c r="U6" s="122">
        <f t="shared" si="1"/>
        <v>200.72622074722867</v>
      </c>
      <c r="V6" s="122">
        <f t="shared" si="1"/>
        <v>443.67153634309119</v>
      </c>
      <c r="W6" s="122">
        <f t="shared" si="1"/>
        <v>2000.4254472045143</v>
      </c>
      <c r="X6" s="217">
        <v>3312.2962303314962</v>
      </c>
      <c r="Y6" s="141"/>
      <c r="Z6" s="141"/>
      <c r="AA6" s="141"/>
      <c r="AB6" s="141"/>
    </row>
    <row r="7" spans="1:28" hidden="1" x14ac:dyDescent="0.2">
      <c r="A7" s="24">
        <v>2000</v>
      </c>
      <c r="B7" s="114">
        <v>3.4119999999999999</v>
      </c>
      <c r="C7" s="122">
        <f t="shared" si="2"/>
        <v>6.8382876934850678</v>
      </c>
      <c r="D7" s="122">
        <f t="shared" si="1"/>
        <v>3.2600000000000002</v>
      </c>
      <c r="E7" s="122">
        <f t="shared" si="1"/>
        <v>649.13694668936728</v>
      </c>
      <c r="F7" s="122">
        <f t="shared" si="1"/>
        <v>10.122371024569812</v>
      </c>
      <c r="G7" s="122">
        <f t="shared" si="1"/>
        <v>10.810084912726529</v>
      </c>
      <c r="H7" s="122">
        <f t="shared" si="1"/>
        <v>13.279999999999992</v>
      </c>
      <c r="I7" s="122">
        <f t="shared" si="1"/>
        <v>8.8776478019208103</v>
      </c>
      <c r="J7" s="122">
        <f t="shared" si="1"/>
        <v>0.87227050418906582</v>
      </c>
      <c r="K7" s="122">
        <f t="shared" si="1"/>
        <v>331.84597870670206</v>
      </c>
      <c r="L7" s="122">
        <f t="shared" si="1"/>
        <v>725.80361841157696</v>
      </c>
      <c r="M7" s="122">
        <f t="shared" si="1"/>
        <v>653.22325657041893</v>
      </c>
      <c r="N7" s="122">
        <f t="shared" si="1"/>
        <v>566.81019621354721</v>
      </c>
      <c r="O7" s="122">
        <f t="shared" si="1"/>
        <v>475.20494579714983</v>
      </c>
      <c r="P7" s="281">
        <f t="shared" si="0"/>
        <v>0.50630267962829545</v>
      </c>
      <c r="Q7" s="122">
        <f t="shared" si="1"/>
        <v>116.07056623760329</v>
      </c>
      <c r="R7" s="281">
        <f t="shared" si="0"/>
        <v>0.21055920001753098</v>
      </c>
      <c r="S7" s="122">
        <f t="shared" si="1"/>
        <v>948.33478455746194</v>
      </c>
      <c r="T7" s="281">
        <f t="shared" si="0"/>
        <v>2.9082772397857122</v>
      </c>
      <c r="U7" s="122">
        <f t="shared" si="1"/>
        <v>202.83251515659055</v>
      </c>
      <c r="V7" s="122">
        <f t="shared" si="1"/>
        <v>450.18056457167489</v>
      </c>
      <c r="W7" s="122">
        <f t="shared" si="1"/>
        <v>2001.9215233731729</v>
      </c>
      <c r="X7" s="217">
        <v>3413.9960319278907</v>
      </c>
      <c r="Y7" s="141"/>
      <c r="Z7" s="141"/>
      <c r="AA7" s="141"/>
      <c r="AB7" s="141"/>
    </row>
    <row r="8" spans="1:28" x14ac:dyDescent="0.2">
      <c r="A8" s="24">
        <v>2001</v>
      </c>
      <c r="B8" s="112">
        <v>3.4119999999999999</v>
      </c>
      <c r="C8" s="122">
        <f t="shared" si="2"/>
        <v>6.8830366012009474</v>
      </c>
      <c r="D8" s="122">
        <f t="shared" si="1"/>
        <v>3.2680000000000002</v>
      </c>
      <c r="E8" s="122">
        <f t="shared" si="1"/>
        <v>644.40268418985318</v>
      </c>
      <c r="F8" s="122">
        <f t="shared" si="1"/>
        <v>10.340306309230684</v>
      </c>
      <c r="G8" s="122">
        <f t="shared" si="1"/>
        <v>10.952059721919435</v>
      </c>
      <c r="H8" s="122">
        <f t="shared" si="1"/>
        <v>13.383999999999993</v>
      </c>
      <c r="I8" s="122">
        <f t="shared" si="1"/>
        <v>8.9978195738859661</v>
      </c>
      <c r="J8" s="122">
        <f t="shared" si="1"/>
        <v>0.87440014227413221</v>
      </c>
      <c r="K8" s="122">
        <f t="shared" si="1"/>
        <v>331.75827764203711</v>
      </c>
      <c r="L8" s="122">
        <f t="shared" si="1"/>
        <v>713.87957640468994</v>
      </c>
      <c r="M8" s="122">
        <f t="shared" si="1"/>
        <v>642.49161876422068</v>
      </c>
      <c r="N8" s="122">
        <f t="shared" si="1"/>
        <v>560.5950015335643</v>
      </c>
      <c r="O8" s="122">
        <f t="shared" si="1"/>
        <v>466.97519308700737</v>
      </c>
      <c r="P8" s="281">
        <f t="shared" si="0"/>
        <v>0.50630267962829545</v>
      </c>
      <c r="Q8" s="122">
        <f t="shared" si="1"/>
        <v>114.96157850692697</v>
      </c>
      <c r="R8" s="281">
        <f t="shared" si="0"/>
        <v>0.21055920001753098</v>
      </c>
      <c r="S8" s="122">
        <f t="shared" si="1"/>
        <v>943.16652378533433</v>
      </c>
      <c r="T8" s="281">
        <f t="shared" si="0"/>
        <v>2.9082772397857122</v>
      </c>
      <c r="U8" s="122">
        <f t="shared" si="1"/>
        <v>204.93880956595243</v>
      </c>
      <c r="V8" s="122">
        <f t="shared" si="1"/>
        <v>456.68959280025859</v>
      </c>
      <c r="W8" s="122">
        <f t="shared" si="1"/>
        <v>2003.4175995418316</v>
      </c>
      <c r="X8" s="217">
        <v>3515.6958335242853</v>
      </c>
      <c r="Y8" s="141"/>
      <c r="Z8" s="141"/>
      <c r="AA8" s="141"/>
      <c r="AB8" s="141"/>
    </row>
    <row r="9" spans="1:28" x14ac:dyDescent="0.2">
      <c r="A9" s="24">
        <v>2002</v>
      </c>
      <c r="B9" s="112">
        <v>3.4119999999999999</v>
      </c>
      <c r="C9" s="122">
        <f t="shared" si="2"/>
        <v>6.927785508916827</v>
      </c>
      <c r="D9" s="122">
        <f t="shared" si="1"/>
        <v>3.2760000000000002</v>
      </c>
      <c r="E9" s="122">
        <f t="shared" si="1"/>
        <v>639.66842169033907</v>
      </c>
      <c r="F9" s="122">
        <f t="shared" si="1"/>
        <v>10.558241593891555</v>
      </c>
      <c r="G9" s="122">
        <f t="shared" si="1"/>
        <v>11.094034531112341</v>
      </c>
      <c r="H9" s="122">
        <f t="shared" si="1"/>
        <v>13.487999999999994</v>
      </c>
      <c r="I9" s="122">
        <f t="shared" si="1"/>
        <v>9.1179913458511219</v>
      </c>
      <c r="J9" s="122">
        <f t="shared" si="1"/>
        <v>0.8765297803591986</v>
      </c>
      <c r="K9" s="122">
        <f t="shared" si="1"/>
        <v>331.67057657737217</v>
      </c>
      <c r="L9" s="122">
        <f t="shared" si="1"/>
        <v>701.95553439780292</v>
      </c>
      <c r="M9" s="122">
        <f t="shared" si="1"/>
        <v>631.75998095802242</v>
      </c>
      <c r="N9" s="122">
        <f t="shared" si="1"/>
        <v>554.37980685358139</v>
      </c>
      <c r="O9" s="122">
        <f t="shared" si="1"/>
        <v>458.74544037686491</v>
      </c>
      <c r="P9" s="281">
        <f t="shared" si="0"/>
        <v>0.50630267962829545</v>
      </c>
      <c r="Q9" s="122">
        <f t="shared" si="1"/>
        <v>113.85259077625065</v>
      </c>
      <c r="R9" s="281">
        <f t="shared" si="0"/>
        <v>0.21055920001753098</v>
      </c>
      <c r="S9" s="122">
        <f t="shared" si="1"/>
        <v>937.99826301320672</v>
      </c>
      <c r="T9" s="281">
        <f t="shared" si="0"/>
        <v>2.9082772397857122</v>
      </c>
      <c r="U9" s="122">
        <f t="shared" si="1"/>
        <v>207.0451039753143</v>
      </c>
      <c r="V9" s="122">
        <f t="shared" si="1"/>
        <v>463.1986210288423</v>
      </c>
      <c r="W9" s="122">
        <f t="shared" si="1"/>
        <v>2004.9136757104902</v>
      </c>
      <c r="X9" s="217">
        <v>3617.3956351206798</v>
      </c>
      <c r="Y9" s="141"/>
      <c r="Z9" s="141"/>
      <c r="AA9" s="141"/>
      <c r="AB9" s="141"/>
    </row>
    <row r="10" spans="1:28" x14ac:dyDescent="0.2">
      <c r="A10" s="24">
        <v>2003</v>
      </c>
      <c r="B10" s="112">
        <v>3.4119999999999999</v>
      </c>
      <c r="C10" s="122">
        <f t="shared" si="2"/>
        <v>6.9725344166327066</v>
      </c>
      <c r="D10" s="122">
        <f t="shared" si="1"/>
        <v>3.2840000000000003</v>
      </c>
      <c r="E10" s="122">
        <f t="shared" si="1"/>
        <v>634.93415919082497</v>
      </c>
      <c r="F10" s="122">
        <f t="shared" si="1"/>
        <v>10.776176878552427</v>
      </c>
      <c r="G10" s="122">
        <f t="shared" si="1"/>
        <v>11.236009340305246</v>
      </c>
      <c r="H10" s="122">
        <f t="shared" si="1"/>
        <v>13.591999999999995</v>
      </c>
      <c r="I10" s="122">
        <f t="shared" si="1"/>
        <v>9.2381631178162777</v>
      </c>
      <c r="J10" s="122">
        <f t="shared" si="1"/>
        <v>0.87865941844426498</v>
      </c>
      <c r="K10" s="122">
        <f t="shared" si="1"/>
        <v>331.58287551270723</v>
      </c>
      <c r="L10" s="122">
        <f t="shared" si="1"/>
        <v>690.0314923909159</v>
      </c>
      <c r="M10" s="122">
        <f t="shared" si="1"/>
        <v>621.02834315182417</v>
      </c>
      <c r="N10" s="122">
        <f t="shared" si="1"/>
        <v>548.16461217359847</v>
      </c>
      <c r="O10" s="122">
        <f t="shared" si="1"/>
        <v>450.51568766672244</v>
      </c>
      <c r="P10" s="281">
        <f t="shared" si="0"/>
        <v>0.50630267962829545</v>
      </c>
      <c r="Q10" s="122">
        <f t="shared" si="1"/>
        <v>112.74360304557433</v>
      </c>
      <c r="R10" s="281">
        <f t="shared" si="0"/>
        <v>0.21055920001753098</v>
      </c>
      <c r="S10" s="122">
        <f t="shared" si="1"/>
        <v>932.83000224107911</v>
      </c>
      <c r="T10" s="281">
        <f t="shared" si="0"/>
        <v>2.9082772397857122</v>
      </c>
      <c r="U10" s="122">
        <f t="shared" si="1"/>
        <v>209.15139838467618</v>
      </c>
      <c r="V10" s="122">
        <f t="shared" si="1"/>
        <v>469.707649257426</v>
      </c>
      <c r="W10" s="122">
        <f t="shared" si="1"/>
        <v>2006.4097518791489</v>
      </c>
      <c r="X10" s="217">
        <v>3719.0954367170743</v>
      </c>
      <c r="Y10" s="141"/>
      <c r="Z10" s="141"/>
      <c r="AA10" s="141"/>
      <c r="AB10" s="141"/>
    </row>
    <row r="11" spans="1:28" x14ac:dyDescent="0.2">
      <c r="A11" s="24">
        <v>2004</v>
      </c>
      <c r="B11" s="112">
        <v>3.4119999999999999</v>
      </c>
      <c r="C11" s="122">
        <f t="shared" si="2"/>
        <v>7.0172833243485861</v>
      </c>
      <c r="D11" s="122">
        <f t="shared" si="1"/>
        <v>3.2920000000000003</v>
      </c>
      <c r="E11" s="122">
        <f t="shared" si="1"/>
        <v>630.19989669131087</v>
      </c>
      <c r="F11" s="122">
        <f t="shared" si="1"/>
        <v>10.994112163213298</v>
      </c>
      <c r="G11" s="122">
        <f t="shared" si="1"/>
        <v>11.377984149498152</v>
      </c>
      <c r="H11" s="122">
        <f t="shared" si="1"/>
        <v>13.695999999999996</v>
      </c>
      <c r="I11" s="122">
        <f t="shared" si="1"/>
        <v>9.3583348897814336</v>
      </c>
      <c r="J11" s="122">
        <f t="shared" si="1"/>
        <v>0.88078905652933137</v>
      </c>
      <c r="K11" s="122">
        <f t="shared" si="1"/>
        <v>331.49517444804229</v>
      </c>
      <c r="L11" s="122">
        <f t="shared" si="1"/>
        <v>678.10745038402888</v>
      </c>
      <c r="M11" s="122">
        <f t="shared" si="1"/>
        <v>610.29670534562592</v>
      </c>
      <c r="N11" s="122">
        <f t="shared" si="1"/>
        <v>541.94941749361556</v>
      </c>
      <c r="O11" s="122">
        <f t="shared" si="1"/>
        <v>442.28593495657998</v>
      </c>
      <c r="P11" s="281">
        <f>P12</f>
        <v>0.50630267962829545</v>
      </c>
      <c r="Q11" s="122">
        <f t="shared" si="1"/>
        <v>111.63461531489801</v>
      </c>
      <c r="R11" s="281">
        <f>R12</f>
        <v>0.21055920001753098</v>
      </c>
      <c r="S11" s="122">
        <f t="shared" si="1"/>
        <v>927.6617414689515</v>
      </c>
      <c r="T11" s="281">
        <f>T12</f>
        <v>2.9082772397857122</v>
      </c>
      <c r="U11" s="122">
        <f t="shared" si="1"/>
        <v>211.25769279403806</v>
      </c>
      <c r="V11" s="122">
        <f t="shared" si="1"/>
        <v>476.2166774860097</v>
      </c>
      <c r="W11" s="122">
        <f t="shared" si="1"/>
        <v>2007.9058280478075</v>
      </c>
      <c r="X11" s="217">
        <v>3820.7952383134689</v>
      </c>
      <c r="Y11" s="141"/>
      <c r="Z11" s="141"/>
      <c r="AA11" s="141"/>
      <c r="AB11" s="141"/>
    </row>
    <row r="12" spans="1:28" x14ac:dyDescent="0.2">
      <c r="A12" s="24">
        <v>2005</v>
      </c>
      <c r="B12" s="112">
        <v>3.4119999999999999</v>
      </c>
      <c r="C12" s="112">
        <f>'KU EIAData'!B4</f>
        <v>7.0620322320644684</v>
      </c>
      <c r="D12" s="112">
        <f>'KU EIAData'!C4</f>
        <v>3.3</v>
      </c>
      <c r="E12" s="112">
        <f>'KU EIAData'!D4</f>
        <v>625.46563419179665</v>
      </c>
      <c r="F12" s="112">
        <f>'KU EIAData'!G4</f>
        <v>11.212047447874177</v>
      </c>
      <c r="G12" s="112">
        <f>'KU EIAData'!E4</f>
        <v>11.519958958691054</v>
      </c>
      <c r="H12" s="112">
        <f>'KU EIAData'!F4</f>
        <v>13.8</v>
      </c>
      <c r="I12" s="112">
        <f>'KU EIAData'!H4</f>
        <v>9.4785066617465841</v>
      </c>
      <c r="J12" s="112">
        <f>'KU EIAData'!I4</f>
        <v>0.88291869461439743</v>
      </c>
      <c r="K12" s="112">
        <f>'KU EIAData'!L4</f>
        <v>331.40747338337758</v>
      </c>
      <c r="L12" s="112">
        <f>'KU EIAData'!J4</f>
        <v>666.18340837714163</v>
      </c>
      <c r="M12" s="112">
        <f t="shared" ref="M12:M37" si="3">L12*0.9</f>
        <v>599.56506753942745</v>
      </c>
      <c r="N12" s="112">
        <f>'KU EIAData'!K4</f>
        <v>535.73422281363219</v>
      </c>
      <c r="O12" s="112">
        <f>'KU EIAData'!M4</f>
        <v>434.05618224643769</v>
      </c>
      <c r="P12" s="112">
        <f>'KU EIAData'!N4</f>
        <v>0.50630267962829545</v>
      </c>
      <c r="Q12" s="112">
        <f>'KU EIAData'!O4</f>
        <v>110.52562758422165</v>
      </c>
      <c r="R12" s="112">
        <f>'KU EIAData'!P4</f>
        <v>0.21055920001753098</v>
      </c>
      <c r="S12" s="112">
        <f>'KU EIAData'!Q4</f>
        <v>922.49348069682435</v>
      </c>
      <c r="T12" s="112">
        <f>'KU EIAData'!R4</f>
        <v>2.9082772397857122</v>
      </c>
      <c r="U12" s="112">
        <f>'KU EIAData'!S4</f>
        <v>213.36398720339992</v>
      </c>
      <c r="V12" s="112">
        <f>'KU EIAData'!T4</f>
        <v>482.72570571459363</v>
      </c>
      <c r="W12" s="112">
        <f>'KU EIAData'!U4</f>
        <v>2009.4019042164659</v>
      </c>
      <c r="X12" s="222">
        <f>'KU EIAData'!V4</f>
        <v>3997.88904540354</v>
      </c>
      <c r="Y12" s="143"/>
      <c r="Z12" s="143"/>
      <c r="AA12" s="143"/>
      <c r="AB12" s="143"/>
    </row>
    <row r="13" spans="1:28" x14ac:dyDescent="0.2">
      <c r="A13" s="24">
        <v>2006</v>
      </c>
      <c r="B13" s="112">
        <v>3.4119999999999999</v>
      </c>
      <c r="C13" s="112">
        <f>'KU EIAData'!B5</f>
        <v>7.1493184332678767</v>
      </c>
      <c r="D13" s="112">
        <f>'KU EIAData'!C5</f>
        <v>3.3058230000000002</v>
      </c>
      <c r="E13" s="112">
        <v>608.1527330872525</v>
      </c>
      <c r="F13" s="112">
        <f>'KU EIAData'!G5</f>
        <v>11.442723164233163</v>
      </c>
      <c r="G13" s="112">
        <f>'KU EIAData'!E5</f>
        <v>11.731493674165527</v>
      </c>
      <c r="H13" s="112">
        <f>'KU EIAData'!F5</f>
        <v>13.899820999999999</v>
      </c>
      <c r="I13" s="112">
        <f>'KU EIAData'!H5</f>
        <v>9.5562644541554054</v>
      </c>
      <c r="J13" s="112">
        <f>'KU EIAData'!I5</f>
        <v>0.88541958974073087</v>
      </c>
      <c r="K13" s="112">
        <f>'KU EIAData'!L5</f>
        <v>331.11462444562341</v>
      </c>
      <c r="L13" s="112">
        <f>'KU EIAData'!J5</f>
        <v>653.83637638858977</v>
      </c>
      <c r="M13" s="112">
        <f t="shared" si="3"/>
        <v>588.45273874973077</v>
      </c>
      <c r="N13" s="112">
        <f>'KU EIAData'!K5</f>
        <v>530.40085896318101</v>
      </c>
      <c r="O13" s="112">
        <f>'KU EIAData'!M5</f>
        <v>432.91685803373963</v>
      </c>
      <c r="P13" s="112">
        <f>'KU EIAData'!N5</f>
        <v>0.50660310677323339</v>
      </c>
      <c r="Q13" s="112">
        <v>108.28898047912446</v>
      </c>
      <c r="R13" s="112">
        <f>'KU EIAData'!P5</f>
        <v>0.20941513069962472</v>
      </c>
      <c r="S13" s="142">
        <v>908.94754083650048</v>
      </c>
      <c r="T13" s="112">
        <f>'KU EIAData'!R5</f>
        <v>2.9223544711117975</v>
      </c>
      <c r="U13" s="112">
        <v>224.21212322543218</v>
      </c>
      <c r="V13" s="112">
        <v>494.96475916607523</v>
      </c>
      <c r="W13" s="112">
        <f>'KU EIAData'!U5</f>
        <v>1985.1797483947332</v>
      </c>
      <c r="X13" s="222">
        <f>'KU EIAData'!V5</f>
        <v>4248.1497410769371</v>
      </c>
    </row>
    <row r="14" spans="1:28" x14ac:dyDescent="0.2">
      <c r="A14" s="24">
        <v>2007</v>
      </c>
      <c r="B14" s="112">
        <v>3.4119999999999999</v>
      </c>
      <c r="C14" s="112">
        <f>'KU EIAData'!B6</f>
        <v>7.2376834855257917</v>
      </c>
      <c r="D14" s="112">
        <f>'KU EIAData'!C6</f>
        <v>3.3084030000000002</v>
      </c>
      <c r="E14" s="112">
        <v>590.83983198270835</v>
      </c>
      <c r="F14" s="112">
        <f>'KU EIAData'!G6</f>
        <v>11.678144783279871</v>
      </c>
      <c r="G14" s="112">
        <f>'KU EIAData'!E6</f>
        <v>11.946912686104191</v>
      </c>
      <c r="H14" s="112">
        <f>'KU EIAData'!F6</f>
        <v>13.959336</v>
      </c>
      <c r="I14" s="112">
        <f>'KU EIAData'!H6</f>
        <v>9.6346601396940272</v>
      </c>
      <c r="J14" s="112">
        <f>'KU EIAData'!I6</f>
        <v>0.88792756873160483</v>
      </c>
      <c r="K14" s="112">
        <f>'KU EIAData'!L6</f>
        <v>330.91645306583194</v>
      </c>
      <c r="L14" s="112">
        <f>'KU EIAData'!J6</f>
        <v>641.71818408143679</v>
      </c>
      <c r="M14" s="112">
        <f t="shared" si="3"/>
        <v>577.54636567329317</v>
      </c>
      <c r="N14" s="112">
        <f>'KU EIAData'!K6</f>
        <v>525.12059004068112</v>
      </c>
      <c r="O14" s="112">
        <f>'KU EIAData'!M6</f>
        <v>432.91899720505887</v>
      </c>
      <c r="P14" s="112">
        <f>'KU EIAData'!N6</f>
        <v>0.50690371218400532</v>
      </c>
      <c r="Q14" s="112">
        <v>106.05233337402728</v>
      </c>
      <c r="R14" s="112">
        <f>'KU EIAData'!P6</f>
        <v>0.20827727766010509</v>
      </c>
      <c r="S14" s="142">
        <v>895.40160097617661</v>
      </c>
      <c r="T14" s="112">
        <f>'KU EIAData'!R6</f>
        <v>2.9364998418982808</v>
      </c>
      <c r="U14" s="112">
        <v>223.92250793456233</v>
      </c>
      <c r="V14" s="112">
        <v>507.20381261755682</v>
      </c>
      <c r="W14" s="112">
        <f>'KU EIAData'!U6</f>
        <v>1939.9335923414326</v>
      </c>
      <c r="X14" s="222">
        <f>'KU EIAData'!V6</f>
        <v>4571.464236516189</v>
      </c>
    </row>
    <row r="15" spans="1:28" x14ac:dyDescent="0.2">
      <c r="A15" s="24">
        <v>2008</v>
      </c>
      <c r="B15" s="112">
        <v>3.4119999999999999</v>
      </c>
      <c r="C15" s="112">
        <f>'KU EIAData'!B7</f>
        <v>7.2955227821573905</v>
      </c>
      <c r="D15" s="112">
        <f>'KU EIAData'!C7</f>
        <v>3.3115579999999998</v>
      </c>
      <c r="E15" s="112">
        <v>573.52693087816419</v>
      </c>
      <c r="F15" s="112">
        <f>'KU EIAData'!G7</f>
        <v>11.882268005355439</v>
      </c>
      <c r="G15" s="112">
        <f>'KU EIAData'!E7</f>
        <v>12.091365945217705</v>
      </c>
      <c r="H15" s="112">
        <f>'KU EIAData'!F7</f>
        <v>14.011077</v>
      </c>
      <c r="I15" s="112">
        <f>'KU EIAData'!H7</f>
        <v>9.7236867825604634</v>
      </c>
      <c r="J15" s="112">
        <f>'KU EIAData'!I7</f>
        <v>0.89003327185459302</v>
      </c>
      <c r="K15" s="112">
        <f>'KU EIAData'!L7</f>
        <v>331.29103268549198</v>
      </c>
      <c r="L15" s="112">
        <f>'KU EIAData'!J7</f>
        <v>631.02578946127517</v>
      </c>
      <c r="M15" s="112">
        <f t="shared" si="3"/>
        <v>567.92321051514762</v>
      </c>
      <c r="N15" s="112">
        <f>'KU EIAData'!K7</f>
        <v>520.34729348969699</v>
      </c>
      <c r="O15" s="112">
        <f>'KU EIAData'!M7</f>
        <v>434.43420898297279</v>
      </c>
      <c r="P15" s="112">
        <f>'KU EIAData'!N7</f>
        <v>0.50754218591186639</v>
      </c>
      <c r="Q15" s="112">
        <v>103.81568626893011</v>
      </c>
      <c r="R15" s="112">
        <f>'KU EIAData'!P7</f>
        <v>0.19934228048964761</v>
      </c>
      <c r="S15" s="142">
        <v>881.85566111585274</v>
      </c>
      <c r="T15" s="112">
        <f>'KU EIAData'!R7</f>
        <v>2.9476308294004077</v>
      </c>
      <c r="U15" s="112">
        <v>223.63289264369249</v>
      </c>
      <c r="V15" s="112">
        <v>519.44286606903836</v>
      </c>
      <c r="W15" s="112">
        <f>'KU EIAData'!U7</f>
        <v>1902.3936931178162</v>
      </c>
      <c r="X15" s="222">
        <f>'KU EIAData'!V7</f>
        <v>4808.0565437272035</v>
      </c>
    </row>
    <row r="16" spans="1:28" x14ac:dyDescent="0.2">
      <c r="A16" s="24">
        <v>2009</v>
      </c>
      <c r="B16" s="112">
        <v>3.4119999999999999</v>
      </c>
      <c r="C16" s="112">
        <f>'KU EIAData'!B8</f>
        <v>7.4271160297289596</v>
      </c>
      <c r="D16" s="112">
        <f>'KU EIAData'!C8</f>
        <v>3.3173560000000002</v>
      </c>
      <c r="E16" s="112">
        <v>556.21402977362004</v>
      </c>
      <c r="F16" s="112">
        <f>'KU EIAData'!G8</f>
        <v>12.256263390646293</v>
      </c>
      <c r="G16" s="112">
        <f>'KU EIAData'!E8</f>
        <v>12.45351991577868</v>
      </c>
      <c r="H16" s="112">
        <f>'KU EIAData'!F8</f>
        <v>14.066179</v>
      </c>
      <c r="I16" s="112">
        <f>'KU EIAData'!H8</f>
        <v>9.8182594505674103</v>
      </c>
      <c r="J16" s="112">
        <f>'KU EIAData'!I8</f>
        <v>0.89241345643186221</v>
      </c>
      <c r="K16" s="112">
        <f>'KU EIAData'!L8</f>
        <v>330.09551519454595</v>
      </c>
      <c r="L16" s="112">
        <f>'KU EIAData'!J8</f>
        <v>621.16119108692885</v>
      </c>
      <c r="M16" s="112">
        <f t="shared" si="3"/>
        <v>559.04507197823602</v>
      </c>
      <c r="N16" s="112">
        <f>'KU EIAData'!K8</f>
        <v>516.5742803585739</v>
      </c>
      <c r="O16" s="112">
        <f>'KU EIAData'!M8</f>
        <v>434.42156713561747</v>
      </c>
      <c r="P16" s="112">
        <f>'KU EIAData'!N8</f>
        <v>0.50694008742972219</v>
      </c>
      <c r="Q16" s="112">
        <v>101.57903916383293</v>
      </c>
      <c r="R16" s="112">
        <f>'KU EIAData'!P8</f>
        <v>0.19438923324825755</v>
      </c>
      <c r="S16" s="142">
        <v>868.30972125552887</v>
      </c>
      <c r="T16" s="112">
        <f>'KU EIAData'!R8</f>
        <v>2.9592860868799247</v>
      </c>
      <c r="U16" s="112">
        <v>223.34327735282264</v>
      </c>
      <c r="V16" s="112">
        <v>531.68191952051995</v>
      </c>
      <c r="W16" s="112">
        <f>'KU EIAData'!U8</f>
        <v>1850.3865646921006</v>
      </c>
      <c r="X16" s="222">
        <f>'KU EIAData'!V8</f>
        <v>4671.1573105174311</v>
      </c>
    </row>
    <row r="17" spans="1:25" x14ac:dyDescent="0.2">
      <c r="A17" s="24">
        <v>2010</v>
      </c>
      <c r="B17" s="112">
        <v>3.4119999999999999</v>
      </c>
      <c r="C17" s="112">
        <f>'KU EIAData'!B9</f>
        <v>7.4697073514413974</v>
      </c>
      <c r="D17" s="112">
        <f>'KU EIAData'!C9</f>
        <v>3.3234880000000002</v>
      </c>
      <c r="E17" s="112">
        <v>538.90112866907589</v>
      </c>
      <c r="F17" s="112">
        <f>'KU EIAData'!G9</f>
        <v>12.571036444997583</v>
      </c>
      <c r="G17" s="112">
        <f>'KU EIAData'!E9</f>
        <v>12.564630926138568</v>
      </c>
      <c r="H17" s="112">
        <f>'KU EIAData'!F9</f>
        <v>14.118752000000001</v>
      </c>
      <c r="I17" s="112">
        <f>'KU EIAData'!H9</f>
        <v>9.9223769513750497</v>
      </c>
      <c r="J17" s="112">
        <f>'KU EIAData'!I9</f>
        <v>0.8942953872890933</v>
      </c>
      <c r="K17" s="112">
        <f>'KU EIAData'!L9</f>
        <v>330.07492524795077</v>
      </c>
      <c r="L17" s="112">
        <f>'KU EIAData'!J9</f>
        <v>612.69932999556579</v>
      </c>
      <c r="M17" s="112">
        <f t="shared" si="3"/>
        <v>551.42939699600925</v>
      </c>
      <c r="N17" s="112">
        <f>'KU EIAData'!K9</f>
        <v>513.86544850921223</v>
      </c>
      <c r="O17" s="112">
        <f>'KU EIAData'!M9</f>
        <v>427.94894804679029</v>
      </c>
      <c r="P17" s="112">
        <f>'KU EIAData'!N9</f>
        <v>0.52578970168718486</v>
      </c>
      <c r="Q17" s="112">
        <v>99.342392058735754</v>
      </c>
      <c r="R17" s="112">
        <f>'KU EIAData'!P9</f>
        <v>0.18993085768766216</v>
      </c>
      <c r="S17" s="142">
        <v>854.763781395205</v>
      </c>
      <c r="T17" s="112">
        <f>'KU EIAData'!R9</f>
        <v>2.9703023476011494</v>
      </c>
      <c r="U17" s="112">
        <v>223.05366206195279</v>
      </c>
      <c r="V17" s="112">
        <v>543.92097297200155</v>
      </c>
      <c r="W17" s="112">
        <f>'KU EIAData'!U9</f>
        <v>1809.2759994356122</v>
      </c>
      <c r="X17" s="222">
        <f>'KU EIAData'!V9</f>
        <v>4821.2668852520537</v>
      </c>
    </row>
    <row r="18" spans="1:25" x14ac:dyDescent="0.2">
      <c r="A18" s="24">
        <v>2011</v>
      </c>
      <c r="B18" s="112">
        <v>3.4119999999999999</v>
      </c>
      <c r="C18" s="112">
        <f>'KU EIAData'!B10</f>
        <v>7.5039452036262126</v>
      </c>
      <c r="D18" s="112">
        <f>'KU EIAData'!C10</f>
        <v>3.3268019999999998</v>
      </c>
      <c r="E18" s="112">
        <f>'KU EIAData'!D10</f>
        <v>509.06540927287637</v>
      </c>
      <c r="F18" s="112">
        <f>'KU EIAData'!G10</f>
        <v>12.729062875895734</v>
      </c>
      <c r="G18" s="112">
        <f>'KU EIAData'!E10</f>
        <v>12.62696153156714</v>
      </c>
      <c r="H18" s="112">
        <f>'KU EIAData'!F10</f>
        <v>14.155542000000001</v>
      </c>
      <c r="I18" s="112">
        <f>'KU EIAData'!H10</f>
        <v>10.014895603620875</v>
      </c>
      <c r="J18" s="112">
        <f>'KU EIAData'!I10</f>
        <v>0.89590851843833308</v>
      </c>
      <c r="K18" s="112">
        <f>'KU EIAData'!L10</f>
        <v>328.92853911352898</v>
      </c>
      <c r="L18" s="112">
        <f>'KU EIAData'!J10</f>
        <v>607.12058353685688</v>
      </c>
      <c r="M18" s="112">
        <f t="shared" si="3"/>
        <v>546.40852518317126</v>
      </c>
      <c r="N18" s="112">
        <f>'KU EIAData'!K10</f>
        <v>512.49681530582814</v>
      </c>
      <c r="O18" s="112">
        <f>'KU EIAData'!M10</f>
        <v>421.96543094946509</v>
      </c>
      <c r="P18" s="112">
        <f>'KU EIAData'!N10</f>
        <v>0.53176039636694084</v>
      </c>
      <c r="Q18" s="112">
        <f>'KU EIAData'!O10</f>
        <v>100.48012012401459</v>
      </c>
      <c r="R18" s="112">
        <f>'KU EIAData'!P10</f>
        <v>0.19154403089005587</v>
      </c>
      <c r="S18" s="142">
        <v>841.21784153488113</v>
      </c>
      <c r="T18" s="112">
        <f>'KU EIAData'!R10</f>
        <v>2.9819524428930975</v>
      </c>
      <c r="U18" s="112">
        <v>222.76404677108295</v>
      </c>
      <c r="V18" s="112">
        <v>556.16002642348315</v>
      </c>
      <c r="W18" s="112">
        <f>'KU EIAData'!U10</f>
        <v>1731.6968882082508</v>
      </c>
      <c r="X18" s="222">
        <f>'KU EIAData'!V10</f>
        <v>4753.8685520336949</v>
      </c>
    </row>
    <row r="19" spans="1:25" x14ac:dyDescent="0.2">
      <c r="A19" s="24">
        <v>2012</v>
      </c>
      <c r="B19" s="112">
        <v>3.4119999999999999</v>
      </c>
      <c r="C19" s="112">
        <f>'KU EIAData'!B11</f>
        <v>7.5557531472919797</v>
      </c>
      <c r="D19" s="112">
        <f>'KU EIAData'!C11</f>
        <v>3.3280539999999998</v>
      </c>
      <c r="E19" s="112">
        <f>'KU EIAData'!D11</f>
        <v>508.66367701744895</v>
      </c>
      <c r="F19" s="112">
        <f>'KU EIAData'!G11</f>
        <v>12.930696944524179</v>
      </c>
      <c r="G19" s="112">
        <f>'KU EIAData'!E11</f>
        <v>12.746315758264554</v>
      </c>
      <c r="H19" s="112">
        <f>'KU EIAData'!F11</f>
        <v>14.183756000000001</v>
      </c>
      <c r="I19" s="112">
        <f>'KU EIAData'!H11</f>
        <v>10.108561422075836</v>
      </c>
      <c r="J19" s="112">
        <f>'KU EIAData'!I11</f>
        <v>0.89780003217728965</v>
      </c>
      <c r="K19" s="112">
        <f>'KU EIAData'!L11</f>
        <v>330.05891472604372</v>
      </c>
      <c r="L19" s="112">
        <f>'KU EIAData'!J11</f>
        <v>602.05445966407012</v>
      </c>
      <c r="M19" s="112">
        <f t="shared" si="3"/>
        <v>541.84901369766317</v>
      </c>
      <c r="N19" s="112">
        <f>'KU EIAData'!K11</f>
        <v>512.46034783201901</v>
      </c>
      <c r="O19" s="112">
        <f>'KU EIAData'!M11</f>
        <v>417.28564094141103</v>
      </c>
      <c r="P19" s="112">
        <f>'KU EIAData'!N11</f>
        <v>0.53858698482838541</v>
      </c>
      <c r="Q19" s="112">
        <f>'KU EIAData'!O11</f>
        <v>100.33676143734998</v>
      </c>
      <c r="R19" s="112">
        <f>'KU EIAData'!P11</f>
        <v>0.1916716479792287</v>
      </c>
      <c r="S19" s="112">
        <f>'KU EIAData'!Q11</f>
        <v>872.18527161226473</v>
      </c>
      <c r="T19" s="112">
        <f>'KU EIAData'!R11</f>
        <v>2.9950137274551447</v>
      </c>
      <c r="U19" s="112">
        <f>'KU EIAData'!S11</f>
        <v>189.98900793915473</v>
      </c>
      <c r="V19" s="112">
        <f>'KU EIAData'!T11</f>
        <v>559.66193927224697</v>
      </c>
      <c r="W19" s="112">
        <f>'KU EIAData'!U11</f>
        <v>1694.093713982872</v>
      </c>
      <c r="X19" s="263">
        <f>'KU EIAData'!V11+30</f>
        <v>4822.2004181737066</v>
      </c>
    </row>
    <row r="20" spans="1:25" x14ac:dyDescent="0.2">
      <c r="A20" s="24">
        <v>2013</v>
      </c>
      <c r="B20" s="112">
        <v>3.4119999999999999</v>
      </c>
      <c r="C20" s="112">
        <f>'KU EIAData'!B12</f>
        <v>7.5952923732964592</v>
      </c>
      <c r="D20" s="112">
        <f>'KU EIAData'!C12</f>
        <v>3.3305479999999998</v>
      </c>
      <c r="E20" s="112">
        <f>'KU EIAData'!D12</f>
        <v>488.13650115041224</v>
      </c>
      <c r="F20" s="112">
        <f>'KU EIAData'!G12</f>
        <v>13.126534263570701</v>
      </c>
      <c r="G20" s="112">
        <f>'KU EIAData'!E12</f>
        <v>12.838628898765572</v>
      </c>
      <c r="H20" s="112">
        <f>'KU EIAData'!F12</f>
        <v>14.205299999999999</v>
      </c>
      <c r="I20" s="112">
        <f>'KU EIAData'!H12</f>
        <v>10.200966225036705</v>
      </c>
      <c r="J20" s="112">
        <f>'KU EIAData'!I12</f>
        <v>0.89939571748212199</v>
      </c>
      <c r="K20" s="112">
        <f>'KU EIAData'!L12</f>
        <v>328.95775826688026</v>
      </c>
      <c r="L20" s="112">
        <f>'KU EIAData'!J12</f>
        <v>598.25098859697232</v>
      </c>
      <c r="M20" s="112">
        <f t="shared" si="3"/>
        <v>538.42588973727516</v>
      </c>
      <c r="N20" s="112">
        <f>'KU EIAData'!K12</f>
        <v>512.1654316621474</v>
      </c>
      <c r="O20" s="112">
        <f>'KU EIAData'!M12</f>
        <v>407.95291675803401</v>
      </c>
      <c r="P20" s="112">
        <f>'KU EIAData'!N12</f>
        <v>0.55549492517540278</v>
      </c>
      <c r="Q20" s="112">
        <f>'KU EIAData'!O12</f>
        <v>99.685417401379254</v>
      </c>
      <c r="R20" s="112">
        <f>'KU EIAData'!P12</f>
        <v>0.19093361171570949</v>
      </c>
      <c r="S20" s="112">
        <f>'KU EIAData'!Q12</f>
        <v>867.40142220189921</v>
      </c>
      <c r="T20" s="112">
        <f>'KU EIAData'!R12</f>
        <v>3.0058637061116436</v>
      </c>
      <c r="U20" s="112">
        <f>'KU EIAData'!S12</f>
        <v>188.72739015082587</v>
      </c>
      <c r="V20" s="112">
        <f>'KU EIAData'!T12</f>
        <v>556.30015838775967</v>
      </c>
      <c r="W20" s="112">
        <f>'KU EIAData'!U12</f>
        <v>1475.1771637161594</v>
      </c>
      <c r="X20" s="222">
        <f>'KU EIAData'!V12</f>
        <v>4817.8438226066828</v>
      </c>
    </row>
    <row r="21" spans="1:25" x14ac:dyDescent="0.2">
      <c r="A21" s="24">
        <v>2014</v>
      </c>
      <c r="B21" s="112">
        <v>3.4119999999999999</v>
      </c>
      <c r="C21" s="112">
        <f>'KU EIAData'!B13</f>
        <v>7.635276291780289</v>
      </c>
      <c r="D21" s="112">
        <f>'KU EIAData'!C13</f>
        <v>3.3323320000000001</v>
      </c>
      <c r="E21" s="112">
        <f>'KU EIAData'!D13</f>
        <v>477.20453272330167</v>
      </c>
      <c r="F21" s="112">
        <f>'KU EIAData'!G13</f>
        <v>13.314643387856268</v>
      </c>
      <c r="G21" s="112">
        <f>'KU EIAData'!E13</f>
        <v>12.930065224586755</v>
      </c>
      <c r="H21" s="112">
        <f>'KU EIAData'!F13</f>
        <v>14.223682999999999</v>
      </c>
      <c r="I21" s="112">
        <f>'KU EIAData'!H13</f>
        <v>10.419650598827442</v>
      </c>
      <c r="J21" s="112">
        <f>'KU EIAData'!I13</f>
        <v>0.90115040773372079</v>
      </c>
      <c r="K21" s="112">
        <f>'KU EIAData'!L13</f>
        <v>328.65736082972791</v>
      </c>
      <c r="L21" s="112">
        <f>'KU EIAData'!J13</f>
        <v>586.7019452343286</v>
      </c>
      <c r="M21" s="112">
        <f t="shared" si="3"/>
        <v>528.03175071089572</v>
      </c>
      <c r="N21" s="112">
        <f>'KU EIAData'!K13</f>
        <v>498.38133561714113</v>
      </c>
      <c r="O21" s="112">
        <f>'KU EIAData'!M13</f>
        <v>399.64312438561626</v>
      </c>
      <c r="P21" s="112">
        <f>'KU EIAData'!N13</f>
        <v>0.56642685679369686</v>
      </c>
      <c r="Q21" s="112">
        <f>'KU EIAData'!O13</f>
        <v>99.271630484309156</v>
      </c>
      <c r="R21" s="112">
        <f>'KU EIAData'!P13</f>
        <v>0.19021406439009753</v>
      </c>
      <c r="S21" s="112">
        <f>'KU EIAData'!Q13</f>
        <v>862.7625119393374</v>
      </c>
      <c r="T21" s="112">
        <f>'KU EIAData'!R13</f>
        <v>3.0183763269827049</v>
      </c>
      <c r="U21" s="112">
        <f>'KU EIAData'!S13</f>
        <v>187.76518042757556</v>
      </c>
      <c r="V21" s="112">
        <f>'KU EIAData'!T13</f>
        <v>561.85662958823025</v>
      </c>
      <c r="W21" s="112">
        <f>'KU EIAData'!U13</f>
        <v>1379.7716408159679</v>
      </c>
      <c r="X21" s="222">
        <f>'KU EIAData'!V13</f>
        <v>4886.6071724942231</v>
      </c>
      <c r="Y21" s="285">
        <f>X21/X20-1</f>
        <v>1.4272639881949489E-2</v>
      </c>
    </row>
    <row r="22" spans="1:25" x14ac:dyDescent="0.2">
      <c r="A22" s="24">
        <v>2015</v>
      </c>
      <c r="B22" s="112">
        <v>3.4119999999999999</v>
      </c>
      <c r="C22" s="112">
        <f>'KU EIAData'!B14</f>
        <v>7.7196976347319382</v>
      </c>
      <c r="D22" s="112">
        <f>'KU EIAData'!C14</f>
        <v>3.3338220000000001</v>
      </c>
      <c r="E22" s="112">
        <f>'KU EIAData'!D14</f>
        <v>466.46549424398955</v>
      </c>
      <c r="F22" s="112">
        <f>'KU EIAData'!G14</f>
        <v>13.553538884491955</v>
      </c>
      <c r="G22" s="112">
        <f>'KU EIAData'!E14</f>
        <v>13.171210355277122</v>
      </c>
      <c r="H22" s="112">
        <f>'KU EIAData'!F14</f>
        <v>14.239455</v>
      </c>
      <c r="I22" s="112">
        <f>'KU EIAData'!H14</f>
        <v>10.552511931522398</v>
      </c>
      <c r="J22" s="112">
        <f>'KU EIAData'!I14</f>
        <v>0.91566968633018497</v>
      </c>
      <c r="K22" s="112">
        <f>'KU EIAData'!L14</f>
        <v>328.40752335776909</v>
      </c>
      <c r="L22" s="112">
        <f>'KU EIAData'!J14</f>
        <v>580.17728566208984</v>
      </c>
      <c r="M22" s="112">
        <f t="shared" si="3"/>
        <v>522.15955709588093</v>
      </c>
      <c r="N22" s="112">
        <f>'KU EIAData'!K14</f>
        <v>492.0947901058417</v>
      </c>
      <c r="O22" s="112">
        <f>'KU EIAData'!M14</f>
        <v>391.49249812430116</v>
      </c>
      <c r="P22" s="112">
        <f>'KU EIAData'!N14</f>
        <v>0.57730330811175756</v>
      </c>
      <c r="Q22" s="112">
        <f>'KU EIAData'!O14</f>
        <v>95.534062964431186</v>
      </c>
      <c r="R22" s="112">
        <f>'KU EIAData'!P14</f>
        <v>0.17749321279765243</v>
      </c>
      <c r="S22" s="112">
        <f>'KU EIAData'!Q14</f>
        <v>840.55453418864613</v>
      </c>
      <c r="T22" s="112">
        <f>'KU EIAData'!R14</f>
        <v>3.2074241300227007</v>
      </c>
      <c r="U22" s="112">
        <f>'KU EIAData'!S14</f>
        <v>186.83683348054376</v>
      </c>
      <c r="V22" s="112">
        <f>'KU EIAData'!T14</f>
        <v>566.92481304903333</v>
      </c>
      <c r="W22" s="112">
        <f>'KU EIAData'!U14</f>
        <v>1320.4908456215621</v>
      </c>
      <c r="X22" s="222">
        <f>'KU EIAData'!V14</f>
        <v>4952.0930850566565</v>
      </c>
      <c r="Y22" s="285">
        <f t="shared" ref="Y22:Y50" si="4">X22/X21-1</f>
        <v>1.3401100242115049E-2</v>
      </c>
    </row>
    <row r="23" spans="1:25" x14ac:dyDescent="0.2">
      <c r="A23" s="24">
        <v>2016</v>
      </c>
      <c r="B23" s="112">
        <v>3.4119999999999999</v>
      </c>
      <c r="C23" s="112">
        <f>'KU EIAData'!B15</f>
        <v>7.7724918360180952</v>
      </c>
      <c r="D23" s="112">
        <f>'KU EIAData'!C15</f>
        <v>3.3352529999999998</v>
      </c>
      <c r="E23" s="112">
        <f>'KU EIAData'!D15</f>
        <v>456.99523312190672</v>
      </c>
      <c r="F23" s="112">
        <f>'KU EIAData'!G15</f>
        <v>13.744421035619197</v>
      </c>
      <c r="G23" s="112">
        <f>'KU EIAData'!E15</f>
        <v>13.312646989338417</v>
      </c>
      <c r="H23" s="112">
        <f>'KU EIAData'!F15</f>
        <v>14.253272000000001</v>
      </c>
      <c r="I23" s="112">
        <f>'KU EIAData'!H15</f>
        <v>10.666220541043755</v>
      </c>
      <c r="J23" s="112">
        <f>'KU EIAData'!I15</f>
        <v>0.92300591408560773</v>
      </c>
      <c r="K23" s="112">
        <f>'KU EIAData'!L15</f>
        <v>328.50193252057164</v>
      </c>
      <c r="L23" s="112">
        <f>'KU EIAData'!J15</f>
        <v>574.49029315673295</v>
      </c>
      <c r="M23" s="112">
        <f t="shared" si="3"/>
        <v>517.04126384105962</v>
      </c>
      <c r="N23" s="112">
        <f>'KU EIAData'!K15</f>
        <v>486.45131570292983</v>
      </c>
      <c r="O23" s="112">
        <f>'KU EIAData'!M15</f>
        <v>383.91988906672003</v>
      </c>
      <c r="P23" s="112">
        <f>'KU EIAData'!N15</f>
        <v>0.58762293666109111</v>
      </c>
      <c r="Q23" s="112">
        <f>'KU EIAData'!O15</f>
        <v>91.595181421688324</v>
      </c>
      <c r="R23" s="112">
        <f>'KU EIAData'!P15</f>
        <v>0.17034589073281128</v>
      </c>
      <c r="S23" s="112">
        <f>'KU EIAData'!Q15</f>
        <v>820.31364689948157</v>
      </c>
      <c r="T23" s="112">
        <f>'KU EIAData'!R15</f>
        <v>3.2891669259072507</v>
      </c>
      <c r="U23" s="112">
        <f>'KU EIAData'!S15</f>
        <v>186.33383948957794</v>
      </c>
      <c r="V23" s="112">
        <f>'KU EIAData'!T15</f>
        <v>571.45173986577925</v>
      </c>
      <c r="W23" s="112">
        <f>'KU EIAData'!U15</f>
        <v>1280.1764434167699</v>
      </c>
      <c r="X23" s="222">
        <f>'KU EIAData'!V15</f>
        <v>5047.970631620412</v>
      </c>
      <c r="Y23" s="285">
        <f t="shared" si="4"/>
        <v>1.9361014608766824E-2</v>
      </c>
    </row>
    <row r="24" spans="1:25" x14ac:dyDescent="0.2">
      <c r="A24" s="24">
        <v>2017</v>
      </c>
      <c r="B24" s="112">
        <v>3.4119999999999999</v>
      </c>
      <c r="C24" s="112">
        <f>'KU EIAData'!B16</f>
        <v>7.818471781299448</v>
      </c>
      <c r="D24" s="112">
        <f>'KU EIAData'!C16</f>
        <v>3.3345129999999998</v>
      </c>
      <c r="E24" s="112">
        <f>'KU EIAData'!D16</f>
        <v>447.77982964277294</v>
      </c>
      <c r="F24" s="112">
        <f>'KU EIAData'!G16</f>
        <v>13.913943063027574</v>
      </c>
      <c r="G24" s="112">
        <f>'KU EIAData'!E16</f>
        <v>13.436670398255115</v>
      </c>
      <c r="H24" s="112">
        <f>'KU EIAData'!F16</f>
        <v>14.254208</v>
      </c>
      <c r="I24" s="112">
        <f>'KU EIAData'!H16</f>
        <v>10.7661646875353</v>
      </c>
      <c r="J24" s="112">
        <f>'KU EIAData'!I16</f>
        <v>0.93009448243949511</v>
      </c>
      <c r="K24" s="112">
        <f>'KU EIAData'!L16</f>
        <v>328.66365902542094</v>
      </c>
      <c r="L24" s="112">
        <f>'KU EIAData'!J16</f>
        <v>569.60198343941704</v>
      </c>
      <c r="M24" s="112">
        <f t="shared" si="3"/>
        <v>512.64178509547537</v>
      </c>
      <c r="N24" s="112">
        <f>'KU EIAData'!K16</f>
        <v>481.47063206253006</v>
      </c>
      <c r="O24" s="112">
        <f>'KU EIAData'!M16</f>
        <v>376.92342140897767</v>
      </c>
      <c r="P24" s="112">
        <f>'KU EIAData'!N16</f>
        <v>0.59739934895789559</v>
      </c>
      <c r="Q24" s="112">
        <f>'KU EIAData'!O16</f>
        <v>87.655632465839105</v>
      </c>
      <c r="R24" s="112">
        <f>'KU EIAData'!P16</f>
        <v>0.16326939889802269</v>
      </c>
      <c r="S24" s="112">
        <f>'KU EIAData'!Q16</f>
        <v>800.9002269410704</v>
      </c>
      <c r="T24" s="112">
        <f>'KU EIAData'!R16</f>
        <v>3.3727853274932977</v>
      </c>
      <c r="U24" s="112">
        <f>'KU EIAData'!S16</f>
        <v>185.94853674286867</v>
      </c>
      <c r="V24" s="112">
        <f>'KU EIAData'!T16</f>
        <v>575.15105146864869</v>
      </c>
      <c r="W24" s="112">
        <f>'KU EIAData'!U16</f>
        <v>1250.9545692456691</v>
      </c>
      <c r="X24" s="222">
        <f>'KU EIAData'!V16</f>
        <v>5140.8390598840633</v>
      </c>
      <c r="Y24" s="285">
        <f t="shared" si="4"/>
        <v>1.8397180776354993E-2</v>
      </c>
    </row>
    <row r="25" spans="1:25" x14ac:dyDescent="0.2">
      <c r="A25" s="24">
        <v>2018</v>
      </c>
      <c r="B25" s="112">
        <v>3.4119999999999999</v>
      </c>
      <c r="C25" s="112">
        <f>'KU EIAData'!B17</f>
        <v>7.8583930950288376</v>
      </c>
      <c r="D25" s="112">
        <f>'KU EIAData'!C17</f>
        <v>3.3345250000000002</v>
      </c>
      <c r="E25" s="112">
        <f>'KU EIAData'!D17</f>
        <v>438.53245848057009</v>
      </c>
      <c r="F25" s="112">
        <f>'KU EIAData'!G17</f>
        <v>14.05962969022341</v>
      </c>
      <c r="G25" s="112">
        <f>'KU EIAData'!E17</f>
        <v>13.544742644589398</v>
      </c>
      <c r="H25" s="112">
        <f>'KU EIAData'!F17</f>
        <v>14.257866</v>
      </c>
      <c r="I25" s="112">
        <f>'KU EIAData'!H17</f>
        <v>10.859432691495577</v>
      </c>
      <c r="J25" s="112">
        <f>'KU EIAData'!I17</f>
        <v>0.93681671057920068</v>
      </c>
      <c r="K25" s="112">
        <f>'KU EIAData'!L17</f>
        <v>328.80817800504337</v>
      </c>
      <c r="L25" s="112">
        <f>'KU EIAData'!J17</f>
        <v>565.33716386250103</v>
      </c>
      <c r="M25" s="112">
        <f t="shared" si="3"/>
        <v>508.80344747625094</v>
      </c>
      <c r="N25" s="112">
        <f>'KU EIAData'!K17</f>
        <v>476.85420687675719</v>
      </c>
      <c r="O25" s="112">
        <f>'KU EIAData'!M17</f>
        <v>369.84487144829444</v>
      </c>
      <c r="P25" s="112">
        <f>'KU EIAData'!N17</f>
        <v>0.60703566023054578</v>
      </c>
      <c r="Q25" s="112">
        <f>'KU EIAData'!O17</f>
        <v>83.747419850860737</v>
      </c>
      <c r="R25" s="112">
        <f>'KU EIAData'!P17</f>
        <v>0.15625088825368075</v>
      </c>
      <c r="S25" s="112">
        <f>'KU EIAData'!Q17</f>
        <v>782.43612228842971</v>
      </c>
      <c r="T25" s="112">
        <f>'KU EIAData'!R17</f>
        <v>3.4511057993454162</v>
      </c>
      <c r="U25" s="112">
        <f>'KU EIAData'!S17</f>
        <v>185.45087517809648</v>
      </c>
      <c r="V25" s="112">
        <f>'KU EIAData'!T17</f>
        <v>578.34244745998274</v>
      </c>
      <c r="W25" s="112">
        <f>'KU EIAData'!U17</f>
        <v>1227.7035994188141</v>
      </c>
      <c r="X25" s="222">
        <f>'KU EIAData'!V17</f>
        <v>5241.4794264165421</v>
      </c>
      <c r="Y25" s="285">
        <f t="shared" si="4"/>
        <v>1.9576642131790223E-2</v>
      </c>
    </row>
    <row r="26" spans="1:25" x14ac:dyDescent="0.2">
      <c r="A26" s="24">
        <v>2019</v>
      </c>
      <c r="B26" s="112">
        <v>3.4119999999999999</v>
      </c>
      <c r="C26" s="112">
        <f>'KU EIAData'!B18</f>
        <v>7.8939579576833134</v>
      </c>
      <c r="D26" s="112">
        <f>'KU EIAData'!C18</f>
        <v>3.3349419999999999</v>
      </c>
      <c r="E26" s="112">
        <f>'KU EIAData'!D18</f>
        <v>429.42555322894378</v>
      </c>
      <c r="F26" s="112">
        <f>'KU EIAData'!G18</f>
        <v>14.188567517923714</v>
      </c>
      <c r="G26" s="112">
        <f>'KU EIAData'!E18</f>
        <v>13.642327006047207</v>
      </c>
      <c r="H26" s="112">
        <f>'KU EIAData'!F18</f>
        <v>14.262814000000001</v>
      </c>
      <c r="I26" s="112">
        <f>'KU EIAData'!H18</f>
        <v>10.943669477595282</v>
      </c>
      <c r="J26" s="112">
        <f>'KU EIAData'!I18</f>
        <v>0.94315748647008857</v>
      </c>
      <c r="K26" s="112">
        <f>'KU EIAData'!L18</f>
        <v>328.99642436566</v>
      </c>
      <c r="L26" s="112">
        <f>'KU EIAData'!J18</f>
        <v>561.57704513679948</v>
      </c>
      <c r="M26" s="112">
        <f t="shared" si="3"/>
        <v>505.41934062311952</v>
      </c>
      <c r="N26" s="112">
        <f>'KU EIAData'!K18</f>
        <v>472.4249847580972</v>
      </c>
      <c r="O26" s="112">
        <f>'KU EIAData'!M18</f>
        <v>362.60486587139661</v>
      </c>
      <c r="P26" s="112">
        <f>'KU EIAData'!N18</f>
        <v>0.61751007284323112</v>
      </c>
      <c r="Q26" s="112">
        <f>'KU EIAData'!O18</f>
        <v>79.98067356503465</v>
      </c>
      <c r="R26" s="112">
        <f>'KU EIAData'!P18</f>
        <v>0.14960198867590202</v>
      </c>
      <c r="S26" s="112">
        <f>'KU EIAData'!Q18</f>
        <v>765.27659559803544</v>
      </c>
      <c r="T26" s="112">
        <f>'KU EIAData'!R18</f>
        <v>3.528990299433</v>
      </c>
      <c r="U26" s="112">
        <f>'KU EIAData'!S18</f>
        <v>185.06933170221558</v>
      </c>
      <c r="V26" s="112">
        <f>'KU EIAData'!T18</f>
        <v>573.86311445651086</v>
      </c>
      <c r="W26" s="112">
        <f>'KU EIAData'!U18</f>
        <v>1209.2391816136676</v>
      </c>
      <c r="X26" s="222">
        <f>'KU EIAData'!V18</f>
        <v>5346.734848924134</v>
      </c>
      <c r="Y26" s="285">
        <f t="shared" si="4"/>
        <v>2.008124308894832E-2</v>
      </c>
    </row>
    <row r="27" spans="1:25" x14ac:dyDescent="0.2">
      <c r="A27" s="24">
        <v>2020</v>
      </c>
      <c r="B27" s="112">
        <v>3.4119999999999999</v>
      </c>
      <c r="C27" s="112">
        <f>'KU EIAData'!B19</f>
        <v>7.9270415292061527</v>
      </c>
      <c r="D27" s="112">
        <f>'KU EIAData'!C19</f>
        <v>3.3356319999999999</v>
      </c>
      <c r="E27" s="112">
        <f>'KU EIAData'!D19</f>
        <v>420.48538208687728</v>
      </c>
      <c r="F27" s="112">
        <f>'KU EIAData'!G19</f>
        <v>14.314729754811003</v>
      </c>
      <c r="G27" s="112">
        <f>'KU EIAData'!E19</f>
        <v>13.727833420247292</v>
      </c>
      <c r="H27" s="112">
        <f>'KU EIAData'!F19</f>
        <v>14.278371</v>
      </c>
      <c r="I27" s="112">
        <f>'KU EIAData'!H19</f>
        <v>11.039761593119149</v>
      </c>
      <c r="J27" s="112">
        <f>'KU EIAData'!I19</f>
        <v>0.94909895098020136</v>
      </c>
      <c r="K27" s="112">
        <f>'KU EIAData'!L19</f>
        <v>329.16260409006964</v>
      </c>
      <c r="L27" s="112">
        <f>'KU EIAData'!J19</f>
        <v>558.00115103846008</v>
      </c>
      <c r="M27" s="112">
        <f t="shared" si="3"/>
        <v>502.20103593461408</v>
      </c>
      <c r="N27" s="112">
        <f>'KU EIAData'!K19</f>
        <v>468.26730085436054</v>
      </c>
      <c r="O27" s="112">
        <f>'KU EIAData'!M19</f>
        <v>355.18136124074647</v>
      </c>
      <c r="P27" s="112">
        <f>'KU EIAData'!N19</f>
        <v>0.62874002438920151</v>
      </c>
      <c r="Q27" s="112">
        <f>'KU EIAData'!O19</f>
        <v>76.615365865777122</v>
      </c>
      <c r="R27" s="112">
        <f>'KU EIAData'!P19</f>
        <v>0.14368006685068022</v>
      </c>
      <c r="S27" s="112">
        <f>'KU EIAData'!Q19</f>
        <v>748.97512130199311</v>
      </c>
      <c r="T27" s="112">
        <f>'KU EIAData'!R19</f>
        <v>3.6041736344012683</v>
      </c>
      <c r="U27" s="112">
        <f>'KU EIAData'!S19</f>
        <v>184.68586236787786</v>
      </c>
      <c r="V27" s="112">
        <f>'KU EIAData'!T19</f>
        <v>574.57845024020685</v>
      </c>
      <c r="W27" s="112">
        <f>'KU EIAData'!U19</f>
        <v>1156.1344173288071</v>
      </c>
      <c r="X27" s="222">
        <f>'KU EIAData'!V19</f>
        <v>5445.7501732501569</v>
      </c>
      <c r="Y27" s="285">
        <f t="shared" si="4"/>
        <v>1.8518839464415793E-2</v>
      </c>
    </row>
    <row r="28" spans="1:25" x14ac:dyDescent="0.2">
      <c r="A28" s="25">
        <v>2021</v>
      </c>
      <c r="B28" s="112">
        <v>3.4119999999999999</v>
      </c>
      <c r="C28" s="112">
        <f>'KU EIAData'!B20</f>
        <v>7.9555547310816221</v>
      </c>
      <c r="D28" s="112">
        <f>'KU EIAData'!C20</f>
        <v>3.3365279999999999</v>
      </c>
      <c r="E28" s="112">
        <f>'KU EIAData'!D20</f>
        <v>411.57729582256735</v>
      </c>
      <c r="F28" s="112">
        <f>'KU EIAData'!G20</f>
        <v>14.415726050970072</v>
      </c>
      <c r="G28" s="112">
        <f>'KU EIAData'!E20</f>
        <v>13.805823365108106</v>
      </c>
      <c r="H28" s="112">
        <f>'KU EIAData'!F20</f>
        <v>14.293405</v>
      </c>
      <c r="I28" s="112">
        <f>'KU EIAData'!H20</f>
        <v>11.107200771893995</v>
      </c>
      <c r="J28" s="112">
        <f>'KU EIAData'!I20</f>
        <v>0.95479661493906631</v>
      </c>
      <c r="K28" s="112">
        <f>'KU EIAData'!L20</f>
        <v>329.24403959933665</v>
      </c>
      <c r="L28" s="112">
        <f>'KU EIAData'!J20</f>
        <v>554.68486448447015</v>
      </c>
      <c r="M28" s="112">
        <f t="shared" si="3"/>
        <v>499.21637803602317</v>
      </c>
      <c r="N28" s="112">
        <f>'KU EIAData'!K20</f>
        <v>464.24668202818481</v>
      </c>
      <c r="O28" s="112">
        <f>'KU EIAData'!M20</f>
        <v>347.52380912576609</v>
      </c>
      <c r="P28" s="112">
        <f>'KU EIAData'!N20</f>
        <v>0.64088159737025219</v>
      </c>
      <c r="Q28" s="112">
        <f>'KU EIAData'!O20</f>
        <v>73.716061215639286</v>
      </c>
      <c r="R28" s="112">
        <f>'KU EIAData'!P20</f>
        <v>0.13861311553114411</v>
      </c>
      <c r="S28" s="112">
        <f>'KU EIAData'!Q20</f>
        <v>734.1250934847061</v>
      </c>
      <c r="T28" s="112">
        <f>'KU EIAData'!R20</f>
        <v>3.6770352118365954</v>
      </c>
      <c r="U28" s="112">
        <f>'KU EIAData'!S20</f>
        <v>184.59002001228802</v>
      </c>
      <c r="V28" s="112">
        <f>'KU EIAData'!T20</f>
        <v>569.67098028906935</v>
      </c>
      <c r="W28" s="112">
        <f>'KU EIAData'!U20</f>
        <v>1129.0855932606335</v>
      </c>
      <c r="X28" s="222">
        <f>'KU EIAData'!V20</f>
        <v>5539.901750820366</v>
      </c>
      <c r="Y28" s="285">
        <f t="shared" si="4"/>
        <v>1.72890005187325E-2</v>
      </c>
    </row>
    <row r="29" spans="1:25" x14ac:dyDescent="0.2">
      <c r="A29" s="25">
        <v>2022</v>
      </c>
      <c r="B29" s="112">
        <v>3.4119999999999999</v>
      </c>
      <c r="C29" s="112">
        <f>'KU EIAData'!B21</f>
        <v>7.9811119745167272</v>
      </c>
      <c r="D29" s="112">
        <f>'KU EIAData'!C21</f>
        <v>3.3376610000000002</v>
      </c>
      <c r="E29" s="112">
        <f>'KU EIAData'!D21</f>
        <v>402.64748910755401</v>
      </c>
      <c r="F29" s="112">
        <f>'KU EIAData'!G21</f>
        <v>14.501238178887728</v>
      </c>
      <c r="G29" s="112">
        <f>'KU EIAData'!E21</f>
        <v>13.877305800658281</v>
      </c>
      <c r="H29" s="112">
        <f>'KU EIAData'!F21</f>
        <v>14.309097</v>
      </c>
      <c r="I29" s="112">
        <f>'KU EIAData'!H21</f>
        <v>11.165479345696623</v>
      </c>
      <c r="J29" s="112">
        <f>'KU EIAData'!I21</f>
        <v>0.96028622244341422</v>
      </c>
      <c r="K29" s="112">
        <f>'KU EIAData'!L21</f>
        <v>329.3229315946499</v>
      </c>
      <c r="L29" s="112">
        <f>'KU EIAData'!J21</f>
        <v>551.72844755323456</v>
      </c>
      <c r="M29" s="112">
        <f t="shared" si="3"/>
        <v>496.55560279791109</v>
      </c>
      <c r="N29" s="112">
        <f>'KU EIAData'!K21</f>
        <v>460.3085544878769</v>
      </c>
      <c r="O29" s="112">
        <f>'KU EIAData'!M21</f>
        <v>340.56660123253715</v>
      </c>
      <c r="P29" s="112">
        <f>'KU EIAData'!N21</f>
        <v>0.65252287303305501</v>
      </c>
      <c r="Q29" s="112">
        <f>'KU EIAData'!O21</f>
        <v>71.321556044416468</v>
      </c>
      <c r="R29" s="112">
        <f>'KU EIAData'!P21</f>
        <v>0.13445023480906823</v>
      </c>
      <c r="S29" s="112">
        <f>'KU EIAData'!Q21</f>
        <v>720.18633536618677</v>
      </c>
      <c r="T29" s="112">
        <f>'KU EIAData'!R21</f>
        <v>3.7482613341739408</v>
      </c>
      <c r="U29" s="112">
        <f>'KU EIAData'!S21</f>
        <v>184.45390724929186</v>
      </c>
      <c r="V29" s="112">
        <f>'KU EIAData'!T21</f>
        <v>567.38653807174683</v>
      </c>
      <c r="W29" s="112">
        <f>'KU EIAData'!U21</f>
        <v>1108.2328879242345</v>
      </c>
      <c r="X29" s="222">
        <f>'KU EIAData'!V21</f>
        <v>5644.4992880601931</v>
      </c>
      <c r="Y29" s="285">
        <f t="shared" si="4"/>
        <v>1.8880756725394576E-2</v>
      </c>
    </row>
    <row r="30" spans="1:25" x14ac:dyDescent="0.2">
      <c r="A30" s="25">
        <v>2023</v>
      </c>
      <c r="B30" s="112">
        <v>3.4119999999999999</v>
      </c>
      <c r="C30" s="112">
        <f>'KU EIAData'!B22</f>
        <v>8.0026938389125934</v>
      </c>
      <c r="D30" s="112">
        <f>'KU EIAData'!C22</f>
        <v>3.3391850000000001</v>
      </c>
      <c r="E30" s="112">
        <f>'KU EIAData'!D22</f>
        <v>393.7508514982726</v>
      </c>
      <c r="F30" s="112">
        <f>'KU EIAData'!G22</f>
        <v>14.571823013714878</v>
      </c>
      <c r="G30" s="112">
        <f>'KU EIAData'!E22</f>
        <v>13.938461888969197</v>
      </c>
      <c r="H30" s="112">
        <f>'KU EIAData'!F22</f>
        <v>14.326931999999999</v>
      </c>
      <c r="I30" s="112">
        <f>'KU EIAData'!H22</f>
        <v>11.222577028938471</v>
      </c>
      <c r="J30" s="112">
        <f>'KU EIAData'!I22</f>
        <v>0.96560258392017795</v>
      </c>
      <c r="K30" s="112">
        <f>'KU EIAData'!L22</f>
        <v>329.41013307825131</v>
      </c>
      <c r="L30" s="112">
        <f>'KU EIAData'!J22</f>
        <v>549.16327390614492</v>
      </c>
      <c r="M30" s="112">
        <f t="shared" si="3"/>
        <v>494.24694651553045</v>
      </c>
      <c r="N30" s="112">
        <f>'KU EIAData'!K22</f>
        <v>456.45627884866326</v>
      </c>
      <c r="O30" s="112">
        <f>'KU EIAData'!M22</f>
        <v>334.02348350145263</v>
      </c>
      <c r="P30" s="112">
        <f>'KU EIAData'!N22</f>
        <v>0.66396586535874658</v>
      </c>
      <c r="Q30" s="112">
        <f>'KU EIAData'!O22</f>
        <v>69.299490847233926</v>
      </c>
      <c r="R30" s="112">
        <f>'KU EIAData'!P22</f>
        <v>0.13093737018761026</v>
      </c>
      <c r="S30" s="112">
        <f>'KU EIAData'!Q22</f>
        <v>707.18633103689831</v>
      </c>
      <c r="T30" s="112">
        <f>'KU EIAData'!R22</f>
        <v>3.8183119719896395</v>
      </c>
      <c r="U30" s="112">
        <f>'KU EIAData'!S22</f>
        <v>184.4727077018141</v>
      </c>
      <c r="V30" s="112">
        <f>'KU EIAData'!T22</f>
        <v>562.26925305453199</v>
      </c>
      <c r="W30" s="112">
        <f>'KU EIAData'!U22</f>
        <v>1091.7309949291243</v>
      </c>
      <c r="X30" s="222">
        <f>'KU EIAData'!V22</f>
        <v>5752.3842247948132</v>
      </c>
      <c r="Y30" s="285">
        <f t="shared" si="4"/>
        <v>1.9113287331407713E-2</v>
      </c>
    </row>
    <row r="31" spans="1:25" x14ac:dyDescent="0.2">
      <c r="A31" s="25">
        <v>2024</v>
      </c>
      <c r="B31" s="112">
        <v>3.4119999999999999</v>
      </c>
      <c r="C31" s="112">
        <f>'KU EIAData'!B23</f>
        <v>8.0209409360031998</v>
      </c>
      <c r="D31" s="112">
        <f>'KU EIAData'!C23</f>
        <v>3.3408060000000002</v>
      </c>
      <c r="E31" s="112">
        <f>'KU EIAData'!D23</f>
        <v>384.81582432316566</v>
      </c>
      <c r="F31" s="112">
        <f>'KU EIAData'!G23</f>
        <v>14.628230887423127</v>
      </c>
      <c r="G31" s="112">
        <f>'KU EIAData'!E23</f>
        <v>13.990705534099373</v>
      </c>
      <c r="H31" s="112">
        <f>'KU EIAData'!F23</f>
        <v>14.344944</v>
      </c>
      <c r="I31" s="112">
        <f>'KU EIAData'!H23</f>
        <v>11.275054646556331</v>
      </c>
      <c r="J31" s="112">
        <f>'KU EIAData'!I23</f>
        <v>0.97075257976685347</v>
      </c>
      <c r="K31" s="112">
        <f>'KU EIAData'!L23</f>
        <v>329.45959242741395</v>
      </c>
      <c r="L31" s="112">
        <f>'KU EIAData'!J23</f>
        <v>546.99227029634028</v>
      </c>
      <c r="M31" s="112">
        <f t="shared" si="3"/>
        <v>492.29304326670626</v>
      </c>
      <c r="N31" s="112">
        <f>'KU EIAData'!K23</f>
        <v>452.66325105453086</v>
      </c>
      <c r="O31" s="112">
        <f>'KU EIAData'!M23</f>
        <v>327.8439153843193</v>
      </c>
      <c r="P31" s="112">
        <f>'KU EIAData'!N23</f>
        <v>0.67539224332184078</v>
      </c>
      <c r="Q31" s="112">
        <f>'KU EIAData'!O23</f>
        <v>67.401804770606972</v>
      </c>
      <c r="R31" s="112">
        <f>'KU EIAData'!P23</f>
        <v>0.12759127460182795</v>
      </c>
      <c r="S31" s="112">
        <f>'KU EIAData'!Q23</f>
        <v>694.61188966577618</v>
      </c>
      <c r="T31" s="112">
        <f>'KU EIAData'!R23</f>
        <v>3.8882318473112361</v>
      </c>
      <c r="U31" s="112">
        <f>'KU EIAData'!S23</f>
        <v>184.54783851606828</v>
      </c>
      <c r="V31" s="112">
        <f>'KU EIAData'!T23</f>
        <v>557.83411928343378</v>
      </c>
      <c r="W31" s="112">
        <f>'KU EIAData'!U23</f>
        <v>1077.7174695754325</v>
      </c>
      <c r="X31" s="222">
        <f>'KU EIAData'!V23</f>
        <v>5864.2265284275773</v>
      </c>
      <c r="Y31" s="285">
        <f t="shared" si="4"/>
        <v>1.9442773511318068E-2</v>
      </c>
    </row>
    <row r="32" spans="1:25" x14ac:dyDescent="0.2">
      <c r="A32" s="25">
        <v>2025</v>
      </c>
      <c r="B32" s="112">
        <v>3.4119999999999999</v>
      </c>
      <c r="C32" s="112">
        <f>'KU EIAData'!B24</f>
        <v>8.0361259348455096</v>
      </c>
      <c r="D32" s="112">
        <f>'KU EIAData'!C24</f>
        <v>3.342616</v>
      </c>
      <c r="E32" s="112">
        <f>'KU EIAData'!D24</f>
        <v>375.85359868167393</v>
      </c>
      <c r="F32" s="112">
        <f>'KU EIAData'!G24</f>
        <v>14.672992341432238</v>
      </c>
      <c r="G32" s="112">
        <f>'KU EIAData'!E24</f>
        <v>14.034720387994108</v>
      </c>
      <c r="H32" s="112">
        <f>'KU EIAData'!F24</f>
        <v>14.363856999999999</v>
      </c>
      <c r="I32" s="112">
        <f>'KU EIAData'!H24</f>
        <v>11.321808742299726</v>
      </c>
      <c r="J32" s="112">
        <f>'KU EIAData'!I24</f>
        <v>0.97565016606731236</v>
      </c>
      <c r="K32" s="112">
        <f>'KU EIAData'!L24</f>
        <v>329.48147231463878</v>
      </c>
      <c r="L32" s="112">
        <f>'KU EIAData'!J24</f>
        <v>545.21915206469214</v>
      </c>
      <c r="M32" s="112">
        <f t="shared" si="3"/>
        <v>490.69723685822294</v>
      </c>
      <c r="N32" s="112">
        <f>'KU EIAData'!K24</f>
        <v>448.79838828056711</v>
      </c>
      <c r="O32" s="112">
        <f>'KU EIAData'!M24</f>
        <v>323.03032893682263</v>
      </c>
      <c r="P32" s="112">
        <f>'KU EIAData'!N24</f>
        <v>0.68466935890493108</v>
      </c>
      <c r="Q32" s="112">
        <f>'KU EIAData'!O24</f>
        <v>65.550107884228765</v>
      </c>
      <c r="R32" s="112">
        <f>'KU EIAData'!P24</f>
        <v>0.12432881225842107</v>
      </c>
      <c r="S32" s="112">
        <f>'KU EIAData'!Q24</f>
        <v>682.78469356820165</v>
      </c>
      <c r="T32" s="112">
        <f>'KU EIAData'!R24</f>
        <v>3.9561808543480663</v>
      </c>
      <c r="U32" s="112">
        <f>'KU EIAData'!S24</f>
        <v>184.6376965710092</v>
      </c>
      <c r="V32" s="112">
        <f>'KU EIAData'!T24</f>
        <v>553.73474674180761</v>
      </c>
      <c r="W32" s="112">
        <f>'KU EIAData'!U24</f>
        <v>1065.4145517058091</v>
      </c>
      <c r="X32" s="222">
        <f>'KU EIAData'!V24</f>
        <v>5982.0669409221155</v>
      </c>
      <c r="Y32" s="285">
        <f t="shared" si="4"/>
        <v>2.0094792028120256E-2</v>
      </c>
    </row>
    <row r="33" spans="1:25" x14ac:dyDescent="0.2">
      <c r="A33" s="25">
        <f t="shared" ref="A33:A50" si="5">A32+1</f>
        <v>2026</v>
      </c>
      <c r="B33" s="112">
        <v>3.4119999999999999</v>
      </c>
      <c r="C33" s="114">
        <f>'KU EIAData'!B25</f>
        <v>8.0486505346126727</v>
      </c>
      <c r="D33" s="112">
        <f>'KU EIAData'!C25</f>
        <v>3.3446470000000001</v>
      </c>
      <c r="E33" s="112">
        <f>'KU EIAData'!D25</f>
        <v>366.96051238745656</v>
      </c>
      <c r="F33" s="112">
        <f>'KU EIAData'!G25</f>
        <v>14.707224509420543</v>
      </c>
      <c r="G33" s="112">
        <f>'KU EIAData'!E25</f>
        <v>14.071214237469412</v>
      </c>
      <c r="H33" s="112">
        <f>'KU EIAData'!F25</f>
        <v>14.383884999999999</v>
      </c>
      <c r="I33" s="112">
        <f>'KU EIAData'!H25</f>
        <v>11.362345396945585</v>
      </c>
      <c r="J33" s="112">
        <f>'KU EIAData'!I25</f>
        <v>0.98005189237020607</v>
      </c>
      <c r="K33" s="112">
        <f>'KU EIAData'!L25</f>
        <v>329.46941112716655</v>
      </c>
      <c r="L33" s="112">
        <f>'KU EIAData'!J25</f>
        <v>543.86386135514078</v>
      </c>
      <c r="M33" s="112">
        <f t="shared" si="3"/>
        <v>489.47747521962674</v>
      </c>
      <c r="N33" s="112">
        <f>'KU EIAData'!K25</f>
        <v>445.16851006870934</v>
      </c>
      <c r="O33" s="112">
        <f>'KU EIAData'!M25</f>
        <v>319.60989537214908</v>
      </c>
      <c r="P33" s="112">
        <f>'KU EIAData'!N25</f>
        <v>0.69139607430367456</v>
      </c>
      <c r="Q33" s="112">
        <f>'KU EIAData'!O25</f>
        <v>63.744623055310612</v>
      </c>
      <c r="R33" s="112">
        <f>'KU EIAData'!P25</f>
        <v>0.12110140570545347</v>
      </c>
      <c r="S33" s="112">
        <f>'KU EIAData'!Q25</f>
        <v>671.64439878896007</v>
      </c>
      <c r="T33" s="112">
        <f>'KU EIAData'!R25</f>
        <v>4.0239723976658199</v>
      </c>
      <c r="U33" s="112">
        <f>'KU EIAData'!S25</f>
        <v>184.78206822402399</v>
      </c>
      <c r="V33" s="112">
        <f>'KU EIAData'!T25</f>
        <v>547.29557654918642</v>
      </c>
      <c r="W33" s="112">
        <f>'KU EIAData'!U25</f>
        <v>1054.4300712212589</v>
      </c>
      <c r="X33" s="222">
        <f>'KU EIAData'!V25</f>
        <v>6093.2371875187528</v>
      </c>
      <c r="Y33" s="285">
        <f t="shared" si="4"/>
        <v>1.8583918851884373E-2</v>
      </c>
    </row>
    <row r="34" spans="1:25" x14ac:dyDescent="0.2">
      <c r="A34" s="25">
        <f t="shared" si="5"/>
        <v>2027</v>
      </c>
      <c r="B34" s="112">
        <v>3.4119999999999999</v>
      </c>
      <c r="C34" s="114">
        <f>'KU EIAData'!B26</f>
        <v>8.0588108335001927</v>
      </c>
      <c r="D34" s="112">
        <f>'KU EIAData'!C26</f>
        <v>3.3468979999999999</v>
      </c>
      <c r="E34" s="112">
        <f>'KU EIAData'!D26</f>
        <v>357.93818962937678</v>
      </c>
      <c r="F34" s="112">
        <f>'KU EIAData'!G26</f>
        <v>14.731505262642544</v>
      </c>
      <c r="G34" s="112">
        <f>'KU EIAData'!E26</f>
        <v>14.100804384273554</v>
      </c>
      <c r="H34" s="112">
        <f>'KU EIAData'!F26</f>
        <v>14.405049999999999</v>
      </c>
      <c r="I34" s="112">
        <f>'KU EIAData'!H26</f>
        <v>11.396952574282738</v>
      </c>
      <c r="J34" s="112">
        <f>'KU EIAData'!I26</f>
        <v>0.98393036972039893</v>
      </c>
      <c r="K34" s="112">
        <f>'KU EIAData'!L26</f>
        <v>329.40991895333542</v>
      </c>
      <c r="L34" s="112">
        <f>'KU EIAData'!J26</f>
        <v>542.94891228335916</v>
      </c>
      <c r="M34" s="112">
        <f t="shared" si="3"/>
        <v>488.65402105502324</v>
      </c>
      <c r="N34" s="112">
        <f>'KU EIAData'!K26</f>
        <v>441.73776168054229</v>
      </c>
      <c r="O34" s="112">
        <f>'KU EIAData'!M26</f>
        <v>317.41994457983418</v>
      </c>
      <c r="P34" s="112">
        <f>'KU EIAData'!N26</f>
        <v>0.69580703181191661</v>
      </c>
      <c r="Q34" s="112">
        <f>'KU EIAData'!O26</f>
        <v>62.08722522070773</v>
      </c>
      <c r="R34" s="112">
        <f>'KU EIAData'!P26</f>
        <v>0.1181615645222653</v>
      </c>
      <c r="S34" s="112">
        <f>'KU EIAData'!Q26</f>
        <v>661.8954271056308</v>
      </c>
      <c r="T34" s="112">
        <f>'KU EIAData'!R26</f>
        <v>4.0860217819061706</v>
      </c>
      <c r="U34" s="112">
        <f>'KU EIAData'!S26</f>
        <v>184.95528856475121</v>
      </c>
      <c r="V34" s="112">
        <f>'KU EIAData'!T26</f>
        <v>544.04129933955744</v>
      </c>
      <c r="W34" s="112">
        <f>'KU EIAData'!U26</f>
        <v>1044.4228839671246</v>
      </c>
      <c r="X34" s="222">
        <f>'KU EIAData'!V26</f>
        <v>6208.6636278159976</v>
      </c>
      <c r="Y34" s="285">
        <f t="shared" si="4"/>
        <v>1.8943368975309571E-2</v>
      </c>
    </row>
    <row r="35" spans="1:25" x14ac:dyDescent="0.2">
      <c r="A35" s="25">
        <f t="shared" si="5"/>
        <v>2028</v>
      </c>
      <c r="B35" s="112">
        <v>3.4119999999999999</v>
      </c>
      <c r="C35" s="114">
        <f>'KU EIAData'!B27</f>
        <v>8.0677913116560092</v>
      </c>
      <c r="D35" s="112">
        <f>'KU EIAData'!C27</f>
        <v>3.349342</v>
      </c>
      <c r="E35" s="112">
        <f>'KU EIAData'!D27</f>
        <v>349.05234168591141</v>
      </c>
      <c r="F35" s="112">
        <f>'KU EIAData'!G27</f>
        <v>14.75171017154501</v>
      </c>
      <c r="G35" s="112">
        <f>'KU EIAData'!E27</f>
        <v>14.126335329043666</v>
      </c>
      <c r="H35" s="112">
        <f>'KU EIAData'!F27</f>
        <v>14.427125</v>
      </c>
      <c r="I35" s="112">
        <f>'KU EIAData'!H27</f>
        <v>11.425125961365802</v>
      </c>
      <c r="J35" s="112">
        <f>'KU EIAData'!I27</f>
        <v>0.98734296630378626</v>
      </c>
      <c r="K35" s="112">
        <f>'KU EIAData'!L27</f>
        <v>329.37129474983703</v>
      </c>
      <c r="L35" s="112">
        <f>'KU EIAData'!J27</f>
        <v>542.13572721280798</v>
      </c>
      <c r="M35" s="112">
        <f t="shared" si="3"/>
        <v>487.92215449152718</v>
      </c>
      <c r="N35" s="112">
        <f>'KU EIAData'!K27</f>
        <v>438.50383879903649</v>
      </c>
      <c r="O35" s="112">
        <f>'KU EIAData'!M27</f>
        <v>316.41023492887791</v>
      </c>
      <c r="P35" s="112">
        <f>'KU EIAData'!N27</f>
        <v>0.69789702315263902</v>
      </c>
      <c r="Q35" s="112">
        <f>'KU EIAData'!O27</f>
        <v>60.562851608393963</v>
      </c>
      <c r="R35" s="112">
        <f>'KU EIAData'!P27</f>
        <v>0.11541594485864581</v>
      </c>
      <c r="S35" s="112">
        <f>'KU EIAData'!Q27</f>
        <v>654.02148725595259</v>
      </c>
      <c r="T35" s="112">
        <f>'KU EIAData'!R27</f>
        <v>4.1403989978082532</v>
      </c>
      <c r="U35" s="112">
        <f>'KU EIAData'!S27</f>
        <v>185.29266901309492</v>
      </c>
      <c r="V35" s="112">
        <f>'KU EIAData'!T27</f>
        <v>536.26648096792098</v>
      </c>
      <c r="W35" s="112">
        <f>'KU EIAData'!U27</f>
        <v>1035.8894012326903</v>
      </c>
      <c r="X35" s="222">
        <f>'KU EIAData'!V27</f>
        <v>6324.2277980935451</v>
      </c>
      <c r="Y35" s="285">
        <f t="shared" si="4"/>
        <v>1.8613372732869227E-2</v>
      </c>
    </row>
    <row r="36" spans="1:25" x14ac:dyDescent="0.2">
      <c r="A36" s="25">
        <f t="shared" si="5"/>
        <v>2029</v>
      </c>
      <c r="B36" s="112">
        <v>3.4119999999999999</v>
      </c>
      <c r="C36" s="114">
        <f>'KU EIAData'!B28</f>
        <v>8.0753240961059021</v>
      </c>
      <c r="D36" s="112">
        <f>'KU EIAData'!C28</f>
        <v>3.3519139999999998</v>
      </c>
      <c r="E36" s="112">
        <f>'KU EIAData'!D28</f>
        <v>340.33745453258416</v>
      </c>
      <c r="F36" s="112">
        <f>'KU EIAData'!G28</f>
        <v>14.767425606577278</v>
      </c>
      <c r="G36" s="112">
        <f>'KU EIAData'!E28</f>
        <v>14.147276285903795</v>
      </c>
      <c r="H36" s="112">
        <f>'KU EIAData'!F28</f>
        <v>14.449783</v>
      </c>
      <c r="I36" s="112">
        <f>'KU EIAData'!H28</f>
        <v>11.444206090028436</v>
      </c>
      <c r="J36" s="112">
        <f>'KU EIAData'!I28</f>
        <v>0.9903785794200366</v>
      </c>
      <c r="K36" s="112">
        <f>'KU EIAData'!L28</f>
        <v>329.35319879028862</v>
      </c>
      <c r="L36" s="112">
        <f>'KU EIAData'!J28</f>
        <v>541.31658654470505</v>
      </c>
      <c r="M36" s="112">
        <f t="shared" si="3"/>
        <v>487.18492789023458</v>
      </c>
      <c r="N36" s="112">
        <f>'KU EIAData'!K28</f>
        <v>435.44977180467026</v>
      </c>
      <c r="O36" s="112">
        <f>'KU EIAData'!M28</f>
        <v>315.72788272531017</v>
      </c>
      <c r="P36" s="112">
        <f>'KU EIAData'!N28</f>
        <v>0.69929042259726726</v>
      </c>
      <c r="Q36" s="112">
        <f>'KU EIAData'!O28</f>
        <v>59.164125014364345</v>
      </c>
      <c r="R36" s="112">
        <f>'KU EIAData'!P28</f>
        <v>0.11294321734441541</v>
      </c>
      <c r="S36" s="112">
        <f>'KU EIAData'!Q28</f>
        <v>648.0225878107816</v>
      </c>
      <c r="T36" s="112">
        <f>'KU EIAData'!R28</f>
        <v>4.187318219352349</v>
      </c>
      <c r="U36" s="112">
        <f>'KU EIAData'!S28</f>
        <v>185.80681674282997</v>
      </c>
      <c r="V36" s="112">
        <f>'KU EIAData'!T28</f>
        <v>535.62350067198099</v>
      </c>
      <c r="W36" s="112">
        <f>'KU EIAData'!U28</f>
        <v>1028.8691820986162</v>
      </c>
      <c r="X36" s="222">
        <f>'KU EIAData'!V28</f>
        <v>6436.1394421853329</v>
      </c>
      <c r="Y36" s="285">
        <f t="shared" si="4"/>
        <v>1.7695700987482521E-2</v>
      </c>
    </row>
    <row r="37" spans="1:25" x14ac:dyDescent="0.2">
      <c r="A37" s="25">
        <f t="shared" si="5"/>
        <v>2030</v>
      </c>
      <c r="B37" s="112">
        <v>3.4119999999999999</v>
      </c>
      <c r="C37" s="114">
        <f>'KU EIAData'!B29</f>
        <v>8.0819678074129335</v>
      </c>
      <c r="D37" s="112">
        <f>'KU EIAData'!C29</f>
        <v>3.3545720000000001</v>
      </c>
      <c r="E37" s="112">
        <f>'KU EIAData'!D29</f>
        <v>331.68785546345759</v>
      </c>
      <c r="F37" s="112">
        <f>'KU EIAData'!G29</f>
        <v>14.779140059645957</v>
      </c>
      <c r="G37" s="112">
        <f>'KU EIAData'!E29</f>
        <v>14.165765209712536</v>
      </c>
      <c r="H37" s="112">
        <f>'KU EIAData'!F29</f>
        <v>14.472835</v>
      </c>
      <c r="I37" s="112">
        <f>'KU EIAData'!H29</f>
        <v>11.47885995033009</v>
      </c>
      <c r="J37" s="112">
        <f>'KU EIAData'!I29</f>
        <v>0.99295612969892877</v>
      </c>
      <c r="K37" s="112">
        <f>'KU EIAData'!L29</f>
        <v>329.36413534827159</v>
      </c>
      <c r="L37" s="112">
        <f>'KU EIAData'!J29</f>
        <v>540.47093745039126</v>
      </c>
      <c r="M37" s="112">
        <f t="shared" si="3"/>
        <v>486.42384370535217</v>
      </c>
      <c r="N37" s="112">
        <f>'KU EIAData'!K29</f>
        <v>432.56288491193226</v>
      </c>
      <c r="O37" s="112">
        <f>'KU EIAData'!M29</f>
        <v>315.37285467795004</v>
      </c>
      <c r="P37" s="112">
        <f>'KU EIAData'!N29</f>
        <v>0.69999999999999984</v>
      </c>
      <c r="Q37" s="112">
        <f>'KU EIAData'!O29</f>
        <v>58.077102451704064</v>
      </c>
      <c r="R37" s="112">
        <f>'KU EIAData'!P29</f>
        <v>0.11101498394635703</v>
      </c>
      <c r="S37" s="112">
        <f>'KU EIAData'!Q29</f>
        <v>643.63135862527861</v>
      </c>
      <c r="T37" s="112">
        <f>'KU EIAData'!R29</f>
        <v>4.2266602044076995</v>
      </c>
      <c r="U37" s="112">
        <f>'KU EIAData'!S29</f>
        <v>186.45642335467332</v>
      </c>
      <c r="V37" s="112">
        <f>'KU EIAData'!T29</f>
        <v>525.8067311104777</v>
      </c>
      <c r="W37" s="112">
        <f>'KU EIAData'!U29</f>
        <v>1022.9015679586341</v>
      </c>
      <c r="X37" s="222">
        <f>'KU EIAData'!V29</f>
        <v>6557.0254113105611</v>
      </c>
      <c r="Y37" s="285">
        <f t="shared" si="4"/>
        <v>1.8782372602570874E-2</v>
      </c>
    </row>
    <row r="38" spans="1:25" x14ac:dyDescent="0.2">
      <c r="A38" s="25">
        <f t="shared" si="5"/>
        <v>2031</v>
      </c>
      <c r="B38" s="112">
        <v>3.4119999999999999</v>
      </c>
      <c r="C38" s="114">
        <f>'KU EIAData'!B30</f>
        <v>8.0886714016290853</v>
      </c>
      <c r="D38" s="112">
        <f>'KU EIAData'!C30</f>
        <v>3.357316</v>
      </c>
      <c r="E38" s="112">
        <f>'KU EIAData'!D30</f>
        <v>322.93862412188832</v>
      </c>
      <c r="F38" s="112">
        <f>'KU EIAData'!G30</f>
        <v>14.791544950575904</v>
      </c>
      <c r="G38" s="112">
        <f>'KU EIAData'!E30</f>
        <v>14.183734031885001</v>
      </c>
      <c r="H38" s="112">
        <f>'KU EIAData'!F30</f>
        <v>14.496015</v>
      </c>
      <c r="I38" s="112">
        <f>'KU EIAData'!H30</f>
        <v>11.497620855324922</v>
      </c>
      <c r="J38" s="112">
        <f>'KU EIAData'!I30</f>
        <v>0.99516301376201866</v>
      </c>
      <c r="K38" s="112">
        <f>'KU EIAData'!L30</f>
        <v>329.38570207230572</v>
      </c>
      <c r="L38" s="112">
        <f>'KU EIAData'!J30</f>
        <v>539.5574261634689</v>
      </c>
      <c r="M38" s="112">
        <f>L38*0.9</f>
        <v>485.60168354712204</v>
      </c>
      <c r="N38" s="112">
        <f>'KU EIAData'!K30</f>
        <v>429.87715201545706</v>
      </c>
      <c r="O38" s="112">
        <f>'KU EIAData'!M30</f>
        <v>315.37282126184851</v>
      </c>
      <c r="P38" s="112">
        <f>'KU EIAData'!N30</f>
        <v>0.69999999999999973</v>
      </c>
      <c r="Q38" s="112">
        <f>'KU EIAData'!O30</f>
        <v>57.367054479116582</v>
      </c>
      <c r="R38" s="112">
        <f>'KU EIAData'!P30</f>
        <v>0.10978481343023139</v>
      </c>
      <c r="S38" s="112">
        <f>'KU EIAData'!Q30</f>
        <v>640.31407299486</v>
      </c>
      <c r="T38" s="112">
        <f>'KU EIAData'!R30</f>
        <v>4.2583815597111645</v>
      </c>
      <c r="U38" s="112">
        <f>'KU EIAData'!S30</f>
        <v>187.10621576754264</v>
      </c>
      <c r="V38" s="112">
        <f>'KU EIAData'!T30</f>
        <v>526.35503708275883</v>
      </c>
      <c r="W38" s="112">
        <f>'KU EIAData'!U30</f>
        <v>1018.4333713660682</v>
      </c>
      <c r="X38" s="222">
        <f>'KU EIAData'!V30</f>
        <v>6668.5344909009173</v>
      </c>
      <c r="Y38" s="285">
        <f t="shared" si="4"/>
        <v>1.7006046582953349E-2</v>
      </c>
    </row>
    <row r="39" spans="1:25" x14ac:dyDescent="0.2">
      <c r="A39" s="25">
        <f t="shared" si="5"/>
        <v>2032</v>
      </c>
      <c r="B39" s="112">
        <v>3.4119999999999999</v>
      </c>
      <c r="C39" s="114">
        <f>'KU EIAData'!B31</f>
        <v>8.0947571538967615</v>
      </c>
      <c r="D39" s="112">
        <f>'KU EIAData'!C31</f>
        <v>3.360147</v>
      </c>
      <c r="E39" s="112">
        <f>'KU EIAData'!D31</f>
        <v>313.93900184917436</v>
      </c>
      <c r="F39" s="112">
        <f>'KU EIAData'!G31</f>
        <v>14.805938117291035</v>
      </c>
      <c r="G39" s="112">
        <f>'KU EIAData'!E31</f>
        <v>14.20010140849994</v>
      </c>
      <c r="H39" s="112">
        <f>'KU EIAData'!F31</f>
        <v>14.51933</v>
      </c>
      <c r="I39" s="112">
        <f>'KU EIAData'!H31</f>
        <v>11.514369333247819</v>
      </c>
      <c r="J39" s="112">
        <f>'KU EIAData'!I31</f>
        <v>0.99699602800987341</v>
      </c>
      <c r="K39" s="112">
        <f>'KU EIAData'!L31</f>
        <v>329.32268229408254</v>
      </c>
      <c r="L39" s="112">
        <f>'KU EIAData'!J31</f>
        <v>538.55117452441368</v>
      </c>
      <c r="M39" s="112">
        <f>L39*0.9</f>
        <v>484.69605707197235</v>
      </c>
      <c r="N39" s="112">
        <f>'KU EIAData'!K31</f>
        <v>427.3756400439799</v>
      </c>
      <c r="O39" s="112">
        <f>'KU EIAData'!M31</f>
        <v>315.37275858685092</v>
      </c>
      <c r="P39" s="112">
        <f>'KU EIAData'!N31</f>
        <v>0.69999999999999984</v>
      </c>
      <c r="Q39" s="112">
        <f>'KU EIAData'!O31</f>
        <v>56.987954057199239</v>
      </c>
      <c r="R39" s="112">
        <f>'KU EIAData'!P31</f>
        <v>0.1090924717752855</v>
      </c>
      <c r="S39" s="112">
        <f>'KU EIAData'!Q31</f>
        <v>637.92035046484057</v>
      </c>
      <c r="T39" s="112">
        <f>'KU EIAData'!R31</f>
        <v>4.2821739974975488</v>
      </c>
      <c r="U39" s="112">
        <f>'KU EIAData'!S31</f>
        <v>187.7066205866696</v>
      </c>
      <c r="V39" s="112">
        <f>'KU EIAData'!T31</f>
        <v>525.90331554791555</v>
      </c>
      <c r="W39" s="112">
        <f>'KU EIAData'!U31</f>
        <v>1014.519767394069</v>
      </c>
      <c r="X39" s="222">
        <f>'KU EIAData'!V31</f>
        <v>6768.2896021059323</v>
      </c>
      <c r="Y39" s="285">
        <f t="shared" si="4"/>
        <v>1.4959075542179345E-2</v>
      </c>
    </row>
    <row r="40" spans="1:25" x14ac:dyDescent="0.2">
      <c r="A40" s="25">
        <f t="shared" si="5"/>
        <v>2033</v>
      </c>
      <c r="B40" s="112">
        <v>3.4119999999999999</v>
      </c>
      <c r="C40" s="114">
        <f>'KU EIAData'!B32</f>
        <v>8.099888129101851</v>
      </c>
      <c r="D40" s="112">
        <f>'KU EIAData'!C32</f>
        <v>3.3630409999999999</v>
      </c>
      <c r="E40" s="112">
        <f>'KU EIAData'!D32</f>
        <v>304.80724806014035</v>
      </c>
      <c r="F40" s="112">
        <f>'KU EIAData'!G32</f>
        <v>14.819023805858137</v>
      </c>
      <c r="G40" s="112">
        <f>'KU EIAData'!E32</f>
        <v>14.213596896331415</v>
      </c>
      <c r="H40" s="112">
        <f>'KU EIAData'!F32</f>
        <v>14.542725000000001</v>
      </c>
      <c r="I40" s="112">
        <f>'KU EIAData'!H32</f>
        <v>11.529592741262183</v>
      </c>
      <c r="J40" s="112">
        <f>'KU EIAData'!I32</f>
        <v>0.99840088215962142</v>
      </c>
      <c r="K40" s="112">
        <f>'KU EIAData'!L32</f>
        <v>329.18600465719777</v>
      </c>
      <c r="L40" s="112">
        <f>'KU EIAData'!J32</f>
        <v>537.66179946372642</v>
      </c>
      <c r="M40" s="112">
        <f>L40*0.9</f>
        <v>483.89561951735379</v>
      </c>
      <c r="N40" s="112">
        <f>'KU EIAData'!K32</f>
        <v>424.99354763359929</v>
      </c>
      <c r="O40" s="112">
        <f>'KU EIAData'!M32</f>
        <v>315.37280790453929</v>
      </c>
      <c r="P40" s="112">
        <f>'KU EIAData'!N32</f>
        <v>0.69999999999999984</v>
      </c>
      <c r="Q40" s="112">
        <f>'KU EIAData'!O32</f>
        <v>56.949201006514144</v>
      </c>
      <c r="R40" s="112">
        <f>'KU EIAData'!P32</f>
        <v>0.109</v>
      </c>
      <c r="S40" s="112">
        <f>'KU EIAData'!Q32</f>
        <v>636.22942774744786</v>
      </c>
      <c r="T40" s="112">
        <f>'KU EIAData'!R32</f>
        <v>4.2972726487917541</v>
      </c>
      <c r="U40" s="112">
        <f>'KU EIAData'!S32</f>
        <v>188.13402347194253</v>
      </c>
      <c r="V40" s="112">
        <f>'KU EIAData'!T32</f>
        <v>525.64916699304865</v>
      </c>
      <c r="W40" s="112">
        <f>'KU EIAData'!U32</f>
        <v>1010.3927042898039</v>
      </c>
      <c r="X40" s="222">
        <f>'KU EIAData'!V32</f>
        <v>6859.0788715097469</v>
      </c>
      <c r="Y40" s="285">
        <f t="shared" si="4"/>
        <v>1.3413916179881857E-2</v>
      </c>
    </row>
    <row r="41" spans="1:25" x14ac:dyDescent="0.2">
      <c r="A41" s="25">
        <f t="shared" si="5"/>
        <v>2034</v>
      </c>
      <c r="B41" s="112">
        <v>3.4119999999999999</v>
      </c>
      <c r="C41" s="114">
        <f>'KU EIAData'!B33</f>
        <v>8.1040094300469576</v>
      </c>
      <c r="D41" s="112">
        <f>'KU EIAData'!C33</f>
        <v>3.36599</v>
      </c>
      <c r="E41" s="112">
        <f>'KU EIAData'!D33</f>
        <v>295.59585213801108</v>
      </c>
      <c r="F41" s="112">
        <f>'KU EIAData'!G33</f>
        <v>14.83007060690732</v>
      </c>
      <c r="G41" s="112">
        <f>'KU EIAData'!E33</f>
        <v>14.223621727067526</v>
      </c>
      <c r="H41" s="112">
        <f>'KU EIAData'!F33</f>
        <v>14.566195</v>
      </c>
      <c r="I41" s="112">
        <f>'KU EIAData'!H33</f>
        <v>11.543258886169117</v>
      </c>
      <c r="J41" s="112">
        <f>'KU EIAData'!I33</f>
        <v>0.99953704201496185</v>
      </c>
      <c r="K41" s="112">
        <f>'KU EIAData'!L33</f>
        <v>329.00133654947155</v>
      </c>
      <c r="L41" s="112">
        <f>'KU EIAData'!J33</f>
        <v>536.90120877695097</v>
      </c>
      <c r="M41" s="112">
        <f>L41*0.9</f>
        <v>483.21108789925586</v>
      </c>
      <c r="N41" s="112">
        <f>'KU EIAData'!K33</f>
        <v>422.73971730722548</v>
      </c>
      <c r="O41" s="112">
        <f>'KU EIAData'!M33</f>
        <v>315.37285444279377</v>
      </c>
      <c r="P41" s="112">
        <f>'KU EIAData'!N33</f>
        <v>0.69999999999999973</v>
      </c>
      <c r="Q41" s="112">
        <f>'KU EIAData'!O33</f>
        <v>56.923364936639864</v>
      </c>
      <c r="R41" s="112">
        <f>'KU EIAData'!P33</f>
        <v>0.10900000000000001</v>
      </c>
      <c r="S41" s="112">
        <f>'KU EIAData'!Q33</f>
        <v>635.29815251080481</v>
      </c>
      <c r="T41" s="112">
        <f>'KU EIAData'!R33</f>
        <v>4.3044587472370477</v>
      </c>
      <c r="U41" s="112">
        <f>'KU EIAData'!S33</f>
        <v>188.4731909217991</v>
      </c>
      <c r="V41" s="112">
        <f>'KU EIAData'!T33</f>
        <v>525.52582056366975</v>
      </c>
      <c r="W41" s="112">
        <f>'KU EIAData'!U33</f>
        <v>1006.249470162321</v>
      </c>
      <c r="X41" s="222">
        <f>'KU EIAData'!V33</f>
        <v>6942.7783611515397</v>
      </c>
      <c r="Y41" s="285">
        <f t="shared" si="4"/>
        <v>1.2202730309670562E-2</v>
      </c>
    </row>
    <row r="42" spans="1:25" x14ac:dyDescent="0.2">
      <c r="A42" s="25">
        <f t="shared" si="5"/>
        <v>2035</v>
      </c>
      <c r="B42" s="112">
        <v>3.4119999999999999</v>
      </c>
      <c r="C42" s="114">
        <f>'KU EIAData'!B34</f>
        <v>8.107164132742458</v>
      </c>
      <c r="D42" s="112">
        <f>'KU EIAData'!C34</f>
        <v>3.368995</v>
      </c>
      <c r="E42" s="112">
        <f>'KU EIAData'!D34</f>
        <v>286.40212008504233</v>
      </c>
      <c r="F42" s="112">
        <f>'KU EIAData'!G34</f>
        <v>14.839158563907842</v>
      </c>
      <c r="G42" s="112">
        <f>'KU EIAData'!E34</f>
        <v>14.23288253240586</v>
      </c>
      <c r="H42" s="112">
        <f>'KU EIAData'!F34</f>
        <v>14.589767999999999</v>
      </c>
      <c r="I42" s="112">
        <f>'KU EIAData'!H34</f>
        <v>11.55532082000933</v>
      </c>
      <c r="J42" s="112">
        <f>'KU EIAData'!I34</f>
        <v>1.0002479670862745</v>
      </c>
      <c r="K42" s="112">
        <f>'KU EIAData'!L34</f>
        <v>328.81468343272462</v>
      </c>
      <c r="L42" s="112">
        <f>'KU EIAData'!J34</f>
        <v>536.2582533383636</v>
      </c>
      <c r="M42" s="112">
        <f>L42*0.9</f>
        <v>482.63242800452724</v>
      </c>
      <c r="N42" s="112">
        <f>'KU EIAData'!K34</f>
        <v>420.61255118473372</v>
      </c>
      <c r="O42" s="112">
        <f>'KU EIAData'!M34</f>
        <v>315.37283763768437</v>
      </c>
      <c r="P42" s="112">
        <f>'KU EIAData'!N34</f>
        <v>0.69999999999999973</v>
      </c>
      <c r="Q42" s="112">
        <f>'KU EIAData'!O34</f>
        <v>56.910677257525563</v>
      </c>
      <c r="R42" s="112">
        <f>'KU EIAData'!P34</f>
        <v>0.109</v>
      </c>
      <c r="S42" s="112">
        <f>'KU EIAData'!Q34</f>
        <v>635.67294616813729</v>
      </c>
      <c r="T42" s="112">
        <f>'KU EIAData'!R34</f>
        <v>4.3030170809063568</v>
      </c>
      <c r="U42" s="112">
        <f>'KU EIAData'!S34</f>
        <v>188.85189238694306</v>
      </c>
      <c r="V42" s="112">
        <f>'KU EIAData'!T34</f>
        <v>525.33804758668998</v>
      </c>
      <c r="W42" s="112">
        <f>'KU EIAData'!U34</f>
        <v>1002.7256442630295</v>
      </c>
      <c r="X42" s="222">
        <f>'KU EIAData'!V34</f>
        <v>7026.4279933769449</v>
      </c>
      <c r="Y42" s="285">
        <f t="shared" si="4"/>
        <v>1.2048437653356281E-2</v>
      </c>
    </row>
    <row r="43" spans="1:25" x14ac:dyDescent="0.2">
      <c r="A43" s="25">
        <f t="shared" si="5"/>
        <v>2036</v>
      </c>
      <c r="B43" s="112">
        <v>3.4119999999999999</v>
      </c>
      <c r="C43" s="114">
        <f>'KU EIAData'!B35</f>
        <v>8.1103188354379583</v>
      </c>
      <c r="D43" s="112">
        <f>'KU EIAData'!C35</f>
        <v>3.3719999999999999</v>
      </c>
      <c r="E43" s="112">
        <f>'KU EIAData'!D35</f>
        <v>277.49433490328454</v>
      </c>
      <c r="F43" s="112">
        <f>'KU EIAData'!G35</f>
        <v>14.848246520908365</v>
      </c>
      <c r="G43" s="112">
        <f>'KU EIAData'!E35</f>
        <v>14.242143337744194</v>
      </c>
      <c r="H43" s="112">
        <f>'KU EIAData'!F35</f>
        <v>14.613340999999998</v>
      </c>
      <c r="I43" s="112">
        <f>'KU EIAData'!H35</f>
        <v>11.567382753849543</v>
      </c>
      <c r="J43" s="112">
        <f>'KU EIAData'!I35</f>
        <v>1.0009588921575872</v>
      </c>
      <c r="K43" s="112">
        <f>'KU EIAData'!L35</f>
        <v>328.62813621033769</v>
      </c>
      <c r="L43" s="112">
        <f>'KU EIAData'!J35</f>
        <v>535.61529789977624</v>
      </c>
      <c r="M43" s="112">
        <f t="shared" ref="M43:M49" si="6">L43*0.9</f>
        <v>482.05376810979863</v>
      </c>
      <c r="N43" s="112">
        <f>'KU EIAData'!K35</f>
        <v>418.48538506224196</v>
      </c>
      <c r="O43" s="112">
        <f>'KU EIAData'!M35</f>
        <v>315.37282083257577</v>
      </c>
      <c r="P43" s="112">
        <f>'KU EIAData'!N35</f>
        <v>0.69999999999999973</v>
      </c>
      <c r="Q43" s="112">
        <f>'KU EIAData'!O35</f>
        <v>56.897992406374804</v>
      </c>
      <c r="R43" s="112">
        <f>'KU EIAData'!P35</f>
        <v>0.10899999999999999</v>
      </c>
      <c r="S43" s="112">
        <f>'KU EIAData'!Q35</f>
        <v>636.04796093470043</v>
      </c>
      <c r="T43" s="112">
        <f>'KU EIAData'!R35</f>
        <v>4.3015754145756659</v>
      </c>
      <c r="U43" s="112">
        <f>'KU EIAData'!S35</f>
        <v>189.23135478152744</v>
      </c>
      <c r="V43" s="112">
        <f>'KU EIAData'!T35</f>
        <v>525.15034170192439</v>
      </c>
      <c r="W43" s="112">
        <f>'KU EIAData'!U35</f>
        <v>999.21415859281308</v>
      </c>
      <c r="X43" s="222">
        <f>'KU EIAData'!V35</f>
        <v>7111.0854729809435</v>
      </c>
      <c r="Y43" s="285">
        <f t="shared" si="4"/>
        <v>1.2048437653356059E-2</v>
      </c>
    </row>
    <row r="44" spans="1:25" x14ac:dyDescent="0.2">
      <c r="A44" s="25">
        <f t="shared" si="5"/>
        <v>2037</v>
      </c>
      <c r="B44" s="112">
        <v>3.4119999999999999</v>
      </c>
      <c r="C44" s="114">
        <f>'KU EIAData'!B36</f>
        <v>8.1134735381334586</v>
      </c>
      <c r="D44" s="112">
        <f>'KU EIAData'!C36</f>
        <v>3.3750049999999998</v>
      </c>
      <c r="E44" s="112">
        <f>'KU EIAData'!D36</f>
        <v>268.86360296687553</v>
      </c>
      <c r="F44" s="112">
        <f>'KU EIAData'!G36</f>
        <v>14.857334477908887</v>
      </c>
      <c r="G44" s="112">
        <f>'KU EIAData'!E36</f>
        <v>14.251404143082528</v>
      </c>
      <c r="H44" s="112">
        <f>'KU EIAData'!F36</f>
        <v>14.636913999999997</v>
      </c>
      <c r="I44" s="112">
        <f>'KU EIAData'!H36</f>
        <v>11.579444687689756</v>
      </c>
      <c r="J44" s="112">
        <f>'KU EIAData'!I36</f>
        <v>1.0016698172288998</v>
      </c>
      <c r="K44" s="112">
        <f>'KU EIAData'!L36</f>
        <v>328.4416948222335</v>
      </c>
      <c r="L44" s="112">
        <f>'KU EIAData'!J36</f>
        <v>534.97234246118887</v>
      </c>
      <c r="M44" s="112">
        <f t="shared" si="6"/>
        <v>481.47510821507001</v>
      </c>
      <c r="N44" s="112">
        <f>'KU EIAData'!K36</f>
        <v>416.3582189397502</v>
      </c>
      <c r="O44" s="112">
        <f>'KU EIAData'!M36</f>
        <v>315.37280402746813</v>
      </c>
      <c r="P44" s="112">
        <f>'KU EIAData'!N36</f>
        <v>0.69999999999999973</v>
      </c>
      <c r="Q44" s="112">
        <f>'KU EIAData'!O36</f>
        <v>56.8853103825573</v>
      </c>
      <c r="R44" s="112">
        <f>'KU EIAData'!P36</f>
        <v>0.10899999999999997</v>
      </c>
      <c r="S44" s="112">
        <f>'KU EIAData'!Q36</f>
        <v>636.42319694093692</v>
      </c>
      <c r="T44" s="112">
        <f>'KU EIAData'!R36</f>
        <v>4.3001337482449751</v>
      </c>
      <c r="U44" s="112">
        <f>'KU EIAData'!S36</f>
        <v>189.61157963449699</v>
      </c>
      <c r="V44" s="112">
        <f>'KU EIAData'!T36</f>
        <v>524.9627028854004</v>
      </c>
      <c r="W44" s="112">
        <f>'KU EIAData'!U36</f>
        <v>995.71496993692222</v>
      </c>
      <c r="X44" s="222">
        <f>'KU EIAData'!V36</f>
        <v>7196.7629429498402</v>
      </c>
      <c r="Y44" s="285">
        <f t="shared" si="4"/>
        <v>1.2048437653356059E-2</v>
      </c>
    </row>
    <row r="45" spans="1:25" x14ac:dyDescent="0.2">
      <c r="A45" s="25">
        <f t="shared" si="5"/>
        <v>2038</v>
      </c>
      <c r="B45" s="112">
        <v>3.4119999999999999</v>
      </c>
      <c r="C45" s="114">
        <f>'KU EIAData'!B37</f>
        <v>8.116628240828959</v>
      </c>
      <c r="D45" s="112">
        <f>'KU EIAData'!C37</f>
        <v>3.3780099999999997</v>
      </c>
      <c r="E45" s="112">
        <f>'KU EIAData'!D37</f>
        <v>260.5013072628102</v>
      </c>
      <c r="F45" s="112">
        <f>'KU EIAData'!G37</f>
        <v>14.86642243490941</v>
      </c>
      <c r="G45" s="112">
        <f>'KU EIAData'!E37</f>
        <v>14.260664948420862</v>
      </c>
      <c r="H45" s="112">
        <f>'KU EIAData'!F37</f>
        <v>14.660486999999996</v>
      </c>
      <c r="I45" s="112">
        <f>'KU EIAData'!H37</f>
        <v>11.59150662152997</v>
      </c>
      <c r="J45" s="112">
        <f>'KU EIAData'!I37</f>
        <v>1.0023807423002125</v>
      </c>
      <c r="K45" s="112">
        <f>'KU EIAData'!L37</f>
        <v>328.25535920836899</v>
      </c>
      <c r="L45" s="112">
        <f>'KU EIAData'!J37</f>
        <v>534.32938702260151</v>
      </c>
      <c r="M45" s="112">
        <f t="shared" si="6"/>
        <v>480.89644832034139</v>
      </c>
      <c r="N45" s="112">
        <f>'KU EIAData'!K37</f>
        <v>414.23105281725844</v>
      </c>
      <c r="O45" s="112">
        <f>'KU EIAData'!M37</f>
        <v>315.37278722236141</v>
      </c>
      <c r="P45" s="112">
        <f>'KU EIAData'!N37</f>
        <v>0.69999999999999973</v>
      </c>
      <c r="Q45" s="112">
        <f>'KU EIAData'!O37</f>
        <v>56.87263118544282</v>
      </c>
      <c r="R45" s="112">
        <f>'KU EIAData'!P37</f>
        <v>0.10899999999999996</v>
      </c>
      <c r="S45" s="112">
        <f>'KU EIAData'!Q37</f>
        <v>636.7986543173671</v>
      </c>
      <c r="T45" s="112">
        <f>'KU EIAData'!R37</f>
        <v>4.2986920819142842</v>
      </c>
      <c r="U45" s="112">
        <f>'KU EIAData'!S37</f>
        <v>189.99256847786862</v>
      </c>
      <c r="V45" s="112">
        <f>'KU EIAData'!T37</f>
        <v>524.77513111315454</v>
      </c>
      <c r="W45" s="112">
        <f>'KU EIAData'!U37</f>
        <v>992.22803523194307</v>
      </c>
      <c r="X45" s="222">
        <f>'KU EIAData'!V37</f>
        <v>7283.4726925739569</v>
      </c>
      <c r="Y45" s="285">
        <f t="shared" si="4"/>
        <v>1.2048437653356281E-2</v>
      </c>
    </row>
    <row r="46" spans="1:25" x14ac:dyDescent="0.2">
      <c r="A46" s="25">
        <f t="shared" si="5"/>
        <v>2039</v>
      </c>
      <c r="B46" s="112">
        <v>3.4119999999999999</v>
      </c>
      <c r="C46" s="114">
        <f>'KU EIAData'!B38</f>
        <v>8.1197829435244593</v>
      </c>
      <c r="D46" s="112">
        <f>'KU EIAData'!C38</f>
        <v>3.3810149999999997</v>
      </c>
      <c r="E46" s="112">
        <f>'KU EIAData'!D38</f>
        <v>252.39909878762444</v>
      </c>
      <c r="F46" s="112">
        <f>'KU EIAData'!G38</f>
        <v>14.875510391909932</v>
      </c>
      <c r="G46" s="112">
        <f>'KU EIAData'!E38</f>
        <v>14.269925753759196</v>
      </c>
      <c r="H46" s="112">
        <f>'KU EIAData'!F38</f>
        <v>14.684059999999995</v>
      </c>
      <c r="I46" s="112">
        <f>'KU EIAData'!H38</f>
        <v>11.603568555370183</v>
      </c>
      <c r="J46" s="112">
        <f>'KU EIAData'!I38</f>
        <v>1.0030916673715251</v>
      </c>
      <c r="K46" s="112">
        <f>'KU EIAData'!L38</f>
        <v>328.06912930873472</v>
      </c>
      <c r="L46" s="112">
        <f>'KU EIAData'!J38</f>
        <v>533.68643158401414</v>
      </c>
      <c r="M46" s="112">
        <f t="shared" si="6"/>
        <v>480.31778842561272</v>
      </c>
      <c r="N46" s="112">
        <f>'KU EIAData'!K38</f>
        <v>412.10388669476669</v>
      </c>
      <c r="O46" s="112">
        <f>'KU EIAData'!M38</f>
        <v>315.37277041725548</v>
      </c>
      <c r="P46" s="112">
        <f>'KU EIAData'!N38</f>
        <v>0.69999999999999973</v>
      </c>
      <c r="Q46" s="112">
        <f>'KU EIAData'!O38</f>
        <v>56.859954814401334</v>
      </c>
      <c r="R46" s="112">
        <f>'KU EIAData'!P38</f>
        <v>0.10899999999999994</v>
      </c>
      <c r="S46" s="112">
        <f>'KU EIAData'!Q38</f>
        <v>637.17433319458837</v>
      </c>
      <c r="T46" s="112">
        <f>'KU EIAData'!R38</f>
        <v>4.2972504155835933</v>
      </c>
      <c r="U46" s="112">
        <f>'KU EIAData'!S38</f>
        <v>190.37432284673739</v>
      </c>
      <c r="V46" s="112">
        <f>'KU EIAData'!T38</f>
        <v>524.58762636123129</v>
      </c>
      <c r="W46" s="112">
        <f>'KU EIAData'!U38</f>
        <v>988.75331156526681</v>
      </c>
      <c r="X46" s="222">
        <f>'KU EIAData'!V38</f>
        <v>7371.2271592103561</v>
      </c>
      <c r="Y46" s="285">
        <f t="shared" si="4"/>
        <v>1.2048437653356059E-2</v>
      </c>
    </row>
    <row r="47" spans="1:25" x14ac:dyDescent="0.2">
      <c r="A47" s="25">
        <f t="shared" si="5"/>
        <v>2040</v>
      </c>
      <c r="B47" s="112">
        <v>3.4119999999999999</v>
      </c>
      <c r="C47" s="114">
        <f>'KU EIAData'!B39</f>
        <v>8.1229376462199596</v>
      </c>
      <c r="D47" s="112">
        <f>'KU EIAData'!C39</f>
        <v>3.3840199999999996</v>
      </c>
      <c r="E47" s="112">
        <f>'KU EIAData'!D39</f>
        <v>244.54888821166284</v>
      </c>
      <c r="F47" s="112">
        <f>'KU EIAData'!G39</f>
        <v>14.884598348910455</v>
      </c>
      <c r="G47" s="112">
        <f>'KU EIAData'!E39</f>
        <v>14.27918655909753</v>
      </c>
      <c r="H47" s="112">
        <f>'KU EIAData'!F39</f>
        <v>14.707632999999994</v>
      </c>
      <c r="I47" s="112">
        <f>'KU EIAData'!H39</f>
        <v>11.615630489210396</v>
      </c>
      <c r="J47" s="112">
        <f>'KU EIAData'!I39</f>
        <v>1.0038025924428378</v>
      </c>
      <c r="K47" s="112">
        <f>'KU EIAData'!L39</f>
        <v>327.88300506335577</v>
      </c>
      <c r="L47" s="112">
        <f>'KU EIAData'!J39</f>
        <v>533.04347614542678</v>
      </c>
      <c r="M47" s="112">
        <f t="shared" si="6"/>
        <v>479.7391285308841</v>
      </c>
      <c r="N47" s="112">
        <f>'KU EIAData'!K39</f>
        <v>409.97672057227493</v>
      </c>
      <c r="O47" s="112">
        <f>'KU EIAData'!M39</f>
        <v>315.37275361215052</v>
      </c>
      <c r="P47" s="112">
        <f>'KU EIAData'!N39</f>
        <v>0.69999999999999973</v>
      </c>
      <c r="Q47" s="112">
        <f>'KU EIAData'!O39</f>
        <v>56.847281268802945</v>
      </c>
      <c r="R47" s="112">
        <f>'KU EIAData'!P39</f>
        <v>0.10899999999999993</v>
      </c>
      <c r="S47" s="112">
        <f>'KU EIAData'!Q39</f>
        <v>637.5502337032749</v>
      </c>
      <c r="T47" s="112">
        <f>'KU EIAData'!R39</f>
        <v>4.2958087492529025</v>
      </c>
      <c r="U47" s="112">
        <f>'KU EIAData'!S39</f>
        <v>190.75684427928303</v>
      </c>
      <c r="V47" s="112">
        <f>'KU EIAData'!T39</f>
        <v>524.40018860568409</v>
      </c>
      <c r="W47" s="112">
        <f>'KU EIAData'!U39</f>
        <v>985.29075617456249</v>
      </c>
      <c r="X47" s="222">
        <f>'KU EIAData'!V39</f>
        <v>7460.0389300668276</v>
      </c>
      <c r="Y47" s="285">
        <f t="shared" si="4"/>
        <v>1.2048437653356059E-2</v>
      </c>
    </row>
    <row r="48" spans="1:25" x14ac:dyDescent="0.2">
      <c r="A48" s="25">
        <f t="shared" si="5"/>
        <v>2041</v>
      </c>
      <c r="B48" s="112">
        <v>3.4119999999999999</v>
      </c>
      <c r="C48" s="114">
        <f>'KU EIAData'!B40</f>
        <v>8.12609234891546</v>
      </c>
      <c r="D48" s="112">
        <f>'KU EIAData'!C40</f>
        <v>3.3870249999999995</v>
      </c>
      <c r="E48" s="112">
        <f>'KU EIAData'!D40</f>
        <v>236.94283780260733</v>
      </c>
      <c r="F48" s="112">
        <f>'KU EIAData'!G40</f>
        <v>14.893686305910977</v>
      </c>
      <c r="G48" s="112">
        <f>'KU EIAData'!E40</f>
        <v>14.288447364435864</v>
      </c>
      <c r="H48" s="112">
        <f>'KU EIAData'!F40</f>
        <v>14.731205999999993</v>
      </c>
      <c r="I48" s="112">
        <f>'KU EIAData'!H40</f>
        <v>11.627692423050609</v>
      </c>
      <c r="J48" s="112">
        <f>'KU EIAData'!I40</f>
        <v>1.0045135175141504</v>
      </c>
      <c r="K48" s="112">
        <f>'KU EIAData'!L40</f>
        <v>327.69698641229098</v>
      </c>
      <c r="L48" s="112">
        <f>'KU EIAData'!J40</f>
        <v>532.40052070683942</v>
      </c>
      <c r="M48" s="112">
        <f t="shared" si="6"/>
        <v>479.16046863615549</v>
      </c>
      <c r="N48" s="112">
        <f>'KU EIAData'!K40</f>
        <v>407.84955444978317</v>
      </c>
      <c r="O48" s="112">
        <f>'KU EIAData'!M40</f>
        <v>315.37273680704646</v>
      </c>
      <c r="P48" s="112">
        <f>'KU EIAData'!N40</f>
        <v>0.69999999999999973</v>
      </c>
      <c r="Q48" s="112">
        <f>'KU EIAData'!O40</f>
        <v>56.834610548017871</v>
      </c>
      <c r="R48" s="112">
        <f>'KU EIAData'!P40</f>
        <v>0.10899999999999992</v>
      </c>
      <c r="S48" s="112">
        <f>'KU EIAData'!Q40</f>
        <v>637.92635597417802</v>
      </c>
      <c r="T48" s="112">
        <f>'KU EIAData'!R40</f>
        <v>4.2943670829222116</v>
      </c>
      <c r="U48" s="112">
        <f>'KU EIAData'!S40</f>
        <v>191.14013431677583</v>
      </c>
      <c r="V48" s="112">
        <f>'KU EIAData'!T40</f>
        <v>524.21281782257461</v>
      </c>
      <c r="W48" s="112">
        <f>'KU EIAData'!U40</f>
        <v>981.84032644725016</v>
      </c>
      <c r="X48" s="222">
        <f>'KU EIAData'!V40</f>
        <v>7549.9207440073469</v>
      </c>
      <c r="Y48" s="285">
        <f t="shared" si="4"/>
        <v>1.2048437653356059E-2</v>
      </c>
    </row>
    <row r="49" spans="1:25" x14ac:dyDescent="0.2">
      <c r="A49" s="25">
        <f t="shared" si="5"/>
        <v>2042</v>
      </c>
      <c r="B49" s="112">
        <v>3.4119999999999999</v>
      </c>
      <c r="C49" s="114">
        <f>'KU EIAData'!B41</f>
        <v>8.1292470516109603</v>
      </c>
      <c r="D49" s="112">
        <f>'KU EIAData'!C41</f>
        <v>3.3900299999999994</v>
      </c>
      <c r="E49" s="112">
        <f>'KU EIAData'!D41</f>
        <v>229.57335360020343</v>
      </c>
      <c r="F49" s="112">
        <f>'KU EIAData'!G41</f>
        <v>14.9027742629115</v>
      </c>
      <c r="G49" s="112">
        <f>'KU EIAData'!E41</f>
        <v>14.297708169774198</v>
      </c>
      <c r="H49" s="112">
        <f>'KU EIAData'!F41</f>
        <v>14.754778999999992</v>
      </c>
      <c r="I49" s="112">
        <f>'KU EIAData'!H41</f>
        <v>11.639754356890823</v>
      </c>
      <c r="J49" s="112">
        <f>'KU EIAData'!I41</f>
        <v>1.0052244425854631</v>
      </c>
      <c r="K49" s="112">
        <f>'KU EIAData'!L41</f>
        <v>327.51107329563337</v>
      </c>
      <c r="L49" s="112">
        <f>'KU EIAData'!J41</f>
        <v>531.75756526825205</v>
      </c>
      <c r="M49" s="112">
        <f t="shared" si="6"/>
        <v>478.58180874142687</v>
      </c>
      <c r="N49" s="112">
        <f>'KU EIAData'!K41</f>
        <v>405.72238832729141</v>
      </c>
      <c r="O49" s="112">
        <f>'KU EIAData'!M41</f>
        <v>315.37272000194326</v>
      </c>
      <c r="P49" s="112">
        <f>'KU EIAData'!N41</f>
        <v>0.69999999999999973</v>
      </c>
      <c r="Q49" s="112">
        <f>'KU EIAData'!O41</f>
        <v>56.821942651416499</v>
      </c>
      <c r="R49" s="112">
        <f>'KU EIAData'!P41</f>
        <v>0.1089999999999999</v>
      </c>
      <c r="S49" s="112">
        <f>'KU EIAData'!Q41</f>
        <v>638.30270013812606</v>
      </c>
      <c r="T49" s="112">
        <f>'KU EIAData'!R41</f>
        <v>4.2929254165915207</v>
      </c>
      <c r="U49" s="112">
        <f>'KU EIAData'!S41</f>
        <v>191.52419450358303</v>
      </c>
      <c r="V49" s="112">
        <f>'KU EIAData'!T41</f>
        <v>524.02551398797334</v>
      </c>
      <c r="W49" s="112">
        <f>'KU EIAData'!U41</f>
        <v>978.40197991997638</v>
      </c>
      <c r="X49" s="222">
        <f>'KU EIAData'!V41</f>
        <v>7640.8854933793009</v>
      </c>
      <c r="Y49" s="285">
        <f t="shared" si="4"/>
        <v>1.2048437653356281E-2</v>
      </c>
    </row>
    <row r="50" spans="1:25" x14ac:dyDescent="0.2">
      <c r="A50" s="25">
        <f t="shared" si="5"/>
        <v>2043</v>
      </c>
      <c r="B50" s="112">
        <v>3.4119999999999999</v>
      </c>
      <c r="C50" s="114">
        <f>'KU EIAData'!B42</f>
        <v>8.1324017543064606</v>
      </c>
      <c r="D50" s="112">
        <f>'KU EIAData'!C42</f>
        <v>3.3930349999999994</v>
      </c>
      <c r="E50" s="112">
        <f>'KU EIAData'!D42</f>
        <v>222.43307783437066</v>
      </c>
      <c r="F50" s="112">
        <f>'KU EIAData'!G42</f>
        <v>14.911862219912022</v>
      </c>
      <c r="G50" s="112">
        <f>'KU EIAData'!E42</f>
        <v>14.306968975112532</v>
      </c>
      <c r="H50" s="112">
        <f>'KU EIAData'!F42</f>
        <v>14.778351999999991</v>
      </c>
      <c r="I50" s="112">
        <f>'KU EIAData'!H42</f>
        <v>11.651816290731036</v>
      </c>
      <c r="J50" s="112">
        <f>'KU EIAData'!I42</f>
        <v>1.0059353676567757</v>
      </c>
      <c r="K50" s="112">
        <f>'KU EIAData'!L42</f>
        <v>327.32526565350975</v>
      </c>
      <c r="L50" s="112">
        <f>'KU EIAData'!J42</f>
        <v>531.11460982966469</v>
      </c>
      <c r="M50" s="112">
        <f t="shared" ref="M50" si="7">L50*0.9</f>
        <v>478.00314884669825</v>
      </c>
      <c r="N50" s="112">
        <f>'KU EIAData'!K42</f>
        <v>403.59522220479965</v>
      </c>
      <c r="O50" s="112">
        <f>'KU EIAData'!M42</f>
        <v>315.37270319684097</v>
      </c>
      <c r="P50" s="112">
        <f>'KU EIAData'!N42</f>
        <v>0.69999999999999973</v>
      </c>
      <c r="Q50" s="112">
        <f>'KU EIAData'!O42</f>
        <v>56.809277578369361</v>
      </c>
      <c r="R50" s="112">
        <f>'KU EIAData'!P42</f>
        <v>0.10899999999999989</v>
      </c>
      <c r="S50" s="112">
        <f>'KU EIAData'!Q42</f>
        <v>638.6792663260245</v>
      </c>
      <c r="T50" s="112">
        <f>'KU EIAData'!R42</f>
        <v>4.2914837502608298</v>
      </c>
      <c r="U50" s="112">
        <f>'KU EIAData'!S42</f>
        <v>191.909026387175</v>
      </c>
      <c r="V50" s="112">
        <f>'KU EIAData'!T42</f>
        <v>523.83827707795945</v>
      </c>
      <c r="W50" s="112">
        <f>'KU EIAData'!U42</f>
        <v>974.97567427809224</v>
      </c>
      <c r="X50" s="222">
        <f>'KU EIAData'!V42</f>
        <v>7732.9462258627145</v>
      </c>
      <c r="Y50" s="285">
        <f t="shared" si="4"/>
        <v>1.2048437653356059E-2</v>
      </c>
    </row>
    <row r="51" spans="1:25" x14ac:dyDescent="0.2">
      <c r="A51" s="25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216"/>
    </row>
    <row r="52" spans="1:25" x14ac:dyDescent="0.2">
      <c r="A52" s="21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3"/>
      <c r="N52" s="43"/>
      <c r="O52" s="43"/>
      <c r="P52" s="43"/>
      <c r="Q52" s="43"/>
      <c r="R52" s="43"/>
      <c r="S52" s="43"/>
      <c r="T52" s="43"/>
      <c r="U52" s="42"/>
      <c r="V52" s="42"/>
      <c r="W52" s="43"/>
      <c r="X52" s="9"/>
    </row>
    <row r="53" spans="1:25" x14ac:dyDescent="0.2">
      <c r="A53" s="6" t="s">
        <v>60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3"/>
      <c r="N53" s="43"/>
      <c r="O53" s="43"/>
      <c r="P53" s="43"/>
      <c r="Q53" s="43"/>
      <c r="R53" s="43"/>
      <c r="S53" s="43"/>
      <c r="T53" s="43"/>
      <c r="U53" s="42"/>
      <c r="V53" s="42"/>
      <c r="W53" s="43"/>
      <c r="X53" s="9"/>
    </row>
    <row r="54" spans="1:25" x14ac:dyDescent="0.2">
      <c r="A54" s="4"/>
      <c r="B54" s="140">
        <f>'KU EIAData'!BP5</f>
        <v>919.13428064024072</v>
      </c>
      <c r="C54" s="140">
        <f>'KU EIAData'!BP6</f>
        <v>418.88968674901759</v>
      </c>
      <c r="D54" s="140">
        <f>'KU EIAData'!BP7</f>
        <v>9.3587965337677108</v>
      </c>
      <c r="E54" s="140">
        <f>'KU EIAData'!BP8</f>
        <v>99.2573307558159</v>
      </c>
      <c r="F54" s="140">
        <f>'KU EIAData'!BP9</f>
        <v>2821.7797014184434</v>
      </c>
      <c r="G54" s="140">
        <f>'KU EIAData'!BP10</f>
        <v>664.51554558329576</v>
      </c>
      <c r="H54" s="140">
        <f>'KU EIAData'!BP11</f>
        <v>16.588492083481007</v>
      </c>
      <c r="I54" s="140">
        <f>'KU EIAData'!BP12</f>
        <v>440.90917356139823</v>
      </c>
      <c r="J54" s="140">
        <f>'KU EIAData'!BP13</f>
        <v>2139.998090022028</v>
      </c>
      <c r="K54" s="140">
        <f>'KU EIAData'!BP14</f>
        <v>577.19558573148345</v>
      </c>
      <c r="L54" s="140">
        <f>'KU EIAData'!BP15</f>
        <v>702.65994438463133</v>
      </c>
      <c r="M54" s="140">
        <f>'KU EIAData'!BP16</f>
        <v>127.37087069516286</v>
      </c>
      <c r="N54" s="140">
        <f>'KU EIAData'!BP17</f>
        <v>259.12054736191692</v>
      </c>
      <c r="O54" s="140">
        <f>'KU EIAData'!BP18</f>
        <v>270.30410944160957</v>
      </c>
      <c r="P54" s="280">
        <f>O54</f>
        <v>270.30410944160957</v>
      </c>
      <c r="Q54" s="140">
        <f>'KU EIAData'!BP19</f>
        <v>104.82412726214093</v>
      </c>
      <c r="R54" s="280">
        <f>Q54</f>
        <v>104.82412726214093</v>
      </c>
      <c r="S54" s="140">
        <f>'KU EIAData'!BP20</f>
        <v>799.22911484244662</v>
      </c>
      <c r="T54" s="280">
        <f>S54</f>
        <v>799.22911484244662</v>
      </c>
      <c r="U54" s="140">
        <f>'KU EIAData'!BP21</f>
        <v>725.96154439582835</v>
      </c>
      <c r="V54" s="140">
        <f>'KU EIAData'!BP22</f>
        <v>240.20316110961355</v>
      </c>
      <c r="W54" s="140">
        <f>'KU EIAData'!BP23</f>
        <v>2119.4256904455815</v>
      </c>
      <c r="X54" s="44">
        <f>'KU EIAData'!BP24</f>
        <v>4216.7914405770534</v>
      </c>
    </row>
  </sheetData>
  <phoneticPr fontId="0" type="noConversion"/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32"/>
  <sheetViews>
    <sheetView tabSelected="1" topLeftCell="G1" zoomScale="80" zoomScaleNormal="80" workbookViewId="0"/>
  </sheetViews>
  <sheetFormatPr defaultColWidth="9.140625" defaultRowHeight="12.75" x14ac:dyDescent="0.2"/>
  <cols>
    <col min="1" max="1" width="7.140625" style="14" customWidth="1"/>
    <col min="2" max="2" width="12" style="14" bestFit="1" customWidth="1"/>
    <col min="3" max="4" width="12" style="14" customWidth="1"/>
    <col min="5" max="5" width="12" style="14" bestFit="1" customWidth="1"/>
    <col min="6" max="6" width="12" style="14" customWidth="1"/>
    <col min="7" max="7" width="7.42578125" style="14" customWidth="1"/>
    <col min="8" max="8" width="6.42578125" style="14" bestFit="1" customWidth="1"/>
    <col min="9" max="9" width="8.140625" style="14" bestFit="1" customWidth="1"/>
    <col min="10" max="10" width="7.7109375" style="14" bestFit="1" customWidth="1"/>
    <col min="11" max="12" width="10.28515625" style="14" bestFit="1" customWidth="1"/>
    <col min="13" max="13" width="7.42578125" style="30" bestFit="1" customWidth="1"/>
    <col min="14" max="14" width="7.42578125" style="30" customWidth="1"/>
    <col min="15" max="15" width="7.5703125" style="30" bestFit="1" customWidth="1"/>
    <col min="16" max="16" width="7.5703125" style="30" customWidth="1"/>
    <col min="17" max="17" width="7" style="30" bestFit="1" customWidth="1"/>
    <col min="18" max="18" width="7" style="30" customWidth="1"/>
    <col min="19" max="19" width="7" style="30" bestFit="1" customWidth="1"/>
    <col min="20" max="20" width="8.5703125" style="30" bestFit="1" customWidth="1"/>
    <col min="21" max="21" width="7" style="30" bestFit="1" customWidth="1"/>
    <col min="22" max="22" width="11.85546875" style="30" bestFit="1" customWidth="1"/>
    <col min="23" max="23" width="12.28515625" style="14" bestFit="1" customWidth="1"/>
    <col min="24" max="24" width="5.28515625" style="60" bestFit="1" customWidth="1"/>
    <col min="25" max="25" width="11.28515625" style="60" customWidth="1"/>
    <col min="26" max="26" width="10.140625" style="60" customWidth="1"/>
    <col min="27" max="27" width="11.28515625" style="60" bestFit="1" customWidth="1"/>
    <col min="28" max="28" width="10.140625" style="60" customWidth="1"/>
    <col min="29" max="32" width="10.28515625" style="60" customWidth="1"/>
    <col min="33" max="33" width="11.42578125" style="60" customWidth="1"/>
    <col min="34" max="34" width="10.28515625" style="60" customWidth="1"/>
    <col min="35" max="35" width="10.85546875" style="60" bestFit="1" customWidth="1"/>
    <col min="36" max="36" width="10.28515625" style="60" customWidth="1"/>
    <col min="37" max="37" width="11.5703125" style="60" customWidth="1"/>
    <col min="38" max="39" width="10.28515625" style="60" customWidth="1"/>
    <col min="40" max="40" width="10.28515625" style="60" bestFit="1" customWidth="1"/>
    <col min="41" max="41" width="10.28515625" style="60" customWidth="1"/>
    <col min="42" max="42" width="10.28515625" style="60" bestFit="1" customWidth="1"/>
    <col min="43" max="43" width="10.28515625" style="60" customWidth="1"/>
    <col min="44" max="44" width="11.85546875" style="60" customWidth="1"/>
    <col min="45" max="45" width="10.28515625" style="60" customWidth="1"/>
    <col min="46" max="46" width="12.140625" style="60" customWidth="1"/>
    <col min="47" max="47" width="10.28515625" style="60" customWidth="1"/>
    <col min="48" max="48" width="11.5703125" style="60" customWidth="1"/>
    <col min="49" max="49" width="10.28515625" style="60" customWidth="1"/>
    <col min="50" max="50" width="12.140625" style="60" customWidth="1"/>
    <col min="51" max="51" width="10.28515625" style="60" customWidth="1"/>
    <col min="52" max="52" width="10.28515625" style="60" bestFit="1" customWidth="1"/>
    <col min="53" max="53" width="10.28515625" style="60" customWidth="1"/>
    <col min="54" max="54" width="11.42578125" style="60" customWidth="1"/>
    <col min="55" max="57" width="10.28515625" style="60" customWidth="1"/>
    <col min="58" max="58" width="11.28515625" style="60" bestFit="1" customWidth="1"/>
    <col min="59" max="59" width="12.5703125" style="60" bestFit="1" customWidth="1"/>
    <col min="60" max="60" width="14.28515625" style="60" bestFit="1" customWidth="1"/>
    <col min="61" max="61" width="11.28515625" style="14" bestFit="1" customWidth="1"/>
    <col min="62" max="62" width="39.42578125" style="14" bestFit="1" customWidth="1"/>
    <col min="63" max="63" width="8.140625" style="14" bestFit="1" customWidth="1"/>
    <col min="64" max="64" width="11.28515625" style="14" bestFit="1" customWidth="1"/>
    <col min="65" max="65" width="12.28515625" style="14" bestFit="1" customWidth="1"/>
    <col min="66" max="66" width="14.7109375" style="14" bestFit="1" customWidth="1"/>
    <col min="67" max="67" width="13.140625" style="14" bestFit="1" customWidth="1"/>
    <col min="68" max="68" width="12.28515625" style="14" bestFit="1" customWidth="1"/>
    <col min="69" max="69" width="5.7109375" style="14" customWidth="1"/>
    <col min="70" max="70" width="6.28515625" style="14" customWidth="1"/>
    <col min="71" max="79" width="6.7109375" style="14" bestFit="1" customWidth="1"/>
    <col min="80" max="80" width="9.140625" style="14"/>
    <col min="81" max="90" width="7.7109375" style="14" customWidth="1"/>
    <col min="91" max="16384" width="9.140625" style="14"/>
  </cols>
  <sheetData>
    <row r="1" spans="1:90" ht="18" x14ac:dyDescent="0.25">
      <c r="A1" s="59" t="s">
        <v>80</v>
      </c>
      <c r="J1" s="30"/>
      <c r="M1" s="14"/>
      <c r="N1" s="14"/>
      <c r="O1" s="14"/>
      <c r="P1" s="14"/>
      <c r="Q1" s="14"/>
      <c r="R1" s="14"/>
      <c r="S1" s="14"/>
      <c r="T1" s="14"/>
      <c r="U1" s="14"/>
      <c r="V1" s="14"/>
    </row>
    <row r="2" spans="1:90" ht="18" x14ac:dyDescent="0.25">
      <c r="A2" s="60"/>
      <c r="B2" s="61" t="s">
        <v>101</v>
      </c>
      <c r="C2" s="61" t="s">
        <v>169</v>
      </c>
      <c r="D2" s="61" t="s">
        <v>114</v>
      </c>
      <c r="E2" s="61" t="s">
        <v>102</v>
      </c>
      <c r="F2" s="61" t="s">
        <v>103</v>
      </c>
      <c r="G2" s="61" t="s">
        <v>102</v>
      </c>
      <c r="H2" s="61" t="s">
        <v>103</v>
      </c>
      <c r="I2" s="61" t="s">
        <v>104</v>
      </c>
      <c r="J2" s="61" t="s">
        <v>114</v>
      </c>
      <c r="K2" s="61" t="s">
        <v>114</v>
      </c>
      <c r="L2" s="61" t="s">
        <v>114</v>
      </c>
      <c r="M2" s="61" t="s">
        <v>114</v>
      </c>
      <c r="N2" s="278" t="s">
        <v>104</v>
      </c>
      <c r="O2" s="61" t="s">
        <v>114</v>
      </c>
      <c r="P2" s="278" t="s">
        <v>233</v>
      </c>
      <c r="Q2" s="61" t="s">
        <v>114</v>
      </c>
      <c r="R2" s="278" t="s">
        <v>104</v>
      </c>
      <c r="S2" s="61" t="s">
        <v>114</v>
      </c>
      <c r="T2" s="61" t="s">
        <v>114</v>
      </c>
      <c r="U2" s="62" t="s">
        <v>114</v>
      </c>
      <c r="V2" s="62" t="s">
        <v>114</v>
      </c>
      <c r="W2" s="62"/>
      <c r="Y2" s="63" t="s">
        <v>48</v>
      </c>
      <c r="Z2" s="63"/>
      <c r="AB2" s="63"/>
      <c r="BJ2" s="59" t="s">
        <v>154</v>
      </c>
      <c r="BR2" s="59" t="s">
        <v>149</v>
      </c>
      <c r="CC2" s="59" t="s">
        <v>150</v>
      </c>
    </row>
    <row r="3" spans="1:90" x14ac:dyDescent="0.2">
      <c r="A3" s="64"/>
      <c r="B3" s="8" t="s">
        <v>52</v>
      </c>
      <c r="C3" s="8" t="s">
        <v>170</v>
      </c>
      <c r="D3" s="8" t="s">
        <v>147</v>
      </c>
      <c r="E3" s="8" t="s">
        <v>51</v>
      </c>
      <c r="F3" s="8" t="s">
        <v>171</v>
      </c>
      <c r="G3" s="8" t="s">
        <v>105</v>
      </c>
      <c r="H3" s="8" t="s">
        <v>106</v>
      </c>
      <c r="I3" s="8" t="s">
        <v>5</v>
      </c>
      <c r="J3" s="8" t="s">
        <v>45</v>
      </c>
      <c r="K3" s="8" t="s">
        <v>9</v>
      </c>
      <c r="L3" s="8" t="s">
        <v>43</v>
      </c>
      <c r="M3" s="8" t="s">
        <v>10</v>
      </c>
      <c r="N3" s="8" t="s">
        <v>230</v>
      </c>
      <c r="O3" s="8" t="s">
        <v>11</v>
      </c>
      <c r="P3" s="8" t="s">
        <v>231</v>
      </c>
      <c r="Q3" s="8" t="s">
        <v>12</v>
      </c>
      <c r="R3" s="8" t="s">
        <v>232</v>
      </c>
      <c r="S3" s="8" t="s">
        <v>100</v>
      </c>
      <c r="T3" s="8" t="s">
        <v>174</v>
      </c>
      <c r="U3" s="23" t="s">
        <v>13</v>
      </c>
      <c r="V3" s="23" t="s">
        <v>14</v>
      </c>
      <c r="W3" s="65"/>
      <c r="BR3" s="64" t="s">
        <v>15</v>
      </c>
      <c r="BS3" s="64" t="s">
        <v>83</v>
      </c>
      <c r="BT3" s="64" t="s">
        <v>84</v>
      </c>
      <c r="BU3" s="64" t="s">
        <v>85</v>
      </c>
      <c r="BV3" s="64" t="s">
        <v>86</v>
      </c>
      <c r="BW3" s="64" t="s">
        <v>87</v>
      </c>
      <c r="BX3" s="64" t="s">
        <v>88</v>
      </c>
      <c r="BY3" s="64" t="s">
        <v>89</v>
      </c>
      <c r="BZ3" s="64" t="s">
        <v>90</v>
      </c>
      <c r="CA3" s="64" t="s">
        <v>91</v>
      </c>
      <c r="CC3" s="64" t="s">
        <v>15</v>
      </c>
      <c r="CD3" s="64" t="s">
        <v>83</v>
      </c>
      <c r="CE3" s="64" t="s">
        <v>84</v>
      </c>
      <c r="CF3" s="64" t="s">
        <v>85</v>
      </c>
      <c r="CG3" s="64" t="s">
        <v>86</v>
      </c>
      <c r="CH3" s="64" t="s">
        <v>87</v>
      </c>
      <c r="CI3" s="64" t="s">
        <v>88</v>
      </c>
      <c r="CJ3" s="64" t="s">
        <v>89</v>
      </c>
      <c r="CK3" s="64" t="s">
        <v>90</v>
      </c>
      <c r="CL3" s="64" t="s">
        <v>91</v>
      </c>
    </row>
    <row r="4" spans="1:90" x14ac:dyDescent="0.2">
      <c r="A4" s="26">
        <v>2005</v>
      </c>
      <c r="B4" s="272">
        <f>B5*(B5/B6)</f>
        <v>7.0620322320644684</v>
      </c>
      <c r="C4" s="135">
        <v>3.3</v>
      </c>
      <c r="D4" s="100">
        <f t="shared" ref="D4:D41" si="0">1000*(AE93/AE49)/ 3.412</f>
        <v>625.46563419179665</v>
      </c>
      <c r="E4" s="272">
        <f t="shared" ref="E4" si="1">E5*(E5/E6)</f>
        <v>11.519958958691054</v>
      </c>
      <c r="F4" s="135">
        <v>13.8</v>
      </c>
      <c r="G4" s="272">
        <f t="shared" ref="G4:K4" si="2">G5*(G5/G6)</f>
        <v>11.212047447874177</v>
      </c>
      <c r="H4" s="272">
        <f t="shared" si="2"/>
        <v>9.4785066617465841</v>
      </c>
      <c r="I4" s="272">
        <f t="shared" si="2"/>
        <v>0.88291869461439743</v>
      </c>
      <c r="J4" s="276">
        <f t="shared" si="2"/>
        <v>666.18340837714163</v>
      </c>
      <c r="K4" s="276">
        <f t="shared" si="2"/>
        <v>535.73422281363219</v>
      </c>
      <c r="L4" s="100">
        <f t="shared" ref="L4:L34" si="3">1000*(AT93/AT49)/ 3.412</f>
        <v>331.40747338337758</v>
      </c>
      <c r="M4" s="100">
        <f t="shared" ref="M4:M34" si="4">1000*(AP93/AP49)/ 3.412</f>
        <v>434.05618224643769</v>
      </c>
      <c r="N4" s="272">
        <f t="shared" ref="N4" si="5">N5*(N5/N6)</f>
        <v>0.50630267962829545</v>
      </c>
      <c r="O4" s="100">
        <f t="shared" ref="O4:O34" si="6">1000*(AN93/AN49)/ 3.412</f>
        <v>110.52562758422165</v>
      </c>
      <c r="P4" s="272">
        <f t="shared" ref="P4" si="7">P5*(P5/P6)</f>
        <v>0.21055920001753098</v>
      </c>
      <c r="Q4" s="100">
        <f t="shared" ref="Q4:Q34" si="8">1000*(AV93/AV49)/ 3.412</f>
        <v>922.49348069682435</v>
      </c>
      <c r="R4" s="272">
        <f t="shared" ref="R4" si="9">R5*(R5/R6)</f>
        <v>2.9082772397857122</v>
      </c>
      <c r="S4" s="100">
        <f t="shared" ref="S4:S34" si="10">1000*(BB93/BB49)/ 3.412</f>
        <v>213.36398720339992</v>
      </c>
      <c r="T4" s="100">
        <f t="shared" ref="T4:T34" si="11">1000*(BD93/BD49)/ 3.412</f>
        <v>482.72570571459363</v>
      </c>
      <c r="U4" s="101">
        <f t="shared" ref="U4:U34" si="12">1000*(BF93/BF49)/ 3.412</f>
        <v>2009.4019042164659</v>
      </c>
      <c r="V4" s="101">
        <f t="shared" ref="V4:V34" si="13">1000*(BG93/BG49)/ 3.412</f>
        <v>3997.88904540354</v>
      </c>
      <c r="W4" s="65"/>
      <c r="X4" s="66"/>
      <c r="Y4" s="66" t="s">
        <v>36</v>
      </c>
      <c r="Z4" s="66"/>
      <c r="AA4" s="66" t="s">
        <v>39</v>
      </c>
      <c r="AB4" s="66"/>
      <c r="AC4" s="66" t="s">
        <v>167</v>
      </c>
      <c r="AD4" s="66"/>
      <c r="AE4" s="66" t="s">
        <v>147</v>
      </c>
      <c r="AF4" s="66"/>
      <c r="AG4" s="66" t="s">
        <v>4</v>
      </c>
      <c r="AH4" s="66"/>
      <c r="AI4" s="66" t="s">
        <v>2</v>
      </c>
      <c r="AJ4" s="66"/>
      <c r="AK4" s="66" t="s">
        <v>40</v>
      </c>
      <c r="AL4" s="66"/>
      <c r="AM4" s="66" t="s">
        <v>168</v>
      </c>
      <c r="AN4" s="66" t="s">
        <v>41</v>
      </c>
      <c r="AO4" s="66"/>
      <c r="AP4" s="66" t="s">
        <v>42</v>
      </c>
      <c r="AQ4" s="66"/>
      <c r="AR4" s="66" t="s">
        <v>5</v>
      </c>
      <c r="AS4" s="66"/>
      <c r="AT4" s="66" t="s">
        <v>43</v>
      </c>
      <c r="AU4" s="66"/>
      <c r="AV4" s="66" t="s">
        <v>44</v>
      </c>
      <c r="AW4" s="66"/>
      <c r="AX4" s="66" t="s">
        <v>45</v>
      </c>
      <c r="AY4" s="66"/>
      <c r="AZ4" s="66" t="s">
        <v>9</v>
      </c>
      <c r="BA4" s="66"/>
      <c r="BB4" s="66" t="s">
        <v>100</v>
      </c>
      <c r="BC4" s="66"/>
      <c r="BD4" s="66" t="s">
        <v>174</v>
      </c>
      <c r="BE4" s="66"/>
      <c r="BF4" s="66" t="s">
        <v>46</v>
      </c>
      <c r="BG4" s="66" t="s">
        <v>14</v>
      </c>
      <c r="BH4" s="90" t="s">
        <v>49</v>
      </c>
      <c r="BL4" s="8" t="s">
        <v>37</v>
      </c>
      <c r="BM4" s="8" t="s">
        <v>38</v>
      </c>
      <c r="BN4" s="8" t="s">
        <v>35</v>
      </c>
      <c r="BO4" s="8" t="s">
        <v>75</v>
      </c>
      <c r="BP4" s="8" t="s">
        <v>74</v>
      </c>
      <c r="BR4" s="26">
        <v>1990</v>
      </c>
      <c r="BS4" s="29">
        <f t="shared" ref="BS4:BS19" si="14">BS65/BS$80</f>
        <v>1.083921568627451</v>
      </c>
      <c r="BT4" s="29">
        <f t="shared" ref="BT4:CA4" si="15">BT65/BT$80</f>
        <v>1.3455696202531646</v>
      </c>
      <c r="BU4" s="29">
        <f t="shared" si="15"/>
        <v>0.94172932330827064</v>
      </c>
      <c r="BV4" s="29">
        <f t="shared" si="15"/>
        <v>0.89227642276422769</v>
      </c>
      <c r="BW4" s="29">
        <f t="shared" si="15"/>
        <v>0.98089552238805966</v>
      </c>
      <c r="BX4" s="29">
        <f t="shared" si="15"/>
        <v>0.94535131298793473</v>
      </c>
      <c r="BY4" s="29">
        <f t="shared" si="15"/>
        <v>0.78425196850393697</v>
      </c>
      <c r="BZ4" s="29">
        <f t="shared" si="15"/>
        <v>0.80911854103343472</v>
      </c>
      <c r="CA4" s="29">
        <f t="shared" si="15"/>
        <v>0.89933909506863241</v>
      </c>
      <c r="CC4" s="26">
        <v>1990</v>
      </c>
      <c r="CD4" s="29">
        <f t="shared" ref="CD4:CD19" si="16">CD65/CD$80</f>
        <v>0.70286885245901642</v>
      </c>
      <c r="CE4" s="29">
        <f t="shared" ref="CE4:CL4" si="17">CE65/CE$80</f>
        <v>0.71043376318874563</v>
      </c>
      <c r="CF4" s="29">
        <f t="shared" si="17"/>
        <v>0.61081081081081068</v>
      </c>
      <c r="CG4" s="29">
        <f t="shared" si="17"/>
        <v>0.56434316353887404</v>
      </c>
      <c r="CH4" s="29">
        <f t="shared" si="17"/>
        <v>0.59451219512195119</v>
      </c>
      <c r="CI4" s="29">
        <f t="shared" si="17"/>
        <v>0.54462242562929053</v>
      </c>
      <c r="CJ4" s="29">
        <f t="shared" si="17"/>
        <v>0.61441213653603033</v>
      </c>
      <c r="CK4" s="29">
        <f t="shared" si="17"/>
        <v>0.65938864628820959</v>
      </c>
      <c r="CL4" s="29">
        <f t="shared" si="17"/>
        <v>0.67162162162162153</v>
      </c>
    </row>
    <row r="5" spans="1:90" x14ac:dyDescent="0.2">
      <c r="A5" s="26">
        <v>2006</v>
      </c>
      <c r="B5" s="273">
        <v>7.1493184332678767</v>
      </c>
      <c r="C5" s="135">
        <v>3.3058230000000002</v>
      </c>
      <c r="D5" s="100">
        <f t="shared" si="0"/>
        <v>533.93994402085536</v>
      </c>
      <c r="E5" s="273">
        <v>11.731493674165527</v>
      </c>
      <c r="F5" s="135">
        <v>13.899820999999999</v>
      </c>
      <c r="G5" s="273">
        <v>11.442723164233163</v>
      </c>
      <c r="H5" s="273">
        <v>9.5562644541554054</v>
      </c>
      <c r="I5" s="273">
        <v>0.88541958974073087</v>
      </c>
      <c r="J5" s="277">
        <v>653.83637638858977</v>
      </c>
      <c r="K5" s="277">
        <v>530.40085896318101</v>
      </c>
      <c r="L5" s="100">
        <f t="shared" si="3"/>
        <v>331.11462444562341</v>
      </c>
      <c r="M5" s="100">
        <f t="shared" si="4"/>
        <v>432.91685803373963</v>
      </c>
      <c r="N5" s="279">
        <v>0.50660310677323339</v>
      </c>
      <c r="O5" s="100">
        <f t="shared" si="6"/>
        <v>109.9791450154996</v>
      </c>
      <c r="P5" s="279">
        <v>0.20941513069962472</v>
      </c>
      <c r="Q5" s="100">
        <f t="shared" si="8"/>
        <v>914.46699343519106</v>
      </c>
      <c r="R5" s="279">
        <v>2.9223544711117975</v>
      </c>
      <c r="S5" s="100">
        <f t="shared" si="10"/>
        <v>225.82494995553449</v>
      </c>
      <c r="T5" s="100">
        <f t="shared" si="11"/>
        <v>458.71325765347331</v>
      </c>
      <c r="U5" s="101">
        <f t="shared" si="12"/>
        <v>1985.1797483947332</v>
      </c>
      <c r="V5" s="101">
        <f t="shared" si="13"/>
        <v>4248.1497410769371</v>
      </c>
      <c r="W5" s="65"/>
      <c r="X5" s="66" t="s">
        <v>15</v>
      </c>
      <c r="Y5" s="67" t="s">
        <v>48</v>
      </c>
      <c r="Z5" s="67"/>
      <c r="AA5" s="67" t="s">
        <v>48</v>
      </c>
      <c r="AB5" s="67"/>
      <c r="AC5" s="67" t="s">
        <v>48</v>
      </c>
      <c r="AD5" s="67"/>
      <c r="AE5" s="67" t="s">
        <v>48</v>
      </c>
      <c r="AF5" s="67"/>
      <c r="AG5" s="67" t="s">
        <v>48</v>
      </c>
      <c r="AH5" s="67"/>
      <c r="AI5" s="67" t="s">
        <v>48</v>
      </c>
      <c r="AJ5" s="67"/>
      <c r="AK5" s="67" t="s">
        <v>48</v>
      </c>
      <c r="AL5" s="67"/>
      <c r="AM5" s="67" t="s">
        <v>48</v>
      </c>
      <c r="AN5" s="67" t="s">
        <v>48</v>
      </c>
      <c r="AO5" s="67"/>
      <c r="AP5" s="67" t="s">
        <v>48</v>
      </c>
      <c r="AQ5" s="67"/>
      <c r="AR5" s="67" t="s">
        <v>48</v>
      </c>
      <c r="AS5" s="67"/>
      <c r="AT5" s="67" t="s">
        <v>48</v>
      </c>
      <c r="AU5" s="67"/>
      <c r="AV5" s="67" t="s">
        <v>48</v>
      </c>
      <c r="AW5" s="67"/>
      <c r="AX5" s="67" t="s">
        <v>48</v>
      </c>
      <c r="AY5" s="67"/>
      <c r="AZ5" s="67" t="s">
        <v>48</v>
      </c>
      <c r="BA5" s="67"/>
      <c r="BB5" s="67" t="s">
        <v>48</v>
      </c>
      <c r="BC5" s="67"/>
      <c r="BD5" s="67" t="s">
        <v>48</v>
      </c>
      <c r="BE5" s="67"/>
      <c r="BF5" s="67" t="s">
        <v>48</v>
      </c>
      <c r="BG5" s="67" t="s">
        <v>48</v>
      </c>
      <c r="BH5" s="67" t="s">
        <v>48</v>
      </c>
      <c r="BJ5" s="14" t="s">
        <v>115</v>
      </c>
      <c r="BK5" s="26" t="s">
        <v>0</v>
      </c>
      <c r="BL5" s="27">
        <f>Y49</f>
        <v>2334318</v>
      </c>
      <c r="BM5" s="27">
        <f>Y93</f>
        <v>20494125</v>
      </c>
      <c r="BN5" s="27">
        <f t="shared" ref="BN5:BN13" si="18">1000*(BM5/BL5)/3.412</f>
        <v>2573.1217711505083</v>
      </c>
      <c r="BO5" s="27">
        <f>$BN$5*Y6</f>
        <v>871.42011256872252</v>
      </c>
      <c r="BP5" s="27">
        <f>BO5*$BO$28</f>
        <v>919.13428064024072</v>
      </c>
      <c r="BR5" s="26">
        <f t="shared" ref="BR5:BR13" si="19">BR6-1</f>
        <v>1991</v>
      </c>
      <c r="BS5" s="29">
        <f t="shared" si="14"/>
        <v>1.0207843137254902</v>
      </c>
      <c r="BT5" s="29">
        <f t="shared" ref="BT5:CA14" si="20">BT66/BT$80</f>
        <v>1.1109704641350211</v>
      </c>
      <c r="BU5" s="29">
        <f t="shared" si="20"/>
        <v>1.0588972431077692</v>
      </c>
      <c r="BV5" s="29">
        <f t="shared" si="20"/>
        <v>1.0338753387533874</v>
      </c>
      <c r="BW5" s="29">
        <f t="shared" si="20"/>
        <v>1.0208955223880598</v>
      </c>
      <c r="BX5" s="29">
        <f t="shared" si="20"/>
        <v>1.1171043293115686</v>
      </c>
      <c r="BY5" s="29">
        <f t="shared" si="20"/>
        <v>0.81207349081364832</v>
      </c>
      <c r="BZ5" s="29">
        <f t="shared" si="20"/>
        <v>0.87537993920972645</v>
      </c>
      <c r="CA5" s="29">
        <f t="shared" si="20"/>
        <v>0.9217081850533807</v>
      </c>
      <c r="CC5" s="26">
        <f t="shared" ref="CC5:CC13" si="21">CC6-1</f>
        <v>1991</v>
      </c>
      <c r="CD5" s="29">
        <f t="shared" si="16"/>
        <v>0.70081967213114749</v>
      </c>
      <c r="CE5" s="29">
        <f t="shared" ref="CE5:CL14" si="22">CE66/CE$80</f>
        <v>0.69167643610785468</v>
      </c>
      <c r="CF5" s="29">
        <f t="shared" si="22"/>
        <v>0.58648648648648649</v>
      </c>
      <c r="CG5" s="29">
        <f t="shared" si="22"/>
        <v>0.53351206434316356</v>
      </c>
      <c r="CH5" s="29">
        <f t="shared" si="22"/>
        <v>0.56707317073170738</v>
      </c>
      <c r="CI5" s="29">
        <f t="shared" si="22"/>
        <v>0.53432494279176201</v>
      </c>
      <c r="CJ5" s="29">
        <f t="shared" si="22"/>
        <v>0.5802781289506953</v>
      </c>
      <c r="CK5" s="29">
        <f t="shared" si="22"/>
        <v>0.63755458515283836</v>
      </c>
      <c r="CL5" s="29">
        <f t="shared" si="22"/>
        <v>0.69324324324324316</v>
      </c>
    </row>
    <row r="6" spans="1:90" x14ac:dyDescent="0.2">
      <c r="A6" s="26">
        <v>2007</v>
      </c>
      <c r="B6" s="273">
        <v>7.2376834855257917</v>
      </c>
      <c r="C6" s="136">
        <v>3.3084030000000002</v>
      </c>
      <c r="D6" s="100">
        <f t="shared" si="0"/>
        <v>524.23621272693435</v>
      </c>
      <c r="E6" s="273">
        <v>11.946912686104191</v>
      </c>
      <c r="F6" s="136">
        <v>13.959336</v>
      </c>
      <c r="G6" s="273">
        <v>11.678144783279871</v>
      </c>
      <c r="H6" s="273">
        <v>9.6346601396940272</v>
      </c>
      <c r="I6" s="273">
        <v>0.88792756873160483</v>
      </c>
      <c r="J6" s="277">
        <v>641.71818408143679</v>
      </c>
      <c r="K6" s="277">
        <v>525.12059004068112</v>
      </c>
      <c r="L6" s="100">
        <f t="shared" si="3"/>
        <v>330.91645306583194</v>
      </c>
      <c r="M6" s="100">
        <f t="shared" si="4"/>
        <v>432.91899720505887</v>
      </c>
      <c r="N6" s="279">
        <v>0.50690371218400532</v>
      </c>
      <c r="O6" s="100">
        <f t="shared" si="6"/>
        <v>109.38776394353474</v>
      </c>
      <c r="P6" s="279">
        <v>0.20827727766010509</v>
      </c>
      <c r="Q6" s="100">
        <f t="shared" si="8"/>
        <v>908.30124375978949</v>
      </c>
      <c r="R6" s="279">
        <v>2.9364998418982808</v>
      </c>
      <c r="S6" s="100">
        <f t="shared" si="10"/>
        <v>217.11185870931743</v>
      </c>
      <c r="T6" s="100">
        <f t="shared" si="11"/>
        <v>459.56516805093412</v>
      </c>
      <c r="U6" s="101">
        <f t="shared" si="12"/>
        <v>1939.9335923414326</v>
      </c>
      <c r="V6" s="101">
        <f t="shared" si="13"/>
        <v>4571.464236516189</v>
      </c>
      <c r="W6" s="65"/>
      <c r="X6" s="8">
        <v>2005</v>
      </c>
      <c r="Y6" s="53">
        <f t="shared" ref="Y6:BG6" si="23">Y49/$BF49</f>
        <v>0.33866260133467696</v>
      </c>
      <c r="Z6" s="53"/>
      <c r="AA6" s="53">
        <f t="shared" si="23"/>
        <v>0.14585055552541118</v>
      </c>
      <c r="AB6" s="53"/>
      <c r="AC6" s="53">
        <f t="shared" si="23"/>
        <v>4.7895224463255183E-3</v>
      </c>
      <c r="AD6" s="53"/>
      <c r="AE6" s="53">
        <f t="shared" ref="AE6:AE32" si="24">AE49/$BF49</f>
        <v>0.15045539127031082</v>
      </c>
      <c r="AF6" s="53"/>
      <c r="AG6" s="53">
        <f t="shared" si="23"/>
        <v>0.43823339698471758</v>
      </c>
      <c r="AH6" s="53"/>
      <c r="AI6" s="53">
        <f t="shared" si="23"/>
        <v>0.60157638006521053</v>
      </c>
      <c r="AJ6" s="53"/>
      <c r="AK6" s="53">
        <f t="shared" si="23"/>
        <v>0.14585055552541118</v>
      </c>
      <c r="AL6" s="53"/>
      <c r="AM6" s="53">
        <f t="shared" si="23"/>
        <v>4.7895224463255183E-3</v>
      </c>
      <c r="AN6" s="53">
        <f t="shared" si="23"/>
        <v>0.89918050172688591</v>
      </c>
      <c r="AO6" s="53"/>
      <c r="AP6" s="53">
        <f t="shared" si="23"/>
        <v>0.59041219228192388</v>
      </c>
      <c r="AQ6" s="53"/>
      <c r="AR6" s="53">
        <f t="shared" si="23"/>
        <v>0.68160970201460835</v>
      </c>
      <c r="AS6" s="53"/>
      <c r="AT6" s="53">
        <f t="shared" si="23"/>
        <v>1.6512366464841195</v>
      </c>
      <c r="AU6" s="53"/>
      <c r="AV6" s="53">
        <f t="shared" si="23"/>
        <v>0.8214036073244454</v>
      </c>
      <c r="AW6" s="53"/>
      <c r="AX6" s="53">
        <f t="shared" si="23"/>
        <v>1.201410640797568</v>
      </c>
      <c r="AY6" s="53"/>
      <c r="AZ6" s="53">
        <f t="shared" si="23"/>
        <v>0.45856518308937183</v>
      </c>
      <c r="BA6" s="53"/>
      <c r="BB6" s="53">
        <f t="shared" si="23"/>
        <v>3.2258272963172629</v>
      </c>
      <c r="BC6" s="53" t="e">
        <f t="shared" ref="BC6:BC34" si="25">BB6/BB5-1</f>
        <v>#VALUE!</v>
      </c>
      <c r="BD6" s="53">
        <f t="shared" ref="BD6:BD36" si="26">BD49/$BF49</f>
        <v>0.4717662925443154</v>
      </c>
      <c r="BE6" s="53"/>
      <c r="BF6" s="53">
        <f t="shared" si="23"/>
        <v>1</v>
      </c>
      <c r="BG6" s="53">
        <f t="shared" si="23"/>
        <v>1</v>
      </c>
      <c r="BH6" s="105">
        <f t="shared" ref="BH6:BH21" si="27">AX6-1</f>
        <v>0.20141064079756799</v>
      </c>
      <c r="BJ6" s="14" t="s">
        <v>20</v>
      </c>
      <c r="BK6" s="26" t="s">
        <v>1</v>
      </c>
      <c r="BL6" s="27">
        <f>AA49</f>
        <v>1005312</v>
      </c>
      <c r="BM6" s="27">
        <f>AA93</f>
        <v>9340069</v>
      </c>
      <c r="BN6" s="27">
        <f t="shared" si="18"/>
        <v>2722.9533155983272</v>
      </c>
      <c r="BO6" s="27">
        <f>$BN$6*AA6</f>
        <v>397.14425374977628</v>
      </c>
      <c r="BP6" s="27">
        <f t="shared" ref="BP6:BP24" si="28">BO6*$BO$28</f>
        <v>418.88968674901759</v>
      </c>
      <c r="BR6" s="26">
        <f t="shared" si="19"/>
        <v>1992</v>
      </c>
      <c r="BS6" s="29">
        <f t="shared" si="14"/>
        <v>1.044313725490196</v>
      </c>
      <c r="BT6" s="29">
        <f t="shared" si="20"/>
        <v>1.0637130801687764</v>
      </c>
      <c r="BU6" s="29">
        <f t="shared" si="20"/>
        <v>1.1265664160401003</v>
      </c>
      <c r="BV6" s="29">
        <f t="shared" si="20"/>
        <v>1.1029810298102982</v>
      </c>
      <c r="BW6" s="29">
        <f t="shared" si="20"/>
        <v>1.04</v>
      </c>
      <c r="BX6" s="29">
        <f t="shared" si="20"/>
        <v>1.170333569907736</v>
      </c>
      <c r="BY6" s="29">
        <f t="shared" si="20"/>
        <v>0.83779527559055122</v>
      </c>
      <c r="BZ6" s="29">
        <f t="shared" si="20"/>
        <v>0.95805471124620067</v>
      </c>
      <c r="CA6" s="29">
        <f t="shared" si="20"/>
        <v>0.9440772750381291</v>
      </c>
      <c r="CC6" s="26">
        <f t="shared" si="21"/>
        <v>1992</v>
      </c>
      <c r="CD6" s="29">
        <f t="shared" si="16"/>
        <v>0.68032786885245899</v>
      </c>
      <c r="CE6" s="29">
        <f t="shared" si="22"/>
        <v>0.6846424384525206</v>
      </c>
      <c r="CF6" s="29">
        <f t="shared" si="22"/>
        <v>0.57837837837837835</v>
      </c>
      <c r="CG6" s="29">
        <f t="shared" si="22"/>
        <v>0.54691689008042899</v>
      </c>
      <c r="CH6" s="29">
        <f t="shared" si="22"/>
        <v>0.55589430894308944</v>
      </c>
      <c r="CI6" s="29">
        <f t="shared" si="22"/>
        <v>0.52517162471395873</v>
      </c>
      <c r="CJ6" s="29">
        <f t="shared" si="22"/>
        <v>0.5752212389380531</v>
      </c>
      <c r="CK6" s="29">
        <f t="shared" si="22"/>
        <v>0.61572052401746735</v>
      </c>
      <c r="CL6" s="29">
        <f t="shared" si="22"/>
        <v>0.64999999999999991</v>
      </c>
    </row>
    <row r="7" spans="1:90" x14ac:dyDescent="0.2">
      <c r="A7" s="26">
        <v>2008</v>
      </c>
      <c r="B7" s="273">
        <v>7.2955227821573905</v>
      </c>
      <c r="C7" s="136">
        <v>3.3115579999999998</v>
      </c>
      <c r="D7" s="100">
        <f t="shared" si="0"/>
        <v>576.61851116012792</v>
      </c>
      <c r="E7" s="273">
        <v>12.091365945217705</v>
      </c>
      <c r="F7" s="136">
        <v>14.011077</v>
      </c>
      <c r="G7" s="273">
        <v>11.882268005355439</v>
      </c>
      <c r="H7" s="273">
        <v>9.7236867825604634</v>
      </c>
      <c r="I7" s="273">
        <v>0.89003327185459302</v>
      </c>
      <c r="J7" s="277">
        <v>631.02578946127517</v>
      </c>
      <c r="K7" s="277">
        <v>520.34729348969699</v>
      </c>
      <c r="L7" s="100">
        <f t="shared" si="3"/>
        <v>331.29103268549198</v>
      </c>
      <c r="M7" s="100">
        <f t="shared" si="4"/>
        <v>434.43420898297279</v>
      </c>
      <c r="N7" s="279">
        <v>0.50754218591186639</v>
      </c>
      <c r="O7" s="100">
        <f t="shared" si="6"/>
        <v>106.95894621882289</v>
      </c>
      <c r="P7" s="279">
        <v>0.19934228048964761</v>
      </c>
      <c r="Q7" s="100">
        <f t="shared" si="8"/>
        <v>900.81947550189284</v>
      </c>
      <c r="R7" s="279">
        <v>2.9476308294004077</v>
      </c>
      <c r="S7" s="100">
        <f t="shared" si="10"/>
        <v>207.00907655867826</v>
      </c>
      <c r="T7" s="100">
        <f t="shared" si="11"/>
        <v>524.57710434617502</v>
      </c>
      <c r="U7" s="101">
        <f t="shared" si="12"/>
        <v>1902.3936931178162</v>
      </c>
      <c r="V7" s="101">
        <f t="shared" si="13"/>
        <v>4808.0565437272035</v>
      </c>
      <c r="W7" s="65"/>
      <c r="X7" s="8">
        <v>2006</v>
      </c>
      <c r="Y7" s="53">
        <f t="shared" ref="Y7:BG7" si="29">Y50/$BF50</f>
        <v>0.33567850018347783</v>
      </c>
      <c r="Z7" s="53"/>
      <c r="AA7" s="53">
        <f t="shared" si="29"/>
        <v>0.14961951922040129</v>
      </c>
      <c r="AB7" s="53"/>
      <c r="AC7" s="53">
        <f t="shared" si="29"/>
        <v>5.0756203659968998E-3</v>
      </c>
      <c r="AD7" s="53"/>
      <c r="AE7" s="53">
        <f t="shared" si="24"/>
        <v>0.15875288623092756</v>
      </c>
      <c r="AF7" s="53"/>
      <c r="AG7" s="53">
        <f t="shared" si="29"/>
        <v>0.43228213752185862</v>
      </c>
      <c r="AH7" s="53"/>
      <c r="AI7" s="53">
        <f t="shared" si="29"/>
        <v>0.60111356436041241</v>
      </c>
      <c r="AJ7" s="53"/>
      <c r="AK7" s="53">
        <f t="shared" si="29"/>
        <v>0.14961951922040129</v>
      </c>
      <c r="AL7" s="53"/>
      <c r="AM7" s="53">
        <f t="shared" si="29"/>
        <v>5.0756203659968998E-3</v>
      </c>
      <c r="AN7" s="53">
        <f t="shared" si="29"/>
        <v>0.89844224507773374</v>
      </c>
      <c r="AO7" s="53"/>
      <c r="AP7" s="53">
        <f t="shared" si="29"/>
        <v>0.59230806771275191</v>
      </c>
      <c r="AQ7" s="53"/>
      <c r="AR7" s="53">
        <f t="shared" si="29"/>
        <v>0.68229512996982733</v>
      </c>
      <c r="AS7" s="53"/>
      <c r="AT7" s="53">
        <f t="shared" si="29"/>
        <v>1.6491509273296754</v>
      </c>
      <c r="AU7" s="53"/>
      <c r="AV7" s="53">
        <f t="shared" si="29"/>
        <v>0.82165047133434099</v>
      </c>
      <c r="AW7" s="53"/>
      <c r="AX7" s="53">
        <f t="shared" si="29"/>
        <v>1.1998874803619688</v>
      </c>
      <c r="AY7" s="53"/>
      <c r="AZ7" s="53">
        <f t="shared" si="29"/>
        <v>0.45796730740189479</v>
      </c>
      <c r="BA7" s="53"/>
      <c r="BB7" s="53">
        <f t="shared" si="29"/>
        <v>3.2368607481663374</v>
      </c>
      <c r="BC7" s="53">
        <f t="shared" si="25"/>
        <v>3.420347971408999E-3</v>
      </c>
      <c r="BD7" s="53">
        <f t="shared" si="26"/>
        <v>0.46959990314327987</v>
      </c>
      <c r="BE7" s="53"/>
      <c r="BF7" s="53">
        <f t="shared" si="29"/>
        <v>1</v>
      </c>
      <c r="BG7" s="53">
        <f t="shared" si="29"/>
        <v>1</v>
      </c>
      <c r="BH7" s="105">
        <f t="shared" si="27"/>
        <v>0.19988748036196879</v>
      </c>
      <c r="BJ7" s="40" t="s">
        <v>163</v>
      </c>
      <c r="BK7" s="26" t="s">
        <v>164</v>
      </c>
      <c r="BL7" s="27">
        <f>AC49</f>
        <v>33013</v>
      </c>
      <c r="BM7" s="27">
        <f>AC93</f>
        <v>208675</v>
      </c>
      <c r="BN7" s="27">
        <f>1000*(BM7/BL7)/3.412</f>
        <v>1852.5775966119993</v>
      </c>
      <c r="BO7" s="27">
        <f>$BN$7*AC6</f>
        <v>8.8729619825329529</v>
      </c>
      <c r="BP7" s="27">
        <f t="shared" si="28"/>
        <v>9.3587965337677108</v>
      </c>
      <c r="BR7" s="26">
        <f t="shared" si="19"/>
        <v>1993</v>
      </c>
      <c r="BS7" s="29">
        <f t="shared" si="14"/>
        <v>1.0949019607843138</v>
      </c>
      <c r="BT7" s="29">
        <f t="shared" si="20"/>
        <v>1.0502109704641351</v>
      </c>
      <c r="BU7" s="29">
        <f t="shared" si="20"/>
        <v>1.1409774436090225</v>
      </c>
      <c r="BV7" s="29">
        <f t="shared" si="20"/>
        <v>1.1165311653116532</v>
      </c>
      <c r="BW7" s="29">
        <f t="shared" si="20"/>
        <v>1.0358208955223882</v>
      </c>
      <c r="BX7" s="29">
        <f t="shared" si="20"/>
        <v>1.1724627395315828</v>
      </c>
      <c r="BY7" s="29">
        <f t="shared" si="20"/>
        <v>0.88083989501312343</v>
      </c>
      <c r="BZ7" s="29">
        <f t="shared" si="20"/>
        <v>0.9659574468085107</v>
      </c>
      <c r="CA7" s="29">
        <f t="shared" si="20"/>
        <v>0.94611082867310614</v>
      </c>
      <c r="CC7" s="26">
        <f t="shared" si="21"/>
        <v>1993</v>
      </c>
      <c r="CD7" s="29">
        <f t="shared" si="16"/>
        <v>0.7018442622950819</v>
      </c>
      <c r="CE7" s="29">
        <f t="shared" si="22"/>
        <v>0.70457209847596725</v>
      </c>
      <c r="CF7" s="29">
        <f t="shared" si="22"/>
        <v>0.60270270270270265</v>
      </c>
      <c r="CG7" s="29">
        <f t="shared" si="22"/>
        <v>0.56702412868632712</v>
      </c>
      <c r="CH7" s="29">
        <f t="shared" si="22"/>
        <v>0.58536585365853655</v>
      </c>
      <c r="CI7" s="29">
        <f t="shared" si="22"/>
        <v>0.53775743707093826</v>
      </c>
      <c r="CJ7" s="29">
        <f t="shared" si="22"/>
        <v>0.57901390644753481</v>
      </c>
      <c r="CK7" s="29">
        <f t="shared" si="22"/>
        <v>0.60553129548762741</v>
      </c>
      <c r="CL7" s="29">
        <f t="shared" si="22"/>
        <v>0.66486486486486485</v>
      </c>
    </row>
    <row r="8" spans="1:90" x14ac:dyDescent="0.2">
      <c r="A8" s="26">
        <v>2009</v>
      </c>
      <c r="B8" s="273">
        <v>7.4271160297289596</v>
      </c>
      <c r="C8" s="136">
        <v>3.3173560000000002</v>
      </c>
      <c r="D8" s="100">
        <f t="shared" si="0"/>
        <v>551.79539909444304</v>
      </c>
      <c r="E8" s="273">
        <v>12.45351991577868</v>
      </c>
      <c r="F8" s="136">
        <v>14.066179</v>
      </c>
      <c r="G8" s="273">
        <v>12.256263390646293</v>
      </c>
      <c r="H8" s="273">
        <v>9.8182594505674103</v>
      </c>
      <c r="I8" s="273">
        <v>0.89241345643186221</v>
      </c>
      <c r="J8" s="277">
        <v>621.16119108692885</v>
      </c>
      <c r="K8" s="277">
        <v>516.5742803585739</v>
      </c>
      <c r="L8" s="100">
        <f t="shared" si="3"/>
        <v>330.09551519454595</v>
      </c>
      <c r="M8" s="100">
        <f t="shared" si="4"/>
        <v>434.42156713561747</v>
      </c>
      <c r="N8" s="279">
        <v>0.50694008742972219</v>
      </c>
      <c r="O8" s="100">
        <f t="shared" si="6"/>
        <v>103.94227833086076</v>
      </c>
      <c r="P8" s="279">
        <v>0.19438923324825755</v>
      </c>
      <c r="Q8" s="100">
        <f t="shared" si="8"/>
        <v>889.78382951916672</v>
      </c>
      <c r="R8" s="279">
        <v>2.9592860868799247</v>
      </c>
      <c r="S8" s="100">
        <f t="shared" si="10"/>
        <v>198.51790070008198</v>
      </c>
      <c r="T8" s="100">
        <f t="shared" si="11"/>
        <v>521.8929234098299</v>
      </c>
      <c r="U8" s="101">
        <f t="shared" si="12"/>
        <v>1850.3865646921006</v>
      </c>
      <c r="V8" s="101">
        <f t="shared" si="13"/>
        <v>4671.1573105174311</v>
      </c>
      <c r="W8" s="65"/>
      <c r="X8" s="8">
        <v>2007</v>
      </c>
      <c r="Y8" s="53">
        <f t="shared" ref="Y8:BG8" si="30">Y51/$BF51</f>
        <v>0.33295737742270831</v>
      </c>
      <c r="Z8" s="53"/>
      <c r="AA8" s="53">
        <f t="shared" si="30"/>
        <v>0.15503816522123012</v>
      </c>
      <c r="AB8" s="53"/>
      <c r="AC8" s="53">
        <f t="shared" si="30"/>
        <v>5.5085373321371103E-3</v>
      </c>
      <c r="AD8" s="53"/>
      <c r="AE8" s="53">
        <f t="shared" si="24"/>
        <v>0.15654946525968017</v>
      </c>
      <c r="AF8" s="53"/>
      <c r="AG8" s="53">
        <f t="shared" si="30"/>
        <v>0.4251820680423235</v>
      </c>
      <c r="AH8" s="53"/>
      <c r="AI8" s="53">
        <f t="shared" si="30"/>
        <v>0.60263112174420752</v>
      </c>
      <c r="AJ8" s="53"/>
      <c r="AK8" s="53">
        <f t="shared" si="30"/>
        <v>0.15503816522123012</v>
      </c>
      <c r="AL8" s="53"/>
      <c r="AM8" s="53">
        <f t="shared" si="30"/>
        <v>5.5085373321371103E-3</v>
      </c>
      <c r="AN8" s="53">
        <f t="shared" si="30"/>
        <v>0.89942111334216257</v>
      </c>
      <c r="AO8" s="53"/>
      <c r="AP8" s="53">
        <f t="shared" si="30"/>
        <v>0.59624072570883357</v>
      </c>
      <c r="AQ8" s="53"/>
      <c r="AR8" s="53">
        <f t="shared" si="30"/>
        <v>0.68438116802665871</v>
      </c>
      <c r="AS8" s="53"/>
      <c r="AT8" s="53">
        <f t="shared" si="30"/>
        <v>1.6500074051921789</v>
      </c>
      <c r="AU8" s="53"/>
      <c r="AV8" s="53">
        <f t="shared" si="30"/>
        <v>0.82396348670625597</v>
      </c>
      <c r="AW8" s="53"/>
      <c r="AX8" s="53">
        <f t="shared" si="30"/>
        <v>1.2000256333575425</v>
      </c>
      <c r="AY8" s="53"/>
      <c r="AZ8" s="53">
        <f t="shared" si="30"/>
        <v>0.45802295609575483</v>
      </c>
      <c r="BA8" s="53"/>
      <c r="BB8" s="53">
        <f t="shared" si="30"/>
        <v>3.4855378020819985</v>
      </c>
      <c r="BC8" s="53">
        <f t="shared" si="25"/>
        <v>7.6826614817006034E-2</v>
      </c>
      <c r="BD8" s="53">
        <f t="shared" si="26"/>
        <v>0.46697483658734568</v>
      </c>
      <c r="BE8" s="53"/>
      <c r="BF8" s="53">
        <f t="shared" si="30"/>
        <v>1</v>
      </c>
      <c r="BG8" s="53">
        <f t="shared" si="30"/>
        <v>1</v>
      </c>
      <c r="BH8" s="105">
        <f t="shared" si="27"/>
        <v>0.20002563335754253</v>
      </c>
      <c r="BJ8" s="14" t="s">
        <v>148</v>
      </c>
      <c r="BK8" s="26" t="s">
        <v>147</v>
      </c>
      <c r="BL8" s="27">
        <f>AE49</f>
        <v>1037052</v>
      </c>
      <c r="BM8" s="27">
        <f>AE93</f>
        <v>2213161</v>
      </c>
      <c r="BN8" s="27">
        <f>1000*(BM8/BL8)/3.412</f>
        <v>625.46563419179665</v>
      </c>
      <c r="BO8" s="27">
        <f>BN8*AE6</f>
        <v>94.104676718459871</v>
      </c>
      <c r="BP8" s="27">
        <f t="shared" si="28"/>
        <v>99.2573307558159</v>
      </c>
      <c r="BR8" s="26">
        <f t="shared" si="19"/>
        <v>1994</v>
      </c>
      <c r="BS8" s="29">
        <f t="shared" si="14"/>
        <v>1.1411764705882355</v>
      </c>
      <c r="BT8" s="29">
        <f t="shared" si="20"/>
        <v>1.0696202531645571</v>
      </c>
      <c r="BU8" s="29">
        <f t="shared" si="20"/>
        <v>1.1604010025062657</v>
      </c>
      <c r="BV8" s="29">
        <f t="shared" si="20"/>
        <v>1.1510840108401084</v>
      </c>
      <c r="BW8" s="29">
        <f t="shared" si="20"/>
        <v>1.0602985074626867</v>
      </c>
      <c r="BX8" s="29">
        <f t="shared" si="20"/>
        <v>1.2072391767210788</v>
      </c>
      <c r="BY8" s="29">
        <f t="shared" si="20"/>
        <v>0.90603674540682422</v>
      </c>
      <c r="BZ8" s="29">
        <f t="shared" si="20"/>
        <v>1.0249240121580547</v>
      </c>
      <c r="CA8" s="29">
        <f t="shared" si="20"/>
        <v>0.97661413319776302</v>
      </c>
      <c r="CC8" s="26">
        <f t="shared" si="21"/>
        <v>1994</v>
      </c>
      <c r="CD8" s="29">
        <f t="shared" si="16"/>
        <v>0.73975409836065575</v>
      </c>
      <c r="CE8" s="29">
        <f t="shared" si="22"/>
        <v>0.73388042203985937</v>
      </c>
      <c r="CF8" s="29">
        <f t="shared" si="22"/>
        <v>0.5972972972972973</v>
      </c>
      <c r="CG8" s="29">
        <f t="shared" si="22"/>
        <v>0.55495978552278813</v>
      </c>
      <c r="CH8" s="29">
        <f t="shared" si="22"/>
        <v>0.59247967479674801</v>
      </c>
      <c r="CI8" s="29">
        <f t="shared" si="22"/>
        <v>0.55491990846681916</v>
      </c>
      <c r="CJ8" s="29">
        <f t="shared" si="22"/>
        <v>0.58786346396965872</v>
      </c>
      <c r="CK8" s="29">
        <f t="shared" si="22"/>
        <v>0.62736535662299853</v>
      </c>
      <c r="CL8" s="29">
        <f t="shared" si="22"/>
        <v>0.67162162162162153</v>
      </c>
    </row>
    <row r="9" spans="1:90" x14ac:dyDescent="0.2">
      <c r="A9" s="26">
        <v>2010</v>
      </c>
      <c r="B9" s="273">
        <v>7.4697073514413974</v>
      </c>
      <c r="C9" s="136">
        <v>3.3234880000000002</v>
      </c>
      <c r="D9" s="100">
        <f t="shared" si="0"/>
        <v>598.27357529615711</v>
      </c>
      <c r="E9" s="273">
        <v>12.564630926138568</v>
      </c>
      <c r="F9" s="136">
        <v>14.118752000000001</v>
      </c>
      <c r="G9" s="273">
        <v>12.571036444997583</v>
      </c>
      <c r="H9" s="273">
        <v>9.9223769513750497</v>
      </c>
      <c r="I9" s="273">
        <v>0.8942953872890933</v>
      </c>
      <c r="J9" s="277">
        <v>612.69932999556579</v>
      </c>
      <c r="K9" s="277">
        <v>513.86544850921223</v>
      </c>
      <c r="L9" s="100">
        <f t="shared" si="3"/>
        <v>330.07492524795077</v>
      </c>
      <c r="M9" s="100">
        <f t="shared" si="4"/>
        <v>427.94894804679029</v>
      </c>
      <c r="N9" s="279">
        <v>0.52578970168718486</v>
      </c>
      <c r="O9" s="100">
        <f t="shared" si="6"/>
        <v>101.37010971405736</v>
      </c>
      <c r="P9" s="279">
        <v>0.18993085768766216</v>
      </c>
      <c r="Q9" s="100">
        <f t="shared" si="8"/>
        <v>884.87274599410068</v>
      </c>
      <c r="R9" s="279">
        <v>2.9703023476011494</v>
      </c>
      <c r="S9" s="100">
        <f t="shared" si="10"/>
        <v>193.87628466526695</v>
      </c>
      <c r="T9" s="100">
        <f t="shared" si="11"/>
        <v>593.83499995737009</v>
      </c>
      <c r="U9" s="101">
        <f t="shared" si="12"/>
        <v>1809.2759994356122</v>
      </c>
      <c r="V9" s="101">
        <f t="shared" si="13"/>
        <v>4821.2668852520537</v>
      </c>
      <c r="W9" s="65"/>
      <c r="X9" s="8">
        <v>2008</v>
      </c>
      <c r="Y9" s="53">
        <f t="shared" ref="Y9:BG9" si="31">Y52/$BF52</f>
        <v>0.33154297414131129</v>
      </c>
      <c r="Z9" s="53"/>
      <c r="AA9" s="53">
        <f t="shared" si="31"/>
        <v>0.15851756673467984</v>
      </c>
      <c r="AB9" s="53"/>
      <c r="AC9" s="53">
        <f t="shared" si="31"/>
        <v>6.2926810486164412E-3</v>
      </c>
      <c r="AD9" s="53"/>
      <c r="AE9" s="53">
        <f t="shared" si="24"/>
        <v>0.15507597477916482</v>
      </c>
      <c r="AF9" s="53"/>
      <c r="AG9" s="53">
        <f t="shared" si="31"/>
        <v>0.42021805926630146</v>
      </c>
      <c r="AH9" s="53"/>
      <c r="AI9" s="53">
        <f t="shared" si="31"/>
        <v>0.60448382986156624</v>
      </c>
      <c r="AJ9" s="53"/>
      <c r="AK9" s="53">
        <f t="shared" si="31"/>
        <v>0.15851756673467984</v>
      </c>
      <c r="AL9" s="53"/>
      <c r="AM9" s="53">
        <f t="shared" si="31"/>
        <v>6.2926810486164412E-3</v>
      </c>
      <c r="AN9" s="53">
        <f t="shared" si="31"/>
        <v>0.8999453308868598</v>
      </c>
      <c r="AO9" s="53"/>
      <c r="AP9" s="53">
        <f t="shared" si="31"/>
        <v>0.59913299486234906</v>
      </c>
      <c r="AQ9" s="53"/>
      <c r="AR9" s="53">
        <f t="shared" si="31"/>
        <v>0.68705174370689426</v>
      </c>
      <c r="AS9" s="53"/>
      <c r="AT9" s="53">
        <f t="shared" si="31"/>
        <v>1.6508700486020023</v>
      </c>
      <c r="AU9" s="53"/>
      <c r="AV9" s="53">
        <f t="shared" si="31"/>
        <v>0.82548591385608627</v>
      </c>
      <c r="AW9" s="53"/>
      <c r="AX9" s="53">
        <f t="shared" si="31"/>
        <v>1.1998904919059419</v>
      </c>
      <c r="AY9" s="53"/>
      <c r="AZ9" s="53">
        <f t="shared" si="31"/>
        <v>0.45772599704599937</v>
      </c>
      <c r="BA9" s="53"/>
      <c r="BB9" s="53">
        <f t="shared" si="31"/>
        <v>3.7403596497213178</v>
      </c>
      <c r="BC9" s="53">
        <f t="shared" si="25"/>
        <v>7.3108329936088401E-2</v>
      </c>
      <c r="BD9" s="53">
        <f t="shared" si="26"/>
        <v>0.46445629995705179</v>
      </c>
      <c r="BE9" s="53"/>
      <c r="BF9" s="53">
        <f t="shared" si="31"/>
        <v>1</v>
      </c>
      <c r="BG9" s="53">
        <f t="shared" si="31"/>
        <v>1</v>
      </c>
      <c r="BH9" s="105">
        <f t="shared" si="27"/>
        <v>0.19989049190594188</v>
      </c>
      <c r="BJ9" s="14" t="s">
        <v>21</v>
      </c>
      <c r="BK9" s="26" t="s">
        <v>2</v>
      </c>
      <c r="BL9" s="27">
        <f>AI49</f>
        <v>4146518</v>
      </c>
      <c r="BM9" s="27">
        <f>AI93</f>
        <v>62917799</v>
      </c>
      <c r="BN9" s="27">
        <f t="shared" si="18"/>
        <v>4447.1414594605158</v>
      </c>
      <c r="BO9" s="27">
        <f>$BN$9*AI6</f>
        <v>2675.2952608201745</v>
      </c>
      <c r="BP9" s="27">
        <f t="shared" si="28"/>
        <v>2821.7797014184434</v>
      </c>
      <c r="BQ9" s="275" t="s">
        <v>229</v>
      </c>
      <c r="BR9" s="26">
        <f t="shared" si="19"/>
        <v>1995</v>
      </c>
      <c r="BS9" s="29">
        <f t="shared" si="14"/>
        <v>1.0721568627450981</v>
      </c>
      <c r="BT9" s="29">
        <f t="shared" si="20"/>
        <v>1.1578059071729958</v>
      </c>
      <c r="BU9" s="29">
        <f t="shared" si="20"/>
        <v>1.2355889724310776</v>
      </c>
      <c r="BV9" s="29">
        <f t="shared" si="20"/>
        <v>1.1592140921409213</v>
      </c>
      <c r="BW9" s="29">
        <f t="shared" si="20"/>
        <v>1.0949253731343283</v>
      </c>
      <c r="BX9" s="29">
        <f t="shared" si="20"/>
        <v>1.0298083747338538</v>
      </c>
      <c r="BY9" s="29">
        <f t="shared" si="20"/>
        <v>0.92545931758530176</v>
      </c>
      <c r="BZ9" s="29">
        <f t="shared" si="20"/>
        <v>1.0996960486322189</v>
      </c>
      <c r="CA9" s="29">
        <f t="shared" si="20"/>
        <v>1.0660904931367563</v>
      </c>
      <c r="CC9" s="26">
        <f t="shared" si="21"/>
        <v>1995</v>
      </c>
      <c r="CD9" s="29">
        <f t="shared" si="16"/>
        <v>0.71721311475409832</v>
      </c>
      <c r="CE9" s="29">
        <f t="shared" si="22"/>
        <v>0.70339976553341155</v>
      </c>
      <c r="CF9" s="29">
        <f t="shared" si="22"/>
        <v>0.52702702702702697</v>
      </c>
      <c r="CG9" s="29">
        <f t="shared" si="22"/>
        <v>0.51474530831099197</v>
      </c>
      <c r="CH9" s="29">
        <f t="shared" si="22"/>
        <v>0.54166666666666663</v>
      </c>
      <c r="CI9" s="29">
        <f t="shared" si="22"/>
        <v>0.50800915331807783</v>
      </c>
      <c r="CJ9" s="29">
        <f t="shared" si="22"/>
        <v>0.5689001264222503</v>
      </c>
      <c r="CK9" s="29">
        <f t="shared" si="22"/>
        <v>0.59970887918486171</v>
      </c>
      <c r="CL9" s="29">
        <f t="shared" si="22"/>
        <v>0.66081081081081072</v>
      </c>
    </row>
    <row r="10" spans="1:90" x14ac:dyDescent="0.2">
      <c r="A10" s="26">
        <v>2011</v>
      </c>
      <c r="B10" s="273">
        <v>7.5039452036262126</v>
      </c>
      <c r="C10" s="136">
        <v>3.3268019999999998</v>
      </c>
      <c r="D10" s="100">
        <f t="shared" si="0"/>
        <v>509.06540927287637</v>
      </c>
      <c r="E10" s="273">
        <v>12.62696153156714</v>
      </c>
      <c r="F10" s="136">
        <v>14.155542000000001</v>
      </c>
      <c r="G10" s="273">
        <v>12.729062875895734</v>
      </c>
      <c r="H10" s="273">
        <v>10.014895603620875</v>
      </c>
      <c r="I10" s="273">
        <v>0.89590851843833308</v>
      </c>
      <c r="J10" s="277">
        <v>607.12058353685688</v>
      </c>
      <c r="K10" s="277">
        <v>512.49681530582814</v>
      </c>
      <c r="L10" s="100">
        <f t="shared" si="3"/>
        <v>328.92853911352898</v>
      </c>
      <c r="M10" s="100">
        <f t="shared" si="4"/>
        <v>421.96543094946509</v>
      </c>
      <c r="N10" s="279">
        <v>0.53176039636694084</v>
      </c>
      <c r="O10" s="100">
        <f t="shared" si="6"/>
        <v>100.48012012401459</v>
      </c>
      <c r="P10" s="279">
        <v>0.19154403089005587</v>
      </c>
      <c r="Q10" s="100">
        <f t="shared" si="8"/>
        <v>867.76923140759607</v>
      </c>
      <c r="R10" s="279">
        <v>2.9819524428930975</v>
      </c>
      <c r="S10" s="100">
        <f t="shared" si="10"/>
        <v>189.74116945998625</v>
      </c>
      <c r="T10" s="100">
        <f t="shared" si="11"/>
        <v>545.5561867575326</v>
      </c>
      <c r="U10" s="101">
        <f t="shared" si="12"/>
        <v>1731.6968882082508</v>
      </c>
      <c r="V10" s="101">
        <f t="shared" si="13"/>
        <v>4753.8685520336949</v>
      </c>
      <c r="W10" s="65"/>
      <c r="X10" s="8">
        <v>2009</v>
      </c>
      <c r="Y10" s="53">
        <f t="shared" ref="Y10:BG10" si="32">Y53/$BF53</f>
        <v>0.32993004926538561</v>
      </c>
      <c r="Z10" s="53"/>
      <c r="AA10" s="53">
        <f t="shared" si="32"/>
        <v>0.16217913658739067</v>
      </c>
      <c r="AB10" s="53"/>
      <c r="AC10" s="53">
        <f t="shared" si="32"/>
        <v>7.0244408540009583E-3</v>
      </c>
      <c r="AD10" s="53"/>
      <c r="AE10" s="53">
        <f t="shared" si="24"/>
        <v>0.15372822921947105</v>
      </c>
      <c r="AF10" s="53"/>
      <c r="AG10" s="53">
        <f t="shared" si="32"/>
        <v>0.41573185162043919</v>
      </c>
      <c r="AH10" s="53"/>
      <c r="AI10" s="53">
        <f t="shared" si="32"/>
        <v>0.6058808590941237</v>
      </c>
      <c r="AJ10" s="53"/>
      <c r="AK10" s="53">
        <f t="shared" si="32"/>
        <v>0.16217913658739067</v>
      </c>
      <c r="AL10" s="53"/>
      <c r="AM10" s="53">
        <f t="shared" si="32"/>
        <v>7.0244408540009583E-3</v>
      </c>
      <c r="AN10" s="53">
        <f t="shared" si="32"/>
        <v>0.90050200634927258</v>
      </c>
      <c r="AO10" s="53"/>
      <c r="AP10" s="53">
        <f t="shared" si="32"/>
        <v>0.60213563622519284</v>
      </c>
      <c r="AQ10" s="53"/>
      <c r="AR10" s="53">
        <f t="shared" si="32"/>
        <v>0.68963990224390825</v>
      </c>
      <c r="AS10" s="53"/>
      <c r="AT10" s="53">
        <f t="shared" si="32"/>
        <v>1.6517465288375823</v>
      </c>
      <c r="AU10" s="53"/>
      <c r="AV10" s="53">
        <f t="shared" si="32"/>
        <v>0.8271428231374488</v>
      </c>
      <c r="AW10" s="53"/>
      <c r="AX10" s="53">
        <f t="shared" si="32"/>
        <v>1.2000361704863762</v>
      </c>
      <c r="AY10" s="53"/>
      <c r="AZ10" s="53">
        <f t="shared" si="32"/>
        <v>0.45777863352466036</v>
      </c>
      <c r="BA10" s="53"/>
      <c r="BB10" s="53">
        <f t="shared" si="32"/>
        <v>3.9234508277872155</v>
      </c>
      <c r="BC10" s="53">
        <f t="shared" si="25"/>
        <v>4.8950153250514106E-2</v>
      </c>
      <c r="BD10" s="53">
        <f t="shared" si="26"/>
        <v>0.4619730296064164</v>
      </c>
      <c r="BE10" s="53"/>
      <c r="BF10" s="53">
        <f t="shared" si="32"/>
        <v>1</v>
      </c>
      <c r="BG10" s="53">
        <f t="shared" si="32"/>
        <v>1</v>
      </c>
      <c r="BH10" s="105">
        <f t="shared" si="27"/>
        <v>0.20003617048637623</v>
      </c>
      <c r="BJ10" s="14" t="s">
        <v>22</v>
      </c>
      <c r="BK10" s="26" t="s">
        <v>3</v>
      </c>
      <c r="BL10" s="27">
        <f>AK49</f>
        <v>1005312</v>
      </c>
      <c r="BM10" s="27">
        <f>AK93</f>
        <v>14816839</v>
      </c>
      <c r="BN10" s="27">
        <f t="shared" si="18"/>
        <v>4319.6212877802727</v>
      </c>
      <c r="BO10" s="27">
        <f>$BN$10*AK6</f>
        <v>630.01916448214479</v>
      </c>
      <c r="BP10" s="27">
        <f t="shared" si="28"/>
        <v>664.51554558329576</v>
      </c>
      <c r="BR10" s="26">
        <f t="shared" si="19"/>
        <v>1996</v>
      </c>
      <c r="BS10" s="29">
        <f t="shared" si="14"/>
        <v>1.0588235294117647</v>
      </c>
      <c r="BT10" s="29">
        <f t="shared" si="20"/>
        <v>1.1413502109704643</v>
      </c>
      <c r="BU10" s="29">
        <f t="shared" si="20"/>
        <v>1.2124060150375939</v>
      </c>
      <c r="BV10" s="29">
        <f t="shared" si="20"/>
        <v>1.1212737127371275</v>
      </c>
      <c r="BW10" s="29">
        <f t="shared" si="20"/>
        <v>1.0698507462686568</v>
      </c>
      <c r="BX10" s="29">
        <f t="shared" si="20"/>
        <v>1.0028388928317957</v>
      </c>
      <c r="BY10" s="29">
        <f t="shared" si="20"/>
        <v>0.91706036745406816</v>
      </c>
      <c r="BZ10" s="29">
        <f t="shared" si="20"/>
        <v>1.0680851063829788</v>
      </c>
      <c r="CA10" s="29">
        <f t="shared" si="20"/>
        <v>1.0284697508896796</v>
      </c>
      <c r="CC10" s="26">
        <f t="shared" si="21"/>
        <v>1996</v>
      </c>
      <c r="CD10" s="29">
        <f t="shared" si="16"/>
        <v>0.7018442622950819</v>
      </c>
      <c r="CE10" s="29">
        <f t="shared" si="22"/>
        <v>0.71160609613130132</v>
      </c>
      <c r="CF10" s="29">
        <f t="shared" si="22"/>
        <v>0.55810810810810807</v>
      </c>
      <c r="CG10" s="29">
        <f t="shared" si="22"/>
        <v>0.5630026809651475</v>
      </c>
      <c r="CH10" s="29">
        <f t="shared" si="22"/>
        <v>0.5792682926829269</v>
      </c>
      <c r="CI10" s="29">
        <f t="shared" si="22"/>
        <v>0.5389016018306636</v>
      </c>
      <c r="CJ10" s="29">
        <f t="shared" si="22"/>
        <v>0.572692793931732</v>
      </c>
      <c r="CK10" s="29">
        <f t="shared" si="22"/>
        <v>0.54148471615720528</v>
      </c>
      <c r="CL10" s="29">
        <f t="shared" si="22"/>
        <v>0.64324324324324322</v>
      </c>
    </row>
    <row r="11" spans="1:90" x14ac:dyDescent="0.2">
      <c r="A11" s="26">
        <v>2012</v>
      </c>
      <c r="B11" s="273">
        <v>7.5557531472919797</v>
      </c>
      <c r="C11" s="136">
        <v>3.3280539999999998</v>
      </c>
      <c r="D11" s="100">
        <f t="shared" si="0"/>
        <v>508.66367701744895</v>
      </c>
      <c r="E11" s="273">
        <v>12.746315758264554</v>
      </c>
      <c r="F11" s="136">
        <v>14.183756000000001</v>
      </c>
      <c r="G11" s="273">
        <v>12.930696944524179</v>
      </c>
      <c r="H11" s="273">
        <v>10.108561422075836</v>
      </c>
      <c r="I11" s="273">
        <v>0.89780003217728965</v>
      </c>
      <c r="J11" s="277">
        <v>602.05445966407012</v>
      </c>
      <c r="K11" s="277">
        <v>512.46034783201901</v>
      </c>
      <c r="L11" s="100">
        <f t="shared" si="3"/>
        <v>330.05891472604372</v>
      </c>
      <c r="M11" s="100">
        <f t="shared" si="4"/>
        <v>417.28564094141103</v>
      </c>
      <c r="N11" s="279">
        <v>0.53858698482838541</v>
      </c>
      <c r="O11" s="100">
        <f t="shared" si="6"/>
        <v>100.33676143734998</v>
      </c>
      <c r="P11" s="279">
        <v>0.1916716479792287</v>
      </c>
      <c r="Q11" s="100">
        <f t="shared" si="8"/>
        <v>872.18527161226473</v>
      </c>
      <c r="R11" s="279">
        <v>2.9950137274551447</v>
      </c>
      <c r="S11" s="100">
        <f t="shared" si="10"/>
        <v>189.98900793915473</v>
      </c>
      <c r="T11" s="100">
        <f t="shared" si="11"/>
        <v>559.66193927224697</v>
      </c>
      <c r="U11" s="101">
        <f t="shared" si="12"/>
        <v>1694.093713982872</v>
      </c>
      <c r="V11" s="101">
        <f t="shared" si="13"/>
        <v>4792.2004181737066</v>
      </c>
      <c r="W11" s="65"/>
      <c r="X11" s="8">
        <v>2010</v>
      </c>
      <c r="Y11" s="53">
        <f t="shared" ref="Y11:BG11" si="33">Y54/$BF54</f>
        <v>0.32809326250737536</v>
      </c>
      <c r="Z11" s="53"/>
      <c r="AA11" s="53">
        <f t="shared" si="33"/>
        <v>0.16567275605376494</v>
      </c>
      <c r="AB11" s="53"/>
      <c r="AC11" s="53">
        <f t="shared" si="33"/>
        <v>7.7155820897869083E-3</v>
      </c>
      <c r="AD11" s="53"/>
      <c r="AE11" s="53">
        <f t="shared" si="24"/>
        <v>0.15255755802339255</v>
      </c>
      <c r="AF11" s="53"/>
      <c r="AG11" s="53">
        <f t="shared" si="33"/>
        <v>0.41196471841936766</v>
      </c>
      <c r="AH11" s="53"/>
      <c r="AI11" s="53">
        <f t="shared" si="33"/>
        <v>0.6070487354523002</v>
      </c>
      <c r="AJ11" s="53"/>
      <c r="AK11" s="53">
        <f t="shared" si="33"/>
        <v>0.16567275605376494</v>
      </c>
      <c r="AL11" s="53"/>
      <c r="AM11" s="53">
        <f t="shared" si="33"/>
        <v>7.7155820897869083E-3</v>
      </c>
      <c r="AN11" s="53">
        <f t="shared" si="33"/>
        <v>0.90094852483590293</v>
      </c>
      <c r="AO11" s="53"/>
      <c r="AP11" s="53">
        <f t="shared" si="33"/>
        <v>0.60494229071408123</v>
      </c>
      <c r="AQ11" s="53"/>
      <c r="AR11" s="53">
        <f t="shared" si="33"/>
        <v>0.69194891692521676</v>
      </c>
      <c r="AS11" s="53"/>
      <c r="AT11" s="53">
        <f t="shared" si="33"/>
        <v>1.6526219235623778</v>
      </c>
      <c r="AU11" s="53"/>
      <c r="AV11" s="53">
        <f t="shared" si="33"/>
        <v>0.82863731626165515</v>
      </c>
      <c r="AW11" s="53"/>
      <c r="AX11" s="53">
        <f t="shared" si="33"/>
        <v>1.2003243686246003</v>
      </c>
      <c r="AY11" s="53"/>
      <c r="AZ11" s="53">
        <f t="shared" si="33"/>
        <v>0.45787173695846789</v>
      </c>
      <c r="BA11" s="53"/>
      <c r="BB11" s="53">
        <f t="shared" si="33"/>
        <v>4.0711013891304644</v>
      </c>
      <c r="BC11" s="53">
        <f t="shared" si="25"/>
        <v>3.7632830848175036E-2</v>
      </c>
      <c r="BD11" s="53">
        <f t="shared" si="26"/>
        <v>0.45986952536697129</v>
      </c>
      <c r="BE11" s="53"/>
      <c r="BF11" s="53">
        <f t="shared" si="33"/>
        <v>1</v>
      </c>
      <c r="BG11" s="53">
        <f t="shared" si="33"/>
        <v>1</v>
      </c>
      <c r="BH11" s="105">
        <f t="shared" si="27"/>
        <v>0.20032436862460035</v>
      </c>
      <c r="BJ11" s="125" t="s">
        <v>165</v>
      </c>
      <c r="BK11" s="26" t="s">
        <v>166</v>
      </c>
      <c r="BL11" s="27">
        <f>AM49</f>
        <v>33013</v>
      </c>
      <c r="BM11" s="27">
        <f>AM93</f>
        <v>369877</v>
      </c>
      <c r="BN11" s="27">
        <f>1000*(BM11/BL11)/3.412</f>
        <v>3283.698783764497</v>
      </c>
      <c r="BO11" s="27">
        <f>$BN$11*AM6</f>
        <v>15.727349031811862</v>
      </c>
      <c r="BP11" s="27">
        <f t="shared" si="28"/>
        <v>16.588492083481007</v>
      </c>
      <c r="BR11" s="26">
        <f t="shared" si="19"/>
        <v>1997</v>
      </c>
      <c r="BS11" s="29">
        <f t="shared" si="14"/>
        <v>1.0615686274509804</v>
      </c>
      <c r="BT11" s="29">
        <f t="shared" si="20"/>
        <v>1.1337552742616035</v>
      </c>
      <c r="BU11" s="29">
        <f t="shared" si="20"/>
        <v>1.2030075187969924</v>
      </c>
      <c r="BV11" s="29">
        <f t="shared" si="20"/>
        <v>1.1050135501355012</v>
      </c>
      <c r="BW11" s="29">
        <f t="shared" si="20"/>
        <v>1.0602985074626867</v>
      </c>
      <c r="BX11" s="29">
        <f t="shared" si="20"/>
        <v>0.99929027679205107</v>
      </c>
      <c r="BY11" s="29">
        <f t="shared" si="20"/>
        <v>0.90183727034120731</v>
      </c>
      <c r="BZ11" s="29">
        <f t="shared" si="20"/>
        <v>1.0395136778115504</v>
      </c>
      <c r="CA11" s="29">
        <f t="shared" si="20"/>
        <v>1.0228774783934926</v>
      </c>
      <c r="CC11" s="26">
        <f t="shared" si="21"/>
        <v>1997</v>
      </c>
      <c r="CD11" s="29">
        <f t="shared" si="16"/>
        <v>0.73053278688524592</v>
      </c>
      <c r="CE11" s="29">
        <f t="shared" si="22"/>
        <v>0.77373974208675267</v>
      </c>
      <c r="CF11" s="29">
        <f t="shared" si="22"/>
        <v>0.60810810810810811</v>
      </c>
      <c r="CG11" s="29">
        <f t="shared" si="22"/>
        <v>0.61260053619302957</v>
      </c>
      <c r="CH11" s="29">
        <f t="shared" si="22"/>
        <v>0.6239837398373983</v>
      </c>
      <c r="CI11" s="29">
        <f t="shared" si="22"/>
        <v>0.597254004576659</v>
      </c>
      <c r="CJ11" s="29">
        <f t="shared" si="22"/>
        <v>0.60809102402022752</v>
      </c>
      <c r="CK11" s="29">
        <f t="shared" si="22"/>
        <v>0.58951965065502177</v>
      </c>
      <c r="CL11" s="29">
        <f t="shared" si="22"/>
        <v>0.66351351351351351</v>
      </c>
    </row>
    <row r="12" spans="1:90" x14ac:dyDescent="0.2">
      <c r="A12" s="26">
        <v>2013</v>
      </c>
      <c r="B12" s="273">
        <v>7.5952923732964592</v>
      </c>
      <c r="C12" s="136">
        <v>3.3305479999999998</v>
      </c>
      <c r="D12" s="100">
        <f t="shared" si="0"/>
        <v>488.13650115041224</v>
      </c>
      <c r="E12" s="273">
        <v>12.838628898765572</v>
      </c>
      <c r="F12" s="136">
        <v>14.205299999999999</v>
      </c>
      <c r="G12" s="273">
        <v>13.126534263570701</v>
      </c>
      <c r="H12" s="273">
        <v>10.200966225036705</v>
      </c>
      <c r="I12" s="273">
        <v>0.89939571748212199</v>
      </c>
      <c r="J12" s="277">
        <v>598.25098859697232</v>
      </c>
      <c r="K12" s="277">
        <v>512.1654316621474</v>
      </c>
      <c r="L12" s="100">
        <f t="shared" si="3"/>
        <v>328.95775826688026</v>
      </c>
      <c r="M12" s="100">
        <f t="shared" si="4"/>
        <v>407.95291675803401</v>
      </c>
      <c r="N12" s="279">
        <v>0.55549492517540278</v>
      </c>
      <c r="O12" s="100">
        <f t="shared" si="6"/>
        <v>99.685417401379254</v>
      </c>
      <c r="P12" s="279">
        <v>0.19093361171570949</v>
      </c>
      <c r="Q12" s="100">
        <f t="shared" si="8"/>
        <v>867.40142220189921</v>
      </c>
      <c r="R12" s="279">
        <v>3.0058637061116436</v>
      </c>
      <c r="S12" s="100">
        <f t="shared" si="10"/>
        <v>188.72739015082587</v>
      </c>
      <c r="T12" s="100">
        <f t="shared" si="11"/>
        <v>556.30015838775967</v>
      </c>
      <c r="U12" s="213">
        <f t="shared" si="12"/>
        <v>1475.1771637161594</v>
      </c>
      <c r="V12" s="101">
        <f t="shared" si="13"/>
        <v>4817.8438226066828</v>
      </c>
      <c r="W12" s="65">
        <f>(SUM(J12:V12)+D12)/12</f>
        <v>862.02927192851303</v>
      </c>
      <c r="X12" s="8">
        <v>2011</v>
      </c>
      <c r="Y12" s="53">
        <f t="shared" ref="Y12:BG12" si="34">Y55/$BF55</f>
        <v>0.32625933262823947</v>
      </c>
      <c r="Z12" s="53">
        <f t="shared" ref="Z12:Z37" si="35">Y12/Y11-1</f>
        <v>-5.5896602847632648E-3</v>
      </c>
      <c r="AA12" s="53">
        <f t="shared" si="34"/>
        <v>0.16842520821910034</v>
      </c>
      <c r="AB12" s="53">
        <f t="shared" ref="AB12:AB37" si="36">AA12/AA11-1</f>
        <v>1.6613788717573907E-2</v>
      </c>
      <c r="AC12" s="53">
        <f t="shared" si="34"/>
        <v>9.4804002402369501E-3</v>
      </c>
      <c r="AD12" s="53"/>
      <c r="AE12" s="53">
        <f t="shared" si="24"/>
        <v>0.15122096921380543</v>
      </c>
      <c r="AF12" s="53">
        <f t="shared" ref="AF12:AF35" si="37">AE12/AE11-1</f>
        <v>-8.7612100436359475E-3</v>
      </c>
      <c r="AG12" s="53">
        <f t="shared" si="34"/>
        <v>0.40782151015227541</v>
      </c>
      <c r="AH12" s="53">
        <f t="shared" ref="AH12:AH35" si="38">AG12/AG11-1</f>
        <v>-1.0057191992044801E-2</v>
      </c>
      <c r="AI12" s="53">
        <f t="shared" si="34"/>
        <v>0.6080288452063658</v>
      </c>
      <c r="AJ12" s="53">
        <f t="shared" ref="AJ12:AJ35" si="39">AI12/AI11-1</f>
        <v>1.6145487121974611E-3</v>
      </c>
      <c r="AK12" s="53">
        <f t="shared" si="34"/>
        <v>0.16842520821910034</v>
      </c>
      <c r="AL12" s="53">
        <f t="shared" ref="AL12:AL35" si="40">AK12/AK11-1</f>
        <v>1.6613788717573907E-2</v>
      </c>
      <c r="AM12" s="53">
        <f t="shared" si="34"/>
        <v>9.4804002402369501E-3</v>
      </c>
      <c r="AN12" s="53">
        <f t="shared" si="34"/>
        <v>0.90148523964222749</v>
      </c>
      <c r="AO12" s="53">
        <f>AN12/AN11-1</f>
        <v>5.9572194362855768E-4</v>
      </c>
      <c r="AP12" s="53">
        <f t="shared" si="34"/>
        <v>0.60799977301326158</v>
      </c>
      <c r="AQ12" s="53">
        <f>AP12/AP11-1</f>
        <v>5.0541718542627123E-3</v>
      </c>
      <c r="AR12" s="53">
        <f t="shared" si="34"/>
        <v>0.69436207711315356</v>
      </c>
      <c r="AS12" s="53">
        <f>AR12/AR11-1</f>
        <v>3.4874831492763825E-3</v>
      </c>
      <c r="AT12" s="53">
        <f t="shared" si="34"/>
        <v>1.6554781586064244</v>
      </c>
      <c r="AU12" s="53">
        <f>AT12/AT11-1</f>
        <v>1.7283051878493882E-3</v>
      </c>
      <c r="AV12" s="53">
        <f t="shared" si="34"/>
        <v>0.83020972652151348</v>
      </c>
      <c r="AW12" s="53">
        <f t="shared" ref="AW12:AW35" si="41">AV12/AV11-1</f>
        <v>1.8975856252192447E-3</v>
      </c>
      <c r="AX12" s="53">
        <f t="shared" si="34"/>
        <v>1.2006729094542352</v>
      </c>
      <c r="AY12" s="53"/>
      <c r="AZ12" s="53">
        <f t="shared" si="34"/>
        <v>0.45796810808370497</v>
      </c>
      <c r="BA12" s="53">
        <f>AZ12/AZ11-1</f>
        <v>2.1047624794934272E-4</v>
      </c>
      <c r="BB12" s="53">
        <f t="shared" si="34"/>
        <v>4.0733023201986187</v>
      </c>
      <c r="BC12" s="53">
        <f t="shared" si="25"/>
        <v>5.4062300536927843E-4</v>
      </c>
      <c r="BD12" s="53">
        <f t="shared" si="26"/>
        <v>0.45749862011910375</v>
      </c>
      <c r="BE12" s="53">
        <f>BD12/BD11-1</f>
        <v>-5.1556041813720643E-3</v>
      </c>
      <c r="BF12" s="53">
        <f t="shared" si="34"/>
        <v>1</v>
      </c>
      <c r="BG12" s="53">
        <f t="shared" si="34"/>
        <v>1</v>
      </c>
      <c r="BH12" s="105">
        <f t="shared" si="27"/>
        <v>0.20067290945423522</v>
      </c>
      <c r="BJ12" s="14" t="s">
        <v>23</v>
      </c>
      <c r="BK12" s="26" t="s">
        <v>4</v>
      </c>
      <c r="BL12" s="27">
        <f>AG49</f>
        <v>3020635</v>
      </c>
      <c r="BM12" s="27">
        <f>AG93</f>
        <v>9831042</v>
      </c>
      <c r="BN12" s="27">
        <f t="shared" si="18"/>
        <v>953.87678387562005</v>
      </c>
      <c r="BO12" s="27">
        <f>$BN$12*AG6</f>
        <v>418.02066330267024</v>
      </c>
      <c r="BP12" s="27">
        <f t="shared" si="28"/>
        <v>440.90917356139823</v>
      </c>
      <c r="BR12" s="26">
        <f t="shared" si="19"/>
        <v>1998</v>
      </c>
      <c r="BS12" s="29">
        <f t="shared" si="14"/>
        <v>1.0066666666666668</v>
      </c>
      <c r="BT12" s="29">
        <f t="shared" si="20"/>
        <v>1.0945147679324896</v>
      </c>
      <c r="BU12" s="29">
        <f t="shared" si="20"/>
        <v>1.1835839598997493</v>
      </c>
      <c r="BV12" s="29">
        <f t="shared" si="20"/>
        <v>1.1016260162601628</v>
      </c>
      <c r="BW12" s="29">
        <f t="shared" si="20"/>
        <v>1.0352238805970149</v>
      </c>
      <c r="BX12" s="29">
        <f t="shared" si="20"/>
        <v>1.0163236337828248</v>
      </c>
      <c r="BY12" s="29">
        <f t="shared" si="20"/>
        <v>0.86876640419947504</v>
      </c>
      <c r="BZ12" s="29">
        <f t="shared" si="20"/>
        <v>1.0297872340425533</v>
      </c>
      <c r="CA12" s="29">
        <f t="shared" si="20"/>
        <v>0.96136248093543464</v>
      </c>
      <c r="CC12" s="26">
        <f t="shared" si="21"/>
        <v>1998</v>
      </c>
      <c r="CD12" s="29">
        <f t="shared" si="16"/>
        <v>0.72028688524590168</v>
      </c>
      <c r="CE12" s="29">
        <f t="shared" si="22"/>
        <v>0.74560375146541624</v>
      </c>
      <c r="CF12" s="29">
        <f t="shared" si="22"/>
        <v>0.57432432432432434</v>
      </c>
      <c r="CG12" s="29">
        <f t="shared" si="22"/>
        <v>0.579088471849866</v>
      </c>
      <c r="CH12" s="29">
        <f t="shared" si="22"/>
        <v>0.59857723577235766</v>
      </c>
      <c r="CI12" s="29">
        <f t="shared" si="22"/>
        <v>0.57093821510297482</v>
      </c>
      <c r="CJ12" s="29">
        <f t="shared" si="22"/>
        <v>0.5802781289506953</v>
      </c>
      <c r="CK12" s="29">
        <f t="shared" si="22"/>
        <v>0.62299854439592428</v>
      </c>
      <c r="CL12" s="29">
        <f t="shared" si="22"/>
        <v>0.66891891891891886</v>
      </c>
    </row>
    <row r="13" spans="1:90" x14ac:dyDescent="0.2">
      <c r="A13" s="26">
        <v>2014</v>
      </c>
      <c r="B13" s="273">
        <v>7.635276291780289</v>
      </c>
      <c r="C13" s="136">
        <v>3.3323320000000001</v>
      </c>
      <c r="D13" s="100">
        <f t="shared" si="0"/>
        <v>477.20453272330167</v>
      </c>
      <c r="E13" s="273">
        <v>12.930065224586755</v>
      </c>
      <c r="F13" s="136">
        <v>14.223682999999999</v>
      </c>
      <c r="G13" s="273">
        <v>13.314643387856268</v>
      </c>
      <c r="H13" s="273">
        <v>10.419650598827442</v>
      </c>
      <c r="I13" s="273">
        <v>0.90115040773372079</v>
      </c>
      <c r="J13" s="277">
        <v>586.7019452343286</v>
      </c>
      <c r="K13" s="277">
        <v>498.38133561714113</v>
      </c>
      <c r="L13" s="100">
        <f t="shared" si="3"/>
        <v>328.65736082972791</v>
      </c>
      <c r="M13" s="100">
        <f t="shared" si="4"/>
        <v>399.64312438561626</v>
      </c>
      <c r="N13" s="279">
        <v>0.56642685679369686</v>
      </c>
      <c r="O13" s="100">
        <f t="shared" si="6"/>
        <v>99.271630484309156</v>
      </c>
      <c r="P13" s="279">
        <v>0.19021406439009753</v>
      </c>
      <c r="Q13" s="100">
        <f t="shared" si="8"/>
        <v>862.7625119393374</v>
      </c>
      <c r="R13" s="279">
        <v>3.0183763269827049</v>
      </c>
      <c r="S13" s="100">
        <f t="shared" si="10"/>
        <v>187.76518042757556</v>
      </c>
      <c r="T13" s="100">
        <f t="shared" si="11"/>
        <v>561.85662958823025</v>
      </c>
      <c r="U13" s="101">
        <f t="shared" si="12"/>
        <v>1379.7716408159679</v>
      </c>
      <c r="V13" s="101">
        <f t="shared" si="13"/>
        <v>4886.6071724942231</v>
      </c>
      <c r="W13" s="65"/>
      <c r="X13" s="8">
        <v>2012</v>
      </c>
      <c r="Y13" s="53">
        <f t="shared" ref="Y13:BG13" si="42">Y56/$BF56</f>
        <v>0.32374173467976208</v>
      </c>
      <c r="Z13" s="53">
        <f t="shared" si="35"/>
        <v>-7.7165545831178184E-3</v>
      </c>
      <c r="AA13" s="53">
        <f t="shared" si="42"/>
        <v>0.17275708950062249</v>
      </c>
      <c r="AB13" s="53">
        <f t="shared" si="36"/>
        <v>2.5719910501086574E-2</v>
      </c>
      <c r="AC13" s="53">
        <f t="shared" si="42"/>
        <v>1.2211094203900954E-2</v>
      </c>
      <c r="AD13" s="53"/>
      <c r="AE13" s="53">
        <f t="shared" si="24"/>
        <v>0.14911855028358004</v>
      </c>
      <c r="AF13" s="53">
        <f t="shared" si="37"/>
        <v>-1.3902958968956658E-2</v>
      </c>
      <c r="AG13" s="53">
        <f t="shared" si="42"/>
        <v>0.40139286208327568</v>
      </c>
      <c r="AH13" s="53">
        <f t="shared" si="38"/>
        <v>-1.5763386454528461E-2</v>
      </c>
      <c r="AI13" s="53">
        <f t="shared" si="42"/>
        <v>0.60756218010789875</v>
      </c>
      <c r="AJ13" s="53">
        <f t="shared" si="39"/>
        <v>-7.6750486781373972E-4</v>
      </c>
      <c r="AK13" s="53">
        <f t="shared" si="42"/>
        <v>0.17275708950062249</v>
      </c>
      <c r="AL13" s="53">
        <f t="shared" si="40"/>
        <v>2.5719910501086574E-2</v>
      </c>
      <c r="AM13" s="53">
        <f t="shared" si="42"/>
        <v>1.2211094203900954E-2</v>
      </c>
      <c r="AN13" s="53">
        <f t="shared" si="42"/>
        <v>0.90248014939825705</v>
      </c>
      <c r="AO13" s="53">
        <f t="shared" ref="AO13:AO43" si="43">AN13/AN12-1</f>
        <v>1.1036339945227347E-3</v>
      </c>
      <c r="AP13" s="53">
        <f t="shared" si="42"/>
        <v>0.61212754184534512</v>
      </c>
      <c r="AQ13" s="53">
        <f t="shared" ref="AQ13:AQ43" si="44">AP13/AP12-1</f>
        <v>6.7890960084182606E-3</v>
      </c>
      <c r="AR13" s="53">
        <f t="shared" si="42"/>
        <v>0.69747129616821135</v>
      </c>
      <c r="AS13" s="53">
        <f t="shared" ref="AS13:AU36" si="45">AR13/AR12-1</f>
        <v>4.4778065472477202E-3</v>
      </c>
      <c r="AT13" s="53">
        <f t="shared" si="42"/>
        <v>1.6588839396873702</v>
      </c>
      <c r="AU13" s="53">
        <f t="shared" si="45"/>
        <v>2.0572793807276391E-3</v>
      </c>
      <c r="AV13" s="53">
        <f t="shared" si="42"/>
        <v>0.83223931387467143</v>
      </c>
      <c r="AW13" s="53">
        <f t="shared" si="41"/>
        <v>2.4446682426400024E-3</v>
      </c>
      <c r="AX13" s="53">
        <f t="shared" si="42"/>
        <v>1.200900262830267</v>
      </c>
      <c r="AY13" s="53"/>
      <c r="AZ13" s="53">
        <f t="shared" si="42"/>
        <v>0.45794618896112876</v>
      </c>
      <c r="BA13" s="53">
        <f t="shared" ref="BA13:BA43" si="46">AZ13/AZ12-1</f>
        <v>-4.7861678988847522E-5</v>
      </c>
      <c r="BB13" s="53">
        <f t="shared" si="42"/>
        <v>4.0627656660672296</v>
      </c>
      <c r="BC13" s="53">
        <f t="shared" si="25"/>
        <v>-2.5867596615993804E-3</v>
      </c>
      <c r="BD13" s="53">
        <f t="shared" si="26"/>
        <v>0.45347295614884492</v>
      </c>
      <c r="BE13" s="53">
        <f t="shared" ref="BE13:BE43" si="47">BD13/BD12-1</f>
        <v>-8.7992920485985282E-3</v>
      </c>
      <c r="BF13" s="53">
        <f t="shared" si="42"/>
        <v>1</v>
      </c>
      <c r="BG13" s="53">
        <f t="shared" si="42"/>
        <v>1</v>
      </c>
      <c r="BH13" s="105">
        <f t="shared" si="27"/>
        <v>0.20090026283026696</v>
      </c>
      <c r="BJ13" s="14" t="s">
        <v>24</v>
      </c>
      <c r="BK13" s="26" t="s">
        <v>5</v>
      </c>
      <c r="BL13" s="27">
        <f>AR49</f>
        <v>4698168</v>
      </c>
      <c r="BM13" s="27">
        <f>AR93</f>
        <v>47715975</v>
      </c>
      <c r="BN13" s="27">
        <f t="shared" si="18"/>
        <v>2976.6394783383407</v>
      </c>
      <c r="BO13" s="27">
        <f>$BN$13*AR6</f>
        <v>2028.9063478351156</v>
      </c>
      <c r="BP13" s="27">
        <f t="shared" si="28"/>
        <v>2139.998090022028</v>
      </c>
      <c r="BR13" s="26">
        <f t="shared" si="19"/>
        <v>1999</v>
      </c>
      <c r="BS13" s="29">
        <f t="shared" si="14"/>
        <v>0.95764705882352952</v>
      </c>
      <c r="BT13" s="29">
        <f t="shared" si="20"/>
        <v>1.0244725738396625</v>
      </c>
      <c r="BU13" s="29">
        <f t="shared" si="20"/>
        <v>1.1328320802005012</v>
      </c>
      <c r="BV13" s="29">
        <f t="shared" si="20"/>
        <v>1.0907859078590787</v>
      </c>
      <c r="BW13" s="29">
        <f t="shared" si="20"/>
        <v>1.008955223880597</v>
      </c>
      <c r="BX13" s="29">
        <f t="shared" si="20"/>
        <v>0.9971611071682045</v>
      </c>
      <c r="BY13" s="29">
        <f t="shared" si="20"/>
        <v>0.84619422572178482</v>
      </c>
      <c r="BZ13" s="29">
        <f t="shared" si="20"/>
        <v>0.98905775075987845</v>
      </c>
      <c r="CA13" s="29">
        <f t="shared" si="20"/>
        <v>0.94509405185561757</v>
      </c>
      <c r="CC13" s="26">
        <f t="shared" si="21"/>
        <v>1999</v>
      </c>
      <c r="CD13" s="29">
        <f t="shared" si="16"/>
        <v>0.70389344262295084</v>
      </c>
      <c r="CE13" s="29">
        <f t="shared" si="22"/>
        <v>0.7198124267291911</v>
      </c>
      <c r="CF13" s="29">
        <f t="shared" si="22"/>
        <v>0.55810810810810807</v>
      </c>
      <c r="CG13" s="29">
        <f t="shared" si="22"/>
        <v>0.57238605898123318</v>
      </c>
      <c r="CH13" s="29">
        <f t="shared" si="22"/>
        <v>0.55081300813008127</v>
      </c>
      <c r="CI13" s="29">
        <f t="shared" si="22"/>
        <v>0.54919908466819223</v>
      </c>
      <c r="CJ13" s="29">
        <f t="shared" si="22"/>
        <v>0.5777496839443742</v>
      </c>
      <c r="CK13" s="29">
        <f t="shared" si="22"/>
        <v>0.62008733624454149</v>
      </c>
      <c r="CL13" s="29">
        <f t="shared" si="22"/>
        <v>0.63783783783783776</v>
      </c>
    </row>
    <row r="14" spans="1:90" x14ac:dyDescent="0.2">
      <c r="A14" s="26">
        <v>2015</v>
      </c>
      <c r="B14" s="273">
        <v>7.7196976347319382</v>
      </c>
      <c r="C14" s="136">
        <v>3.3338220000000001</v>
      </c>
      <c r="D14" s="100">
        <f t="shared" si="0"/>
        <v>466.46549424398955</v>
      </c>
      <c r="E14" s="273">
        <v>13.171210355277122</v>
      </c>
      <c r="F14" s="136">
        <v>14.239455</v>
      </c>
      <c r="G14" s="273">
        <v>13.553538884491955</v>
      </c>
      <c r="H14" s="273">
        <v>10.552511931522398</v>
      </c>
      <c r="I14" s="273">
        <v>0.91566968633018497</v>
      </c>
      <c r="J14" s="277">
        <v>580.17728566208984</v>
      </c>
      <c r="K14" s="277">
        <v>492.0947901058417</v>
      </c>
      <c r="L14" s="100">
        <f t="shared" si="3"/>
        <v>328.40752335776909</v>
      </c>
      <c r="M14" s="100">
        <f t="shared" si="4"/>
        <v>391.49249812430116</v>
      </c>
      <c r="N14" s="279">
        <v>0.57730330811175756</v>
      </c>
      <c r="O14" s="100">
        <f t="shared" si="6"/>
        <v>95.534062964431186</v>
      </c>
      <c r="P14" s="279">
        <v>0.17749321279765243</v>
      </c>
      <c r="Q14" s="100">
        <f t="shared" si="8"/>
        <v>840.55453418864613</v>
      </c>
      <c r="R14" s="279">
        <v>3.2074241300227007</v>
      </c>
      <c r="S14" s="100">
        <f t="shared" si="10"/>
        <v>186.83683348054376</v>
      </c>
      <c r="T14" s="100">
        <f t="shared" si="11"/>
        <v>566.92481304903333</v>
      </c>
      <c r="U14" s="101">
        <f t="shared" si="12"/>
        <v>1320.4908456215621</v>
      </c>
      <c r="V14" s="101">
        <f t="shared" si="13"/>
        <v>4952.0930850566565</v>
      </c>
      <c r="W14" s="65"/>
      <c r="X14" s="8">
        <v>2013</v>
      </c>
      <c r="Y14" s="53">
        <f t="shared" ref="Y14:BG14" si="48">Y57/$BF57</f>
        <v>0.32242258550973157</v>
      </c>
      <c r="Z14" s="53">
        <f t="shared" si="35"/>
        <v>-4.0746960577553448E-3</v>
      </c>
      <c r="AA14" s="53">
        <f t="shared" si="48"/>
        <v>0.17531986638202568</v>
      </c>
      <c r="AB14" s="53">
        <f t="shared" si="36"/>
        <v>1.4834568519365821E-2</v>
      </c>
      <c r="AC14" s="53">
        <f t="shared" si="48"/>
        <v>1.3711422590055686E-2</v>
      </c>
      <c r="AD14" s="53"/>
      <c r="AE14" s="53">
        <f t="shared" si="24"/>
        <v>0.14787201845712264</v>
      </c>
      <c r="AF14" s="53">
        <f t="shared" si="37"/>
        <v>-8.3593343959343924E-3</v>
      </c>
      <c r="AG14" s="53">
        <f t="shared" si="48"/>
        <v>0.39748041210584689</v>
      </c>
      <c r="AH14" s="53">
        <f t="shared" si="38"/>
        <v>-9.7471837369571546E-3</v>
      </c>
      <c r="AI14" s="53">
        <f t="shared" si="48"/>
        <v>0.60874410041983951</v>
      </c>
      <c r="AJ14" s="53">
        <f t="shared" si="39"/>
        <v>1.9453487241929412E-3</v>
      </c>
      <c r="AK14" s="53">
        <f t="shared" si="48"/>
        <v>0.17531986638202568</v>
      </c>
      <c r="AL14" s="53">
        <f t="shared" si="40"/>
        <v>1.4834568519365821E-2</v>
      </c>
      <c r="AM14" s="53">
        <f t="shared" si="48"/>
        <v>1.3711422590055686E-2</v>
      </c>
      <c r="AN14" s="53">
        <f t="shared" si="48"/>
        <v>0.90293452325275925</v>
      </c>
      <c r="AO14" s="53">
        <f t="shared" si="43"/>
        <v>5.0347240856774E-4</v>
      </c>
      <c r="AP14" s="53">
        <f t="shared" si="48"/>
        <v>0.61488223982715462</v>
      </c>
      <c r="AQ14" s="53">
        <f t="shared" si="44"/>
        <v>4.5002026432352515E-3</v>
      </c>
      <c r="AR14" s="53">
        <f t="shared" si="48"/>
        <v>0.6998520360981777</v>
      </c>
      <c r="AS14" s="53">
        <f t="shared" si="45"/>
        <v>3.4133876806770047E-3</v>
      </c>
      <c r="AT14" s="53">
        <f t="shared" si="48"/>
        <v>1.6617539143071216</v>
      </c>
      <c r="AU14" s="53">
        <f t="shared" si="45"/>
        <v>1.7300635391601649E-3</v>
      </c>
      <c r="AV14" s="53">
        <f t="shared" si="48"/>
        <v>0.8334370866884423</v>
      </c>
      <c r="AW14" s="53">
        <f t="shared" si="41"/>
        <v>1.4392168139647499E-3</v>
      </c>
      <c r="AX14" s="53">
        <f t="shared" si="48"/>
        <v>1.2009131029949156</v>
      </c>
      <c r="AY14" s="53"/>
      <c r="AZ14" s="53">
        <f t="shared" si="48"/>
        <v>0.45762572006871827</v>
      </c>
      <c r="BA14" s="53">
        <f t="shared" si="46"/>
        <v>-6.9979595886038304E-4</v>
      </c>
      <c r="BB14" s="53">
        <f t="shared" si="48"/>
        <v>4.0449035520841612</v>
      </c>
      <c r="BC14" s="53">
        <f t="shared" si="25"/>
        <v>-4.3965405468140428E-3</v>
      </c>
      <c r="BD14" s="53">
        <f t="shared" si="26"/>
        <v>0.45102554646839327</v>
      </c>
      <c r="BE14" s="53">
        <f t="shared" si="47"/>
        <v>-5.3970355834148664E-3</v>
      </c>
      <c r="BF14" s="53">
        <f t="shared" si="48"/>
        <v>1</v>
      </c>
      <c r="BG14" s="53">
        <f t="shared" si="48"/>
        <v>1</v>
      </c>
      <c r="BH14" s="105">
        <f t="shared" si="27"/>
        <v>0.2009131029949156</v>
      </c>
      <c r="BJ14" s="14" t="s">
        <v>25</v>
      </c>
      <c r="BK14" s="26" t="s">
        <v>6</v>
      </c>
      <c r="BL14" s="68"/>
      <c r="BM14" s="68"/>
      <c r="BN14" s="27">
        <f>L4</f>
        <v>331.40747338337758</v>
      </c>
      <c r="BO14" s="27">
        <f>$BN$14*AT6</f>
        <v>547.23216496934344</v>
      </c>
      <c r="BP14" s="27">
        <f t="shared" si="28"/>
        <v>577.19558573148345</v>
      </c>
      <c r="BR14" s="26">
        <f>BR15-1</f>
        <v>2000</v>
      </c>
      <c r="BS14" s="29">
        <f t="shared" si="14"/>
        <v>0.93803921568627457</v>
      </c>
      <c r="BT14" s="29">
        <f t="shared" si="20"/>
        <v>1.0291139240506331</v>
      </c>
      <c r="BU14" s="29">
        <f t="shared" si="20"/>
        <v>1.1027568922305764</v>
      </c>
      <c r="BV14" s="29">
        <f t="shared" si="20"/>
        <v>1.0670731707317074</v>
      </c>
      <c r="BW14" s="29">
        <f t="shared" si="20"/>
        <v>0.9850746268656716</v>
      </c>
      <c r="BX14" s="29">
        <f t="shared" si="20"/>
        <v>0.9772888573456352</v>
      </c>
      <c r="BY14" s="29">
        <f t="shared" si="20"/>
        <v>0.87349081364829395</v>
      </c>
      <c r="BZ14" s="29">
        <f t="shared" si="20"/>
        <v>0.96534954407294837</v>
      </c>
      <c r="CA14" s="29">
        <f t="shared" si="20"/>
        <v>0.95017793594306044</v>
      </c>
      <c r="CC14" s="26">
        <f>CC15-1</f>
        <v>2000</v>
      </c>
      <c r="CD14" s="29">
        <f t="shared" si="16"/>
        <v>0.74590163934426235</v>
      </c>
      <c r="CE14" s="29">
        <f t="shared" si="22"/>
        <v>0.73505275498241496</v>
      </c>
      <c r="CF14" s="29">
        <f t="shared" si="22"/>
        <v>0.6527027027027027</v>
      </c>
      <c r="CG14" s="29">
        <f t="shared" si="22"/>
        <v>0.70911528150134051</v>
      </c>
      <c r="CH14" s="29">
        <f t="shared" si="22"/>
        <v>0.6707317073170731</v>
      </c>
      <c r="CI14" s="29">
        <f t="shared" si="22"/>
        <v>0.63958810068649885</v>
      </c>
      <c r="CJ14" s="29">
        <f t="shared" si="22"/>
        <v>0.67888748419721867</v>
      </c>
      <c r="CK14" s="29">
        <f t="shared" si="22"/>
        <v>0.67831149927219803</v>
      </c>
      <c r="CL14" s="29">
        <f t="shared" si="22"/>
        <v>0.7675675675675675</v>
      </c>
    </row>
    <row r="15" spans="1:90" x14ac:dyDescent="0.2">
      <c r="A15" s="26">
        <v>2016</v>
      </c>
      <c r="B15" s="273">
        <v>7.7724918360180952</v>
      </c>
      <c r="C15" s="136">
        <v>3.3352529999999998</v>
      </c>
      <c r="D15" s="100">
        <f t="shared" si="0"/>
        <v>456.99523312190672</v>
      </c>
      <c r="E15" s="273">
        <v>13.312646989338417</v>
      </c>
      <c r="F15" s="136">
        <v>14.253272000000001</v>
      </c>
      <c r="G15" s="273">
        <v>13.744421035619197</v>
      </c>
      <c r="H15" s="273">
        <v>10.666220541043755</v>
      </c>
      <c r="I15" s="273">
        <v>0.92300591408560773</v>
      </c>
      <c r="J15" s="277">
        <v>574.49029315673295</v>
      </c>
      <c r="K15" s="277">
        <v>486.45131570292983</v>
      </c>
      <c r="L15" s="100">
        <f t="shared" si="3"/>
        <v>328.50193252057164</v>
      </c>
      <c r="M15" s="100">
        <f t="shared" si="4"/>
        <v>383.91988906672003</v>
      </c>
      <c r="N15" s="279">
        <v>0.58762293666109111</v>
      </c>
      <c r="O15" s="100">
        <f t="shared" si="6"/>
        <v>91.595181421688324</v>
      </c>
      <c r="P15" s="279">
        <v>0.17034589073281128</v>
      </c>
      <c r="Q15" s="100">
        <f t="shared" si="8"/>
        <v>820.31364689948157</v>
      </c>
      <c r="R15" s="279">
        <v>3.2891669259072507</v>
      </c>
      <c r="S15" s="100">
        <f t="shared" si="10"/>
        <v>186.33383948957794</v>
      </c>
      <c r="T15" s="100">
        <f t="shared" si="11"/>
        <v>571.45173986577925</v>
      </c>
      <c r="U15" s="101">
        <f t="shared" si="12"/>
        <v>1280.1764434167699</v>
      </c>
      <c r="V15" s="101">
        <f t="shared" si="13"/>
        <v>5047.970631620412</v>
      </c>
      <c r="W15" s="65"/>
      <c r="X15" s="8">
        <v>2014</v>
      </c>
      <c r="Y15" s="53">
        <f t="shared" ref="Y15:BG15" si="49">Y58/$BF58</f>
        <v>0.32077427165230604</v>
      </c>
      <c r="Z15" s="53">
        <f t="shared" si="35"/>
        <v>-5.1122778970946747E-3</v>
      </c>
      <c r="AA15" s="53">
        <f t="shared" si="49"/>
        <v>0.17867097895504891</v>
      </c>
      <c r="AB15" s="53">
        <f t="shared" si="36"/>
        <v>1.9114277475668962E-2</v>
      </c>
      <c r="AC15" s="53">
        <f t="shared" si="49"/>
        <v>1.5868292109714674E-2</v>
      </c>
      <c r="AD15" s="53"/>
      <c r="AE15" s="53">
        <f t="shared" si="24"/>
        <v>0.14621212742292947</v>
      </c>
      <c r="AF15" s="53">
        <f t="shared" si="37"/>
        <v>-1.122518683055973E-2</v>
      </c>
      <c r="AG15" s="53">
        <f t="shared" si="49"/>
        <v>0.39212884396238634</v>
      </c>
      <c r="AH15" s="53">
        <f t="shared" si="38"/>
        <v>-1.3463727973683004E-2</v>
      </c>
      <c r="AI15" s="53">
        <f t="shared" si="49"/>
        <v>0.60912043527331661</v>
      </c>
      <c r="AJ15" s="53">
        <f t="shared" si="39"/>
        <v>6.1821519620064436E-4</v>
      </c>
      <c r="AK15" s="53">
        <f t="shared" si="49"/>
        <v>0.17867097895504891</v>
      </c>
      <c r="AL15" s="53">
        <f t="shared" si="40"/>
        <v>1.9114277475668962E-2</v>
      </c>
      <c r="AM15" s="53">
        <f t="shared" si="49"/>
        <v>1.5868292109714674E-2</v>
      </c>
      <c r="AN15" s="53">
        <f t="shared" si="49"/>
        <v>0.90375507950952505</v>
      </c>
      <c r="AO15" s="53">
        <f t="shared" si="43"/>
        <v>9.0876606845169405E-4</v>
      </c>
      <c r="AP15" s="53">
        <f t="shared" si="49"/>
        <v>0.61851441938507534</v>
      </c>
      <c r="AQ15" s="53">
        <f t="shared" si="44"/>
        <v>5.9071141149591444E-3</v>
      </c>
      <c r="AR15" s="53">
        <f t="shared" si="49"/>
        <v>0.70247765289084552</v>
      </c>
      <c r="AS15" s="53">
        <f t="shared" si="45"/>
        <v>3.7516741500192019E-3</v>
      </c>
      <c r="AT15" s="53">
        <f t="shared" si="49"/>
        <v>1.6648400928043812</v>
      </c>
      <c r="AU15" s="53">
        <f t="shared" si="45"/>
        <v>1.8571814218029115E-3</v>
      </c>
      <c r="AV15" s="53">
        <f t="shared" si="49"/>
        <v>0.83510743828754597</v>
      </c>
      <c r="AW15" s="53">
        <f t="shared" si="41"/>
        <v>2.0041723913926113E-3</v>
      </c>
      <c r="AX15" s="53">
        <f t="shared" si="49"/>
        <v>1.2008650537942946</v>
      </c>
      <c r="AY15" s="53"/>
      <c r="AZ15" s="53">
        <f t="shared" si="49"/>
        <v>0.45748392456501363</v>
      </c>
      <c r="BA15" s="53">
        <f t="shared" si="46"/>
        <v>-3.0985038096931206E-4</v>
      </c>
      <c r="BB15" s="53">
        <f t="shared" si="49"/>
        <v>4.025574630189845</v>
      </c>
      <c r="BC15" s="53">
        <f t="shared" si="25"/>
        <v>-4.7785865955585205E-3</v>
      </c>
      <c r="BD15" s="53">
        <f t="shared" si="26"/>
        <v>0.44759339875550308</v>
      </c>
      <c r="BE15" s="53">
        <f t="shared" si="47"/>
        <v>-7.6096525790267933E-3</v>
      </c>
      <c r="BF15" s="53">
        <f t="shared" si="49"/>
        <v>1</v>
      </c>
      <c r="BG15" s="53">
        <f t="shared" si="49"/>
        <v>1</v>
      </c>
      <c r="BH15" s="105">
        <f t="shared" si="27"/>
        <v>0.20086505379429465</v>
      </c>
      <c r="BJ15" s="14" t="s">
        <v>26</v>
      </c>
      <c r="BK15" s="26" t="s">
        <v>7</v>
      </c>
      <c r="BL15" s="68"/>
      <c r="BM15" s="68"/>
      <c r="BN15" s="27">
        <f>J4</f>
        <v>666.18340837714163</v>
      </c>
      <c r="BO15" s="27">
        <f>$BN$15*1</f>
        <v>666.18340837714163</v>
      </c>
      <c r="BP15" s="27">
        <f t="shared" si="28"/>
        <v>702.65994438463133</v>
      </c>
      <c r="BR15" s="28">
        <v>2001</v>
      </c>
      <c r="BS15" s="29">
        <f t="shared" si="14"/>
        <v>0.98078431372549024</v>
      </c>
      <c r="BT15" s="29">
        <f t="shared" ref="BT15:CA19" si="50">BT76/BT$80</f>
        <v>1.0113924050632912</v>
      </c>
      <c r="BU15" s="29">
        <f t="shared" si="50"/>
        <v>1.0664160401002505</v>
      </c>
      <c r="BV15" s="29">
        <f t="shared" si="50"/>
        <v>1.0447154471544715</v>
      </c>
      <c r="BW15" s="29">
        <f t="shared" si="50"/>
        <v>1.0065671641791045</v>
      </c>
      <c r="BX15" s="29">
        <f t="shared" si="50"/>
        <v>0.96664300922640167</v>
      </c>
      <c r="BY15" s="29">
        <f t="shared" si="50"/>
        <v>0.92913385826771644</v>
      </c>
      <c r="BZ15" s="29">
        <f t="shared" si="50"/>
        <v>0.99209726443769009</v>
      </c>
      <c r="CA15" s="29">
        <f t="shared" si="50"/>
        <v>1.0676156583629892</v>
      </c>
      <c r="CC15" s="28">
        <v>2001</v>
      </c>
      <c r="CD15" s="29">
        <f t="shared" si="16"/>
        <v>0.89241803278688536</v>
      </c>
      <c r="CE15" s="29">
        <f t="shared" ref="CE15:CL19" si="51">CE76/CE$80</f>
        <v>0.86400937866354055</v>
      </c>
      <c r="CF15" s="29">
        <f t="shared" si="51"/>
        <v>0.78648648648648645</v>
      </c>
      <c r="CG15" s="29">
        <f t="shared" si="51"/>
        <v>0.86327077747989278</v>
      </c>
      <c r="CH15" s="29">
        <f t="shared" si="51"/>
        <v>0.80182926829268286</v>
      </c>
      <c r="CI15" s="29">
        <f t="shared" si="51"/>
        <v>0.83180778032036606</v>
      </c>
      <c r="CJ15" s="29">
        <f t="shared" si="51"/>
        <v>0.82048040455120097</v>
      </c>
      <c r="CK15" s="29">
        <f t="shared" si="51"/>
        <v>0.85735080058224156</v>
      </c>
      <c r="CL15" s="29">
        <f t="shared" si="51"/>
        <v>0.95270270270270263</v>
      </c>
    </row>
    <row r="16" spans="1:90" x14ac:dyDescent="0.2">
      <c r="A16" s="26">
        <v>2017</v>
      </c>
      <c r="B16" s="273">
        <v>7.818471781299448</v>
      </c>
      <c r="C16" s="136">
        <v>3.3345129999999998</v>
      </c>
      <c r="D16" s="100">
        <f t="shared" si="0"/>
        <v>447.77982964277294</v>
      </c>
      <c r="E16" s="273">
        <v>13.436670398255115</v>
      </c>
      <c r="F16" s="136">
        <v>14.254208</v>
      </c>
      <c r="G16" s="273">
        <v>13.913943063027574</v>
      </c>
      <c r="H16" s="273">
        <v>10.7661646875353</v>
      </c>
      <c r="I16" s="273">
        <v>0.93009448243949511</v>
      </c>
      <c r="J16" s="277">
        <v>569.60198343941704</v>
      </c>
      <c r="K16" s="277">
        <v>481.47063206253006</v>
      </c>
      <c r="L16" s="100">
        <f t="shared" si="3"/>
        <v>328.66365902542094</v>
      </c>
      <c r="M16" s="100">
        <f t="shared" si="4"/>
        <v>376.92342140897767</v>
      </c>
      <c r="N16" s="279">
        <v>0.59739934895789559</v>
      </c>
      <c r="O16" s="100">
        <f t="shared" si="6"/>
        <v>87.655632465839105</v>
      </c>
      <c r="P16" s="279">
        <v>0.16326939889802269</v>
      </c>
      <c r="Q16" s="100">
        <f t="shared" si="8"/>
        <v>800.9002269410704</v>
      </c>
      <c r="R16" s="279">
        <v>3.3727853274932977</v>
      </c>
      <c r="S16" s="100">
        <f t="shared" si="10"/>
        <v>185.94853674286867</v>
      </c>
      <c r="T16" s="100">
        <f t="shared" si="11"/>
        <v>575.15105146864869</v>
      </c>
      <c r="U16" s="101">
        <f t="shared" si="12"/>
        <v>1250.9545692456691</v>
      </c>
      <c r="V16" s="101">
        <f t="shared" si="13"/>
        <v>5140.8390598840633</v>
      </c>
      <c r="W16" s="65"/>
      <c r="X16" s="8">
        <v>2015</v>
      </c>
      <c r="Y16" s="53">
        <f t="shared" ref="Y16:BG16" si="52">Y59/$BF59</f>
        <v>0.31907695073155601</v>
      </c>
      <c r="Z16" s="53">
        <f t="shared" si="35"/>
        <v>-5.2913249931396678E-3</v>
      </c>
      <c r="AA16" s="53">
        <f t="shared" si="52"/>
        <v>0.18241799010806256</v>
      </c>
      <c r="AB16" s="53">
        <f t="shared" si="36"/>
        <v>2.0971571180322224E-2</v>
      </c>
      <c r="AC16" s="53">
        <f t="shared" si="52"/>
        <v>1.8414492316820415E-2</v>
      </c>
      <c r="AD16" s="53"/>
      <c r="AE16" s="53">
        <f t="shared" si="24"/>
        <v>0.14431781244783892</v>
      </c>
      <c r="AF16" s="53">
        <f t="shared" si="37"/>
        <v>-1.2955936066856411E-2</v>
      </c>
      <c r="AG16" s="53">
        <f t="shared" si="52"/>
        <v>0.38585935446289377</v>
      </c>
      <c r="AH16" s="53">
        <f t="shared" si="38"/>
        <v>-1.5988340556998049E-2</v>
      </c>
      <c r="AI16" s="53">
        <f t="shared" si="52"/>
        <v>0.60906060382851357</v>
      </c>
      <c r="AJ16" s="53">
        <f t="shared" si="39"/>
        <v>-9.8225968689136245E-5</v>
      </c>
      <c r="AK16" s="53">
        <f t="shared" si="52"/>
        <v>0.18241799010806256</v>
      </c>
      <c r="AL16" s="53">
        <f t="shared" si="40"/>
        <v>2.0971571180322224E-2</v>
      </c>
      <c r="AM16" s="53">
        <f t="shared" si="52"/>
        <v>1.8414492316820415E-2</v>
      </c>
      <c r="AN16" s="53">
        <f t="shared" si="52"/>
        <v>0.90482845212600971</v>
      </c>
      <c r="AO16" s="53">
        <f t="shared" si="43"/>
        <v>1.1876808671074102E-3</v>
      </c>
      <c r="AP16" s="53">
        <f t="shared" si="52"/>
        <v>0.62274064378010141</v>
      </c>
      <c r="AQ16" s="53">
        <f t="shared" si="44"/>
        <v>6.8328631678915563E-3</v>
      </c>
      <c r="AR16" s="53">
        <f t="shared" si="52"/>
        <v>0.70516958138007324</v>
      </c>
      <c r="AS16" s="53">
        <f t="shared" si="45"/>
        <v>3.8320485757088463E-3</v>
      </c>
      <c r="AT16" s="53">
        <f t="shared" si="52"/>
        <v>1.6680300123463381</v>
      </c>
      <c r="AU16" s="53">
        <f t="shared" si="45"/>
        <v>1.9160516110490189E-3</v>
      </c>
      <c r="AV16" s="53">
        <f t="shared" si="52"/>
        <v>0.83707564108715349</v>
      </c>
      <c r="AW16" s="53">
        <f t="shared" si="41"/>
        <v>2.3568258518251728E-3</v>
      </c>
      <c r="AX16" s="53">
        <f t="shared" si="52"/>
        <v>1.200697936397775</v>
      </c>
      <c r="AY16" s="53"/>
      <c r="AZ16" s="53">
        <f t="shared" si="52"/>
        <v>0.45744189551092013</v>
      </c>
      <c r="BA16" s="53">
        <f t="shared" si="46"/>
        <v>-9.1870012992156802E-5</v>
      </c>
      <c r="BB16" s="53">
        <f t="shared" si="52"/>
        <v>4.0097500255103595</v>
      </c>
      <c r="BC16" s="53">
        <f t="shared" si="25"/>
        <v>-3.9310175895904687E-3</v>
      </c>
      <c r="BD16" s="53">
        <f t="shared" si="26"/>
        <v>0.44350898201164896</v>
      </c>
      <c r="BE16" s="53">
        <f t="shared" si="47"/>
        <v>-9.1252836954488492E-3</v>
      </c>
      <c r="BF16" s="53">
        <f t="shared" si="52"/>
        <v>1</v>
      </c>
      <c r="BG16" s="53">
        <f t="shared" si="52"/>
        <v>1</v>
      </c>
      <c r="BH16" s="105">
        <f t="shared" si="27"/>
        <v>0.200697936397775</v>
      </c>
      <c r="BJ16" s="14" t="s">
        <v>27</v>
      </c>
      <c r="BK16" s="26" t="s">
        <v>8</v>
      </c>
      <c r="BL16" s="68"/>
      <c r="BM16" s="68"/>
      <c r="BN16" s="27">
        <f>BN15*0.9</f>
        <v>599.56506753942745</v>
      </c>
      <c r="BO16" s="27">
        <f>$BN$16*BH6</f>
        <v>120.75878445295321</v>
      </c>
      <c r="BP16" s="27">
        <f t="shared" si="28"/>
        <v>127.37087069516286</v>
      </c>
      <c r="BR16" s="28">
        <v>2002</v>
      </c>
      <c r="BS16" s="29">
        <f t="shared" si="14"/>
        <v>0.90313725490196084</v>
      </c>
      <c r="BT16" s="29">
        <f t="shared" si="50"/>
        <v>0.98438818565400843</v>
      </c>
      <c r="BU16" s="29">
        <f t="shared" si="50"/>
        <v>1.0407268170426065</v>
      </c>
      <c r="BV16" s="29">
        <f t="shared" si="50"/>
        <v>1.0291327913279134</v>
      </c>
      <c r="BW16" s="29">
        <f t="shared" si="50"/>
        <v>0.97194029850746277</v>
      </c>
      <c r="BX16" s="29">
        <f t="shared" si="50"/>
        <v>0.96025550035486151</v>
      </c>
      <c r="BY16" s="29">
        <f t="shared" si="50"/>
        <v>0.83254593175853009</v>
      </c>
      <c r="BZ16" s="29">
        <f t="shared" si="50"/>
        <v>0.98601823708206682</v>
      </c>
      <c r="CA16" s="29">
        <f t="shared" si="50"/>
        <v>1.0955770208439246</v>
      </c>
      <c r="CC16" s="28">
        <v>2002</v>
      </c>
      <c r="CD16" s="29">
        <f t="shared" si="16"/>
        <v>0.73463114754098358</v>
      </c>
      <c r="CE16" s="29">
        <f t="shared" si="51"/>
        <v>0.72567409144196959</v>
      </c>
      <c r="CF16" s="29">
        <f t="shared" si="51"/>
        <v>0.56486486486486476</v>
      </c>
      <c r="CG16" s="29">
        <f t="shared" si="51"/>
        <v>0.64611260053619302</v>
      </c>
      <c r="CH16" s="29">
        <f t="shared" si="51"/>
        <v>0.68089430894308944</v>
      </c>
      <c r="CI16" s="29">
        <f t="shared" si="51"/>
        <v>0.66132723112128144</v>
      </c>
      <c r="CJ16" s="29">
        <f t="shared" si="51"/>
        <v>0.66118836915297097</v>
      </c>
      <c r="CK16" s="29">
        <f t="shared" si="51"/>
        <v>0.69723435225618635</v>
      </c>
      <c r="CL16" s="29">
        <f t="shared" si="51"/>
        <v>0.69324324324324316</v>
      </c>
    </row>
    <row r="17" spans="1:90" x14ac:dyDescent="0.2">
      <c r="A17" s="26">
        <v>2018</v>
      </c>
      <c r="B17" s="273">
        <v>7.8583930950288376</v>
      </c>
      <c r="C17" s="136">
        <v>3.3345250000000002</v>
      </c>
      <c r="D17" s="100">
        <f t="shared" si="0"/>
        <v>438.53245848057009</v>
      </c>
      <c r="E17" s="273">
        <v>13.544742644589398</v>
      </c>
      <c r="F17" s="136">
        <v>14.257866</v>
      </c>
      <c r="G17" s="273">
        <v>14.05962969022341</v>
      </c>
      <c r="H17" s="273">
        <v>10.859432691495577</v>
      </c>
      <c r="I17" s="273">
        <v>0.93681671057920068</v>
      </c>
      <c r="J17" s="277">
        <v>565.33716386250103</v>
      </c>
      <c r="K17" s="277">
        <v>476.85420687675719</v>
      </c>
      <c r="L17" s="100">
        <f t="shared" si="3"/>
        <v>328.80817800504337</v>
      </c>
      <c r="M17" s="100">
        <f t="shared" si="4"/>
        <v>369.84487144829444</v>
      </c>
      <c r="N17" s="279">
        <v>0.60703566023054578</v>
      </c>
      <c r="O17" s="100">
        <f t="shared" si="6"/>
        <v>83.747419850860737</v>
      </c>
      <c r="P17" s="279">
        <v>0.15625088825368075</v>
      </c>
      <c r="Q17" s="100">
        <f t="shared" si="8"/>
        <v>782.43612228842971</v>
      </c>
      <c r="R17" s="279">
        <v>3.4511057993454162</v>
      </c>
      <c r="S17" s="100">
        <f t="shared" si="10"/>
        <v>185.45087517809648</v>
      </c>
      <c r="T17" s="100">
        <f t="shared" si="11"/>
        <v>578.34244745998274</v>
      </c>
      <c r="U17" s="101">
        <f t="shared" si="12"/>
        <v>1227.7035994188141</v>
      </c>
      <c r="V17" s="101">
        <f t="shared" si="13"/>
        <v>5241.4794264165421</v>
      </c>
      <c r="W17" s="65"/>
      <c r="X17" s="8">
        <v>2016</v>
      </c>
      <c r="Y17" s="53">
        <f t="shared" ref="Y17:BG17" si="53">Y60/$BF60</f>
        <v>0.31766249858525114</v>
      </c>
      <c r="Z17" s="53">
        <f t="shared" si="35"/>
        <v>-4.4329499296703601E-3</v>
      </c>
      <c r="AA17" s="53">
        <f t="shared" si="53"/>
        <v>0.18626015949824998</v>
      </c>
      <c r="AB17" s="53">
        <f t="shared" si="36"/>
        <v>2.1062447776731608E-2</v>
      </c>
      <c r="AC17" s="53">
        <f t="shared" si="53"/>
        <v>2.1025169716473655E-2</v>
      </c>
      <c r="AD17" s="53"/>
      <c r="AE17" s="53">
        <f t="shared" si="24"/>
        <v>0.14235696622327193</v>
      </c>
      <c r="AF17" s="53">
        <f t="shared" si="37"/>
        <v>-1.3587000740298172E-2</v>
      </c>
      <c r="AG17" s="53">
        <f t="shared" si="53"/>
        <v>0.37913894114858387</v>
      </c>
      <c r="AH17" s="53">
        <f t="shared" si="38"/>
        <v>-1.7416743268190427E-2</v>
      </c>
      <c r="AI17" s="53">
        <f t="shared" si="53"/>
        <v>0.60894713857705096</v>
      </c>
      <c r="AJ17" s="53">
        <f t="shared" si="39"/>
        <v>-1.8629550286031193E-4</v>
      </c>
      <c r="AK17" s="53">
        <f t="shared" si="53"/>
        <v>0.18626015949824998</v>
      </c>
      <c r="AL17" s="53">
        <f t="shared" si="40"/>
        <v>2.1062447776731608E-2</v>
      </c>
      <c r="AM17" s="53">
        <f t="shared" si="53"/>
        <v>2.1025169716473655E-2</v>
      </c>
      <c r="AN17" s="53">
        <f t="shared" si="53"/>
        <v>0.90604252574842881</v>
      </c>
      <c r="AO17" s="53">
        <f t="shared" si="43"/>
        <v>1.3417721553368178E-3</v>
      </c>
      <c r="AP17" s="53">
        <f t="shared" si="53"/>
        <v>0.62723103222210597</v>
      </c>
      <c r="AQ17" s="53">
        <f t="shared" si="44"/>
        <v>7.2106879273969859E-3</v>
      </c>
      <c r="AR17" s="53">
        <f t="shared" si="53"/>
        <v>0.7079862304898128</v>
      </c>
      <c r="AS17" s="53">
        <f t="shared" si="45"/>
        <v>3.9942861747199743E-3</v>
      </c>
      <c r="AT17" s="53">
        <f t="shared" si="53"/>
        <v>1.6698926499260061</v>
      </c>
      <c r="AU17" s="53">
        <f t="shared" si="45"/>
        <v>1.1166691042014953E-3</v>
      </c>
      <c r="AV17" s="53">
        <f t="shared" si="53"/>
        <v>0.83913024444724427</v>
      </c>
      <c r="AW17" s="53">
        <f t="shared" si="41"/>
        <v>2.4545014324182102E-3</v>
      </c>
      <c r="AX17" s="53">
        <f t="shared" si="53"/>
        <v>1.2002994729660184</v>
      </c>
      <c r="AY17" s="53"/>
      <c r="AZ17" s="53">
        <f t="shared" si="53"/>
        <v>0.45735653379060864</v>
      </c>
      <c r="BA17" s="53">
        <f t="shared" si="46"/>
        <v>-1.8660669507797323E-4</v>
      </c>
      <c r="BB17" s="53">
        <f t="shared" si="53"/>
        <v>3.9990287615769162</v>
      </c>
      <c r="BC17" s="53">
        <f t="shared" si="25"/>
        <v>-2.6737985822641308E-3</v>
      </c>
      <c r="BD17" s="53">
        <f t="shared" si="26"/>
        <v>0.43902646060805373</v>
      </c>
      <c r="BE17" s="53">
        <f t="shared" si="47"/>
        <v>-1.0106946162090291E-2</v>
      </c>
      <c r="BF17" s="53">
        <f t="shared" si="53"/>
        <v>1</v>
      </c>
      <c r="BG17" s="53">
        <f t="shared" si="53"/>
        <v>1</v>
      </c>
      <c r="BH17" s="105">
        <f t="shared" si="27"/>
        <v>0.20029947296601835</v>
      </c>
      <c r="BJ17" s="14" t="s">
        <v>28</v>
      </c>
      <c r="BK17" s="26" t="s">
        <v>9</v>
      </c>
      <c r="BL17" s="68"/>
      <c r="BM17" s="68"/>
      <c r="BN17" s="27">
        <f>K4</f>
        <v>535.73422281363219</v>
      </c>
      <c r="BO17" s="27">
        <f>$BN$17*AZ6</f>
        <v>245.66906197177556</v>
      </c>
      <c r="BP17" s="27">
        <f t="shared" si="28"/>
        <v>259.12054736191692</v>
      </c>
      <c r="BR17" s="28">
        <v>2003</v>
      </c>
      <c r="BS17" s="29">
        <f t="shared" si="14"/>
        <v>0.92352941176470593</v>
      </c>
      <c r="BT17" s="29">
        <f t="shared" si="50"/>
        <v>0.98902953586497899</v>
      </c>
      <c r="BU17" s="29">
        <f t="shared" si="50"/>
        <v>1.0294486215538847</v>
      </c>
      <c r="BV17" s="29">
        <f t="shared" si="50"/>
        <v>1.0142276422764229</v>
      </c>
      <c r="BW17" s="29">
        <f t="shared" si="50"/>
        <v>0.97492537313432825</v>
      </c>
      <c r="BX17" s="29">
        <f t="shared" si="50"/>
        <v>0.97019162526614622</v>
      </c>
      <c r="BY17" s="29">
        <f t="shared" si="50"/>
        <v>0.91181102362204725</v>
      </c>
      <c r="BZ17" s="29">
        <f t="shared" si="50"/>
        <v>0.98358662613981762</v>
      </c>
      <c r="CA17" s="29">
        <f t="shared" si="50"/>
        <v>1.0371123538383322</v>
      </c>
      <c r="CC17" s="28">
        <v>2003</v>
      </c>
      <c r="CD17" s="29">
        <f t="shared" si="16"/>
        <v>0.85143442622950827</v>
      </c>
      <c r="CE17" s="29">
        <f t="shared" si="51"/>
        <v>0.87690504103165312</v>
      </c>
      <c r="CF17" s="29">
        <f t="shared" si="51"/>
        <v>0.7743243243243243</v>
      </c>
      <c r="CG17" s="29">
        <f t="shared" si="51"/>
        <v>0.79356568364611257</v>
      </c>
      <c r="CH17" s="29">
        <f t="shared" si="51"/>
        <v>0.78760162601626016</v>
      </c>
      <c r="CI17" s="29">
        <f t="shared" si="51"/>
        <v>0.76659038901601828</v>
      </c>
      <c r="CJ17" s="29">
        <f t="shared" si="51"/>
        <v>0.79646017699115046</v>
      </c>
      <c r="CK17" s="29">
        <f t="shared" si="51"/>
        <v>0.75400291120815133</v>
      </c>
      <c r="CL17" s="29">
        <f t="shared" si="51"/>
        <v>0.81216216216216208</v>
      </c>
    </row>
    <row r="18" spans="1:90" x14ac:dyDescent="0.2">
      <c r="A18" s="26">
        <v>2019</v>
      </c>
      <c r="B18" s="273">
        <v>7.8939579576833134</v>
      </c>
      <c r="C18" s="136">
        <v>3.3349419999999999</v>
      </c>
      <c r="D18" s="100">
        <f t="shared" si="0"/>
        <v>429.42555322894378</v>
      </c>
      <c r="E18" s="273">
        <v>13.642327006047207</v>
      </c>
      <c r="F18" s="136">
        <v>14.262814000000001</v>
      </c>
      <c r="G18" s="273">
        <v>14.188567517923714</v>
      </c>
      <c r="H18" s="273">
        <v>10.943669477595282</v>
      </c>
      <c r="I18" s="273">
        <v>0.94315748647008857</v>
      </c>
      <c r="J18" s="277">
        <v>561.57704513679948</v>
      </c>
      <c r="K18" s="277">
        <v>472.4249847580972</v>
      </c>
      <c r="L18" s="100">
        <f t="shared" si="3"/>
        <v>328.99642436566</v>
      </c>
      <c r="M18" s="100">
        <f t="shared" si="4"/>
        <v>362.60486587139661</v>
      </c>
      <c r="N18" s="279">
        <v>0.61751007284323112</v>
      </c>
      <c r="O18" s="100">
        <f t="shared" si="6"/>
        <v>79.98067356503465</v>
      </c>
      <c r="P18" s="279">
        <v>0.14960198867590202</v>
      </c>
      <c r="Q18" s="100">
        <f t="shared" si="8"/>
        <v>765.27659559803544</v>
      </c>
      <c r="R18" s="279">
        <v>3.528990299433</v>
      </c>
      <c r="S18" s="100">
        <f t="shared" si="10"/>
        <v>185.06933170221558</v>
      </c>
      <c r="T18" s="100">
        <f t="shared" si="11"/>
        <v>573.86311445651086</v>
      </c>
      <c r="U18" s="101">
        <f t="shared" si="12"/>
        <v>1209.2391816136676</v>
      </c>
      <c r="V18" s="101">
        <f t="shared" si="13"/>
        <v>5346.734848924134</v>
      </c>
      <c r="W18" s="65"/>
      <c r="X18" s="8">
        <v>2017</v>
      </c>
      <c r="Y18" s="53">
        <f t="shared" ref="Y18:BG18" si="54">Y61/$BF61</f>
        <v>0.31656272713310502</v>
      </c>
      <c r="Z18" s="53">
        <f t="shared" si="35"/>
        <v>-3.4620751805582994E-3</v>
      </c>
      <c r="AA18" s="53">
        <f t="shared" si="54"/>
        <v>0.19015501229334264</v>
      </c>
      <c r="AB18" s="53">
        <f t="shared" si="36"/>
        <v>2.0910820679981512E-2</v>
      </c>
      <c r="AC18" s="53">
        <f t="shared" si="54"/>
        <v>2.3304531637212959E-2</v>
      </c>
      <c r="AD18" s="53"/>
      <c r="AE18" s="53">
        <f t="shared" si="24"/>
        <v>0.14043520514062724</v>
      </c>
      <c r="AF18" s="53">
        <f t="shared" si="37"/>
        <v>-1.3499592844867236E-2</v>
      </c>
      <c r="AG18" s="53">
        <f t="shared" si="54"/>
        <v>0.37235827486981543</v>
      </c>
      <c r="AH18" s="53">
        <f t="shared" si="38"/>
        <v>-1.7884383646340152E-2</v>
      </c>
      <c r="AI18" s="53">
        <f t="shared" si="54"/>
        <v>0.60902283666543111</v>
      </c>
      <c r="AJ18" s="53">
        <f t="shared" si="39"/>
        <v>1.243097858329989E-4</v>
      </c>
      <c r="AK18" s="53">
        <f t="shared" si="54"/>
        <v>0.19015501229334264</v>
      </c>
      <c r="AL18" s="53">
        <f t="shared" si="40"/>
        <v>2.0910820679981512E-2</v>
      </c>
      <c r="AM18" s="53">
        <f t="shared" si="54"/>
        <v>2.3304531637212959E-2</v>
      </c>
      <c r="AN18" s="53">
        <f t="shared" si="54"/>
        <v>0.90731717983106763</v>
      </c>
      <c r="AO18" s="53">
        <f t="shared" si="43"/>
        <v>1.4068369269819581E-3</v>
      </c>
      <c r="AP18" s="53">
        <f t="shared" si="54"/>
        <v>0.63180958056163439</v>
      </c>
      <c r="AQ18" s="53">
        <f t="shared" si="44"/>
        <v>7.2996202424933099E-3</v>
      </c>
      <c r="AR18" s="53">
        <f t="shared" si="54"/>
        <v>0.71163279773717136</v>
      </c>
      <c r="AS18" s="53">
        <f t="shared" si="45"/>
        <v>5.1506188825674037E-3</v>
      </c>
      <c r="AT18" s="53">
        <f t="shared" si="54"/>
        <v>1.6716756802039643</v>
      </c>
      <c r="AU18" s="53">
        <f t="shared" si="45"/>
        <v>1.0677514378167885E-3</v>
      </c>
      <c r="AV18" s="53">
        <f t="shared" si="54"/>
        <v>0.84118603029486372</v>
      </c>
      <c r="AW18" s="53">
        <f t="shared" si="41"/>
        <v>2.4499007886120694E-3</v>
      </c>
      <c r="AX18" s="53">
        <f t="shared" si="54"/>
        <v>1.1997405397374101</v>
      </c>
      <c r="AY18" s="53"/>
      <c r="AZ18" s="53">
        <f t="shared" si="54"/>
        <v>0.45724516900481221</v>
      </c>
      <c r="BA18" s="53">
        <f t="shared" si="46"/>
        <v>-2.434966542916861E-4</v>
      </c>
      <c r="BB18" s="53">
        <f t="shared" si="54"/>
        <v>3.9952860372232877</v>
      </c>
      <c r="BC18" s="53">
        <f t="shared" si="25"/>
        <v>-9.3590833594126011E-4</v>
      </c>
      <c r="BD18" s="53">
        <f t="shared" si="26"/>
        <v>0.43429021983125732</v>
      </c>
      <c r="BE18" s="53">
        <f t="shared" si="47"/>
        <v>-1.0788053116973173E-2</v>
      </c>
      <c r="BF18" s="53">
        <f t="shared" si="54"/>
        <v>1</v>
      </c>
      <c r="BG18" s="53">
        <f t="shared" si="54"/>
        <v>1</v>
      </c>
      <c r="BH18" s="105">
        <f t="shared" si="27"/>
        <v>0.19974053973741013</v>
      </c>
      <c r="BJ18" s="14" t="s">
        <v>29</v>
      </c>
      <c r="BK18" s="26" t="s">
        <v>10</v>
      </c>
      <c r="BL18" s="68"/>
      <c r="BM18" s="68"/>
      <c r="BN18" s="27">
        <f>M4</f>
        <v>434.05618224643769</v>
      </c>
      <c r="BO18" s="27">
        <f>$BN$18*AP6</f>
        <v>256.27206213364155</v>
      </c>
      <c r="BP18" s="27">
        <f t="shared" si="28"/>
        <v>270.30410944160957</v>
      </c>
      <c r="BR18" s="28">
        <v>2004</v>
      </c>
      <c r="BS18" s="29">
        <f t="shared" si="14"/>
        <v>0.915686274509804</v>
      </c>
      <c r="BT18" s="29">
        <f t="shared" si="50"/>
        <v>0.9776371308016879</v>
      </c>
      <c r="BU18" s="29">
        <f t="shared" si="50"/>
        <v>1.0181704260651629</v>
      </c>
      <c r="BV18" s="29">
        <f t="shared" si="50"/>
        <v>1.0060975609756098</v>
      </c>
      <c r="BW18" s="29">
        <f t="shared" si="50"/>
        <v>0.97552238805970148</v>
      </c>
      <c r="BX18" s="29">
        <f t="shared" si="50"/>
        <v>0.99148332150461327</v>
      </c>
      <c r="BY18" s="29">
        <f t="shared" si="50"/>
        <v>0.93175853018372701</v>
      </c>
      <c r="BZ18" s="29">
        <f t="shared" si="50"/>
        <v>0.98237082066869308</v>
      </c>
      <c r="CA18" s="29">
        <f t="shared" si="50"/>
        <v>1.0081342145399084</v>
      </c>
      <c r="CC18" s="28">
        <v>2004</v>
      </c>
      <c r="CD18" s="29">
        <f t="shared" si="16"/>
        <v>0.94569672131147542</v>
      </c>
      <c r="CE18" s="29">
        <f t="shared" si="51"/>
        <v>0.93200468933177028</v>
      </c>
      <c r="CF18" s="29">
        <f t="shared" si="51"/>
        <v>0.84189189189189195</v>
      </c>
      <c r="CG18" s="29">
        <f t="shared" si="51"/>
        <v>0.88471849865951735</v>
      </c>
      <c r="CH18" s="29">
        <f t="shared" si="51"/>
        <v>0.86788617886178854</v>
      </c>
      <c r="CI18" s="29">
        <f t="shared" si="51"/>
        <v>0.84668192219679639</v>
      </c>
      <c r="CJ18" s="29">
        <f t="shared" si="51"/>
        <v>0.87357774968394442</v>
      </c>
      <c r="CK18" s="29">
        <f t="shared" si="51"/>
        <v>0.87190684133915575</v>
      </c>
      <c r="CL18" s="29">
        <f t="shared" si="51"/>
        <v>0.86486486486486491</v>
      </c>
    </row>
    <row r="19" spans="1:90" x14ac:dyDescent="0.2">
      <c r="A19" s="26">
        <v>2020</v>
      </c>
      <c r="B19" s="273">
        <v>7.9270415292061527</v>
      </c>
      <c r="C19" s="136">
        <v>3.3356319999999999</v>
      </c>
      <c r="D19" s="100">
        <f t="shared" si="0"/>
        <v>420.48538208687728</v>
      </c>
      <c r="E19" s="273">
        <v>13.727833420247292</v>
      </c>
      <c r="F19" s="136">
        <v>14.278371</v>
      </c>
      <c r="G19" s="273">
        <v>14.314729754811003</v>
      </c>
      <c r="H19" s="273">
        <v>11.039761593119149</v>
      </c>
      <c r="I19" s="273">
        <v>0.94909895098020136</v>
      </c>
      <c r="J19" s="277">
        <v>558.00115103846008</v>
      </c>
      <c r="K19" s="277">
        <v>468.26730085436054</v>
      </c>
      <c r="L19" s="100">
        <f t="shared" si="3"/>
        <v>329.16260409006964</v>
      </c>
      <c r="M19" s="100">
        <f t="shared" si="4"/>
        <v>355.18136124074647</v>
      </c>
      <c r="N19" s="279">
        <v>0.62874002438920151</v>
      </c>
      <c r="O19" s="100">
        <f t="shared" si="6"/>
        <v>76.615365865777122</v>
      </c>
      <c r="P19" s="279">
        <v>0.14368006685068022</v>
      </c>
      <c r="Q19" s="100">
        <f t="shared" si="8"/>
        <v>748.97512130199311</v>
      </c>
      <c r="R19" s="279">
        <v>3.6041736344012683</v>
      </c>
      <c r="S19" s="100">
        <f t="shared" si="10"/>
        <v>184.68586236787786</v>
      </c>
      <c r="T19" s="100">
        <f t="shared" si="11"/>
        <v>574.57845024020685</v>
      </c>
      <c r="U19" s="101">
        <f t="shared" si="12"/>
        <v>1156.1344173288071</v>
      </c>
      <c r="V19" s="101">
        <f t="shared" si="13"/>
        <v>5445.7501732501569</v>
      </c>
      <c r="W19" s="65"/>
      <c r="X19" s="8">
        <v>2018</v>
      </c>
      <c r="Y19" s="53">
        <f t="shared" ref="Y19:BG19" si="55">Y62/$BF62</f>
        <v>0.31566298050182012</v>
      </c>
      <c r="Z19" s="53">
        <f t="shared" si="35"/>
        <v>-2.8422380595254371E-3</v>
      </c>
      <c r="AA19" s="53">
        <f t="shared" si="55"/>
        <v>0.19395459690595143</v>
      </c>
      <c r="AB19" s="53">
        <f t="shared" si="36"/>
        <v>1.9981511750778225E-2</v>
      </c>
      <c r="AC19" s="53">
        <f t="shared" si="55"/>
        <v>2.5275760269874385E-2</v>
      </c>
      <c r="AD19" s="53"/>
      <c r="AE19" s="53">
        <f t="shared" si="24"/>
        <v>0.13860719188296566</v>
      </c>
      <c r="AF19" s="53">
        <f t="shared" si="37"/>
        <v>-1.301677350655106E-2</v>
      </c>
      <c r="AG19" s="53">
        <f t="shared" si="55"/>
        <v>0.36579662532202045</v>
      </c>
      <c r="AH19" s="53">
        <f t="shared" si="38"/>
        <v>-1.7621871167195269E-2</v>
      </c>
      <c r="AI19" s="53">
        <f t="shared" si="55"/>
        <v>0.60929036277697268</v>
      </c>
      <c r="AJ19" s="53">
        <f t="shared" si="39"/>
        <v>4.3927106741414867E-4</v>
      </c>
      <c r="AK19" s="53">
        <f t="shared" si="55"/>
        <v>0.19395459690595143</v>
      </c>
      <c r="AL19" s="53">
        <f t="shared" si="40"/>
        <v>1.9981511750778225E-2</v>
      </c>
      <c r="AM19" s="53">
        <f t="shared" si="55"/>
        <v>2.5275760269874385E-2</v>
      </c>
      <c r="AN19" s="53">
        <f t="shared" si="55"/>
        <v>0.90859053146146507</v>
      </c>
      <c r="AO19" s="53">
        <f t="shared" si="43"/>
        <v>1.4034250190595454E-3</v>
      </c>
      <c r="AP19" s="53">
        <f t="shared" si="55"/>
        <v>0.63638428548062598</v>
      </c>
      <c r="AQ19" s="53">
        <f t="shared" si="44"/>
        <v>7.2406387299872588E-3</v>
      </c>
      <c r="AR19" s="53">
        <f t="shared" si="55"/>
        <v>0.7150413936194252</v>
      </c>
      <c r="AS19" s="53">
        <f t="shared" si="45"/>
        <v>4.7898240399997238E-3</v>
      </c>
      <c r="AT19" s="53">
        <f t="shared" si="55"/>
        <v>1.6734283049301795</v>
      </c>
      <c r="AU19" s="53">
        <f t="shared" si="45"/>
        <v>1.0484238940422497E-3</v>
      </c>
      <c r="AV19" s="53">
        <f t="shared" si="55"/>
        <v>0.84320975358854344</v>
      </c>
      <c r="AW19" s="53">
        <f t="shared" si="41"/>
        <v>2.4057975534499398E-3</v>
      </c>
      <c r="AX19" s="53">
        <f t="shared" si="55"/>
        <v>1.1991388431733487</v>
      </c>
      <c r="AY19" s="53"/>
      <c r="AZ19" s="53">
        <f t="shared" si="55"/>
        <v>0.45716019774076677</v>
      </c>
      <c r="BA19" s="53">
        <f t="shared" si="46"/>
        <v>-1.8583304932529021E-4</v>
      </c>
      <c r="BB19" s="53">
        <f t="shared" si="55"/>
        <v>3.9982530870666295</v>
      </c>
      <c r="BC19" s="53">
        <f t="shared" si="25"/>
        <v>7.4263765239801494E-4</v>
      </c>
      <c r="BD19" s="53">
        <f t="shared" si="26"/>
        <v>0.42969338531599804</v>
      </c>
      <c r="BE19" s="53">
        <f t="shared" si="47"/>
        <v>-1.058470650581389E-2</v>
      </c>
      <c r="BF19" s="53">
        <f t="shared" si="55"/>
        <v>1</v>
      </c>
      <c r="BG19" s="53">
        <f t="shared" si="55"/>
        <v>1</v>
      </c>
      <c r="BH19" s="105">
        <f t="shared" si="27"/>
        <v>0.19913884317334873</v>
      </c>
      <c r="BJ19" s="14" t="s">
        <v>30</v>
      </c>
      <c r="BK19" s="26" t="s">
        <v>11</v>
      </c>
      <c r="BL19" s="68"/>
      <c r="BM19" s="68"/>
      <c r="BN19" s="27">
        <f>O4</f>
        <v>110.52562758422165</v>
      </c>
      <c r="BO19" s="27">
        <f>$BN$19*AN6</f>
        <v>99.382489264859359</v>
      </c>
      <c r="BP19" s="27">
        <f t="shared" si="28"/>
        <v>104.82412726214093</v>
      </c>
      <c r="BR19" s="28">
        <v>2005</v>
      </c>
      <c r="BS19" s="29">
        <f t="shared" si="14"/>
        <v>1</v>
      </c>
      <c r="BT19" s="29">
        <f t="shared" si="50"/>
        <v>1</v>
      </c>
      <c r="BU19" s="29">
        <f t="shared" si="50"/>
        <v>1</v>
      </c>
      <c r="BV19" s="29">
        <f t="shared" si="50"/>
        <v>1</v>
      </c>
      <c r="BW19" s="29">
        <f t="shared" si="50"/>
        <v>1</v>
      </c>
      <c r="BX19" s="29">
        <f t="shared" si="50"/>
        <v>1</v>
      </c>
      <c r="BY19" s="29">
        <f t="shared" si="50"/>
        <v>1</v>
      </c>
      <c r="BZ19" s="29">
        <f t="shared" si="50"/>
        <v>1</v>
      </c>
      <c r="CA19" s="29">
        <f t="shared" si="50"/>
        <v>1</v>
      </c>
      <c r="CC19" s="28">
        <v>2005</v>
      </c>
      <c r="CD19" s="29">
        <f t="shared" si="16"/>
        <v>1</v>
      </c>
      <c r="CE19" s="29">
        <f t="shared" si="51"/>
        <v>1</v>
      </c>
      <c r="CF19" s="29">
        <f t="shared" si="51"/>
        <v>1</v>
      </c>
      <c r="CG19" s="29">
        <f t="shared" si="51"/>
        <v>1</v>
      </c>
      <c r="CH19" s="29">
        <f t="shared" si="51"/>
        <v>1</v>
      </c>
      <c r="CI19" s="29">
        <f t="shared" si="51"/>
        <v>1</v>
      </c>
      <c r="CJ19" s="29">
        <f t="shared" si="51"/>
        <v>1</v>
      </c>
      <c r="CK19" s="29">
        <f t="shared" si="51"/>
        <v>1</v>
      </c>
      <c r="CL19" s="29">
        <f t="shared" si="51"/>
        <v>1</v>
      </c>
    </row>
    <row r="20" spans="1:90" x14ac:dyDescent="0.2">
      <c r="A20" s="26">
        <v>2021</v>
      </c>
      <c r="B20" s="273">
        <v>7.9555547310816221</v>
      </c>
      <c r="C20" s="136">
        <v>3.3365279999999999</v>
      </c>
      <c r="D20" s="100">
        <f t="shared" si="0"/>
        <v>411.57729582256735</v>
      </c>
      <c r="E20" s="273">
        <v>13.805823365108106</v>
      </c>
      <c r="F20" s="136">
        <v>14.293405</v>
      </c>
      <c r="G20" s="273">
        <v>14.415726050970072</v>
      </c>
      <c r="H20" s="273">
        <v>11.107200771893995</v>
      </c>
      <c r="I20" s="273">
        <v>0.95479661493906631</v>
      </c>
      <c r="J20" s="277">
        <v>554.68486448447015</v>
      </c>
      <c r="K20" s="277">
        <v>464.24668202818481</v>
      </c>
      <c r="L20" s="100">
        <f t="shared" si="3"/>
        <v>329.24403959933665</v>
      </c>
      <c r="M20" s="100">
        <f t="shared" si="4"/>
        <v>347.52380912576609</v>
      </c>
      <c r="N20" s="279">
        <v>0.64088159737025219</v>
      </c>
      <c r="O20" s="100">
        <f t="shared" si="6"/>
        <v>73.716061215639286</v>
      </c>
      <c r="P20" s="279">
        <v>0.13861311553114411</v>
      </c>
      <c r="Q20" s="100">
        <f t="shared" si="8"/>
        <v>734.1250934847061</v>
      </c>
      <c r="R20" s="279">
        <v>3.6770352118365954</v>
      </c>
      <c r="S20" s="100">
        <f t="shared" si="10"/>
        <v>184.59002001228802</v>
      </c>
      <c r="T20" s="100">
        <f t="shared" si="11"/>
        <v>569.67098028906935</v>
      </c>
      <c r="U20" s="101">
        <f t="shared" si="12"/>
        <v>1129.0855932606335</v>
      </c>
      <c r="V20" s="101">
        <f t="shared" si="13"/>
        <v>5539.901750820366</v>
      </c>
      <c r="W20" s="65"/>
      <c r="X20" s="8">
        <v>2019</v>
      </c>
      <c r="Y20" s="53">
        <f t="shared" ref="Y20:BG20" si="56">Y63/$BF63</f>
        <v>0.31484770711740878</v>
      </c>
      <c r="Z20" s="53">
        <f t="shared" si="35"/>
        <v>-2.5827335949095698E-3</v>
      </c>
      <c r="AA20" s="53">
        <f t="shared" si="56"/>
        <v>0.197679238953475</v>
      </c>
      <c r="AB20" s="53">
        <f t="shared" si="36"/>
        <v>1.9203680175364113E-2</v>
      </c>
      <c r="AC20" s="53">
        <f t="shared" si="56"/>
        <v>2.7001596704346768E-2</v>
      </c>
      <c r="AD20" s="53"/>
      <c r="AE20" s="53">
        <f t="shared" si="24"/>
        <v>0.13685554903225236</v>
      </c>
      <c r="AF20" s="53">
        <f t="shared" si="37"/>
        <v>-1.2637460054686911E-2</v>
      </c>
      <c r="AG20" s="53">
        <f t="shared" si="56"/>
        <v>0.35949534539563849</v>
      </c>
      <c r="AH20" s="53">
        <f t="shared" si="38"/>
        <v>-1.7226183868795375E-2</v>
      </c>
      <c r="AI20" s="53">
        <f t="shared" si="56"/>
        <v>0.60965540739968538</v>
      </c>
      <c r="AJ20" s="53">
        <f t="shared" si="39"/>
        <v>5.9913080037721222E-4</v>
      </c>
      <c r="AK20" s="53">
        <f t="shared" si="56"/>
        <v>0.197679238953475</v>
      </c>
      <c r="AL20" s="53">
        <f t="shared" si="40"/>
        <v>1.9203680175364113E-2</v>
      </c>
      <c r="AM20" s="53">
        <f t="shared" si="56"/>
        <v>2.7001596704346768E-2</v>
      </c>
      <c r="AN20" s="53">
        <f t="shared" si="56"/>
        <v>0.90984648041402105</v>
      </c>
      <c r="AO20" s="53">
        <f t="shared" si="43"/>
        <v>1.382304689589775E-3</v>
      </c>
      <c r="AP20" s="53">
        <f t="shared" si="56"/>
        <v>0.64093358354402119</v>
      </c>
      <c r="AQ20" s="53">
        <f t="shared" si="44"/>
        <v>7.1486649925043277E-3</v>
      </c>
      <c r="AR20" s="53">
        <f t="shared" si="56"/>
        <v>0.71823014752921654</v>
      </c>
      <c r="AS20" s="53">
        <f t="shared" si="45"/>
        <v>4.4595375012492777E-3</v>
      </c>
      <c r="AT20" s="53">
        <f t="shared" si="56"/>
        <v>1.6750029431894469</v>
      </c>
      <c r="AU20" s="53">
        <f t="shared" si="45"/>
        <v>9.4096547466548941E-4</v>
      </c>
      <c r="AV20" s="53">
        <f t="shared" si="56"/>
        <v>0.84518014694507204</v>
      </c>
      <c r="AW20" s="53">
        <f t="shared" si="41"/>
        <v>2.3367772350153526E-3</v>
      </c>
      <c r="AX20" s="53">
        <f t="shared" si="56"/>
        <v>1.1985527596076038</v>
      </c>
      <c r="AY20" s="53"/>
      <c r="AZ20" s="53">
        <f t="shared" si="56"/>
        <v>0.45708958169992203</v>
      </c>
      <c r="BA20" s="53">
        <f t="shared" si="46"/>
        <v>-1.5446673002972311E-4</v>
      </c>
      <c r="BB20" s="53">
        <f t="shared" si="56"/>
        <v>4.0068115096745238</v>
      </c>
      <c r="BC20" s="53">
        <f t="shared" si="25"/>
        <v>2.1405404864385247E-3</v>
      </c>
      <c r="BD20" s="53">
        <f t="shared" si="26"/>
        <v>0.42544551286536469</v>
      </c>
      <c r="BE20" s="53">
        <f t="shared" si="47"/>
        <v>-9.8858222997997292E-3</v>
      </c>
      <c r="BF20" s="53">
        <f t="shared" si="56"/>
        <v>1</v>
      </c>
      <c r="BG20" s="53">
        <f t="shared" si="56"/>
        <v>1</v>
      </c>
      <c r="BH20" s="105">
        <f t="shared" si="27"/>
        <v>0.19855275960760377</v>
      </c>
      <c r="BJ20" s="14" t="s">
        <v>31</v>
      </c>
      <c r="BK20" s="26" t="s">
        <v>12</v>
      </c>
      <c r="BL20" s="68"/>
      <c r="BM20" s="68"/>
      <c r="BN20" s="27">
        <f>Q4</f>
        <v>922.49348069682435</v>
      </c>
      <c r="BO20" s="27">
        <f>$BN$20*AV6</f>
        <v>757.73947277765512</v>
      </c>
      <c r="BP20" s="27">
        <f t="shared" si="28"/>
        <v>799.22911484244662</v>
      </c>
      <c r="BR20" s="28">
        <v>2006</v>
      </c>
      <c r="BS20" s="29">
        <f t="shared" ref="BS20:CA20" si="57">BS87/BS$80</f>
        <v>1.152156862745098</v>
      </c>
      <c r="BT20" s="29">
        <f t="shared" si="57"/>
        <v>1.0362869198312237</v>
      </c>
      <c r="BU20" s="29">
        <f t="shared" si="57"/>
        <v>1.0520050125313283</v>
      </c>
      <c r="BV20" s="29">
        <f t="shared" si="57"/>
        <v>1.0108401084010841</v>
      </c>
      <c r="BW20" s="29">
        <f t="shared" si="57"/>
        <v>1.0704477611940297</v>
      </c>
      <c r="BX20" s="29">
        <f t="shared" si="57"/>
        <v>1.0645848119233499</v>
      </c>
      <c r="BY20" s="29">
        <f t="shared" si="57"/>
        <v>1.1076115485564304</v>
      </c>
      <c r="BZ20" s="29">
        <f t="shared" si="57"/>
        <v>1.003647416413374</v>
      </c>
      <c r="CA20" s="29">
        <f t="shared" si="57"/>
        <v>1.0859176410777833</v>
      </c>
      <c r="CC20" s="28">
        <v>2006</v>
      </c>
      <c r="CD20" s="29">
        <f t="shared" ref="CD20:CL20" si="58">CD87/CD$80</f>
        <v>1.0973360655737705</v>
      </c>
      <c r="CE20" s="29">
        <f t="shared" si="58"/>
        <v>1.1113716295427902</v>
      </c>
      <c r="CF20" s="29">
        <f t="shared" si="58"/>
        <v>1.0202702702702702</v>
      </c>
      <c r="CG20" s="29">
        <f t="shared" si="58"/>
        <v>1.0281501340482573</v>
      </c>
      <c r="CH20" s="29">
        <f t="shared" si="58"/>
        <v>1.068089430894309</v>
      </c>
      <c r="CI20" s="29">
        <f t="shared" si="58"/>
        <v>1.0800915331807779</v>
      </c>
      <c r="CJ20" s="29">
        <f t="shared" si="58"/>
        <v>1.0379266750948168</v>
      </c>
      <c r="CK20" s="29">
        <f t="shared" si="58"/>
        <v>1.066957787481805</v>
      </c>
      <c r="CL20" s="29">
        <f t="shared" si="58"/>
        <v>0.99054054054054053</v>
      </c>
    </row>
    <row r="21" spans="1:90" x14ac:dyDescent="0.2">
      <c r="A21" s="26">
        <v>2022</v>
      </c>
      <c r="B21" s="273">
        <v>7.9811119745167272</v>
      </c>
      <c r="C21" s="136">
        <v>3.3376610000000002</v>
      </c>
      <c r="D21" s="100">
        <f t="shared" si="0"/>
        <v>402.64748910755401</v>
      </c>
      <c r="E21" s="273">
        <v>13.877305800658281</v>
      </c>
      <c r="F21" s="136">
        <v>14.309097</v>
      </c>
      <c r="G21" s="273">
        <v>14.501238178887728</v>
      </c>
      <c r="H21" s="273">
        <v>11.165479345696623</v>
      </c>
      <c r="I21" s="273">
        <v>0.96028622244341422</v>
      </c>
      <c r="J21" s="277">
        <v>551.72844755323456</v>
      </c>
      <c r="K21" s="277">
        <v>460.3085544878769</v>
      </c>
      <c r="L21" s="100">
        <f t="shared" si="3"/>
        <v>329.3229315946499</v>
      </c>
      <c r="M21" s="100">
        <f t="shared" si="4"/>
        <v>340.56660123253715</v>
      </c>
      <c r="N21" s="279">
        <v>0.65252287303305501</v>
      </c>
      <c r="O21" s="100">
        <f t="shared" si="6"/>
        <v>71.321556044416468</v>
      </c>
      <c r="P21" s="279">
        <v>0.13445023480906823</v>
      </c>
      <c r="Q21" s="100">
        <f t="shared" si="8"/>
        <v>720.18633536618677</v>
      </c>
      <c r="R21" s="279">
        <v>3.7482613341739408</v>
      </c>
      <c r="S21" s="100">
        <f t="shared" si="10"/>
        <v>184.45390724929186</v>
      </c>
      <c r="T21" s="100">
        <f t="shared" si="11"/>
        <v>567.38653807174683</v>
      </c>
      <c r="U21" s="101">
        <f t="shared" si="12"/>
        <v>1108.2328879242345</v>
      </c>
      <c r="V21" s="101">
        <f t="shared" si="13"/>
        <v>5644.4992880601931</v>
      </c>
      <c r="W21" s="65"/>
      <c r="X21" s="8">
        <v>2020</v>
      </c>
      <c r="Y21" s="53">
        <f t="shared" ref="Y21:BG21" si="59">Y64/$BF64</f>
        <v>0.31407454291427545</v>
      </c>
      <c r="Z21" s="53">
        <f t="shared" si="35"/>
        <v>-2.4556767785036682E-3</v>
      </c>
      <c r="AA21" s="53">
        <f t="shared" si="59"/>
        <v>0.2013046183273158</v>
      </c>
      <c r="AB21" s="53">
        <f t="shared" si="36"/>
        <v>1.8339707260275562E-2</v>
      </c>
      <c r="AC21" s="53">
        <f t="shared" si="59"/>
        <v>2.8510327673497243E-2</v>
      </c>
      <c r="AD21" s="53"/>
      <c r="AE21" s="53">
        <f t="shared" si="24"/>
        <v>0.13518397902564905</v>
      </c>
      <c r="AF21" s="53">
        <f t="shared" si="37"/>
        <v>-1.2214119328178508E-2</v>
      </c>
      <c r="AG21" s="53">
        <f t="shared" si="59"/>
        <v>0.35350825065972935</v>
      </c>
      <c r="AH21" s="53">
        <f t="shared" si="38"/>
        <v>-1.6654164824637996E-2</v>
      </c>
      <c r="AI21" s="53">
        <f t="shared" si="59"/>
        <v>0.6100972676646057</v>
      </c>
      <c r="AJ21" s="53">
        <f t="shared" si="39"/>
        <v>7.2477051717623198E-4</v>
      </c>
      <c r="AK21" s="53">
        <f t="shared" si="59"/>
        <v>0.2013046183273158</v>
      </c>
      <c r="AL21" s="53">
        <f t="shared" si="40"/>
        <v>1.8339707260275562E-2</v>
      </c>
      <c r="AM21" s="53">
        <f t="shared" si="59"/>
        <v>2.8510327673497243E-2</v>
      </c>
      <c r="AN21" s="53">
        <f t="shared" si="59"/>
        <v>0.91106804170263123</v>
      </c>
      <c r="AO21" s="53">
        <f t="shared" si="43"/>
        <v>1.3426015431243776E-3</v>
      </c>
      <c r="AP21" s="53">
        <f t="shared" si="59"/>
        <v>0.64542489359664579</v>
      </c>
      <c r="AQ21" s="53">
        <f t="shared" si="44"/>
        <v>7.0074500196886103E-3</v>
      </c>
      <c r="AR21" s="53">
        <f t="shared" si="59"/>
        <v>0.72118547701237268</v>
      </c>
      <c r="AS21" s="53">
        <f t="shared" si="45"/>
        <v>4.1147388386895134E-3</v>
      </c>
      <c r="AT21" s="53">
        <f t="shared" si="59"/>
        <v>1.6764948632754157</v>
      </c>
      <c r="AU21" s="53">
        <f t="shared" si="45"/>
        <v>8.9069699371879807E-4</v>
      </c>
      <c r="AV21" s="53">
        <f t="shared" si="59"/>
        <v>0.84708155783008821</v>
      </c>
      <c r="AW21" s="53">
        <f t="shared" si="41"/>
        <v>2.24971077691416E-3</v>
      </c>
      <c r="AX21" s="53">
        <f t="shared" si="59"/>
        <v>1.1980089841151256</v>
      </c>
      <c r="AY21" s="53"/>
      <c r="AZ21" s="53">
        <f t="shared" si="59"/>
        <v>0.4570256021278768</v>
      </c>
      <c r="BA21" s="53">
        <f t="shared" si="46"/>
        <v>-1.3997162614665104E-4</v>
      </c>
      <c r="BB21" s="53">
        <f t="shared" si="59"/>
        <v>4.019040286456665</v>
      </c>
      <c r="BC21" s="53">
        <f t="shared" si="25"/>
        <v>3.0519970187303791E-3</v>
      </c>
      <c r="BD21" s="53">
        <f t="shared" si="26"/>
        <v>0.42147549789666683</v>
      </c>
      <c r="BE21" s="53">
        <f t="shared" si="47"/>
        <v>-9.3314298744389124E-3</v>
      </c>
      <c r="BF21" s="53">
        <f t="shared" si="59"/>
        <v>1</v>
      </c>
      <c r="BG21" s="53">
        <f t="shared" si="59"/>
        <v>1</v>
      </c>
      <c r="BH21" s="105">
        <f t="shared" si="27"/>
        <v>0.19800898411512557</v>
      </c>
      <c r="BJ21" s="14" t="s">
        <v>117</v>
      </c>
      <c r="BK21" s="26" t="s">
        <v>100</v>
      </c>
      <c r="BL21" s="68"/>
      <c r="BM21" s="68"/>
      <c r="BN21" s="27">
        <f>S4</f>
        <v>213.36398720339992</v>
      </c>
      <c r="BO21" s="27">
        <f>$BN$21*BB6</f>
        <v>688.27537397181459</v>
      </c>
      <c r="BP21" s="27">
        <f t="shared" si="28"/>
        <v>725.96154439582835</v>
      </c>
      <c r="BR21" s="28">
        <v>2007</v>
      </c>
      <c r="BS21" s="29">
        <f t="shared" ref="BS21:CA21" si="60">BS88/BS$80</f>
        <v>1.1694117647058824</v>
      </c>
      <c r="BT21" s="29">
        <f t="shared" si="60"/>
        <v>1.0510548523206751</v>
      </c>
      <c r="BU21" s="29">
        <f t="shared" si="60"/>
        <v>1.0895989974937343</v>
      </c>
      <c r="BV21" s="29">
        <f t="shared" si="60"/>
        <v>1.0047425474254743</v>
      </c>
      <c r="BW21" s="29">
        <f t="shared" si="60"/>
        <v>1.0686567164179104</v>
      </c>
      <c r="BX21" s="29">
        <f t="shared" si="60"/>
        <v>1.0589070262597586</v>
      </c>
      <c r="BY21" s="29">
        <f t="shared" si="60"/>
        <v>1.0456692913385828</v>
      </c>
      <c r="BZ21" s="29">
        <f t="shared" si="60"/>
        <v>1.0103343465045593</v>
      </c>
      <c r="CA21" s="29">
        <f t="shared" si="60"/>
        <v>1.0732079308591762</v>
      </c>
      <c r="CC21" s="28">
        <v>2007</v>
      </c>
      <c r="CD21" s="29">
        <f t="shared" ref="CD21:CL21" si="61">CD88/CD$80</f>
        <v>1.0174180327868851</v>
      </c>
      <c r="CE21" s="29">
        <f t="shared" si="61"/>
        <v>1.0480656506447832</v>
      </c>
      <c r="CF21" s="29">
        <f t="shared" si="61"/>
        <v>0.92837837837837833</v>
      </c>
      <c r="CG21" s="29">
        <f t="shared" si="61"/>
        <v>0.95040214477211793</v>
      </c>
      <c r="CH21" s="29">
        <f t="shared" si="61"/>
        <v>0.97560975609756095</v>
      </c>
      <c r="CI21" s="29">
        <f t="shared" si="61"/>
        <v>0.94393592677345539</v>
      </c>
      <c r="CJ21" s="29">
        <f t="shared" si="61"/>
        <v>0.92414664981036654</v>
      </c>
      <c r="CK21" s="29">
        <f t="shared" si="61"/>
        <v>0.94177583697234346</v>
      </c>
      <c r="CL21" s="29">
        <f t="shared" si="61"/>
        <v>0.95810810810810809</v>
      </c>
    </row>
    <row r="22" spans="1:90" x14ac:dyDescent="0.2">
      <c r="A22" s="26">
        <v>2023</v>
      </c>
      <c r="B22" s="273">
        <v>8.0026938389125934</v>
      </c>
      <c r="C22" s="136">
        <v>3.3391850000000001</v>
      </c>
      <c r="D22" s="100">
        <f t="shared" si="0"/>
        <v>393.7508514982726</v>
      </c>
      <c r="E22" s="273">
        <v>13.938461888969197</v>
      </c>
      <c r="F22" s="136">
        <v>14.326931999999999</v>
      </c>
      <c r="G22" s="273">
        <v>14.571823013714878</v>
      </c>
      <c r="H22" s="273">
        <v>11.222577028938471</v>
      </c>
      <c r="I22" s="273">
        <v>0.96560258392017795</v>
      </c>
      <c r="J22" s="277">
        <v>549.16327390614492</v>
      </c>
      <c r="K22" s="277">
        <v>456.45627884866326</v>
      </c>
      <c r="L22" s="100">
        <f t="shared" si="3"/>
        <v>329.41013307825131</v>
      </c>
      <c r="M22" s="100">
        <f t="shared" si="4"/>
        <v>334.02348350145263</v>
      </c>
      <c r="N22" s="279">
        <v>0.66396586535874658</v>
      </c>
      <c r="O22" s="100">
        <f t="shared" si="6"/>
        <v>69.299490847233926</v>
      </c>
      <c r="P22" s="279">
        <v>0.13093737018761026</v>
      </c>
      <c r="Q22" s="100">
        <f t="shared" si="8"/>
        <v>707.18633103689831</v>
      </c>
      <c r="R22" s="279">
        <v>3.8183119719896395</v>
      </c>
      <c r="S22" s="100">
        <f t="shared" si="10"/>
        <v>184.4727077018141</v>
      </c>
      <c r="T22" s="100">
        <f t="shared" si="11"/>
        <v>562.26925305453199</v>
      </c>
      <c r="U22" s="101">
        <f t="shared" si="12"/>
        <v>1091.7309949291243</v>
      </c>
      <c r="V22" s="101">
        <f t="shared" si="13"/>
        <v>5752.3842247948132</v>
      </c>
      <c r="W22" s="65"/>
      <c r="X22" s="8">
        <v>2021</v>
      </c>
      <c r="Y22" s="53">
        <f t="shared" ref="Y22:BG22" si="62">Y65/$BF65</f>
        <v>0.31334255029153313</v>
      </c>
      <c r="Z22" s="53">
        <f t="shared" si="35"/>
        <v>-2.3306334093499137E-3</v>
      </c>
      <c r="AA22" s="53">
        <f t="shared" si="62"/>
        <v>0.20479066953542818</v>
      </c>
      <c r="AB22" s="53">
        <f t="shared" si="36"/>
        <v>1.7317293746555551E-2</v>
      </c>
      <c r="AC22" s="53">
        <f t="shared" si="62"/>
        <v>2.9814234481623857E-2</v>
      </c>
      <c r="AD22" s="53"/>
      <c r="AE22" s="53">
        <f t="shared" si="24"/>
        <v>0.13360634726027087</v>
      </c>
      <c r="AF22" s="53">
        <f t="shared" si="37"/>
        <v>-1.1670256910242593E-2</v>
      </c>
      <c r="AG22" s="53">
        <f t="shared" si="62"/>
        <v>0.34788996537119243</v>
      </c>
      <c r="AH22" s="53">
        <f t="shared" si="38"/>
        <v>-1.5892939635926084E-2</v>
      </c>
      <c r="AI22" s="53">
        <f t="shared" si="62"/>
        <v>0.61062920789173614</v>
      </c>
      <c r="AJ22" s="53">
        <f t="shared" si="39"/>
        <v>8.7189413118782255E-4</v>
      </c>
      <c r="AK22" s="53">
        <f t="shared" si="62"/>
        <v>0.20479066953542818</v>
      </c>
      <c r="AL22" s="53">
        <f t="shared" si="40"/>
        <v>1.7317293746555551E-2</v>
      </c>
      <c r="AM22" s="53">
        <f t="shared" si="62"/>
        <v>2.9814234481623857E-2</v>
      </c>
      <c r="AN22" s="53">
        <f t="shared" si="62"/>
        <v>0.91223430805341754</v>
      </c>
      <c r="AO22" s="53">
        <f t="shared" si="43"/>
        <v>1.2801089462064486E-3</v>
      </c>
      <c r="AP22" s="53">
        <f t="shared" si="62"/>
        <v>0.64980759265325494</v>
      </c>
      <c r="AQ22" s="53">
        <f t="shared" si="44"/>
        <v>6.7904090779431492E-3</v>
      </c>
      <c r="AR22" s="53">
        <f t="shared" si="62"/>
        <v>0.72396945059939488</v>
      </c>
      <c r="AS22" s="53">
        <f t="shared" si="45"/>
        <v>3.8602740567590388E-3</v>
      </c>
      <c r="AT22" s="53">
        <f t="shared" si="62"/>
        <v>1.6788297238875565</v>
      </c>
      <c r="AU22" s="53">
        <f t="shared" si="45"/>
        <v>1.3927037077698934E-3</v>
      </c>
      <c r="AV22" s="53">
        <f t="shared" si="62"/>
        <v>0.84889188317405151</v>
      </c>
      <c r="AW22" s="53">
        <f t="shared" si="41"/>
        <v>2.1371322834611295E-3</v>
      </c>
      <c r="AX22" s="53">
        <f t="shared" si="62"/>
        <v>1.1975132523036962</v>
      </c>
      <c r="AY22" s="53"/>
      <c r="AZ22" s="53">
        <f t="shared" si="62"/>
        <v>0.45695954755303303</v>
      </c>
      <c r="BA22" s="53">
        <f t="shared" si="46"/>
        <v>-1.4453145411597035E-4</v>
      </c>
      <c r="BB22" s="53">
        <f t="shared" si="62"/>
        <v>4.0320553499074707</v>
      </c>
      <c r="BC22" s="53">
        <f t="shared" si="25"/>
        <v>3.2383510796505366E-3</v>
      </c>
      <c r="BD22" s="53">
        <f t="shared" si="26"/>
        <v>0.41780499110326086</v>
      </c>
      <c r="BE22" s="53">
        <f t="shared" si="47"/>
        <v>-8.7087074141279919E-3</v>
      </c>
      <c r="BF22" s="53">
        <f t="shared" si="62"/>
        <v>1</v>
      </c>
      <c r="BG22" s="53">
        <f t="shared" si="62"/>
        <v>1</v>
      </c>
      <c r="BH22" s="105">
        <f t="shared" ref="BH22:BH31" si="63">AX22-1</f>
        <v>0.19751325230369621</v>
      </c>
      <c r="BJ22" s="14" t="s">
        <v>175</v>
      </c>
      <c r="BK22" s="26" t="s">
        <v>174</v>
      </c>
      <c r="BL22" s="68"/>
      <c r="BM22" s="68"/>
      <c r="BN22" s="27">
        <f>T4</f>
        <v>482.72570571459363</v>
      </c>
      <c r="BO22" s="27">
        <f>BN22*BD6</f>
        <v>227.73371650081208</v>
      </c>
      <c r="BP22" s="27">
        <f t="shared" si="28"/>
        <v>240.20316110961355</v>
      </c>
      <c r="BR22" s="28">
        <v>2008</v>
      </c>
      <c r="BS22" s="29">
        <f t="shared" ref="BS22:CA22" si="64">BS89/BS$80</f>
        <v>1.2133333333333334</v>
      </c>
      <c r="BT22" s="29">
        <f t="shared" si="64"/>
        <v>1.0970464135021096</v>
      </c>
      <c r="BU22" s="29">
        <f t="shared" si="64"/>
        <v>1.1372180451127818</v>
      </c>
      <c r="BV22" s="29">
        <f t="shared" si="64"/>
        <v>1.0264227642276422</v>
      </c>
      <c r="BW22" s="29">
        <f t="shared" si="64"/>
        <v>1.1128358208955225</v>
      </c>
      <c r="BX22" s="29">
        <f t="shared" si="64"/>
        <v>1.1554293825408091</v>
      </c>
      <c r="BY22" s="29">
        <f t="shared" si="64"/>
        <v>1.0876640419947505</v>
      </c>
      <c r="BZ22" s="29">
        <f t="shared" si="64"/>
        <v>1.0449848024316111</v>
      </c>
      <c r="CA22" s="29">
        <f t="shared" si="64"/>
        <v>1.0259278088459582</v>
      </c>
      <c r="CC22" s="28">
        <v>2008</v>
      </c>
      <c r="CD22" s="29">
        <f t="shared" ref="CD22:CL22" si="65">CD89/CD$80</f>
        <v>1.0286885245901638</v>
      </c>
      <c r="CE22" s="29">
        <f t="shared" si="65"/>
        <v>1.1031652989449003</v>
      </c>
      <c r="CF22" s="29">
        <f t="shared" si="65"/>
        <v>0.99729729729729721</v>
      </c>
      <c r="CG22" s="29">
        <f t="shared" si="65"/>
        <v>0.94235924932975879</v>
      </c>
      <c r="CH22" s="29">
        <f t="shared" si="65"/>
        <v>0.99796747967479682</v>
      </c>
      <c r="CI22" s="29">
        <f t="shared" si="65"/>
        <v>0.98970251716247137</v>
      </c>
      <c r="CJ22" s="29">
        <f t="shared" si="65"/>
        <v>1.0050568900126422</v>
      </c>
      <c r="CK22" s="29">
        <f t="shared" si="65"/>
        <v>0.95050946142649206</v>
      </c>
      <c r="CL22" s="29">
        <f t="shared" si="65"/>
        <v>1.0013513513513512</v>
      </c>
    </row>
    <row r="23" spans="1:90" x14ac:dyDescent="0.2">
      <c r="A23" s="26">
        <v>2024</v>
      </c>
      <c r="B23" s="273">
        <v>8.0209409360031998</v>
      </c>
      <c r="C23" s="136">
        <v>3.3408060000000002</v>
      </c>
      <c r="D23" s="100">
        <f t="shared" si="0"/>
        <v>384.81582432316566</v>
      </c>
      <c r="E23" s="273">
        <v>13.990705534099373</v>
      </c>
      <c r="F23" s="136">
        <v>14.344944</v>
      </c>
      <c r="G23" s="273">
        <v>14.628230887423127</v>
      </c>
      <c r="H23" s="273">
        <v>11.275054646556331</v>
      </c>
      <c r="I23" s="273">
        <v>0.97075257976685347</v>
      </c>
      <c r="J23" s="277">
        <v>546.99227029634028</v>
      </c>
      <c r="K23" s="277">
        <v>452.66325105453086</v>
      </c>
      <c r="L23" s="100">
        <f t="shared" si="3"/>
        <v>329.45959242741395</v>
      </c>
      <c r="M23" s="100">
        <f t="shared" si="4"/>
        <v>327.8439153843193</v>
      </c>
      <c r="N23" s="279">
        <v>0.67539224332184078</v>
      </c>
      <c r="O23" s="100">
        <f t="shared" si="6"/>
        <v>67.401804770606972</v>
      </c>
      <c r="P23" s="279">
        <v>0.12759127460182795</v>
      </c>
      <c r="Q23" s="100">
        <f t="shared" si="8"/>
        <v>694.61188966577618</v>
      </c>
      <c r="R23" s="279">
        <v>3.8882318473112361</v>
      </c>
      <c r="S23" s="100">
        <f t="shared" si="10"/>
        <v>184.54783851606828</v>
      </c>
      <c r="T23" s="100">
        <f t="shared" si="11"/>
        <v>557.83411928343378</v>
      </c>
      <c r="U23" s="101">
        <f t="shared" si="12"/>
        <v>1077.7174695754325</v>
      </c>
      <c r="V23" s="101">
        <f t="shared" si="13"/>
        <v>5864.2265284275773</v>
      </c>
      <c r="W23" s="65"/>
      <c r="X23" s="8">
        <v>2022</v>
      </c>
      <c r="Y23" s="53">
        <f t="shared" ref="Y23:BG23" si="66">Y66/$BF66</f>
        <v>0.31260616292035304</v>
      </c>
      <c r="Z23" s="53">
        <f t="shared" si="35"/>
        <v>-2.3501033309869523E-3</v>
      </c>
      <c r="AA23" s="53">
        <f t="shared" si="66"/>
        <v>0.2082107636981492</v>
      </c>
      <c r="AB23" s="53">
        <f t="shared" si="36"/>
        <v>1.6700439382709931E-2</v>
      </c>
      <c r="AC23" s="53">
        <f t="shared" si="66"/>
        <v>3.0974512959381813E-2</v>
      </c>
      <c r="AD23" s="53"/>
      <c r="AE23" s="53">
        <f t="shared" si="24"/>
        <v>0.13208416514447088</v>
      </c>
      <c r="AF23" s="53">
        <f t="shared" si="37"/>
        <v>-1.1393037434327291E-2</v>
      </c>
      <c r="AG23" s="53">
        <f t="shared" si="66"/>
        <v>0.34252804090550676</v>
      </c>
      <c r="AH23" s="53">
        <f t="shared" si="38"/>
        <v>-1.5412702289255731E-2</v>
      </c>
      <c r="AI23" s="53">
        <f t="shared" si="66"/>
        <v>0.61117400868706084</v>
      </c>
      <c r="AJ23" s="53">
        <f t="shared" si="39"/>
        <v>8.9219576837096248E-4</v>
      </c>
      <c r="AK23" s="53">
        <f t="shared" si="66"/>
        <v>0.2082107636981492</v>
      </c>
      <c r="AL23" s="53">
        <f t="shared" si="40"/>
        <v>1.6700439382709931E-2</v>
      </c>
      <c r="AM23" s="53">
        <f t="shared" si="66"/>
        <v>3.0974512959381813E-2</v>
      </c>
      <c r="AN23" s="53">
        <f t="shared" si="66"/>
        <v>0.9133442603914983</v>
      </c>
      <c r="AO23" s="53">
        <f t="shared" si="43"/>
        <v>1.2167404013221361E-3</v>
      </c>
      <c r="AP23" s="53">
        <f t="shared" si="66"/>
        <v>0.65415513544440917</v>
      </c>
      <c r="AQ23" s="53">
        <f t="shared" si="44"/>
        <v>6.6905078369470239E-3</v>
      </c>
      <c r="AR23" s="53">
        <f t="shared" si="66"/>
        <v>0.72663088328045966</v>
      </c>
      <c r="AS23" s="53">
        <f t="shared" si="45"/>
        <v>3.6761671074121427E-3</v>
      </c>
      <c r="AT23" s="53">
        <f t="shared" si="66"/>
        <v>1.6810241859167985</v>
      </c>
      <c r="AU23" s="53">
        <f t="shared" si="45"/>
        <v>1.3071379413991391E-3</v>
      </c>
      <c r="AV23" s="53">
        <f t="shared" si="66"/>
        <v>0.8506433169030474</v>
      </c>
      <c r="AW23" s="53">
        <f t="shared" si="41"/>
        <v>2.0631999948534929E-3</v>
      </c>
      <c r="AX23" s="53">
        <f t="shared" si="66"/>
        <v>1.1970701391090923</v>
      </c>
      <c r="AY23" s="53"/>
      <c r="AZ23" s="53">
        <f t="shared" si="66"/>
        <v>0.45689692389914355</v>
      </c>
      <c r="BA23" s="53">
        <f t="shared" si="46"/>
        <v>-1.3704419619819941E-4</v>
      </c>
      <c r="BB23" s="53">
        <f t="shared" si="66"/>
        <v>4.0496743220584159</v>
      </c>
      <c r="BC23" s="53">
        <f t="shared" si="25"/>
        <v>4.3697247735821065E-3</v>
      </c>
      <c r="BD23" s="53">
        <f t="shared" si="26"/>
        <v>0.41432072354790961</v>
      </c>
      <c r="BE23" s="53">
        <f t="shared" si="47"/>
        <v>-8.3394589091687621E-3</v>
      </c>
      <c r="BF23" s="53">
        <f t="shared" si="66"/>
        <v>1</v>
      </c>
      <c r="BG23" s="53">
        <f t="shared" si="66"/>
        <v>1</v>
      </c>
      <c r="BH23" s="105">
        <f t="shared" si="63"/>
        <v>0.19707013910909232</v>
      </c>
      <c r="BJ23" s="14" t="s">
        <v>32</v>
      </c>
      <c r="BK23" s="26" t="s">
        <v>13</v>
      </c>
      <c r="BL23" s="68"/>
      <c r="BM23" s="68"/>
      <c r="BN23" s="27">
        <f>U4</f>
        <v>2009.4019042164659</v>
      </c>
      <c r="BO23" s="27">
        <f>$BN$23</f>
        <v>2009.4019042164659</v>
      </c>
      <c r="BP23" s="27">
        <f t="shared" si="28"/>
        <v>2119.4256904455815</v>
      </c>
      <c r="BR23" s="28">
        <v>2009</v>
      </c>
      <c r="BS23" s="29">
        <f t="shared" ref="BS23:CA23" si="67">BS90/BS$80</f>
        <v>1.1878431372549019</v>
      </c>
      <c r="BT23" s="29">
        <f t="shared" si="67"/>
        <v>1.0843881856540085</v>
      </c>
      <c r="BU23" s="29">
        <f t="shared" si="67"/>
        <v>1.1854636591478698</v>
      </c>
      <c r="BV23" s="29">
        <f t="shared" si="67"/>
        <v>1.0724932249322494</v>
      </c>
      <c r="BW23" s="29">
        <f t="shared" si="67"/>
        <v>1.1701492537313434</v>
      </c>
      <c r="BX23" s="29">
        <f t="shared" si="67"/>
        <v>1.1809794180269695</v>
      </c>
      <c r="BY23" s="29">
        <f t="shared" si="67"/>
        <v>1.0031496062992125</v>
      </c>
      <c r="BZ23" s="29">
        <f t="shared" si="67"/>
        <v>1.0717325227963526</v>
      </c>
      <c r="CA23" s="29">
        <f t="shared" si="67"/>
        <v>1.0691408235892221</v>
      </c>
      <c r="CC23" s="28">
        <v>2009</v>
      </c>
      <c r="CD23" s="29">
        <f t="shared" ref="CD23:CL23" si="68">CD90/CD$80</f>
        <v>0.99180327868852458</v>
      </c>
      <c r="CE23" s="29">
        <f t="shared" si="68"/>
        <v>1.0058616647127785</v>
      </c>
      <c r="CF23" s="29">
        <f t="shared" si="68"/>
        <v>0.84729729729729719</v>
      </c>
      <c r="CG23" s="29">
        <f t="shared" si="68"/>
        <v>0.79624664879356577</v>
      </c>
      <c r="CH23" s="29">
        <f t="shared" si="68"/>
        <v>0.88211382113821135</v>
      </c>
      <c r="CI23" s="29">
        <f t="shared" si="68"/>
        <v>0.87185354691075512</v>
      </c>
      <c r="CJ23" s="29">
        <f t="shared" si="68"/>
        <v>0.8508217446270544</v>
      </c>
      <c r="CK23" s="29">
        <f t="shared" si="68"/>
        <v>0.8675400291120815</v>
      </c>
      <c r="CL23" s="29">
        <f t="shared" si="68"/>
        <v>0.80675675675675673</v>
      </c>
    </row>
    <row r="24" spans="1:90" x14ac:dyDescent="0.2">
      <c r="A24" s="26">
        <v>2025</v>
      </c>
      <c r="B24" s="273">
        <v>8.0361259348455096</v>
      </c>
      <c r="C24" s="136">
        <v>3.342616</v>
      </c>
      <c r="D24" s="100">
        <f t="shared" si="0"/>
        <v>375.85359868167393</v>
      </c>
      <c r="E24" s="273">
        <v>14.034720387994108</v>
      </c>
      <c r="F24" s="136">
        <v>14.363856999999999</v>
      </c>
      <c r="G24" s="273">
        <v>14.672992341432238</v>
      </c>
      <c r="H24" s="273">
        <v>11.321808742299726</v>
      </c>
      <c r="I24" s="273">
        <v>0.97565016606731236</v>
      </c>
      <c r="J24" s="277">
        <v>545.21915206469214</v>
      </c>
      <c r="K24" s="277">
        <v>448.79838828056711</v>
      </c>
      <c r="L24" s="100">
        <f t="shared" si="3"/>
        <v>329.48147231463878</v>
      </c>
      <c r="M24" s="100">
        <f t="shared" si="4"/>
        <v>323.03032893682263</v>
      </c>
      <c r="N24" s="279">
        <v>0.68466935890493108</v>
      </c>
      <c r="O24" s="100">
        <f t="shared" si="6"/>
        <v>65.550107884228765</v>
      </c>
      <c r="P24" s="279">
        <v>0.12432881225842107</v>
      </c>
      <c r="Q24" s="100">
        <f t="shared" si="8"/>
        <v>682.78469356820165</v>
      </c>
      <c r="R24" s="279">
        <v>3.9561808543480663</v>
      </c>
      <c r="S24" s="100">
        <f t="shared" si="10"/>
        <v>184.6376965710092</v>
      </c>
      <c r="T24" s="100">
        <f t="shared" si="11"/>
        <v>553.73474674180761</v>
      </c>
      <c r="U24" s="101">
        <f t="shared" si="12"/>
        <v>1065.4145517058091</v>
      </c>
      <c r="V24" s="101">
        <f t="shared" si="13"/>
        <v>5982.0669409221155</v>
      </c>
      <c r="W24" s="65"/>
      <c r="X24" s="8">
        <v>2023</v>
      </c>
      <c r="Y24" s="53">
        <f t="shared" ref="Y24:Y29" si="69">Y67/$BF67</f>
        <v>0.31178159085463808</v>
      </c>
      <c r="Z24" s="53">
        <f t="shared" si="35"/>
        <v>-2.6377345155701448E-3</v>
      </c>
      <c r="AA24" s="53">
        <f>AA67/$BF67</f>
        <v>0.21164194723859875</v>
      </c>
      <c r="AB24" s="53">
        <f t="shared" si="36"/>
        <v>1.6479376375679866E-2</v>
      </c>
      <c r="AC24" s="53">
        <f>AC67/$BF67</f>
        <v>3.2052487441034727E-2</v>
      </c>
      <c r="AD24" s="53"/>
      <c r="AE24" s="53">
        <f t="shared" si="24"/>
        <v>0.13057948479766221</v>
      </c>
      <c r="AF24" s="53">
        <f t="shared" si="37"/>
        <v>-1.1391829937849707E-2</v>
      </c>
      <c r="AG24" s="53">
        <f>AG67/$BF67</f>
        <v>0.33731684433167453</v>
      </c>
      <c r="AH24" s="53">
        <f t="shared" si="38"/>
        <v>-1.521392689502421E-2</v>
      </c>
      <c r="AI24" s="53">
        <f>AI67/$BF67</f>
        <v>0.6116408793828727</v>
      </c>
      <c r="AJ24" s="53">
        <f t="shared" si="39"/>
        <v>7.6389160726053618E-4</v>
      </c>
      <c r="AK24" s="53">
        <f>AK67/$BF67</f>
        <v>0.21164194723859875</v>
      </c>
      <c r="AL24" s="53">
        <f t="shared" si="40"/>
        <v>1.6479376375679866E-2</v>
      </c>
      <c r="AM24" s="53">
        <f t="shared" ref="AM24:AN26" si="70">AM67/$BF67</f>
        <v>3.2052487441034727E-2</v>
      </c>
      <c r="AN24" s="53">
        <f t="shared" si="70"/>
        <v>0.91442118291902164</v>
      </c>
      <c r="AO24" s="53">
        <f t="shared" si="43"/>
        <v>1.1790981497619146E-3</v>
      </c>
      <c r="AP24" s="53">
        <f>AP67/$BF67</f>
        <v>0.65856393289054549</v>
      </c>
      <c r="AQ24" s="53">
        <f t="shared" si="44"/>
        <v>6.7396817776890217E-3</v>
      </c>
      <c r="AR24" s="53">
        <f>AR67/$BF67</f>
        <v>0.72917914544047702</v>
      </c>
      <c r="AS24" s="53">
        <f t="shared" si="45"/>
        <v>3.5069554826969718E-3</v>
      </c>
      <c r="AT24" s="53">
        <f>AT67/$BF67</f>
        <v>1.6831721157585064</v>
      </c>
      <c r="AU24" s="53">
        <f t="shared" si="45"/>
        <v>1.2777507068029159E-3</v>
      </c>
      <c r="AV24" s="53">
        <f>AV67/$BF67</f>
        <v>0.85238318394809087</v>
      </c>
      <c r="AW24" s="53">
        <f t="shared" si="41"/>
        <v>2.0453543929290774E-3</v>
      </c>
      <c r="AX24" s="53">
        <f>AX67/$BF67</f>
        <v>1.1967098260401652</v>
      </c>
      <c r="AY24" s="53"/>
      <c r="AZ24" s="53">
        <f>AZ67/$BF67</f>
        <v>0.45687753094081279</v>
      </c>
      <c r="BA24" s="53">
        <f t="shared" si="46"/>
        <v>-4.2444930828722249E-5</v>
      </c>
      <c r="BB24" s="53">
        <f>BB67/$BF67</f>
        <v>4.0678850614102959</v>
      </c>
      <c r="BC24" s="53">
        <f t="shared" si="25"/>
        <v>4.4968404626235525E-3</v>
      </c>
      <c r="BD24" s="53">
        <f t="shared" si="26"/>
        <v>0.41092843550053221</v>
      </c>
      <c r="BE24" s="53">
        <f t="shared" si="47"/>
        <v>-8.1875896004635074E-3</v>
      </c>
      <c r="BF24" s="53">
        <f t="shared" ref="BF24:BG26" si="71">BF67/$BF67</f>
        <v>1</v>
      </c>
      <c r="BG24" s="53">
        <f t="shared" si="71"/>
        <v>1</v>
      </c>
      <c r="BH24" s="105">
        <f t="shared" si="63"/>
        <v>0.19670982604016518</v>
      </c>
      <c r="BJ24" s="14" t="s">
        <v>33</v>
      </c>
      <c r="BK24" s="26" t="s">
        <v>14</v>
      </c>
      <c r="BL24" s="68"/>
      <c r="BM24" s="68"/>
      <c r="BN24" s="27">
        <f>V4</f>
        <v>3997.88904540354</v>
      </c>
      <c r="BO24" s="27">
        <f>$BN$24</f>
        <v>3997.88904540354</v>
      </c>
      <c r="BP24" s="27">
        <f t="shared" si="28"/>
        <v>4216.7914405770534</v>
      </c>
      <c r="BR24" s="28">
        <v>2010</v>
      </c>
      <c r="BS24" s="29">
        <f t="shared" ref="BS24:CA24" si="72">BS91/BS$80</f>
        <v>1.2219607843137255</v>
      </c>
      <c r="BT24" s="29">
        <f t="shared" si="72"/>
        <v>1.1118143459915613</v>
      </c>
      <c r="BU24" s="29">
        <f t="shared" si="72"/>
        <v>1.2487468671679196</v>
      </c>
      <c r="BV24" s="29">
        <f t="shared" si="72"/>
        <v>1.1327913279132791</v>
      </c>
      <c r="BW24" s="29">
        <f t="shared" si="72"/>
        <v>1.1808955223880597</v>
      </c>
      <c r="BX24" s="29">
        <f t="shared" si="72"/>
        <v>1.1249112845990064</v>
      </c>
      <c r="BY24" s="29">
        <f t="shared" si="72"/>
        <v>0.96115485564304448</v>
      </c>
      <c r="BZ24" s="29">
        <f t="shared" si="72"/>
        <v>0.98419452887538006</v>
      </c>
      <c r="CA24" s="29">
        <f t="shared" si="72"/>
        <v>1.0437214031520081</v>
      </c>
      <c r="CC24" s="28">
        <v>2010</v>
      </c>
      <c r="CD24" s="29">
        <f t="shared" ref="CD24:CL24" si="73">CD91/CD$80</f>
        <v>0.89446721311475419</v>
      </c>
      <c r="CE24" s="29">
        <f t="shared" si="73"/>
        <v>0.89331770222743268</v>
      </c>
      <c r="CF24" s="29">
        <f t="shared" si="73"/>
        <v>0.79999999999999993</v>
      </c>
      <c r="CG24" s="29">
        <f t="shared" si="73"/>
        <v>0.78552278820375343</v>
      </c>
      <c r="CH24" s="29">
        <f t="shared" si="73"/>
        <v>0.80081300813008127</v>
      </c>
      <c r="CI24" s="29">
        <f t="shared" si="73"/>
        <v>0.77345537757437066</v>
      </c>
      <c r="CJ24" s="29">
        <f t="shared" si="73"/>
        <v>0.76106194690265483</v>
      </c>
      <c r="CK24" s="29">
        <f t="shared" si="73"/>
        <v>0.84133915574963614</v>
      </c>
      <c r="CL24" s="29">
        <f t="shared" si="73"/>
        <v>0.8540540540540541</v>
      </c>
    </row>
    <row r="25" spans="1:90" x14ac:dyDescent="0.2">
      <c r="A25" s="26">
        <f t="shared" ref="A25:A42" si="74">A24+1</f>
        <v>2026</v>
      </c>
      <c r="B25" s="273">
        <v>8.0486505346126727</v>
      </c>
      <c r="C25" s="136">
        <v>3.3446470000000001</v>
      </c>
      <c r="D25" s="100">
        <f t="shared" si="0"/>
        <v>366.96051238745656</v>
      </c>
      <c r="E25" s="273">
        <v>14.071214237469412</v>
      </c>
      <c r="F25" s="136">
        <v>14.383884999999999</v>
      </c>
      <c r="G25" s="273">
        <v>14.707224509420543</v>
      </c>
      <c r="H25" s="273">
        <v>11.362345396945585</v>
      </c>
      <c r="I25" s="273">
        <v>0.98005189237020607</v>
      </c>
      <c r="J25" s="277">
        <v>543.86386135514078</v>
      </c>
      <c r="K25" s="277">
        <v>445.16851006870934</v>
      </c>
      <c r="L25" s="100">
        <f t="shared" si="3"/>
        <v>329.46941112716655</v>
      </c>
      <c r="M25" s="100">
        <f t="shared" si="4"/>
        <v>319.60989537214908</v>
      </c>
      <c r="N25" s="279">
        <v>0.69139607430367456</v>
      </c>
      <c r="O25" s="100">
        <f t="shared" si="6"/>
        <v>63.744623055310612</v>
      </c>
      <c r="P25" s="279">
        <v>0.12110140570545347</v>
      </c>
      <c r="Q25" s="100">
        <f t="shared" si="8"/>
        <v>671.64439878896007</v>
      </c>
      <c r="R25" s="279">
        <v>4.0239723976658199</v>
      </c>
      <c r="S25" s="100">
        <f t="shared" si="10"/>
        <v>184.78206822402399</v>
      </c>
      <c r="T25" s="100">
        <f t="shared" si="11"/>
        <v>547.29557654918642</v>
      </c>
      <c r="U25" s="101">
        <f t="shared" si="12"/>
        <v>1054.4300712212589</v>
      </c>
      <c r="V25" s="101">
        <f t="shared" si="13"/>
        <v>6093.2371875187528</v>
      </c>
      <c r="W25" s="65"/>
      <c r="X25" s="8">
        <v>2024</v>
      </c>
      <c r="Y25" s="53">
        <f t="shared" si="69"/>
        <v>0.31088937562203706</v>
      </c>
      <c r="Z25" s="53">
        <f t="shared" si="35"/>
        <v>-2.8616674581566359E-3</v>
      </c>
      <c r="AA25" s="53">
        <f>AA68/$BF68</f>
        <v>0.21510699189401064</v>
      </c>
      <c r="AB25" s="53">
        <f t="shared" si="36"/>
        <v>1.6372201733267477E-2</v>
      </c>
      <c r="AC25" s="53">
        <f>AC68/$BF68</f>
        <v>3.3056939884273023E-2</v>
      </c>
      <c r="AD25" s="53"/>
      <c r="AE25" s="53">
        <f t="shared" si="24"/>
        <v>0.1290827644040862</v>
      </c>
      <c r="AF25" s="53">
        <f t="shared" si="37"/>
        <v>-1.1462140441856006E-2</v>
      </c>
      <c r="AG25" s="53">
        <f>AG68/$BF68</f>
        <v>0.3322135502217321</v>
      </c>
      <c r="AH25" s="53">
        <f t="shared" si="38"/>
        <v>-1.5129081739317152E-2</v>
      </c>
      <c r="AI25" s="53">
        <f>AI68/$BF68</f>
        <v>0.61202144513595091</v>
      </c>
      <c r="AJ25" s="53">
        <f t="shared" si="39"/>
        <v>6.2220457445905097E-4</v>
      </c>
      <c r="AK25" s="53">
        <f>AK68/$BF68</f>
        <v>0.21510699189401064</v>
      </c>
      <c r="AL25" s="53">
        <f t="shared" si="40"/>
        <v>1.6372201733267477E-2</v>
      </c>
      <c r="AM25" s="53">
        <f t="shared" si="70"/>
        <v>3.3056939884273023E-2</v>
      </c>
      <c r="AN25" s="53">
        <f t="shared" si="70"/>
        <v>0.91548056329612393</v>
      </c>
      <c r="AO25" s="53">
        <f t="shared" si="43"/>
        <v>1.1585256300827851E-3</v>
      </c>
      <c r="AP25" s="53">
        <f>AP68/$BF68</f>
        <v>0.66304733948786954</v>
      </c>
      <c r="AQ25" s="53">
        <f t="shared" si="44"/>
        <v>6.8078532294437721E-3</v>
      </c>
      <c r="AR25" s="53">
        <f>AR68/$BF68</f>
        <v>0.73162368146358381</v>
      </c>
      <c r="AS25" s="53">
        <f t="shared" si="45"/>
        <v>3.3524491730081429E-3</v>
      </c>
      <c r="AT25" s="53">
        <f>AT68/$BF68</f>
        <v>1.6853772178524866</v>
      </c>
      <c r="AU25" s="53">
        <f t="shared" si="45"/>
        <v>1.3100871107210033E-3</v>
      </c>
      <c r="AV25" s="53">
        <f>AV68/$BF68</f>
        <v>0.85411380932920489</v>
      </c>
      <c r="AW25" s="53">
        <f t="shared" si="41"/>
        <v>2.030337310384267E-3</v>
      </c>
      <c r="AX25" s="53">
        <f>AX68/$BF68</f>
        <v>1.1964114799123395</v>
      </c>
      <c r="AY25" s="53"/>
      <c r="AZ25" s="53">
        <f>AZ68/$BF68</f>
        <v>0.45688219688160181</v>
      </c>
      <c r="BA25" s="53">
        <f t="shared" si="46"/>
        <v>1.0212672922227384E-5</v>
      </c>
      <c r="BB25" s="53">
        <f>BB68/$BF68</f>
        <v>4.0866216866943121</v>
      </c>
      <c r="BC25" s="53">
        <f t="shared" si="25"/>
        <v>4.6059868951953131E-3</v>
      </c>
      <c r="BD25" s="53">
        <f t="shared" si="26"/>
        <v>0.40771043601344903</v>
      </c>
      <c r="BE25" s="53">
        <f t="shared" si="47"/>
        <v>-7.8310460145292193E-3</v>
      </c>
      <c r="BF25" s="53">
        <f t="shared" si="71"/>
        <v>1</v>
      </c>
      <c r="BG25" s="53">
        <f t="shared" si="71"/>
        <v>1</v>
      </c>
      <c r="BH25" s="105">
        <f t="shared" si="63"/>
        <v>0.19641147991233954</v>
      </c>
      <c r="BL25" s="68"/>
      <c r="BM25" s="68"/>
      <c r="BN25" s="68"/>
      <c r="BO25" s="68"/>
      <c r="BP25" s="68"/>
      <c r="BR25" s="28">
        <v>2011</v>
      </c>
      <c r="BS25" s="29">
        <f t="shared" ref="BS25:CA25" si="75">BS92/BS$80</f>
        <v>1.2937254901960784</v>
      </c>
      <c r="BT25" s="29">
        <f t="shared" si="75"/>
        <v>1.078902953586498</v>
      </c>
      <c r="BU25" s="29">
        <f t="shared" si="75"/>
        <v>1.1372180451127818</v>
      </c>
      <c r="BV25" s="29">
        <f t="shared" si="75"/>
        <v>1.0210027100271004</v>
      </c>
      <c r="BW25" s="29">
        <f t="shared" si="75"/>
        <v>1.0961194029850745</v>
      </c>
      <c r="BX25" s="29">
        <f t="shared" si="75"/>
        <v>1.0390347764371894</v>
      </c>
      <c r="BY25" s="29">
        <f t="shared" si="75"/>
        <v>0.8671916010498687</v>
      </c>
      <c r="BZ25" s="29">
        <f t="shared" si="75"/>
        <v>0.93130699088145907</v>
      </c>
      <c r="CA25" s="29">
        <f t="shared" si="75"/>
        <v>1.0427046263345197</v>
      </c>
      <c r="CC25" s="28">
        <v>2011</v>
      </c>
      <c r="CD25" s="29">
        <f t="shared" ref="CD25:CL25" si="76">CD92/CD$80</f>
        <v>0.81147540983606559</v>
      </c>
      <c r="CE25" s="29">
        <f t="shared" si="76"/>
        <v>0.81711606096131306</v>
      </c>
      <c r="CF25" s="29">
        <f t="shared" si="76"/>
        <v>0.73918918918918908</v>
      </c>
      <c r="CG25" s="29">
        <f t="shared" si="76"/>
        <v>0.72788203753351199</v>
      </c>
      <c r="CH25" s="29">
        <f t="shared" si="76"/>
        <v>0.76117886178861793</v>
      </c>
      <c r="CI25" s="29">
        <f t="shared" si="76"/>
        <v>0.72997711670480547</v>
      </c>
      <c r="CJ25" s="29">
        <f t="shared" si="76"/>
        <v>0.73830594184576481</v>
      </c>
      <c r="CK25" s="29">
        <f t="shared" si="76"/>
        <v>0.79621542940320233</v>
      </c>
      <c r="CL25" s="29">
        <f t="shared" si="76"/>
        <v>0.79729729729729726</v>
      </c>
    </row>
    <row r="26" spans="1:90" x14ac:dyDescent="0.2">
      <c r="A26" s="26">
        <f t="shared" si="74"/>
        <v>2027</v>
      </c>
      <c r="B26" s="273">
        <v>8.0588108335001927</v>
      </c>
      <c r="C26" s="136">
        <v>3.3468979999999999</v>
      </c>
      <c r="D26" s="100">
        <f t="shared" si="0"/>
        <v>357.93818962937678</v>
      </c>
      <c r="E26" s="273">
        <v>14.100804384273554</v>
      </c>
      <c r="F26" s="136">
        <v>14.405049999999999</v>
      </c>
      <c r="G26" s="273">
        <v>14.731505262642544</v>
      </c>
      <c r="H26" s="273">
        <v>11.396952574282738</v>
      </c>
      <c r="I26" s="273">
        <v>0.98393036972039893</v>
      </c>
      <c r="J26" s="277">
        <v>542.94891228335916</v>
      </c>
      <c r="K26" s="277">
        <v>441.73776168054229</v>
      </c>
      <c r="L26" s="100">
        <f t="shared" si="3"/>
        <v>329.40991895333542</v>
      </c>
      <c r="M26" s="100">
        <f t="shared" si="4"/>
        <v>317.41994457983418</v>
      </c>
      <c r="N26" s="279">
        <v>0.69580703181191661</v>
      </c>
      <c r="O26" s="100">
        <f t="shared" si="6"/>
        <v>62.08722522070773</v>
      </c>
      <c r="P26" s="279">
        <v>0.1181615645222653</v>
      </c>
      <c r="Q26" s="100">
        <f t="shared" si="8"/>
        <v>661.8954271056308</v>
      </c>
      <c r="R26" s="279">
        <v>4.0860217819061706</v>
      </c>
      <c r="S26" s="100">
        <f t="shared" si="10"/>
        <v>184.95528856475121</v>
      </c>
      <c r="T26" s="100">
        <f t="shared" si="11"/>
        <v>544.04129933955744</v>
      </c>
      <c r="U26" s="101">
        <f t="shared" si="12"/>
        <v>1044.4228839671246</v>
      </c>
      <c r="V26" s="101">
        <f t="shared" si="13"/>
        <v>6208.6636278159976</v>
      </c>
      <c r="W26" s="65"/>
      <c r="X26" s="8">
        <v>2025</v>
      </c>
      <c r="Y26" s="53">
        <f t="shared" si="69"/>
        <v>0.30995669799041659</v>
      </c>
      <c r="Z26" s="53">
        <f t="shared" si="35"/>
        <v>-3.0000305727860832E-3</v>
      </c>
      <c r="AA26" s="53">
        <f>AA69/$BF69</f>
        <v>0.21858723438008901</v>
      </c>
      <c r="AB26" s="53">
        <f t="shared" si="36"/>
        <v>1.6179123028196019E-2</v>
      </c>
      <c r="AC26" s="53">
        <f>AC69/$BF69</f>
        <v>3.3979878927436986E-2</v>
      </c>
      <c r="AD26" s="53"/>
      <c r="AE26" s="53">
        <f t="shared" si="24"/>
        <v>0.12760007355212286</v>
      </c>
      <c r="AF26" s="53">
        <f t="shared" si="37"/>
        <v>-1.1486358064984326E-2</v>
      </c>
      <c r="AG26" s="53">
        <f>AG69/$BF69</f>
        <v>0.32723916338065745</v>
      </c>
      <c r="AH26" s="53">
        <f t="shared" si="38"/>
        <v>-1.4973461611528349E-2</v>
      </c>
      <c r="AI26" s="53">
        <f>AI69/$BF69</f>
        <v>0.61233656586099849</v>
      </c>
      <c r="AJ26" s="53">
        <f t="shared" si="39"/>
        <v>5.1488510337671656E-4</v>
      </c>
      <c r="AK26" s="53">
        <f>AK69/$BF69</f>
        <v>0.21858723438008901</v>
      </c>
      <c r="AL26" s="53">
        <f t="shared" si="40"/>
        <v>1.6179123028196019E-2</v>
      </c>
      <c r="AM26" s="53">
        <f t="shared" si="70"/>
        <v>3.3979878927436986E-2</v>
      </c>
      <c r="AN26" s="53">
        <f t="shared" si="70"/>
        <v>0.91651389377967774</v>
      </c>
      <c r="AO26" s="53">
        <f t="shared" si="43"/>
        <v>1.1287301172548947E-3</v>
      </c>
      <c r="AP26" s="53">
        <f>AP69/$BF69</f>
        <v>0.66756123033952963</v>
      </c>
      <c r="AQ26" s="53">
        <f t="shared" si="44"/>
        <v>6.8077957377019604E-3</v>
      </c>
      <c r="AR26" s="53">
        <f>AR69/$BF69</f>
        <v>0.73396737987387972</v>
      </c>
      <c r="AS26" s="53">
        <f t="shared" si="45"/>
        <v>3.2034206514577335E-3</v>
      </c>
      <c r="AT26" s="53">
        <f>AT69/$BF69</f>
        <v>1.6874800345646903</v>
      </c>
      <c r="AU26" s="53">
        <f t="shared" si="45"/>
        <v>1.2476831239496278E-3</v>
      </c>
      <c r="AV26" s="53">
        <f>AV69/$BF69</f>
        <v>0.85581308146137969</v>
      </c>
      <c r="AW26" s="53">
        <f t="shared" si="41"/>
        <v>1.9895148791815309E-3</v>
      </c>
      <c r="AX26" s="53">
        <f>AX69/$BF69</f>
        <v>1.1961530557181368</v>
      </c>
      <c r="AY26" s="53"/>
      <c r="AZ26" s="53">
        <f>AZ69/$BF69</f>
        <v>0.45687694321223271</v>
      </c>
      <c r="BA26" s="53">
        <f t="shared" si="46"/>
        <v>-1.1498958385702807E-5</v>
      </c>
      <c r="BB26" s="53">
        <f>BB69/$BF69</f>
        <v>4.1059420981343964</v>
      </c>
      <c r="BC26" s="53">
        <f t="shared" si="25"/>
        <v>4.7277220455688163E-3</v>
      </c>
      <c r="BD26" s="53">
        <f t="shared" si="26"/>
        <v>0.40455121787653098</v>
      </c>
      <c r="BE26" s="53">
        <f t="shared" si="47"/>
        <v>-7.7486810683792262E-3</v>
      </c>
      <c r="BF26" s="53">
        <f t="shared" si="71"/>
        <v>1</v>
      </c>
      <c r="BG26" s="53">
        <f t="shared" si="71"/>
        <v>1</v>
      </c>
      <c r="BH26" s="105">
        <f t="shared" si="63"/>
        <v>0.19615305571813679</v>
      </c>
      <c r="BL26" s="68"/>
      <c r="BM26" s="68"/>
      <c r="BN26" s="68"/>
      <c r="BO26" s="27">
        <f>SUM(BO5:BO24)</f>
        <v>16756.048274531411</v>
      </c>
      <c r="BP26" s="27">
        <f>SUM(BP5:BP24)</f>
        <v>17673.517233594954</v>
      </c>
      <c r="BR26" s="28">
        <v>2012</v>
      </c>
      <c r="BS26" s="29">
        <f t="shared" ref="BS26:CA26" si="77">BS93/BS$80</f>
        <v>1.3160784313725491</v>
      </c>
      <c r="BT26" s="29">
        <f t="shared" si="77"/>
        <v>1.1130801687763714</v>
      </c>
      <c r="BU26" s="29">
        <f t="shared" si="77"/>
        <v>1.131578947368421</v>
      </c>
      <c r="BV26" s="29">
        <f t="shared" si="77"/>
        <v>1.0203252032520325</v>
      </c>
      <c r="BW26" s="29">
        <f t="shared" si="77"/>
        <v>1.1002985074626865</v>
      </c>
      <c r="BX26" s="29">
        <f t="shared" si="77"/>
        <v>1.0369056068133429</v>
      </c>
      <c r="BY26" s="29">
        <f t="shared" si="77"/>
        <v>0.87611548556430452</v>
      </c>
      <c r="BZ26" s="29">
        <f t="shared" si="77"/>
        <v>0.95987841945288754</v>
      </c>
      <c r="CA26" s="29">
        <f t="shared" si="77"/>
        <v>1.0416878495170308</v>
      </c>
      <c r="CC26" s="28">
        <v>2012</v>
      </c>
      <c r="CD26" s="29">
        <f t="shared" ref="CD26:CL26" si="78">CD93/CD$80</f>
        <v>0.81045081967213117</v>
      </c>
      <c r="CE26" s="29">
        <f t="shared" si="78"/>
        <v>0.82297772567409144</v>
      </c>
      <c r="CF26" s="29">
        <f t="shared" si="78"/>
        <v>0.7121621621621621</v>
      </c>
      <c r="CG26" s="29">
        <f t="shared" si="78"/>
        <v>0.71983914209115285</v>
      </c>
      <c r="CH26" s="29">
        <f t="shared" si="78"/>
        <v>0.75406504065040647</v>
      </c>
      <c r="CI26" s="29">
        <f t="shared" si="78"/>
        <v>0.72540045766590389</v>
      </c>
      <c r="CJ26" s="29">
        <f t="shared" si="78"/>
        <v>0.72945638432364091</v>
      </c>
      <c r="CK26" s="29">
        <f t="shared" si="78"/>
        <v>0.7889374090247453</v>
      </c>
      <c r="CL26" s="29">
        <f t="shared" si="78"/>
        <v>0.79054054054054046</v>
      </c>
    </row>
    <row r="27" spans="1:90" x14ac:dyDescent="0.2">
      <c r="A27" s="26">
        <f t="shared" si="74"/>
        <v>2028</v>
      </c>
      <c r="B27" s="273">
        <v>8.0677913116560092</v>
      </c>
      <c r="C27" s="136">
        <v>3.349342</v>
      </c>
      <c r="D27" s="100">
        <f t="shared" si="0"/>
        <v>349.05234168591141</v>
      </c>
      <c r="E27" s="273">
        <v>14.126335329043666</v>
      </c>
      <c r="F27" s="136">
        <v>14.427125</v>
      </c>
      <c r="G27" s="273">
        <v>14.75171017154501</v>
      </c>
      <c r="H27" s="273">
        <v>11.425125961365802</v>
      </c>
      <c r="I27" s="273">
        <v>0.98734296630378626</v>
      </c>
      <c r="J27" s="277">
        <v>542.13572721280798</v>
      </c>
      <c r="K27" s="277">
        <v>438.50383879903649</v>
      </c>
      <c r="L27" s="100">
        <f t="shared" si="3"/>
        <v>329.37129474983703</v>
      </c>
      <c r="M27" s="100">
        <f t="shared" si="4"/>
        <v>316.41023492887791</v>
      </c>
      <c r="N27" s="279">
        <v>0.69789702315263902</v>
      </c>
      <c r="O27" s="100">
        <f t="shared" si="6"/>
        <v>60.562851608393963</v>
      </c>
      <c r="P27" s="279">
        <v>0.11541594485864581</v>
      </c>
      <c r="Q27" s="100">
        <f t="shared" si="8"/>
        <v>654.02148725595259</v>
      </c>
      <c r="R27" s="279">
        <v>4.1403989978082532</v>
      </c>
      <c r="S27" s="100">
        <f t="shared" si="10"/>
        <v>185.29266901309492</v>
      </c>
      <c r="T27" s="100">
        <f t="shared" si="11"/>
        <v>536.26648096792098</v>
      </c>
      <c r="U27" s="101">
        <f t="shared" si="12"/>
        <v>1035.8894012326903</v>
      </c>
      <c r="V27" s="101">
        <f t="shared" si="13"/>
        <v>6324.2277980935451</v>
      </c>
      <c r="W27" s="65"/>
      <c r="X27" s="23">
        <v>2026</v>
      </c>
      <c r="Y27" s="53">
        <f t="shared" si="69"/>
        <v>0.30903182166524668</v>
      </c>
      <c r="Z27" s="53">
        <f t="shared" si="35"/>
        <v>-2.9838888179100076E-3</v>
      </c>
      <c r="AA27" s="53">
        <f t="shared" ref="AA27:BG27" si="79">AA70/$BF70</f>
        <v>0.22204180949065874</v>
      </c>
      <c r="AB27" s="53">
        <f t="shared" si="36"/>
        <v>1.5804102743542492E-2</v>
      </c>
      <c r="AC27" s="53">
        <f t="shared" si="79"/>
        <v>3.4810946517703834E-2</v>
      </c>
      <c r="AD27" s="53"/>
      <c r="AE27" s="53">
        <f t="shared" si="24"/>
        <v>0.12614736033663437</v>
      </c>
      <c r="AF27" s="53">
        <f t="shared" si="37"/>
        <v>-1.13848932453402E-2</v>
      </c>
      <c r="AG27" s="53">
        <f t="shared" si="79"/>
        <v>0.32242589073515526</v>
      </c>
      <c r="AH27" s="53">
        <f t="shared" si="38"/>
        <v>-1.4708730445882501E-2</v>
      </c>
      <c r="AI27" s="53">
        <f t="shared" si="79"/>
        <v>0.61262707241012826</v>
      </c>
      <c r="AJ27" s="53">
        <f t="shared" si="39"/>
        <v>4.7442299762279205E-4</v>
      </c>
      <c r="AK27" s="53">
        <f t="shared" si="79"/>
        <v>0.22204180949065874</v>
      </c>
      <c r="AL27" s="53">
        <f t="shared" si="40"/>
        <v>1.5804102743542492E-2</v>
      </c>
      <c r="AM27" s="53">
        <f t="shared" si="79"/>
        <v>3.4810946517703834E-2</v>
      </c>
      <c r="AN27" s="53">
        <f t="shared" si="79"/>
        <v>0.91751104028368191</v>
      </c>
      <c r="AO27" s="53">
        <f t="shared" si="43"/>
        <v>1.0879775099665867E-3</v>
      </c>
      <c r="AP27" s="53">
        <f t="shared" si="79"/>
        <v>0.67205652511041469</v>
      </c>
      <c r="AQ27" s="53">
        <f t="shared" si="44"/>
        <v>6.7339062944065109E-3</v>
      </c>
      <c r="AR27" s="53">
        <f t="shared" si="79"/>
        <v>0.73622590629540641</v>
      </c>
      <c r="AS27" s="53">
        <f t="shared" si="45"/>
        <v>3.0771482268254768E-3</v>
      </c>
      <c r="AT27" s="53">
        <f t="shared" si="79"/>
        <v>1.6895609748901801</v>
      </c>
      <c r="AU27" s="53">
        <f t="shared" si="45"/>
        <v>1.2331644125358476E-3</v>
      </c>
      <c r="AV27" s="53">
        <f t="shared" si="79"/>
        <v>0.85745882065192691</v>
      </c>
      <c r="AW27" s="53">
        <f t="shared" si="41"/>
        <v>1.9230124266587101E-3</v>
      </c>
      <c r="AX27" s="53">
        <f t="shared" si="79"/>
        <v>1.1959103424992095</v>
      </c>
      <c r="AY27" s="53"/>
      <c r="AZ27" s="53">
        <f t="shared" si="79"/>
        <v>0.45683648198425086</v>
      </c>
      <c r="BA27" s="53">
        <f t="shared" si="46"/>
        <v>-8.8560450648644817E-5</v>
      </c>
      <c r="BB27" s="53">
        <f t="shared" si="79"/>
        <v>4.1252872638868698</v>
      </c>
      <c r="BC27" s="53">
        <f t="shared" si="25"/>
        <v>4.711504763124541E-3</v>
      </c>
      <c r="BD27" s="53">
        <f t="shared" si="26"/>
        <v>0.40146161673864272</v>
      </c>
      <c r="BE27" s="53">
        <f t="shared" si="47"/>
        <v>-7.6371074943375472E-3</v>
      </c>
      <c r="BF27" s="53">
        <f t="shared" si="79"/>
        <v>1</v>
      </c>
      <c r="BG27" s="53">
        <f t="shared" si="79"/>
        <v>1</v>
      </c>
      <c r="BH27" s="105">
        <f t="shared" si="63"/>
        <v>0.19591034249920947</v>
      </c>
      <c r="BL27" s="68"/>
      <c r="BM27" s="68"/>
      <c r="BN27" s="68" t="s">
        <v>153</v>
      </c>
      <c r="BO27" s="27">
        <v>17673.517233594957</v>
      </c>
      <c r="BP27" s="27"/>
      <c r="BR27" s="28">
        <v>2013</v>
      </c>
      <c r="BS27" s="29">
        <f t="shared" ref="BS27:CA27" si="80">BS94/BS$80</f>
        <v>1.328235294117647</v>
      </c>
      <c r="BT27" s="29">
        <f t="shared" si="80"/>
        <v>1.1295358649789029</v>
      </c>
      <c r="BU27" s="29">
        <f t="shared" si="80"/>
        <v>1.1409774436090225</v>
      </c>
      <c r="BV27" s="29">
        <f t="shared" si="80"/>
        <v>1.046070460704607</v>
      </c>
      <c r="BW27" s="29">
        <f t="shared" si="80"/>
        <v>1.1062686567164179</v>
      </c>
      <c r="BX27" s="29">
        <f t="shared" si="80"/>
        <v>1.0312278211497516</v>
      </c>
      <c r="BY27" s="29">
        <f t="shared" si="80"/>
        <v>0.87874015748031487</v>
      </c>
      <c r="BZ27" s="29">
        <f t="shared" si="80"/>
        <v>0.98723404255319147</v>
      </c>
      <c r="CA27" s="29">
        <f t="shared" si="80"/>
        <v>1.0350788002033553</v>
      </c>
      <c r="CC27" s="28">
        <v>2013</v>
      </c>
      <c r="CD27" s="29">
        <f t="shared" ref="CD27:CL27" si="81">CD94/CD$80</f>
        <v>0.82274590163934425</v>
      </c>
      <c r="CE27" s="29">
        <f t="shared" si="81"/>
        <v>0.8429073856975382</v>
      </c>
      <c r="CF27" s="29">
        <f t="shared" si="81"/>
        <v>0.70540540540540531</v>
      </c>
      <c r="CG27" s="29">
        <f t="shared" si="81"/>
        <v>0.71447721179624668</v>
      </c>
      <c r="CH27" s="29">
        <f t="shared" si="81"/>
        <v>0.75508130081300806</v>
      </c>
      <c r="CI27" s="29">
        <f t="shared" si="81"/>
        <v>0.72540045766590389</v>
      </c>
      <c r="CJ27" s="29">
        <f t="shared" si="81"/>
        <v>0.72566371681415931</v>
      </c>
      <c r="CK27" s="29">
        <f t="shared" si="81"/>
        <v>0.79184861717612809</v>
      </c>
      <c r="CL27" s="29">
        <f t="shared" si="81"/>
        <v>0.78783783783783778</v>
      </c>
    </row>
    <row r="28" spans="1:90" x14ac:dyDescent="0.2">
      <c r="A28" s="26">
        <f t="shared" si="74"/>
        <v>2029</v>
      </c>
      <c r="B28" s="273">
        <v>8.0753240961059021</v>
      </c>
      <c r="C28" s="136">
        <v>3.3519139999999998</v>
      </c>
      <c r="D28" s="100">
        <f t="shared" si="0"/>
        <v>340.33745453258416</v>
      </c>
      <c r="E28" s="273">
        <v>14.147276285903795</v>
      </c>
      <c r="F28" s="136">
        <v>14.449783</v>
      </c>
      <c r="G28" s="273">
        <v>14.767425606577278</v>
      </c>
      <c r="H28" s="273">
        <v>11.444206090028436</v>
      </c>
      <c r="I28" s="273">
        <v>0.9903785794200366</v>
      </c>
      <c r="J28" s="277">
        <v>541.31658654470505</v>
      </c>
      <c r="K28" s="277">
        <v>435.44977180467026</v>
      </c>
      <c r="L28" s="100">
        <f t="shared" si="3"/>
        <v>329.35319879028862</v>
      </c>
      <c r="M28" s="100">
        <f t="shared" si="4"/>
        <v>315.72788272531017</v>
      </c>
      <c r="N28" s="279">
        <v>0.69929042259726726</v>
      </c>
      <c r="O28" s="100">
        <f t="shared" si="6"/>
        <v>59.164125014364345</v>
      </c>
      <c r="P28" s="279">
        <v>0.11294321734441541</v>
      </c>
      <c r="Q28" s="100">
        <f t="shared" si="8"/>
        <v>648.0225878107816</v>
      </c>
      <c r="R28" s="279">
        <v>4.187318219352349</v>
      </c>
      <c r="S28" s="100">
        <f t="shared" si="10"/>
        <v>185.80681674282997</v>
      </c>
      <c r="T28" s="100">
        <f t="shared" si="11"/>
        <v>535.62350067198099</v>
      </c>
      <c r="U28" s="101">
        <f t="shared" si="12"/>
        <v>1028.8691820986162</v>
      </c>
      <c r="V28" s="101">
        <f t="shared" si="13"/>
        <v>6436.1394421853329</v>
      </c>
      <c r="W28" s="65"/>
      <c r="X28" s="23">
        <v>2027</v>
      </c>
      <c r="Y28" s="53">
        <f t="shared" si="69"/>
        <v>0.30815499910348892</v>
      </c>
      <c r="Z28" s="53">
        <f t="shared" si="35"/>
        <v>-2.8373212733656672E-3</v>
      </c>
      <c r="AA28" s="53">
        <f t="shared" ref="AA28:BG28" si="82">AA71/$BF71</f>
        <v>0.22540785362530927</v>
      </c>
      <c r="AB28" s="53">
        <f t="shared" si="36"/>
        <v>1.5159505961385822E-2</v>
      </c>
      <c r="AC28" s="53">
        <f t="shared" si="82"/>
        <v>3.5543659145791072E-2</v>
      </c>
      <c r="AD28" s="53"/>
      <c r="AE28" s="53">
        <f t="shared" si="24"/>
        <v>0.12474804033993438</v>
      </c>
      <c r="AF28" s="53">
        <f t="shared" si="37"/>
        <v>-1.1092741005168882E-2</v>
      </c>
      <c r="AG28" s="53">
        <f t="shared" si="82"/>
        <v>0.31783060347092323</v>
      </c>
      <c r="AH28" s="53">
        <f t="shared" si="38"/>
        <v>-1.4252227864686717E-2</v>
      </c>
      <c r="AI28" s="53">
        <f t="shared" si="82"/>
        <v>0.61294378180640974</v>
      </c>
      <c r="AJ28" s="53">
        <f t="shared" si="39"/>
        <v>5.1696931223665921E-4</v>
      </c>
      <c r="AK28" s="53">
        <f t="shared" si="82"/>
        <v>0.22540785362530927</v>
      </c>
      <c r="AL28" s="53">
        <f t="shared" si="40"/>
        <v>1.5159505961385822E-2</v>
      </c>
      <c r="AM28" s="53">
        <f t="shared" si="82"/>
        <v>3.5543659145791072E-2</v>
      </c>
      <c r="AN28" s="53">
        <f t="shared" si="82"/>
        <v>0.91846084720647858</v>
      </c>
      <c r="AO28" s="53">
        <f t="shared" si="43"/>
        <v>1.0351994483934757E-3</v>
      </c>
      <c r="AP28" s="53">
        <f t="shared" si="82"/>
        <v>0.67638719475919196</v>
      </c>
      <c r="AQ28" s="53">
        <f t="shared" si="44"/>
        <v>6.4439068545101286E-3</v>
      </c>
      <c r="AR28" s="53">
        <f t="shared" si="82"/>
        <v>0.73840408309538286</v>
      </c>
      <c r="AS28" s="53">
        <f t="shared" si="45"/>
        <v>2.9585712501434269E-3</v>
      </c>
      <c r="AT28" s="53">
        <f t="shared" si="82"/>
        <v>1.6916997449007842</v>
      </c>
      <c r="AU28" s="53">
        <f t="shared" si="45"/>
        <v>1.2658732312063048E-3</v>
      </c>
      <c r="AV28" s="53">
        <f t="shared" si="82"/>
        <v>0.85902817259475273</v>
      </c>
      <c r="AW28" s="53">
        <f t="shared" si="41"/>
        <v>1.8302359309017024E-3</v>
      </c>
      <c r="AX28" s="53">
        <f t="shared" si="82"/>
        <v>1.1956712535203669</v>
      </c>
      <c r="AY28" s="53"/>
      <c r="AZ28" s="53">
        <f t="shared" si="82"/>
        <v>0.45675117589028497</v>
      </c>
      <c r="BA28" s="53">
        <f t="shared" si="46"/>
        <v>-1.8673222767884301E-4</v>
      </c>
      <c r="BB28" s="53">
        <f t="shared" si="82"/>
        <v>4.144768157058369</v>
      </c>
      <c r="BC28" s="53">
        <f t="shared" si="25"/>
        <v>4.7223119083212861E-3</v>
      </c>
      <c r="BD28" s="53">
        <f t="shared" si="26"/>
        <v>0.39848585055808694</v>
      </c>
      <c r="BE28" s="53">
        <f t="shared" si="47"/>
        <v>-7.4123304856141825E-3</v>
      </c>
      <c r="BF28" s="53">
        <f t="shared" si="82"/>
        <v>1</v>
      </c>
      <c r="BG28" s="53">
        <f t="shared" si="82"/>
        <v>1</v>
      </c>
      <c r="BH28" s="105">
        <f t="shared" si="63"/>
        <v>0.19567125352036685</v>
      </c>
      <c r="BL28" s="40"/>
      <c r="BM28" s="40"/>
      <c r="BN28" s="40" t="s">
        <v>76</v>
      </c>
      <c r="BO28" s="69">
        <f>BO27/BO26</f>
        <v>1.0547544948565268</v>
      </c>
      <c r="BP28" s="13"/>
      <c r="BR28" s="28">
        <v>2014</v>
      </c>
      <c r="BS28" s="29">
        <f t="shared" ref="BS28:CA28" si="83">BS95/BS$80</f>
        <v>1.3203921568627452</v>
      </c>
      <c r="BT28" s="29">
        <f t="shared" si="83"/>
        <v>1.1358649789029538</v>
      </c>
      <c r="BU28" s="29">
        <f t="shared" si="83"/>
        <v>1.1416040100250626</v>
      </c>
      <c r="BV28" s="29">
        <f t="shared" si="83"/>
        <v>1.0420054200542006</v>
      </c>
      <c r="BW28" s="29">
        <f t="shared" si="83"/>
        <v>1.102686567164179</v>
      </c>
      <c r="BX28" s="29">
        <f t="shared" si="83"/>
        <v>1.0198722498225692</v>
      </c>
      <c r="BY28" s="29">
        <f t="shared" si="83"/>
        <v>0.88136482939632543</v>
      </c>
      <c r="BZ28" s="29">
        <f t="shared" si="83"/>
        <v>0.99209726443769009</v>
      </c>
      <c r="CA28" s="29">
        <f t="shared" si="83"/>
        <v>1.0366039654295882</v>
      </c>
      <c r="CC28" s="28">
        <v>2014</v>
      </c>
      <c r="CD28" s="29">
        <f t="shared" ref="CD28:CL28" si="84">CD95/CD$80</f>
        <v>0.82889344262295084</v>
      </c>
      <c r="CE28" s="29">
        <f t="shared" si="84"/>
        <v>0.85932004689331776</v>
      </c>
      <c r="CF28" s="29">
        <f t="shared" si="84"/>
        <v>0.69729729729729728</v>
      </c>
      <c r="CG28" s="29">
        <f t="shared" si="84"/>
        <v>0.70643431635388731</v>
      </c>
      <c r="CH28" s="29">
        <f t="shared" si="84"/>
        <v>0.74288617886178854</v>
      </c>
      <c r="CI28" s="29">
        <f t="shared" si="84"/>
        <v>0.72311212814645309</v>
      </c>
      <c r="CJ28" s="29">
        <f t="shared" si="84"/>
        <v>0.7193426042983565</v>
      </c>
      <c r="CK28" s="29">
        <f t="shared" si="84"/>
        <v>0.7831149927219796</v>
      </c>
      <c r="CL28" s="29">
        <f t="shared" si="84"/>
        <v>0.77567567567567564</v>
      </c>
    </row>
    <row r="29" spans="1:90" x14ac:dyDescent="0.2">
      <c r="A29" s="26">
        <f t="shared" si="74"/>
        <v>2030</v>
      </c>
      <c r="B29" s="273">
        <v>8.0819678074129335</v>
      </c>
      <c r="C29" s="136">
        <v>3.3545720000000001</v>
      </c>
      <c r="D29" s="100">
        <f t="shared" si="0"/>
        <v>331.68785546345759</v>
      </c>
      <c r="E29" s="273">
        <v>14.165765209712536</v>
      </c>
      <c r="F29" s="136">
        <v>14.472835</v>
      </c>
      <c r="G29" s="273">
        <v>14.779140059645957</v>
      </c>
      <c r="H29" s="273">
        <v>11.47885995033009</v>
      </c>
      <c r="I29" s="273">
        <v>0.99295612969892877</v>
      </c>
      <c r="J29" s="277">
        <v>540.47093745039126</v>
      </c>
      <c r="K29" s="277">
        <v>432.56288491193226</v>
      </c>
      <c r="L29" s="100">
        <f t="shared" si="3"/>
        <v>329.36413534827159</v>
      </c>
      <c r="M29" s="100">
        <f t="shared" si="4"/>
        <v>315.37285467795004</v>
      </c>
      <c r="N29" s="279">
        <v>0.69999999999999984</v>
      </c>
      <c r="O29" s="100">
        <f t="shared" si="6"/>
        <v>58.077102451704064</v>
      </c>
      <c r="P29" s="279">
        <v>0.11101498394635703</v>
      </c>
      <c r="Q29" s="100">
        <f t="shared" si="8"/>
        <v>643.63135862527861</v>
      </c>
      <c r="R29" s="279">
        <v>4.2266602044076995</v>
      </c>
      <c r="S29" s="100">
        <f t="shared" si="10"/>
        <v>186.45642335467332</v>
      </c>
      <c r="T29" s="100">
        <f t="shared" si="11"/>
        <v>525.8067311104777</v>
      </c>
      <c r="U29" s="101">
        <f t="shared" si="12"/>
        <v>1022.9015679586341</v>
      </c>
      <c r="V29" s="101">
        <f t="shared" si="13"/>
        <v>6557.0254113105611</v>
      </c>
      <c r="W29" s="72"/>
      <c r="X29" s="23">
        <v>2028</v>
      </c>
      <c r="Y29" s="53">
        <f t="shared" si="69"/>
        <v>0.30732242011292016</v>
      </c>
      <c r="Z29" s="53">
        <f t="shared" si="35"/>
        <v>-2.7018188670993037E-3</v>
      </c>
      <c r="AA29" s="53">
        <f t="shared" ref="AA29:BG29" si="85">AA72/$BF72</f>
        <v>0.22867485469452586</v>
      </c>
      <c r="AB29" s="53">
        <f t="shared" si="36"/>
        <v>1.4493732213285204E-2</v>
      </c>
      <c r="AC29" s="53">
        <f t="shared" si="85"/>
        <v>3.6187704465309938E-2</v>
      </c>
      <c r="AD29" s="53"/>
      <c r="AE29" s="53">
        <f t="shared" si="24"/>
        <v>0.12340320384038785</v>
      </c>
      <c r="AF29" s="53">
        <f t="shared" si="37"/>
        <v>-1.0780421847765287E-2</v>
      </c>
      <c r="AG29" s="53">
        <f t="shared" si="85"/>
        <v>0.31345818858033669</v>
      </c>
      <c r="AH29" s="53">
        <f t="shared" si="38"/>
        <v>-1.3757060656956366E-2</v>
      </c>
      <c r="AI29" s="53">
        <f t="shared" si="85"/>
        <v>0.6132918150380019</v>
      </c>
      <c r="AJ29" s="53">
        <f t="shared" si="39"/>
        <v>5.6780612174001099E-4</v>
      </c>
      <c r="AK29" s="53">
        <f t="shared" si="85"/>
        <v>0.22867485469452586</v>
      </c>
      <c r="AL29" s="53">
        <f t="shared" si="40"/>
        <v>1.4493732213285204E-2</v>
      </c>
      <c r="AM29" s="53">
        <f t="shared" si="85"/>
        <v>3.6187704465309938E-2</v>
      </c>
      <c r="AN29" s="53">
        <f t="shared" si="85"/>
        <v>0.91935855494295393</v>
      </c>
      <c r="AO29" s="53">
        <f t="shared" si="43"/>
        <v>9.7740446879779341E-4</v>
      </c>
      <c r="AP29" s="53">
        <f t="shared" si="85"/>
        <v>0.68054307293590122</v>
      </c>
      <c r="AQ29" s="53">
        <f t="shared" si="44"/>
        <v>6.1442295314133588E-3</v>
      </c>
      <c r="AR29" s="53">
        <f t="shared" si="85"/>
        <v>0.74050547956525781</v>
      </c>
      <c r="AS29" s="53">
        <f t="shared" si="45"/>
        <v>2.8458624728426862E-3</v>
      </c>
      <c r="AT29" s="53">
        <f t="shared" si="85"/>
        <v>1.6937350685173262</v>
      </c>
      <c r="AU29" s="53">
        <f t="shared" si="45"/>
        <v>1.2031234400058377E-3</v>
      </c>
      <c r="AV29" s="53">
        <f t="shared" si="85"/>
        <v>0.86051561558210665</v>
      </c>
      <c r="AW29" s="53">
        <f t="shared" si="41"/>
        <v>1.7315415661642852E-3</v>
      </c>
      <c r="AX29" s="53">
        <f t="shared" si="85"/>
        <v>1.1954348706058779</v>
      </c>
      <c r="AY29" s="53"/>
      <c r="AZ29" s="53">
        <f t="shared" si="85"/>
        <v>0.4566200889224214</v>
      </c>
      <c r="BA29" s="53">
        <f t="shared" si="46"/>
        <v>-2.8699864342562886E-4</v>
      </c>
      <c r="BB29" s="53">
        <f t="shared" si="85"/>
        <v>4.1642425743521887</v>
      </c>
      <c r="BC29" s="53">
        <f t="shared" si="25"/>
        <v>4.6985540700643647E-3</v>
      </c>
      <c r="BD29" s="53">
        <f t="shared" si="26"/>
        <v>0.39561069851676134</v>
      </c>
      <c r="BE29" s="53">
        <f t="shared" si="47"/>
        <v>-7.2151923018066721E-3</v>
      </c>
      <c r="BF29" s="53">
        <f t="shared" si="85"/>
        <v>1</v>
      </c>
      <c r="BG29" s="53">
        <f t="shared" si="85"/>
        <v>1</v>
      </c>
      <c r="BH29" s="105">
        <f t="shared" si="63"/>
        <v>0.19543487060587794</v>
      </c>
      <c r="BN29" s="15"/>
      <c r="BO29" s="65"/>
      <c r="BR29" s="28">
        <v>2015</v>
      </c>
      <c r="BS29" s="29">
        <f t="shared" ref="BS29:CA29" si="86">BS96/BS$80</f>
        <v>1.3094117647058823</v>
      </c>
      <c r="BT29" s="29">
        <f t="shared" si="86"/>
        <v>1.131223628691983</v>
      </c>
      <c r="BU29" s="29">
        <f t="shared" si="86"/>
        <v>1.1447368421052631</v>
      </c>
      <c r="BV29" s="29">
        <f t="shared" si="86"/>
        <v>1.0392953929539295</v>
      </c>
      <c r="BW29" s="29">
        <f t="shared" si="86"/>
        <v>1.1032835820895524</v>
      </c>
      <c r="BX29" s="29">
        <f t="shared" si="86"/>
        <v>1.0127750177430801</v>
      </c>
      <c r="BY29" s="29">
        <f t="shared" si="86"/>
        <v>0.88713910761154846</v>
      </c>
      <c r="BZ29" s="29">
        <f t="shared" si="86"/>
        <v>1.0024316109422491</v>
      </c>
      <c r="CA29" s="29">
        <f t="shared" si="86"/>
        <v>1.0325368581596337</v>
      </c>
      <c r="CC29" s="28">
        <v>2015</v>
      </c>
      <c r="CD29" s="29">
        <f t="shared" ref="CD29:CL29" si="87">CD96/CD$80</f>
        <v>0.82172131147540983</v>
      </c>
      <c r="CE29" s="29">
        <f t="shared" si="87"/>
        <v>0.8440797186400939</v>
      </c>
      <c r="CF29" s="29">
        <f t="shared" si="87"/>
        <v>0.70945945945945943</v>
      </c>
      <c r="CG29" s="29">
        <f t="shared" si="87"/>
        <v>0.71715817694369965</v>
      </c>
      <c r="CH29" s="29">
        <f t="shared" si="87"/>
        <v>0.75406504065040647</v>
      </c>
      <c r="CI29" s="29">
        <f t="shared" si="87"/>
        <v>0.73798627002288331</v>
      </c>
      <c r="CJ29" s="29">
        <f t="shared" si="87"/>
        <v>0.73072060682680151</v>
      </c>
      <c r="CK29" s="29">
        <f t="shared" si="87"/>
        <v>0.79621542940320233</v>
      </c>
      <c r="CL29" s="29">
        <f t="shared" si="87"/>
        <v>0.78243243243243243</v>
      </c>
    </row>
    <row r="30" spans="1:90" x14ac:dyDescent="0.2">
      <c r="A30" s="26">
        <f t="shared" si="74"/>
        <v>2031</v>
      </c>
      <c r="B30" s="273">
        <v>8.0886714016290853</v>
      </c>
      <c r="C30" s="136">
        <v>3.357316</v>
      </c>
      <c r="D30" s="100">
        <f t="shared" si="0"/>
        <v>322.93862412188832</v>
      </c>
      <c r="E30" s="273">
        <v>14.183734031885001</v>
      </c>
      <c r="F30" s="136">
        <v>14.496015</v>
      </c>
      <c r="G30" s="273">
        <v>14.791544950575904</v>
      </c>
      <c r="H30" s="273">
        <v>11.497620855324922</v>
      </c>
      <c r="I30" s="273">
        <v>0.99516301376201866</v>
      </c>
      <c r="J30" s="277">
        <v>539.5574261634689</v>
      </c>
      <c r="K30" s="277">
        <v>429.87715201545706</v>
      </c>
      <c r="L30" s="100">
        <f t="shared" si="3"/>
        <v>329.38570207230572</v>
      </c>
      <c r="M30" s="100">
        <f t="shared" si="4"/>
        <v>315.37282126184851</v>
      </c>
      <c r="N30" s="279">
        <v>0.69999999999999973</v>
      </c>
      <c r="O30" s="100">
        <f t="shared" si="6"/>
        <v>57.367054479116582</v>
      </c>
      <c r="P30" s="279">
        <v>0.10978481343023139</v>
      </c>
      <c r="Q30" s="100">
        <f t="shared" si="8"/>
        <v>640.31407299486</v>
      </c>
      <c r="R30" s="279">
        <v>4.2583815597111645</v>
      </c>
      <c r="S30" s="100">
        <f t="shared" si="10"/>
        <v>187.10621576754264</v>
      </c>
      <c r="T30" s="100">
        <f t="shared" si="11"/>
        <v>526.35503708275883</v>
      </c>
      <c r="U30" s="101">
        <f t="shared" si="12"/>
        <v>1018.4333713660682</v>
      </c>
      <c r="V30" s="101">
        <f t="shared" si="13"/>
        <v>6668.5344909009173</v>
      </c>
      <c r="W30" s="72"/>
      <c r="X30" s="23">
        <v>2029</v>
      </c>
      <c r="Y30" s="53">
        <f t="shared" ref="Y30:BG30" si="88">Y73/$BF73</f>
        <v>0.30650695509549447</v>
      </c>
      <c r="Z30" s="53">
        <f t="shared" si="35"/>
        <v>-2.6534511121123483E-3</v>
      </c>
      <c r="AA30" s="53">
        <f t="shared" si="88"/>
        <v>0.23187829803361018</v>
      </c>
      <c r="AB30" s="53">
        <f t="shared" si="36"/>
        <v>1.4008725810118472E-2</v>
      </c>
      <c r="AC30" s="53">
        <f t="shared" si="88"/>
        <v>3.6764911733532191E-2</v>
      </c>
      <c r="AD30" s="53"/>
      <c r="AE30" s="53">
        <f t="shared" si="24"/>
        <v>0.1220963364192682</v>
      </c>
      <c r="AF30" s="53">
        <f t="shared" si="37"/>
        <v>-1.0590222785544334E-2</v>
      </c>
      <c r="AG30" s="53">
        <f t="shared" si="88"/>
        <v>0.30925886892963417</v>
      </c>
      <c r="AH30" s="53">
        <f t="shared" si="38"/>
        <v>-1.3396745734164384E-2</v>
      </c>
      <c r="AI30" s="53">
        <f t="shared" si="88"/>
        <v>0.61363745212667131</v>
      </c>
      <c r="AJ30" s="53">
        <f t="shared" si="39"/>
        <v>5.6357688166430719E-4</v>
      </c>
      <c r="AK30" s="53">
        <f t="shared" si="88"/>
        <v>0.23187829803361018</v>
      </c>
      <c r="AL30" s="53">
        <f t="shared" si="40"/>
        <v>1.4008725810118472E-2</v>
      </c>
      <c r="AM30" s="53">
        <f t="shared" si="88"/>
        <v>3.6764911733532191E-2</v>
      </c>
      <c r="AN30" s="53">
        <f t="shared" si="88"/>
        <v>0.92021832991175778</v>
      </c>
      <c r="AO30" s="53">
        <f t="shared" si="43"/>
        <v>9.3519004547393259E-4</v>
      </c>
      <c r="AP30" s="53">
        <f t="shared" si="88"/>
        <v>0.68457477563480384</v>
      </c>
      <c r="AQ30" s="53">
        <f t="shared" si="44"/>
        <v>5.9242432393142863E-3</v>
      </c>
      <c r="AR30" s="53">
        <f t="shared" si="88"/>
        <v>0.74252680941111038</v>
      </c>
      <c r="AS30" s="53">
        <f t="shared" si="45"/>
        <v>2.7296622396897341E-3</v>
      </c>
      <c r="AT30" s="53">
        <f t="shared" si="88"/>
        <v>1.6958399456928523</v>
      </c>
      <c r="AU30" s="53">
        <f t="shared" si="45"/>
        <v>1.2427428673178476E-3</v>
      </c>
      <c r="AV30" s="53">
        <f t="shared" si="88"/>
        <v>0.86194538605575133</v>
      </c>
      <c r="AW30" s="53">
        <f t="shared" si="41"/>
        <v>1.661527632682791E-3</v>
      </c>
      <c r="AX30" s="53">
        <f t="shared" si="88"/>
        <v>1.1952125861534819</v>
      </c>
      <c r="AY30" s="53"/>
      <c r="AZ30" s="53">
        <f t="shared" si="88"/>
        <v>0.4564584946656508</v>
      </c>
      <c r="BA30" s="53">
        <f t="shared" si="46"/>
        <v>-3.5389213197334346E-4</v>
      </c>
      <c r="BB30" s="53">
        <f t="shared" si="88"/>
        <v>4.1838908461498772</v>
      </c>
      <c r="BC30" s="53">
        <f t="shared" si="25"/>
        <v>4.7183302718010189E-3</v>
      </c>
      <c r="BD30" s="53">
        <f t="shared" si="26"/>
        <v>0.39282447838229856</v>
      </c>
      <c r="BE30" s="53">
        <f t="shared" si="47"/>
        <v>-7.0428331309263514E-3</v>
      </c>
      <c r="BF30" s="53">
        <f t="shared" si="88"/>
        <v>1</v>
      </c>
      <c r="BG30" s="53">
        <f t="shared" si="88"/>
        <v>1</v>
      </c>
      <c r="BH30" s="105">
        <f t="shared" si="63"/>
        <v>0.19521258615348192</v>
      </c>
      <c r="BN30" s="15"/>
      <c r="BO30" s="65"/>
      <c r="BR30" s="28">
        <v>2016</v>
      </c>
      <c r="BS30" s="29">
        <f t="shared" ref="BS30:CA30" si="89">BS97/BS$80</f>
        <v>1.2788235294117647</v>
      </c>
      <c r="BT30" s="29">
        <f t="shared" si="89"/>
        <v>1.1172995780590718</v>
      </c>
      <c r="BU30" s="29">
        <f t="shared" si="89"/>
        <v>1.1416040100250626</v>
      </c>
      <c r="BV30" s="29">
        <f t="shared" si="89"/>
        <v>1.0284552845528456</v>
      </c>
      <c r="BW30" s="29">
        <f t="shared" si="89"/>
        <v>1.1020895522388061</v>
      </c>
      <c r="BX30" s="29">
        <f t="shared" si="89"/>
        <v>1.0113555713271825</v>
      </c>
      <c r="BY30" s="29">
        <f t="shared" si="89"/>
        <v>0.89553805774278206</v>
      </c>
      <c r="BZ30" s="29">
        <f t="shared" si="89"/>
        <v>1.0012158054711247</v>
      </c>
      <c r="CA30" s="29">
        <f t="shared" si="89"/>
        <v>1.0157600406710727</v>
      </c>
      <c r="CC30" s="28">
        <v>2016</v>
      </c>
      <c r="CD30" s="29">
        <f t="shared" ref="CD30:CL30" si="90">CD97/CD$80</f>
        <v>0.81967213114754101</v>
      </c>
      <c r="CE30" s="29">
        <f t="shared" si="90"/>
        <v>0.82297772567409144</v>
      </c>
      <c r="CF30" s="29">
        <f t="shared" si="90"/>
        <v>0.72297297297297292</v>
      </c>
      <c r="CG30" s="29">
        <f t="shared" si="90"/>
        <v>0.73056300268096519</v>
      </c>
      <c r="CH30" s="29">
        <f t="shared" si="90"/>
        <v>0.76219512195121952</v>
      </c>
      <c r="CI30" s="29">
        <f t="shared" si="90"/>
        <v>0.74485125858123569</v>
      </c>
      <c r="CJ30" s="29">
        <f t="shared" si="90"/>
        <v>0.73577749683944371</v>
      </c>
      <c r="CK30" s="29">
        <f t="shared" si="90"/>
        <v>0.80640465793304217</v>
      </c>
      <c r="CL30" s="29">
        <f t="shared" si="90"/>
        <v>0.7986486486486486</v>
      </c>
    </row>
    <row r="31" spans="1:90" x14ac:dyDescent="0.2">
      <c r="A31" s="26">
        <f t="shared" si="74"/>
        <v>2032</v>
      </c>
      <c r="B31" s="273">
        <v>8.0947571538967615</v>
      </c>
      <c r="C31" s="136">
        <v>3.360147</v>
      </c>
      <c r="D31" s="100">
        <f t="shared" si="0"/>
        <v>313.93900184917436</v>
      </c>
      <c r="E31" s="273">
        <v>14.20010140849994</v>
      </c>
      <c r="F31" s="136">
        <v>14.51933</v>
      </c>
      <c r="G31" s="273">
        <v>14.805938117291035</v>
      </c>
      <c r="H31" s="273">
        <v>11.514369333247819</v>
      </c>
      <c r="I31" s="273">
        <v>0.99699602800987341</v>
      </c>
      <c r="J31" s="277">
        <v>538.55117452441368</v>
      </c>
      <c r="K31" s="277">
        <v>427.3756400439799</v>
      </c>
      <c r="L31" s="100">
        <f t="shared" si="3"/>
        <v>329.32268229408254</v>
      </c>
      <c r="M31" s="100">
        <f t="shared" si="4"/>
        <v>315.37275858685092</v>
      </c>
      <c r="N31" s="279">
        <v>0.69999999999999984</v>
      </c>
      <c r="O31" s="100">
        <f t="shared" si="6"/>
        <v>56.987954057199239</v>
      </c>
      <c r="P31" s="279">
        <v>0.1090924717752855</v>
      </c>
      <c r="Q31" s="100">
        <f t="shared" si="8"/>
        <v>637.92035046484057</v>
      </c>
      <c r="R31" s="279">
        <v>4.2821739974975488</v>
      </c>
      <c r="S31" s="100">
        <f t="shared" si="10"/>
        <v>187.7066205866696</v>
      </c>
      <c r="T31" s="100">
        <f t="shared" si="11"/>
        <v>525.90331554791555</v>
      </c>
      <c r="U31" s="101">
        <f t="shared" si="12"/>
        <v>1014.519767394069</v>
      </c>
      <c r="V31" s="101">
        <f t="shared" si="13"/>
        <v>6768.2896021059323</v>
      </c>
      <c r="W31" s="72"/>
      <c r="X31" s="23">
        <v>2030</v>
      </c>
      <c r="Y31" s="53">
        <f t="shared" ref="Y31:BG31" si="91">Y74/$BF74</f>
        <v>0.30567874888988383</v>
      </c>
      <c r="Z31" s="53">
        <f t="shared" si="35"/>
        <v>-2.7020796489025667E-3</v>
      </c>
      <c r="AA31" s="53">
        <f t="shared" si="91"/>
        <v>0.23505448743825552</v>
      </c>
      <c r="AB31" s="53">
        <f t="shared" si="36"/>
        <v>1.369765705363668E-2</v>
      </c>
      <c r="AC31" s="53">
        <f t="shared" si="91"/>
        <v>3.7296119364096089E-2</v>
      </c>
      <c r="AD31" s="53"/>
      <c r="AE31" s="53">
        <f t="shared" si="24"/>
        <v>0.12081171970758989</v>
      </c>
      <c r="AF31" s="53">
        <f t="shared" si="37"/>
        <v>-1.0521337079820725E-2</v>
      </c>
      <c r="AG31" s="53">
        <f t="shared" si="91"/>
        <v>0.30518217832319244</v>
      </c>
      <c r="AH31" s="53">
        <f t="shared" si="38"/>
        <v>-1.318212997593704E-2</v>
      </c>
      <c r="AI31" s="53">
        <f t="shared" si="91"/>
        <v>0.61394711901913435</v>
      </c>
      <c r="AJ31" s="53">
        <f t="shared" si="39"/>
        <v>5.0464144812178979E-4</v>
      </c>
      <c r="AK31" s="53">
        <f t="shared" si="91"/>
        <v>0.23505448743825552</v>
      </c>
      <c r="AL31" s="53">
        <f t="shared" si="40"/>
        <v>1.369765705363668E-2</v>
      </c>
      <c r="AM31" s="53">
        <f t="shared" si="91"/>
        <v>3.7296119364096089E-2</v>
      </c>
      <c r="AN31" s="53">
        <f t="shared" si="91"/>
        <v>0.92105135801155258</v>
      </c>
      <c r="AO31" s="53">
        <f t="shared" si="43"/>
        <v>9.0525049623235709E-4</v>
      </c>
      <c r="AP31" s="53">
        <f t="shared" si="91"/>
        <v>0.68853477049035938</v>
      </c>
      <c r="AQ31" s="53">
        <f t="shared" si="44"/>
        <v>5.7846052710361917E-3</v>
      </c>
      <c r="AR31" s="53">
        <f t="shared" si="91"/>
        <v>0.744447698848415</v>
      </c>
      <c r="AS31" s="53">
        <f t="shared" si="45"/>
        <v>2.5869630738695193E-3</v>
      </c>
      <c r="AT31" s="53">
        <f t="shared" si="91"/>
        <v>1.6978526362048338</v>
      </c>
      <c r="AU31" s="53">
        <f t="shared" si="45"/>
        <v>1.1868399002472607E-3</v>
      </c>
      <c r="AV31" s="53">
        <f t="shared" si="91"/>
        <v>0.8633402249223836</v>
      </c>
      <c r="AW31" s="53">
        <f t="shared" si="41"/>
        <v>1.6182450642436841E-3</v>
      </c>
      <c r="AX31" s="53">
        <f t="shared" si="91"/>
        <v>1.1950124360536378</v>
      </c>
      <c r="AY31" s="53"/>
      <c r="AZ31" s="53">
        <f t="shared" si="91"/>
        <v>0.45628676686459152</v>
      </c>
      <c r="BA31" s="53">
        <f t="shared" si="46"/>
        <v>-3.7621777897911546E-4</v>
      </c>
      <c r="BB31" s="53">
        <f t="shared" si="91"/>
        <v>4.203608955610032</v>
      </c>
      <c r="BC31" s="53">
        <f t="shared" si="25"/>
        <v>4.7128642178368985E-3</v>
      </c>
      <c r="BD31" s="53">
        <f t="shared" si="26"/>
        <v>0.39010824550265327</v>
      </c>
      <c r="BE31" s="53">
        <f t="shared" si="47"/>
        <v>-6.914622252745195E-3</v>
      </c>
      <c r="BF31" s="53">
        <f t="shared" si="91"/>
        <v>1</v>
      </c>
      <c r="BG31" s="53">
        <f t="shared" si="91"/>
        <v>1</v>
      </c>
      <c r="BH31" s="105">
        <f t="shared" si="63"/>
        <v>0.19501243605363783</v>
      </c>
      <c r="BK31" s="26"/>
      <c r="BL31" s="70"/>
      <c r="BM31" s="70"/>
      <c r="BN31" s="15"/>
      <c r="BO31" s="65"/>
      <c r="BR31" s="28">
        <v>2017</v>
      </c>
      <c r="BS31" s="29">
        <f t="shared" ref="BS31:CA31" si="92">BS98/BS$80</f>
        <v>1.2521568627450981</v>
      </c>
      <c r="BT31" s="29">
        <f t="shared" si="92"/>
        <v>1.1012658227848102</v>
      </c>
      <c r="BU31" s="29">
        <f t="shared" si="92"/>
        <v>1.1303258145363408</v>
      </c>
      <c r="BV31" s="29">
        <f t="shared" si="92"/>
        <v>1.0230352303523036</v>
      </c>
      <c r="BW31" s="29">
        <f t="shared" si="92"/>
        <v>1.1092537313432835</v>
      </c>
      <c r="BX31" s="29">
        <f t="shared" si="92"/>
        <v>1.0269694819020583</v>
      </c>
      <c r="BY31" s="29">
        <f t="shared" si="92"/>
        <v>0.8971128608923884</v>
      </c>
      <c r="BZ31" s="29">
        <f t="shared" si="92"/>
        <v>1.003647416413374</v>
      </c>
      <c r="CA31" s="29">
        <f t="shared" si="92"/>
        <v>1.0035587188612098</v>
      </c>
      <c r="CC31" s="28">
        <v>2017</v>
      </c>
      <c r="CD31" s="29">
        <f t="shared" ref="CD31:CL31" si="93">CD98/CD$80</f>
        <v>0.83094262295081966</v>
      </c>
      <c r="CE31" s="29">
        <f t="shared" si="93"/>
        <v>0.82297772567409144</v>
      </c>
      <c r="CF31" s="29">
        <f t="shared" si="93"/>
        <v>0.73648648648648651</v>
      </c>
      <c r="CG31" s="29">
        <f t="shared" si="93"/>
        <v>0.74798927613941024</v>
      </c>
      <c r="CH31" s="29">
        <f t="shared" si="93"/>
        <v>0.77134146341463417</v>
      </c>
      <c r="CI31" s="29">
        <f t="shared" si="93"/>
        <v>0.75171624713958807</v>
      </c>
      <c r="CJ31" s="29">
        <f t="shared" si="93"/>
        <v>0.74083438685208602</v>
      </c>
      <c r="CK31" s="29">
        <f t="shared" si="93"/>
        <v>0.81804949053857356</v>
      </c>
      <c r="CL31" s="29">
        <f t="shared" si="93"/>
        <v>0.81756756756756754</v>
      </c>
    </row>
    <row r="32" spans="1:90" x14ac:dyDescent="0.2">
      <c r="A32" s="26">
        <f t="shared" si="74"/>
        <v>2033</v>
      </c>
      <c r="B32" s="273">
        <v>8.099888129101851</v>
      </c>
      <c r="C32" s="136">
        <v>3.3630409999999999</v>
      </c>
      <c r="D32" s="100">
        <f t="shared" si="0"/>
        <v>304.80724806014035</v>
      </c>
      <c r="E32" s="273">
        <v>14.213596896331415</v>
      </c>
      <c r="F32" s="136">
        <v>14.542725000000001</v>
      </c>
      <c r="G32" s="273">
        <v>14.819023805858137</v>
      </c>
      <c r="H32" s="273">
        <v>11.529592741262183</v>
      </c>
      <c r="I32" s="273">
        <v>0.99840088215962142</v>
      </c>
      <c r="J32" s="277">
        <v>537.66179946372642</v>
      </c>
      <c r="K32" s="277">
        <v>424.99354763359929</v>
      </c>
      <c r="L32" s="100">
        <f t="shared" si="3"/>
        <v>329.18600465719777</v>
      </c>
      <c r="M32" s="100">
        <f t="shared" si="4"/>
        <v>315.37280790453929</v>
      </c>
      <c r="N32" s="279">
        <v>0.69999999999999984</v>
      </c>
      <c r="O32" s="100">
        <f t="shared" si="6"/>
        <v>56.949201006514144</v>
      </c>
      <c r="P32" s="279">
        <v>0.109</v>
      </c>
      <c r="Q32" s="100">
        <f t="shared" si="8"/>
        <v>636.22942774744786</v>
      </c>
      <c r="R32" s="279">
        <v>4.2972726487917541</v>
      </c>
      <c r="S32" s="100">
        <f t="shared" si="10"/>
        <v>188.13402347194253</v>
      </c>
      <c r="T32" s="100">
        <f t="shared" si="11"/>
        <v>525.64916699304865</v>
      </c>
      <c r="U32" s="101">
        <f t="shared" si="12"/>
        <v>1010.3927042898039</v>
      </c>
      <c r="V32" s="101">
        <f t="shared" si="13"/>
        <v>6859.0788715097469</v>
      </c>
      <c r="W32" s="72"/>
      <c r="X32" s="23">
        <v>2031</v>
      </c>
      <c r="Y32" s="53">
        <f>Y75/$BF75</f>
        <v>0.30486732491638829</v>
      </c>
      <c r="Z32" s="53">
        <f t="shared" si="35"/>
        <v>-2.6544991316613809E-3</v>
      </c>
      <c r="AA32" s="53">
        <f>AA75/$BF75</f>
        <v>0.23817664167555633</v>
      </c>
      <c r="AB32" s="53">
        <f t="shared" si="36"/>
        <v>1.3282682969925963E-2</v>
      </c>
      <c r="AC32" s="53">
        <f>AC75/$BF75</f>
        <v>3.7777775503480979E-2</v>
      </c>
      <c r="AD32" s="53"/>
      <c r="AE32" s="53">
        <f t="shared" si="24"/>
        <v>0.11955807684098356</v>
      </c>
      <c r="AF32" s="53">
        <f t="shared" si="37"/>
        <v>-1.0376831566015432E-2</v>
      </c>
      <c r="AG32" s="53">
        <f t="shared" ref="AG32:BG32" si="94">AG75/$BF75</f>
        <v>0.30123834323391585</v>
      </c>
      <c r="AH32" s="53">
        <f t="shared" si="38"/>
        <v>-1.292288793187657E-2</v>
      </c>
      <c r="AI32" s="53">
        <f t="shared" si="94"/>
        <v>0.6142448078088435</v>
      </c>
      <c r="AJ32" s="53">
        <f t="shared" si="39"/>
        <v>4.8487692260001936E-4</v>
      </c>
      <c r="AK32" s="53">
        <f t="shared" si="94"/>
        <v>0.23817664167555633</v>
      </c>
      <c r="AL32" s="53">
        <f t="shared" si="40"/>
        <v>1.3282682969925963E-2</v>
      </c>
      <c r="AM32" s="53">
        <f t="shared" si="94"/>
        <v>3.7777775503480979E-2</v>
      </c>
      <c r="AN32" s="53">
        <f t="shared" si="94"/>
        <v>0.92185720895795475</v>
      </c>
      <c r="AO32" s="53">
        <f t="shared" si="43"/>
        <v>8.7492509445064037E-4</v>
      </c>
      <c r="AP32" s="53">
        <f t="shared" si="94"/>
        <v>0.69240363264330029</v>
      </c>
      <c r="AQ32" s="53">
        <f t="shared" si="44"/>
        <v>5.6189786177183176E-3</v>
      </c>
      <c r="AR32" s="53">
        <f t="shared" si="94"/>
        <v>0.74632334337094219</v>
      </c>
      <c r="AS32" s="53">
        <f t="shared" si="45"/>
        <v>2.5195114786822348E-3</v>
      </c>
      <c r="AT32" s="53">
        <f t="shared" si="94"/>
        <v>1.6995144490055467</v>
      </c>
      <c r="AU32" s="53">
        <f t="shared" si="45"/>
        <v>9.7877328413353837E-4</v>
      </c>
      <c r="AV32" s="53">
        <f t="shared" si="94"/>
        <v>0.86469730758510954</v>
      </c>
      <c r="AW32" s="53">
        <f t="shared" si="41"/>
        <v>1.5718978724150734E-3</v>
      </c>
      <c r="AX32" s="53">
        <f t="shared" si="94"/>
        <v>1.1948237687213006</v>
      </c>
      <c r="AY32" s="53"/>
      <c r="AZ32" s="53">
        <f t="shared" si="94"/>
        <v>0.45609885094565827</v>
      </c>
      <c r="BA32" s="53">
        <f t="shared" si="46"/>
        <v>-4.1183731937821655E-4</v>
      </c>
      <c r="BB32" s="53">
        <f t="shared" si="94"/>
        <v>4.2238144574090732</v>
      </c>
      <c r="BC32" s="53">
        <f t="shared" si="25"/>
        <v>4.8067034808447762E-3</v>
      </c>
      <c r="BD32" s="53">
        <f t="shared" si="26"/>
        <v>0.38746489480751889</v>
      </c>
      <c r="BE32" s="53">
        <f t="shared" si="47"/>
        <v>-6.7759416152007867E-3</v>
      </c>
      <c r="BF32" s="53">
        <f t="shared" si="94"/>
        <v>1</v>
      </c>
      <c r="BG32" s="53">
        <f t="shared" si="94"/>
        <v>1</v>
      </c>
      <c r="BH32" s="105">
        <f>AX32-1</f>
        <v>0.19482376872130058</v>
      </c>
      <c r="BN32" s="15"/>
      <c r="BO32" s="65"/>
      <c r="BR32" s="28">
        <v>2018</v>
      </c>
      <c r="BS32" s="29">
        <f t="shared" ref="BS32:CA32" si="95">BS99/BS$80</f>
        <v>1.2313725490196077</v>
      </c>
      <c r="BT32" s="29">
        <f t="shared" si="95"/>
        <v>1.0886075949367089</v>
      </c>
      <c r="BU32" s="29">
        <f t="shared" si="95"/>
        <v>1.1177944862155387</v>
      </c>
      <c r="BV32" s="29">
        <f t="shared" si="95"/>
        <v>1.0142276422764229</v>
      </c>
      <c r="BW32" s="29">
        <f t="shared" si="95"/>
        <v>1.1164179104477612</v>
      </c>
      <c r="BX32" s="29">
        <f t="shared" si="95"/>
        <v>1.0262597586941093</v>
      </c>
      <c r="BY32" s="29">
        <f t="shared" si="95"/>
        <v>0.90393700787401565</v>
      </c>
      <c r="BZ32" s="29">
        <f t="shared" si="95"/>
        <v>1.0042553191489363</v>
      </c>
      <c r="CA32" s="29">
        <f t="shared" si="95"/>
        <v>0.98678190137264865</v>
      </c>
      <c r="CC32" s="28">
        <v>2018</v>
      </c>
      <c r="CD32" s="29">
        <f t="shared" ref="CD32:CL32" si="96">CD99/CD$80</f>
        <v>0.83913934426229508</v>
      </c>
      <c r="CE32" s="29">
        <f t="shared" si="96"/>
        <v>0.82415005861664725</v>
      </c>
      <c r="CF32" s="29">
        <f t="shared" si="96"/>
        <v>0.74729729729729732</v>
      </c>
      <c r="CG32" s="29">
        <f t="shared" si="96"/>
        <v>0.76005361930294901</v>
      </c>
      <c r="CH32" s="29">
        <f t="shared" si="96"/>
        <v>0.77947154471544711</v>
      </c>
      <c r="CI32" s="29">
        <f t="shared" si="96"/>
        <v>0.75858123569794045</v>
      </c>
      <c r="CJ32" s="29">
        <f t="shared" si="96"/>
        <v>0.74462705436156762</v>
      </c>
      <c r="CK32" s="29">
        <f t="shared" si="96"/>
        <v>0.8340611353711791</v>
      </c>
      <c r="CL32" s="29">
        <f t="shared" si="96"/>
        <v>0.83513513513513504</v>
      </c>
    </row>
    <row r="33" spans="1:90" x14ac:dyDescent="0.2">
      <c r="A33" s="26">
        <f t="shared" si="74"/>
        <v>2034</v>
      </c>
      <c r="B33" s="273">
        <v>8.1040094300469576</v>
      </c>
      <c r="C33" s="136">
        <v>3.36599</v>
      </c>
      <c r="D33" s="100">
        <f t="shared" si="0"/>
        <v>295.59585213801108</v>
      </c>
      <c r="E33" s="273">
        <v>14.223621727067526</v>
      </c>
      <c r="F33" s="136">
        <v>14.566195</v>
      </c>
      <c r="G33" s="273">
        <v>14.83007060690732</v>
      </c>
      <c r="H33" s="273">
        <v>11.543258886169117</v>
      </c>
      <c r="I33" s="273">
        <v>0.99953704201496185</v>
      </c>
      <c r="J33" s="277">
        <v>536.90120877695097</v>
      </c>
      <c r="K33" s="277">
        <v>422.73971730722548</v>
      </c>
      <c r="L33" s="100">
        <f t="shared" si="3"/>
        <v>329.00133654947155</v>
      </c>
      <c r="M33" s="100">
        <f t="shared" si="4"/>
        <v>315.37285444279377</v>
      </c>
      <c r="N33" s="279">
        <v>0.69999999999999973</v>
      </c>
      <c r="O33" s="100">
        <f t="shared" si="6"/>
        <v>56.923364936639864</v>
      </c>
      <c r="P33" s="279">
        <v>0.10900000000000001</v>
      </c>
      <c r="Q33" s="100">
        <f t="shared" si="8"/>
        <v>635.29815251080481</v>
      </c>
      <c r="R33" s="279">
        <v>4.3044587472370477</v>
      </c>
      <c r="S33" s="100">
        <f t="shared" si="10"/>
        <v>188.4731909217991</v>
      </c>
      <c r="T33" s="100">
        <f t="shared" si="11"/>
        <v>525.52582056366975</v>
      </c>
      <c r="U33" s="101">
        <f t="shared" si="12"/>
        <v>1006.249470162321</v>
      </c>
      <c r="V33" s="101">
        <f t="shared" si="13"/>
        <v>6942.7783611515397</v>
      </c>
      <c r="W33" s="72"/>
      <c r="X33" s="23">
        <v>2032</v>
      </c>
      <c r="Y33" s="53">
        <f>Y76/$BF76</f>
        <v>0.30410468742474256</v>
      </c>
      <c r="Z33" s="53">
        <f t="shared" si="35"/>
        <v>-2.5015389624155615E-3</v>
      </c>
      <c r="AA33" s="53">
        <f>AA76/$BF76</f>
        <v>0.24119980585198572</v>
      </c>
      <c r="AB33" s="53">
        <f t="shared" si="36"/>
        <v>1.2692949884428817E-2</v>
      </c>
      <c r="AC33" s="53">
        <f>AC76/$BF76</f>
        <v>3.8207634375478333E-2</v>
      </c>
      <c r="AD33" s="53"/>
      <c r="AE33" s="53">
        <f>AE76/$BF76</f>
        <v>0.11835257085381699</v>
      </c>
      <c r="AF33" s="53">
        <f t="shared" si="37"/>
        <v>-1.0083015878299295E-2</v>
      </c>
      <c r="AG33" s="53">
        <f>AG76/$BF76</f>
        <v>0.29746291228112526</v>
      </c>
      <c r="AH33" s="53">
        <f t="shared" si="38"/>
        <v>-1.2533035842183349E-2</v>
      </c>
      <c r="AI33" s="53">
        <f>AI76/$BF76</f>
        <v>0.61457321558269051</v>
      </c>
      <c r="AJ33" s="53">
        <f t="shared" si="39"/>
        <v>5.3465290983667479E-4</v>
      </c>
      <c r="AK33" s="53">
        <f>AK76/$BF76</f>
        <v>0.24119980585198572</v>
      </c>
      <c r="AL33" s="53">
        <f t="shared" si="40"/>
        <v>1.2692949884428817E-2</v>
      </c>
      <c r="AM33" s="53">
        <f t="shared" ref="AM33:AN36" si="97">AM76/$BF76</f>
        <v>3.8207634375478333E-2</v>
      </c>
      <c r="AN33" s="53">
        <f t="shared" si="97"/>
        <v>0.92262549657934256</v>
      </c>
      <c r="AO33" s="53">
        <f t="shared" si="43"/>
        <v>8.3341282567639396E-4</v>
      </c>
      <c r="AP33" s="53">
        <f>AP76/$BF76</f>
        <v>0.69615395851806361</v>
      </c>
      <c r="AQ33" s="53">
        <f t="shared" si="44"/>
        <v>5.4163867691539025E-3</v>
      </c>
      <c r="AR33" s="53">
        <f>AR76/$BF76</f>
        <v>0.74815126805882781</v>
      </c>
      <c r="AS33" s="53">
        <f t="shared" si="45"/>
        <v>2.4492396012021356E-3</v>
      </c>
      <c r="AT33" s="53">
        <f>AT76/$BF76</f>
        <v>1.7014893065750776</v>
      </c>
      <c r="AU33" s="53">
        <f t="shared" si="45"/>
        <v>1.1620128152993736E-3</v>
      </c>
      <c r="AV33" s="53">
        <f>AV76/$BF76</f>
        <v>0.86600741466742448</v>
      </c>
      <c r="AW33" s="53">
        <f t="shared" si="41"/>
        <v>1.5151048474681961E-3</v>
      </c>
      <c r="AX33" s="53">
        <f>AX76/$BF76</f>
        <v>1.1946337227159831</v>
      </c>
      <c r="AY33" s="53"/>
      <c r="AZ33" s="53">
        <f>AZ76/$BF76</f>
        <v>0.45589398607011683</v>
      </c>
      <c r="BA33" s="53">
        <f t="shared" si="46"/>
        <v>-4.4916770808933748E-4</v>
      </c>
      <c r="BB33" s="53">
        <f>BB76/$BF76</f>
        <v>4.2440224644096753</v>
      </c>
      <c r="BC33" s="53">
        <f t="shared" si="25"/>
        <v>4.7843027207681299E-3</v>
      </c>
      <c r="BD33" s="53">
        <f t="shared" si="26"/>
        <v>0.38509121020019288</v>
      </c>
      <c r="BE33" s="53">
        <f t="shared" si="47"/>
        <v>-6.1261926929023769E-3</v>
      </c>
      <c r="BF33" s="53">
        <f t="shared" ref="BF33:BG36" si="98">BF76/$BF76</f>
        <v>1</v>
      </c>
      <c r="BG33" s="53">
        <f t="shared" si="98"/>
        <v>1</v>
      </c>
      <c r="BH33" s="105">
        <f>AX33-1</f>
        <v>0.19463372271598312</v>
      </c>
      <c r="BR33" s="28">
        <v>2019</v>
      </c>
      <c r="BS33" s="29">
        <f t="shared" ref="BS33:CA33" si="99">BS100/BS$80</f>
        <v>1.2176470588235295</v>
      </c>
      <c r="BT33" s="29">
        <f t="shared" si="99"/>
        <v>1.0839662447257385</v>
      </c>
      <c r="BU33" s="29">
        <f t="shared" si="99"/>
        <v>1.1077694235588971</v>
      </c>
      <c r="BV33" s="29">
        <f t="shared" si="99"/>
        <v>1.0060975609756098</v>
      </c>
      <c r="BW33" s="29">
        <f t="shared" si="99"/>
        <v>1.1200000000000001</v>
      </c>
      <c r="BX33" s="29">
        <f t="shared" si="99"/>
        <v>1.0262597586941093</v>
      </c>
      <c r="BY33" s="29">
        <f t="shared" si="99"/>
        <v>0.89606299212598428</v>
      </c>
      <c r="BZ33" s="29">
        <f t="shared" si="99"/>
        <v>1.0072948328267477</v>
      </c>
      <c r="CA33" s="29">
        <f t="shared" si="99"/>
        <v>0.97559735638027456</v>
      </c>
      <c r="CC33" s="28">
        <v>2019</v>
      </c>
      <c r="CD33" s="29">
        <f t="shared" ref="CD33:CL33" si="100">CD100/CD$80</f>
        <v>0.8473360655737705</v>
      </c>
      <c r="CE33" s="29">
        <f t="shared" si="100"/>
        <v>0.82766705744431424</v>
      </c>
      <c r="CF33" s="29">
        <f t="shared" si="100"/>
        <v>0.75675675675675669</v>
      </c>
      <c r="CG33" s="29">
        <f t="shared" si="100"/>
        <v>0.77077747989276135</v>
      </c>
      <c r="CH33" s="29">
        <f t="shared" si="100"/>
        <v>0.78556910569105698</v>
      </c>
      <c r="CI33" s="29">
        <f t="shared" si="100"/>
        <v>0.76544622425629294</v>
      </c>
      <c r="CJ33" s="29">
        <f t="shared" si="100"/>
        <v>0.74968394437420982</v>
      </c>
      <c r="CK33" s="29">
        <f t="shared" si="100"/>
        <v>0.85007278020378452</v>
      </c>
      <c r="CL33" s="29">
        <f t="shared" si="100"/>
        <v>0.85135135135135132</v>
      </c>
    </row>
    <row r="34" spans="1:90" x14ac:dyDescent="0.2">
      <c r="A34" s="26">
        <f t="shared" si="74"/>
        <v>2035</v>
      </c>
      <c r="B34" s="273">
        <v>8.107164132742458</v>
      </c>
      <c r="C34" s="136">
        <v>3.368995</v>
      </c>
      <c r="D34" s="100">
        <f t="shared" si="0"/>
        <v>286.40212008504233</v>
      </c>
      <c r="E34" s="273">
        <v>14.23288253240586</v>
      </c>
      <c r="F34" s="136">
        <v>14.589767999999999</v>
      </c>
      <c r="G34" s="273">
        <v>14.839158563907842</v>
      </c>
      <c r="H34" s="273">
        <v>11.55532082000933</v>
      </c>
      <c r="I34" s="273">
        <v>1.0002479670862745</v>
      </c>
      <c r="J34" s="277">
        <v>536.2582533383636</v>
      </c>
      <c r="K34" s="277">
        <v>420.61255118473372</v>
      </c>
      <c r="L34" s="100">
        <f t="shared" si="3"/>
        <v>328.81468343272462</v>
      </c>
      <c r="M34" s="100">
        <f t="shared" si="4"/>
        <v>315.37283763768437</v>
      </c>
      <c r="N34" s="279">
        <v>0.69999999999999973</v>
      </c>
      <c r="O34" s="100">
        <f t="shared" si="6"/>
        <v>56.910677257525563</v>
      </c>
      <c r="P34" s="279">
        <v>0.109</v>
      </c>
      <c r="Q34" s="100">
        <f t="shared" si="8"/>
        <v>635.67294616813729</v>
      </c>
      <c r="R34" s="279">
        <v>4.3030170809063568</v>
      </c>
      <c r="S34" s="100">
        <f t="shared" si="10"/>
        <v>188.85189238694306</v>
      </c>
      <c r="T34" s="100">
        <f t="shared" si="11"/>
        <v>525.33804758668998</v>
      </c>
      <c r="U34" s="101">
        <f t="shared" si="12"/>
        <v>1002.7256442630295</v>
      </c>
      <c r="V34" s="101">
        <f t="shared" si="13"/>
        <v>7026.4279933769449</v>
      </c>
      <c r="W34" s="72"/>
      <c r="X34" s="23">
        <v>2033</v>
      </c>
      <c r="Y34" s="53">
        <f t="shared" ref="Y34:AC36" si="101">Y77/$BF77</f>
        <v>0.3033501775723369</v>
      </c>
      <c r="Z34" s="53">
        <f t="shared" si="35"/>
        <v>-2.4810859010266917E-3</v>
      </c>
      <c r="AA34" s="53">
        <f t="shared" si="101"/>
        <v>0.24417575604632827</v>
      </c>
      <c r="AB34" s="53">
        <f t="shared" si="36"/>
        <v>1.2338111897854276E-2</v>
      </c>
      <c r="AC34" s="53">
        <f t="shared" si="101"/>
        <v>3.8604959043935093E-2</v>
      </c>
      <c r="AD34" s="53"/>
      <c r="AE34" s="53">
        <f>AE77/$BF77</f>
        <v>0.11717356989501214</v>
      </c>
      <c r="AF34" s="53">
        <f t="shared" si="37"/>
        <v>-9.961768893563705E-3</v>
      </c>
      <c r="AG34" s="53">
        <f>AG77/$BF77</f>
        <v>0.29379601926857096</v>
      </c>
      <c r="AH34" s="53">
        <f t="shared" si="38"/>
        <v>-1.2327227567411114E-2</v>
      </c>
      <c r="AI34" s="53">
        <f>AI77/$BF77</f>
        <v>0.6148823915499404</v>
      </c>
      <c r="AJ34" s="53">
        <f t="shared" si="39"/>
        <v>5.0307426261131383E-4</v>
      </c>
      <c r="AK34" s="53">
        <f>AK77/$BF77</f>
        <v>0.24417575604632827</v>
      </c>
      <c r="AL34" s="53">
        <f t="shared" si="40"/>
        <v>1.2338111897854276E-2</v>
      </c>
      <c r="AM34" s="53">
        <f t="shared" si="97"/>
        <v>3.8604959043935093E-2</v>
      </c>
      <c r="AN34" s="53">
        <f t="shared" si="97"/>
        <v>0.92337223492705467</v>
      </c>
      <c r="AO34" s="53">
        <f t="shared" si="43"/>
        <v>8.0936235827078207E-4</v>
      </c>
      <c r="AP34" s="53">
        <f>AP77/$BF77</f>
        <v>0.69984595662725024</v>
      </c>
      <c r="AQ34" s="53">
        <f t="shared" si="44"/>
        <v>5.3034218422689516E-3</v>
      </c>
      <c r="AR34" s="53">
        <f>AR77/$BF77</f>
        <v>0.74992141158117431</v>
      </c>
      <c r="AS34" s="53">
        <f t="shared" si="45"/>
        <v>2.3660235542197761E-3</v>
      </c>
      <c r="AT34" s="53">
        <f>AT77/$BF77</f>
        <v>1.7034483221694321</v>
      </c>
      <c r="AU34" s="53">
        <f t="shared" si="45"/>
        <v>1.1513534565186223E-3</v>
      </c>
      <c r="AV34" s="53">
        <f>AV77/$BF77</f>
        <v>0.86729585895826844</v>
      </c>
      <c r="AW34" s="53">
        <f t="shared" si="41"/>
        <v>1.4877982209180463E-3</v>
      </c>
      <c r="AX34" s="53">
        <f>AX77/$BF77</f>
        <v>1.1944579077742943</v>
      </c>
      <c r="AY34" s="53"/>
      <c r="AZ34" s="53">
        <f>AZ77/$BF77</f>
        <v>0.45568961687236559</v>
      </c>
      <c r="BA34" s="53">
        <f t="shared" si="46"/>
        <v>-4.482822849077861E-4</v>
      </c>
      <c r="BB34" s="53">
        <f>BB77/$BF77</f>
        <v>4.2644268361125119</v>
      </c>
      <c r="BC34" s="53">
        <f t="shared" si="25"/>
        <v>4.8077906924262059E-3</v>
      </c>
      <c r="BD34" s="53">
        <f t="shared" si="26"/>
        <v>0.38281932385422895</v>
      </c>
      <c r="BE34" s="53">
        <f t="shared" si="47"/>
        <v>-5.8996058226903347E-3</v>
      </c>
      <c r="BF34" s="53">
        <f t="shared" si="98"/>
        <v>1</v>
      </c>
      <c r="BG34" s="53">
        <f t="shared" si="98"/>
        <v>1</v>
      </c>
      <c r="BH34" s="105">
        <f>AX34-1</f>
        <v>0.19445790777429428</v>
      </c>
      <c r="BR34" s="28">
        <v>2020</v>
      </c>
      <c r="BS34" s="29">
        <f t="shared" ref="BS34:CA34" si="102">BS101/BS$80</f>
        <v>1.2047058823529411</v>
      </c>
      <c r="BT34" s="29">
        <f t="shared" si="102"/>
        <v>1.0767932489451477</v>
      </c>
      <c r="BU34" s="29">
        <f t="shared" si="102"/>
        <v>1.0971177944862156</v>
      </c>
      <c r="BV34" s="29">
        <f t="shared" si="102"/>
        <v>0.99796747967479682</v>
      </c>
      <c r="BW34" s="29">
        <f t="shared" si="102"/>
        <v>1.1247761194029851</v>
      </c>
      <c r="BX34" s="29">
        <f t="shared" si="102"/>
        <v>1.022001419446416</v>
      </c>
      <c r="BY34" s="29">
        <f t="shared" si="102"/>
        <v>0.90026246719160097</v>
      </c>
      <c r="BZ34" s="29">
        <f t="shared" si="102"/>
        <v>1.0072948328267477</v>
      </c>
      <c r="CA34" s="29">
        <f t="shared" si="102"/>
        <v>0.96593797661413316</v>
      </c>
      <c r="CC34" s="28">
        <v>2020</v>
      </c>
      <c r="CD34" s="29">
        <f t="shared" ref="CD34:CL34" si="103">CD101/CD$80</f>
        <v>0.85655737704918034</v>
      </c>
      <c r="CE34" s="29">
        <f t="shared" si="103"/>
        <v>0.83235638921453692</v>
      </c>
      <c r="CF34" s="29">
        <f t="shared" si="103"/>
        <v>0.77162162162162162</v>
      </c>
      <c r="CG34" s="29">
        <f t="shared" si="103"/>
        <v>0.78686327077747986</v>
      </c>
      <c r="CH34" s="29">
        <f t="shared" si="103"/>
        <v>0.7967479674796748</v>
      </c>
      <c r="CI34" s="29">
        <f t="shared" si="103"/>
        <v>0.78146453089244849</v>
      </c>
      <c r="CJ34" s="29">
        <f t="shared" si="103"/>
        <v>0.76359039190897593</v>
      </c>
      <c r="CK34" s="29">
        <f t="shared" si="103"/>
        <v>0.86462882096069871</v>
      </c>
      <c r="CL34" s="29">
        <f t="shared" si="103"/>
        <v>0.86486486486486491</v>
      </c>
    </row>
    <row r="35" spans="1:90" x14ac:dyDescent="0.2">
      <c r="A35" s="26">
        <f t="shared" si="74"/>
        <v>2036</v>
      </c>
      <c r="B35" s="221">
        <f>(B34+(B34-B33))</f>
        <v>8.1103188354379583</v>
      </c>
      <c r="C35" s="221">
        <f>(C34+(C34-C33))</f>
        <v>3.3719999999999999</v>
      </c>
      <c r="D35" s="100">
        <f t="shared" si="0"/>
        <v>277.49433490328454</v>
      </c>
      <c r="E35" s="221">
        <f t="shared" ref="E35:K42" si="104">(E34+(E34-E33))</f>
        <v>14.242143337744194</v>
      </c>
      <c r="F35" s="221">
        <f t="shared" si="104"/>
        <v>14.613340999999998</v>
      </c>
      <c r="G35" s="221">
        <f t="shared" si="104"/>
        <v>14.848246520908365</v>
      </c>
      <c r="H35" s="221">
        <f t="shared" si="104"/>
        <v>11.567382753849543</v>
      </c>
      <c r="I35" s="221">
        <f t="shared" si="104"/>
        <v>1.0009588921575872</v>
      </c>
      <c r="J35" s="221">
        <f t="shared" si="104"/>
        <v>535.61529789977624</v>
      </c>
      <c r="K35" s="221">
        <f t="shared" si="104"/>
        <v>418.48538506224196</v>
      </c>
      <c r="L35" s="100">
        <f t="shared" ref="L35:L41" si="105">1000*(AT124/AT80)/ 3.412</f>
        <v>328.62813621033769</v>
      </c>
      <c r="M35" s="100">
        <f t="shared" ref="M35:M41" si="106">1000*(AP124/AP80)/ 3.412</f>
        <v>315.37282083257577</v>
      </c>
      <c r="N35" s="221">
        <f t="shared" ref="N35:P35" si="107">(N34+(N34-N33))</f>
        <v>0.69999999999999973</v>
      </c>
      <c r="O35" s="100">
        <f t="shared" ref="O35:O41" si="108">1000*(AN124/AN80)/ 3.412</f>
        <v>56.897992406374804</v>
      </c>
      <c r="P35" s="221">
        <f t="shared" si="107"/>
        <v>0.10899999999999999</v>
      </c>
      <c r="Q35" s="100">
        <f t="shared" ref="Q35:Q41" si="109">1000*(AV124/AV80)/ 3.412</f>
        <v>636.04796093470043</v>
      </c>
      <c r="R35" s="221">
        <f t="shared" ref="R35" si="110">(R34+(R34-R33))</f>
        <v>4.3015754145756659</v>
      </c>
      <c r="S35" s="100">
        <f t="shared" ref="S35:S41" si="111">1000*(BB124/BB80)/ 3.412</f>
        <v>189.23135478152744</v>
      </c>
      <c r="T35" s="100">
        <f t="shared" ref="T35:T41" si="112">1000*(BD124/BD80)/ 3.412</f>
        <v>525.15034170192439</v>
      </c>
      <c r="U35" s="101">
        <f t="shared" ref="U35:U41" si="113">1000*(BF124/BF80)/ 3.412</f>
        <v>999.21415859281308</v>
      </c>
      <c r="V35" s="101">
        <f t="shared" ref="V35:V41" si="114">1000*(BG124/BG80)/ 3.412</f>
        <v>7111.0854729809435</v>
      </c>
      <c r="W35" s="72"/>
      <c r="X35" s="23">
        <v>2034</v>
      </c>
      <c r="Y35" s="53">
        <f t="shared" si="101"/>
        <v>0.30257921747414562</v>
      </c>
      <c r="Z35" s="53">
        <f t="shared" si="35"/>
        <v>-2.5414855674756875E-3</v>
      </c>
      <c r="AA35" s="53">
        <f t="shared" si="101"/>
        <v>0.24713947693927085</v>
      </c>
      <c r="AB35" s="53">
        <f t="shared" si="36"/>
        <v>1.2137654208308257E-2</v>
      </c>
      <c r="AC35" s="53">
        <f t="shared" si="101"/>
        <v>3.8979838378365175E-2</v>
      </c>
      <c r="AD35" s="53"/>
      <c r="AE35" s="53">
        <f>AE78/$BF78</f>
        <v>0.1160071594964369</v>
      </c>
      <c r="AF35" s="53">
        <f t="shared" si="37"/>
        <v>-9.9545520343908844E-3</v>
      </c>
      <c r="AG35" s="53">
        <f>AG78/$BF78</f>
        <v>0.29019844063325123</v>
      </c>
      <c r="AH35" s="53">
        <f t="shared" si="38"/>
        <v>-1.2245157862506795E-2</v>
      </c>
      <c r="AI35" s="53">
        <f>AI78/$BF78</f>
        <v>0.61514364516967168</v>
      </c>
      <c r="AJ35" s="53">
        <f t="shared" si="39"/>
        <v>4.2488388563666213E-4</v>
      </c>
      <c r="AK35" s="53">
        <f>AK78/$BF78</f>
        <v>0.24713947693927085</v>
      </c>
      <c r="AL35" s="53">
        <f t="shared" si="40"/>
        <v>1.2137654208308257E-2</v>
      </c>
      <c r="AM35" s="53">
        <f t="shared" si="97"/>
        <v>3.8979838378365175E-2</v>
      </c>
      <c r="AN35" s="53">
        <f t="shared" si="97"/>
        <v>0.92410534053132165</v>
      </c>
      <c r="AO35" s="53">
        <f t="shared" si="43"/>
        <v>7.9394373854535516E-4</v>
      </c>
      <c r="AP35" s="53">
        <f>AP78/$BF78</f>
        <v>0.70351290552529255</v>
      </c>
      <c r="AQ35" s="53">
        <f t="shared" si="44"/>
        <v>5.2396514737533817E-3</v>
      </c>
      <c r="AR35" s="53">
        <f>AR78/$BF78</f>
        <v>0.75164497425112864</v>
      </c>
      <c r="AS35" s="53">
        <f t="shared" si="45"/>
        <v>2.298324388845252E-3</v>
      </c>
      <c r="AT35" s="53">
        <f>AT78/$BF78</f>
        <v>1.7054007119524062</v>
      </c>
      <c r="AU35" s="53">
        <f t="shared" si="45"/>
        <v>1.1461397199814538E-3</v>
      </c>
      <c r="AV35" s="53">
        <f>AV78/$BF78</f>
        <v>0.86857582870505046</v>
      </c>
      <c r="AW35" s="53">
        <f t="shared" si="41"/>
        <v>1.4758167395372279E-3</v>
      </c>
      <c r="AX35" s="53">
        <f>AX78/$BF78</f>
        <v>1.1943024931658344</v>
      </c>
      <c r="AY35" s="53">
        <f t="shared" ref="AY35:AY43" si="115">AX35/AX34-1</f>
        <v>-1.3011308933397192E-4</v>
      </c>
      <c r="AZ35" s="53">
        <f>AZ78/$BF78</f>
        <v>0.45549620151406472</v>
      </c>
      <c r="BA35" s="53">
        <f t="shared" si="46"/>
        <v>-4.2444539252040059E-4</v>
      </c>
      <c r="BB35" s="53">
        <f>BB78/$BF78</f>
        <v>4.2853685563976898</v>
      </c>
      <c r="BC35" s="53">
        <f t="shared" ref="BC35:BC43" si="116">BB35/BB34-1</f>
        <v>4.9107936634853466E-3</v>
      </c>
      <c r="BD35" s="53">
        <f t="shared" si="26"/>
        <v>0.38048071221888874</v>
      </c>
      <c r="BE35" s="53">
        <f t="shared" si="47"/>
        <v>-6.1089174177391126E-3</v>
      </c>
      <c r="BF35" s="53">
        <f t="shared" si="98"/>
        <v>1</v>
      </c>
      <c r="BG35" s="53">
        <f t="shared" si="98"/>
        <v>1</v>
      </c>
      <c r="BH35" s="105">
        <f>AX35-1</f>
        <v>0.19430249316583437</v>
      </c>
      <c r="BR35" s="26">
        <v>2021</v>
      </c>
      <c r="BS35" s="29">
        <f t="shared" ref="BS35:CA35" si="117">BS102/BS$80</f>
        <v>1.1945098039215687</v>
      </c>
      <c r="BT35" s="29">
        <f t="shared" si="117"/>
        <v>1.0713080168776372</v>
      </c>
      <c r="BU35" s="29">
        <f t="shared" si="117"/>
        <v>1.0883458646616542</v>
      </c>
      <c r="BV35" s="29">
        <f t="shared" si="117"/>
        <v>0.99390243902439024</v>
      </c>
      <c r="BW35" s="29">
        <f t="shared" si="117"/>
        <v>1.1247761194029851</v>
      </c>
      <c r="BX35" s="29">
        <f t="shared" si="117"/>
        <v>1.0163236337828248</v>
      </c>
      <c r="BY35" s="29">
        <f t="shared" si="117"/>
        <v>0.89921259842519674</v>
      </c>
      <c r="BZ35" s="29">
        <f t="shared" si="117"/>
        <v>1.0121580547112461</v>
      </c>
      <c r="CA35" s="29">
        <f t="shared" si="117"/>
        <v>0.95678698525673611</v>
      </c>
      <c r="CC35" s="26">
        <v>2021</v>
      </c>
      <c r="CD35" s="29">
        <f t="shared" ref="CD35:CL35" si="118">CD102/CD$80</f>
        <v>0.86680327868852469</v>
      </c>
      <c r="CE35" s="29">
        <f t="shared" si="118"/>
        <v>0.84056271981242681</v>
      </c>
      <c r="CF35" s="29">
        <f t="shared" si="118"/>
        <v>0.78648648648648645</v>
      </c>
      <c r="CG35" s="29">
        <f t="shared" si="118"/>
        <v>0.80160857908847194</v>
      </c>
      <c r="CH35" s="29">
        <f t="shared" si="118"/>
        <v>0.80894308943089432</v>
      </c>
      <c r="CI35" s="29">
        <f t="shared" si="118"/>
        <v>0.79633867276887871</v>
      </c>
      <c r="CJ35" s="29">
        <f t="shared" si="118"/>
        <v>0.77623261694058154</v>
      </c>
      <c r="CK35" s="29">
        <f t="shared" si="118"/>
        <v>0.88355167394468703</v>
      </c>
      <c r="CL35" s="29">
        <f t="shared" si="118"/>
        <v>0.88243243243243241</v>
      </c>
    </row>
    <row r="36" spans="1:90" x14ac:dyDescent="0.2">
      <c r="A36" s="26">
        <f t="shared" si="74"/>
        <v>2037</v>
      </c>
      <c r="B36" s="221">
        <f t="shared" ref="B36:B42" si="119">(B35+(B35-B34))</f>
        <v>8.1134735381334586</v>
      </c>
      <c r="C36" s="221">
        <f t="shared" ref="C36:C42" si="120">(C35+(C35-C34))</f>
        <v>3.3750049999999998</v>
      </c>
      <c r="D36" s="100">
        <f t="shared" si="0"/>
        <v>268.86360296687553</v>
      </c>
      <c r="E36" s="221">
        <f t="shared" si="104"/>
        <v>14.251404143082528</v>
      </c>
      <c r="F36" s="221">
        <f t="shared" si="104"/>
        <v>14.636913999999997</v>
      </c>
      <c r="G36" s="221">
        <f t="shared" si="104"/>
        <v>14.857334477908887</v>
      </c>
      <c r="H36" s="221">
        <f t="shared" si="104"/>
        <v>11.579444687689756</v>
      </c>
      <c r="I36" s="221">
        <f t="shared" si="104"/>
        <v>1.0016698172288998</v>
      </c>
      <c r="J36" s="221">
        <f t="shared" si="104"/>
        <v>534.97234246118887</v>
      </c>
      <c r="K36" s="221">
        <f t="shared" si="104"/>
        <v>416.3582189397502</v>
      </c>
      <c r="L36" s="100">
        <f t="shared" si="105"/>
        <v>328.4416948222335</v>
      </c>
      <c r="M36" s="100">
        <f t="shared" si="106"/>
        <v>315.37280402746813</v>
      </c>
      <c r="N36" s="221">
        <f t="shared" ref="N36:P36" si="121">(N35+(N35-N34))</f>
        <v>0.69999999999999973</v>
      </c>
      <c r="O36" s="100">
        <f t="shared" si="108"/>
        <v>56.8853103825573</v>
      </c>
      <c r="P36" s="221">
        <f t="shared" si="121"/>
        <v>0.10899999999999997</v>
      </c>
      <c r="Q36" s="100">
        <f t="shared" si="109"/>
        <v>636.42319694093692</v>
      </c>
      <c r="R36" s="221">
        <f t="shared" ref="R36" si="122">(R35+(R35-R34))</f>
        <v>4.3001337482449751</v>
      </c>
      <c r="S36" s="100">
        <f t="shared" si="111"/>
        <v>189.61157963449699</v>
      </c>
      <c r="T36" s="100">
        <f t="shared" si="112"/>
        <v>524.9627028854004</v>
      </c>
      <c r="U36" s="101">
        <f t="shared" si="113"/>
        <v>995.71496993692222</v>
      </c>
      <c r="V36" s="101">
        <f t="shared" si="114"/>
        <v>7196.7629429498402</v>
      </c>
      <c r="W36" s="72"/>
      <c r="X36" s="23">
        <v>2035</v>
      </c>
      <c r="Y36" s="53">
        <f t="shared" si="101"/>
        <v>0.30180272484319032</v>
      </c>
      <c r="Z36" s="53">
        <f t="shared" si="35"/>
        <v>-2.5662457502444447E-3</v>
      </c>
      <c r="AA36" s="53">
        <f t="shared" si="101"/>
        <v>0.25009259742780759</v>
      </c>
      <c r="AB36" s="53">
        <f t="shared" si="36"/>
        <v>1.1949205869940416E-2</v>
      </c>
      <c r="AC36" s="53">
        <f t="shared" si="101"/>
        <v>3.933280936740037E-2</v>
      </c>
      <c r="AD36" s="53">
        <f>AC36/AC35-1</f>
        <v>9.0552194087880622E-3</v>
      </c>
      <c r="AE36" s="53">
        <f>AE79/$BF79</f>
        <v>0.11485264945423153</v>
      </c>
      <c r="AF36" s="53">
        <f t="shared" ref="AF36:AH43" si="123">AE36/AE35-1</f>
        <v>-9.9520585386011495E-3</v>
      </c>
      <c r="AG36" s="53">
        <f>AG79/$BF79</f>
        <v>0.28666202632917798</v>
      </c>
      <c r="AH36" s="53">
        <f t="shared" si="123"/>
        <v>-1.2186193338449169E-2</v>
      </c>
      <c r="AI36" s="53">
        <f>AI79/$BF79</f>
        <v>0.61535634420727903</v>
      </c>
      <c r="AJ36" s="53">
        <f t="shared" ref="AJ36:AJ43" si="124">AI36/AI35-1</f>
        <v>3.457713320742517E-4</v>
      </c>
      <c r="AK36" s="53">
        <f>AK79/$BF79</f>
        <v>0.25009259742780759</v>
      </c>
      <c r="AL36" s="53">
        <f t="shared" ref="AL36:AL43" si="125">AK36/AK35-1</f>
        <v>1.1949205869940416E-2</v>
      </c>
      <c r="AM36" s="53">
        <f t="shared" si="97"/>
        <v>3.933280936740037E-2</v>
      </c>
      <c r="AN36" s="53">
        <f t="shared" si="97"/>
        <v>0.92482796488590957</v>
      </c>
      <c r="AO36" s="53">
        <f t="shared" si="43"/>
        <v>7.8197184118899976E-4</v>
      </c>
      <c r="AP36" s="53">
        <f>AP79/$BF79</f>
        <v>0.70716242481210045</v>
      </c>
      <c r="AQ36" s="53">
        <f t="shared" si="44"/>
        <v>5.1875655132196385E-3</v>
      </c>
      <c r="AR36" s="53">
        <f>AR79/$BF79</f>
        <v>0.75333455401090632</v>
      </c>
      <c r="AS36" s="53">
        <f t="shared" si="45"/>
        <v>2.2478428216206048E-3</v>
      </c>
      <c r="AT36" s="53">
        <f>AT79/$BF79</f>
        <v>1.7073443145840344</v>
      </c>
      <c r="AU36" s="53">
        <f t="shared" si="45"/>
        <v>1.1396750441150516E-3</v>
      </c>
      <c r="AV36" s="53">
        <f>AV79/$BF79</f>
        <v>0.86985076225144942</v>
      </c>
      <c r="AW36" s="53">
        <f t="shared" ref="AW36:AW43" si="126">AV36/AV35-1</f>
        <v>1.4678436864858924E-3</v>
      </c>
      <c r="AX36" s="53">
        <f>AX79/$BF79</f>
        <v>1.1941616578123475</v>
      </c>
      <c r="AY36" s="53">
        <f t="shared" si="115"/>
        <v>-1.1792268231269887E-4</v>
      </c>
      <c r="AZ36" s="53">
        <f>AZ79/$BF79</f>
        <v>0.45530777710427517</v>
      </c>
      <c r="BA36" s="53">
        <f t="shared" si="46"/>
        <v>-4.1366845467261104E-4</v>
      </c>
      <c r="BB36" s="53">
        <f>BB79/$BF79</f>
        <v>4.3063590030369312</v>
      </c>
      <c r="BC36" s="53">
        <f t="shared" si="116"/>
        <v>4.8981660183939901E-3</v>
      </c>
      <c r="BD36" s="53">
        <f t="shared" si="26"/>
        <v>0.37814729347799025</v>
      </c>
      <c r="BE36" s="53">
        <f t="shared" si="47"/>
        <v>-6.1328174227031074E-3</v>
      </c>
      <c r="BF36" s="53">
        <f t="shared" si="98"/>
        <v>1</v>
      </c>
      <c r="BG36" s="53">
        <f t="shared" si="98"/>
        <v>1</v>
      </c>
      <c r="BH36" s="105">
        <f>AX36-1</f>
        <v>0.19416165781234751</v>
      </c>
      <c r="BR36" s="26">
        <v>2022</v>
      </c>
      <c r="BS36" s="29">
        <f t="shared" ref="BS36:CA36" si="127">BS103/BS$80</f>
        <v>1.1823529411764706</v>
      </c>
      <c r="BT36" s="29">
        <f t="shared" si="127"/>
        <v>1.0649789029535865</v>
      </c>
      <c r="BU36" s="29">
        <f t="shared" si="127"/>
        <v>1.0808270676691729</v>
      </c>
      <c r="BV36" s="29">
        <f t="shared" si="127"/>
        <v>0.99119241192411933</v>
      </c>
      <c r="BW36" s="29">
        <f t="shared" si="127"/>
        <v>1.120597014925373</v>
      </c>
      <c r="BX36" s="29">
        <f t="shared" si="127"/>
        <v>1.0056777856635912</v>
      </c>
      <c r="BY36" s="29">
        <f t="shared" si="127"/>
        <v>0.91076115485564313</v>
      </c>
      <c r="BZ36" s="29">
        <f t="shared" si="127"/>
        <v>1.0206686930091184</v>
      </c>
      <c r="CA36" s="29">
        <f t="shared" si="127"/>
        <v>0.9527198779867817</v>
      </c>
      <c r="CC36" s="26">
        <v>2022</v>
      </c>
      <c r="CD36" s="29">
        <f t="shared" ref="CD36:CL36" si="128">CD103/CD$80</f>
        <v>0.88012295081967218</v>
      </c>
      <c r="CE36" s="29">
        <f t="shared" si="128"/>
        <v>0.84994138335287228</v>
      </c>
      <c r="CF36" s="29">
        <f t="shared" si="128"/>
        <v>0.80135135135135127</v>
      </c>
      <c r="CG36" s="29">
        <f t="shared" si="128"/>
        <v>0.8163538873994638</v>
      </c>
      <c r="CH36" s="29">
        <f t="shared" si="128"/>
        <v>0.82113821138211385</v>
      </c>
      <c r="CI36" s="29">
        <f t="shared" si="128"/>
        <v>0.81006864988558347</v>
      </c>
      <c r="CJ36" s="29">
        <f t="shared" si="128"/>
        <v>0.78761061946902655</v>
      </c>
      <c r="CK36" s="29">
        <f t="shared" si="128"/>
        <v>0.90393013100436681</v>
      </c>
      <c r="CL36" s="29">
        <f t="shared" si="128"/>
        <v>0.9</v>
      </c>
    </row>
    <row r="37" spans="1:90" x14ac:dyDescent="0.2">
      <c r="A37" s="26">
        <f t="shared" si="74"/>
        <v>2038</v>
      </c>
      <c r="B37" s="221">
        <f t="shared" si="119"/>
        <v>8.116628240828959</v>
      </c>
      <c r="C37" s="221">
        <f t="shared" si="120"/>
        <v>3.3780099999999997</v>
      </c>
      <c r="D37" s="100">
        <f t="shared" si="0"/>
        <v>260.5013072628102</v>
      </c>
      <c r="E37" s="221">
        <f t="shared" si="104"/>
        <v>14.260664948420862</v>
      </c>
      <c r="F37" s="221">
        <f t="shared" si="104"/>
        <v>14.660486999999996</v>
      </c>
      <c r="G37" s="221">
        <f t="shared" si="104"/>
        <v>14.86642243490941</v>
      </c>
      <c r="H37" s="221">
        <f t="shared" si="104"/>
        <v>11.59150662152997</v>
      </c>
      <c r="I37" s="221">
        <f t="shared" si="104"/>
        <v>1.0023807423002125</v>
      </c>
      <c r="J37" s="221">
        <f t="shared" si="104"/>
        <v>534.32938702260151</v>
      </c>
      <c r="K37" s="221">
        <f t="shared" si="104"/>
        <v>414.23105281725844</v>
      </c>
      <c r="L37" s="100">
        <f t="shared" si="105"/>
        <v>328.25535920836899</v>
      </c>
      <c r="M37" s="100">
        <f t="shared" si="106"/>
        <v>315.37278722236141</v>
      </c>
      <c r="N37" s="221">
        <f t="shared" ref="N37:P37" si="129">(N36+(N36-N35))</f>
        <v>0.69999999999999973</v>
      </c>
      <c r="O37" s="100">
        <f t="shared" si="108"/>
        <v>56.87263118544282</v>
      </c>
      <c r="P37" s="221">
        <f t="shared" si="129"/>
        <v>0.10899999999999996</v>
      </c>
      <c r="Q37" s="100">
        <f t="shared" si="109"/>
        <v>636.7986543173671</v>
      </c>
      <c r="R37" s="221">
        <f t="shared" ref="R37" si="130">(R36+(R36-R35))</f>
        <v>4.2986920819142842</v>
      </c>
      <c r="S37" s="100">
        <f t="shared" si="111"/>
        <v>189.99256847786862</v>
      </c>
      <c r="T37" s="100">
        <f t="shared" si="112"/>
        <v>524.77513111315454</v>
      </c>
      <c r="U37" s="101">
        <f t="shared" si="113"/>
        <v>992.22803523194307</v>
      </c>
      <c r="V37" s="101">
        <f t="shared" si="114"/>
        <v>7283.4726925739569</v>
      </c>
      <c r="W37" s="72"/>
      <c r="X37" s="23">
        <v>2036</v>
      </c>
      <c r="Y37" s="218">
        <f>Y36*(1+Z36)</f>
        <v>0.30102822488314929</v>
      </c>
      <c r="Z37" s="53">
        <f t="shared" si="35"/>
        <v>-2.5662457502444447E-3</v>
      </c>
      <c r="AA37" s="218">
        <f>AA36*(1+AB36)</f>
        <v>0.25308100536102057</v>
      </c>
      <c r="AB37" s="53">
        <f t="shared" si="36"/>
        <v>1.1949205869940416E-2</v>
      </c>
      <c r="AC37" s="218">
        <f>AC36*(1+AD36)</f>
        <v>3.9688976586186218E-2</v>
      </c>
      <c r="AD37" s="53">
        <f>AC37/AC36-1</f>
        <v>9.0552194087880622E-3</v>
      </c>
      <c r="AE37" s="218">
        <f>AE36*(1+AF36)</f>
        <v>0.11370962916354958</v>
      </c>
      <c r="AF37" s="53">
        <f t="shared" si="123"/>
        <v>-9.9520585386011495E-3</v>
      </c>
      <c r="AG37" s="218">
        <f>AG36*(1+AH36)</f>
        <v>0.283168707453539</v>
      </c>
      <c r="AH37" s="53">
        <f t="shared" si="123"/>
        <v>-1.2186193338449169E-2</v>
      </c>
      <c r="AI37" s="218">
        <f>AI36*(1+AJ36)</f>
        <v>0.61556911679011594</v>
      </c>
      <c r="AJ37" s="53">
        <f t="shared" si="124"/>
        <v>3.457713320742517E-4</v>
      </c>
      <c r="AK37" s="218">
        <f>AK36*(1+AL36)</f>
        <v>0.25308100536102057</v>
      </c>
      <c r="AL37" s="53">
        <f t="shared" si="125"/>
        <v>1.1949205869940416E-2</v>
      </c>
      <c r="AM37" s="218">
        <f>AM36*(1+AN36)</f>
        <v>7.5708891407898687E-2</v>
      </c>
      <c r="AN37" s="218">
        <f>AN36*(1+AO36)</f>
        <v>0.92555115431239443</v>
      </c>
      <c r="AO37" s="53">
        <f t="shared" si="43"/>
        <v>7.8197184118899976E-4</v>
      </c>
      <c r="AP37" s="218">
        <f>AP36*(1+AQ36)</f>
        <v>0.71083087621930052</v>
      </c>
      <c r="AQ37" s="53">
        <f t="shared" si="44"/>
        <v>5.1875655132196385E-3</v>
      </c>
      <c r="AR37" s="218">
        <f>AR36*(1+AS36)</f>
        <v>0.75502793168041848</v>
      </c>
      <c r="AS37" s="53">
        <f t="shared" ref="AS37:AS43" si="131">AR37/AR36-1</f>
        <v>2.2478428216206048E-3</v>
      </c>
      <c r="AT37" s="218">
        <f>AT36*(1+AU36)</f>
        <v>1.7092901322910774</v>
      </c>
      <c r="AU37" s="53">
        <f t="shared" ref="AU37:AU43" si="132">AT37/AT36-1</f>
        <v>1.1396750441150516E-3</v>
      </c>
      <c r="AV37" s="218">
        <f>AV36*(1+AW36)</f>
        <v>0.87112756720100515</v>
      </c>
      <c r="AW37" s="53">
        <f t="shared" si="126"/>
        <v>1.4678436864858924E-3</v>
      </c>
      <c r="AX37" s="218">
        <f>AX36*(1+AY36)</f>
        <v>1.1940208390665432</v>
      </c>
      <c r="AY37" s="53">
        <f t="shared" si="115"/>
        <v>-1.1792268231280989E-4</v>
      </c>
      <c r="AZ37" s="218">
        <f>AZ36*(1+BA36)</f>
        <v>0.45511943063972005</v>
      </c>
      <c r="BA37" s="53">
        <f t="shared" si="46"/>
        <v>-4.1366845467261104E-4</v>
      </c>
      <c r="BB37" s="218">
        <f>BB36*(1+BC36)</f>
        <v>4.3274522643686115</v>
      </c>
      <c r="BC37" s="53">
        <f t="shared" si="116"/>
        <v>4.8981660183939901E-3</v>
      </c>
      <c r="BD37" s="218">
        <f>BD36*(1+BE36)</f>
        <v>0.37582818516820043</v>
      </c>
      <c r="BE37" s="53">
        <f t="shared" si="47"/>
        <v>-6.1328174227029963E-3</v>
      </c>
      <c r="BF37" s="219">
        <f>BF36</f>
        <v>1</v>
      </c>
      <c r="BG37" s="219">
        <f>BG36</f>
        <v>1</v>
      </c>
      <c r="BH37" s="105">
        <f t="shared" ref="BH37:BH43" si="133">AX37-1</f>
        <v>0.19402083906654322</v>
      </c>
      <c r="BR37" s="26"/>
      <c r="BS37" s="29"/>
      <c r="BT37" s="29"/>
      <c r="BU37" s="29"/>
      <c r="BV37" s="29"/>
      <c r="BW37" s="29"/>
      <c r="BX37" s="29"/>
      <c r="BY37" s="29"/>
      <c r="BZ37" s="29"/>
      <c r="CA37" s="29"/>
      <c r="CC37" s="26"/>
      <c r="CD37" s="29"/>
      <c r="CE37" s="29"/>
      <c r="CF37" s="29"/>
      <c r="CG37" s="29"/>
      <c r="CH37" s="29"/>
      <c r="CI37" s="29"/>
      <c r="CJ37" s="29"/>
      <c r="CK37" s="29"/>
      <c r="CL37" s="29"/>
    </row>
    <row r="38" spans="1:90" x14ac:dyDescent="0.2">
      <c r="A38" s="26">
        <f t="shared" si="74"/>
        <v>2039</v>
      </c>
      <c r="B38" s="221">
        <f t="shared" si="119"/>
        <v>8.1197829435244593</v>
      </c>
      <c r="C38" s="221">
        <f t="shared" si="120"/>
        <v>3.3810149999999997</v>
      </c>
      <c r="D38" s="100">
        <f t="shared" si="0"/>
        <v>252.39909878762444</v>
      </c>
      <c r="E38" s="221">
        <f t="shared" si="104"/>
        <v>14.269925753759196</v>
      </c>
      <c r="F38" s="221">
        <f t="shared" si="104"/>
        <v>14.684059999999995</v>
      </c>
      <c r="G38" s="221">
        <f t="shared" si="104"/>
        <v>14.875510391909932</v>
      </c>
      <c r="H38" s="221">
        <f t="shared" si="104"/>
        <v>11.603568555370183</v>
      </c>
      <c r="I38" s="221">
        <f t="shared" si="104"/>
        <v>1.0030916673715251</v>
      </c>
      <c r="J38" s="221">
        <f t="shared" si="104"/>
        <v>533.68643158401414</v>
      </c>
      <c r="K38" s="221">
        <f t="shared" si="104"/>
        <v>412.10388669476669</v>
      </c>
      <c r="L38" s="100">
        <f t="shared" si="105"/>
        <v>328.06912930873472</v>
      </c>
      <c r="M38" s="100">
        <f t="shared" si="106"/>
        <v>315.37277041725548</v>
      </c>
      <c r="N38" s="221">
        <f t="shared" ref="N38:P38" si="134">(N37+(N37-N36))</f>
        <v>0.69999999999999973</v>
      </c>
      <c r="O38" s="100">
        <f t="shared" si="108"/>
        <v>56.859954814401334</v>
      </c>
      <c r="P38" s="221">
        <f t="shared" si="134"/>
        <v>0.10899999999999994</v>
      </c>
      <c r="Q38" s="100">
        <f t="shared" si="109"/>
        <v>637.17433319458837</v>
      </c>
      <c r="R38" s="221">
        <f t="shared" ref="R38" si="135">(R37+(R37-R36))</f>
        <v>4.2972504155835933</v>
      </c>
      <c r="S38" s="100">
        <f t="shared" si="111"/>
        <v>190.37432284673739</v>
      </c>
      <c r="T38" s="100">
        <f t="shared" si="112"/>
        <v>524.58762636123129</v>
      </c>
      <c r="U38" s="101">
        <f t="shared" si="113"/>
        <v>988.75331156526681</v>
      </c>
      <c r="V38" s="101">
        <f t="shared" si="114"/>
        <v>7371.2271592103561</v>
      </c>
      <c r="W38" s="72"/>
      <c r="X38" s="23">
        <v>2037</v>
      </c>
      <c r="Y38" s="218">
        <f t="shared" ref="Y38:Y43" si="136">Y37*(1+Z37)</f>
        <v>0.30025571248033928</v>
      </c>
      <c r="Z38" s="53">
        <f t="shared" ref="Z38:Z43" si="137">Y38/Y37-1</f>
        <v>-2.5662457502444447E-3</v>
      </c>
      <c r="AA38" s="218">
        <f t="shared" ref="AA38:AA43" si="138">AA37*(1+AB37)</f>
        <v>0.25610512239585093</v>
      </c>
      <c r="AB38" s="53">
        <f t="shared" ref="AB38:AD43" si="139">AA38/AA37-1</f>
        <v>1.1949205869940416E-2</v>
      </c>
      <c r="AC38" s="218">
        <f t="shared" ref="AC38:AE43" si="140">AC37*(1+AD37)</f>
        <v>4.0048368977284386E-2</v>
      </c>
      <c r="AD38" s="53">
        <f t="shared" si="139"/>
        <v>9.0552194087880622E-3</v>
      </c>
      <c r="AE38" s="218">
        <f t="shared" si="140"/>
        <v>0.1125779842777113</v>
      </c>
      <c r="AF38" s="53">
        <f t="shared" si="123"/>
        <v>-9.9520585386011495E-3</v>
      </c>
      <c r="AG38" s="218">
        <f t="shared" ref="AG38:AG43" si="141">AG37*(1+AH37)</f>
        <v>0.27971795883711142</v>
      </c>
      <c r="AH38" s="53">
        <f t="shared" si="123"/>
        <v>-1.2186193338449169E-2</v>
      </c>
      <c r="AI38" s="218">
        <f t="shared" ref="AI38:AI43" si="142">AI37*(1+AJ37)</f>
        <v>0.6157819629436122</v>
      </c>
      <c r="AJ38" s="53">
        <f t="shared" si="124"/>
        <v>3.457713320742517E-4</v>
      </c>
      <c r="AK38" s="218">
        <f t="shared" ref="AK38:AK43" si="143">AK37*(1+AL37)</f>
        <v>0.25610512239585093</v>
      </c>
      <c r="AL38" s="53">
        <f t="shared" si="125"/>
        <v>1.1949205869940416E-2</v>
      </c>
      <c r="AM38" s="218">
        <f t="shared" ref="AM38:AN43" si="144">AM37*(1+AN37)</f>
        <v>0.14578134324219102</v>
      </c>
      <c r="AN38" s="218">
        <f t="shared" si="144"/>
        <v>0.92627490925264666</v>
      </c>
      <c r="AO38" s="53">
        <f t="shared" si="43"/>
        <v>7.8197184118899976E-4</v>
      </c>
      <c r="AP38" s="218">
        <f t="shared" ref="AP38:AP43" si="145">AP37*(1+AQ37)</f>
        <v>0.71451835795850749</v>
      </c>
      <c r="AQ38" s="53">
        <f t="shared" si="44"/>
        <v>5.1875655132196385E-3</v>
      </c>
      <c r="AR38" s="218">
        <f t="shared" ref="AR38:AR43" si="146">AR37*(1+AS37)</f>
        <v>0.75672511579676938</v>
      </c>
      <c r="AS38" s="53">
        <f t="shared" si="131"/>
        <v>2.2478428216206048E-3</v>
      </c>
      <c r="AT38" s="218">
        <f t="shared" ref="AT38:AT43" si="147">AT37*(1+AU37)</f>
        <v>1.7112381675980017</v>
      </c>
      <c r="AU38" s="53">
        <f t="shared" si="132"/>
        <v>1.1396750441150516E-3</v>
      </c>
      <c r="AV38" s="218">
        <f t="shared" ref="AV38:AV43" si="148">AV37*(1+AW37)</f>
        <v>0.87240624630064501</v>
      </c>
      <c r="AW38" s="53">
        <f t="shared" si="126"/>
        <v>1.4678436864858924E-3</v>
      </c>
      <c r="AX38" s="218">
        <f t="shared" ref="AX38:AX43" si="149">AX37*(1+AY37)</f>
        <v>1.1938800369264631</v>
      </c>
      <c r="AY38" s="53">
        <f t="shared" si="115"/>
        <v>-1.1792268231280989E-4</v>
      </c>
      <c r="AZ38" s="218">
        <f t="shared" ref="AZ38:AZ43" si="150">AZ37*(1+BA37)</f>
        <v>0.45493116208815582</v>
      </c>
      <c r="BA38" s="53">
        <f t="shared" si="46"/>
        <v>-4.1366845467261104E-4</v>
      </c>
      <c r="BB38" s="218">
        <f t="shared" ref="BB38:BD43" si="151">BB37*(1+BC37)</f>
        <v>4.3486488439961644</v>
      </c>
      <c r="BC38" s="53">
        <f t="shared" si="116"/>
        <v>4.8981660183939901E-3</v>
      </c>
      <c r="BD38" s="218">
        <f t="shared" si="151"/>
        <v>0.37352329952625807</v>
      </c>
      <c r="BE38" s="53">
        <f t="shared" si="47"/>
        <v>-6.1328174227029963E-3</v>
      </c>
      <c r="BF38" s="219">
        <f t="shared" ref="BF38:BF44" si="152">BF37</f>
        <v>1</v>
      </c>
      <c r="BG38" s="219">
        <f t="shared" ref="BG38:BG44" si="153">BG37</f>
        <v>1</v>
      </c>
      <c r="BH38" s="105">
        <f t="shared" si="133"/>
        <v>0.19388003692646305</v>
      </c>
      <c r="BR38" s="26"/>
      <c r="BS38" s="29"/>
      <c r="BT38" s="29"/>
      <c r="BU38" s="29"/>
      <c r="BV38" s="29"/>
      <c r="BW38" s="29"/>
      <c r="BX38" s="29"/>
      <c r="BY38" s="29"/>
      <c r="BZ38" s="29"/>
      <c r="CA38" s="29"/>
      <c r="CC38" s="26"/>
      <c r="CD38" s="29"/>
      <c r="CE38" s="29"/>
      <c r="CF38" s="29"/>
      <c r="CG38" s="29"/>
      <c r="CH38" s="29"/>
      <c r="CI38" s="29"/>
      <c r="CJ38" s="29"/>
      <c r="CK38" s="29"/>
      <c r="CL38" s="29"/>
    </row>
    <row r="39" spans="1:90" x14ac:dyDescent="0.2">
      <c r="A39" s="26">
        <f t="shared" si="74"/>
        <v>2040</v>
      </c>
      <c r="B39" s="221">
        <f t="shared" si="119"/>
        <v>8.1229376462199596</v>
      </c>
      <c r="C39" s="221">
        <f t="shared" si="120"/>
        <v>3.3840199999999996</v>
      </c>
      <c r="D39" s="100">
        <f t="shared" si="0"/>
        <v>244.54888821166284</v>
      </c>
      <c r="E39" s="221">
        <f t="shared" si="104"/>
        <v>14.27918655909753</v>
      </c>
      <c r="F39" s="221">
        <f t="shared" si="104"/>
        <v>14.707632999999994</v>
      </c>
      <c r="G39" s="221">
        <f t="shared" si="104"/>
        <v>14.884598348910455</v>
      </c>
      <c r="H39" s="221">
        <f t="shared" si="104"/>
        <v>11.615630489210396</v>
      </c>
      <c r="I39" s="221">
        <f t="shared" si="104"/>
        <v>1.0038025924428378</v>
      </c>
      <c r="J39" s="221">
        <f t="shared" si="104"/>
        <v>533.04347614542678</v>
      </c>
      <c r="K39" s="221">
        <f t="shared" si="104"/>
        <v>409.97672057227493</v>
      </c>
      <c r="L39" s="100">
        <f t="shared" si="105"/>
        <v>327.88300506335577</v>
      </c>
      <c r="M39" s="100">
        <f t="shared" si="106"/>
        <v>315.37275361215052</v>
      </c>
      <c r="N39" s="221">
        <f t="shared" ref="N39:P39" si="154">(N38+(N38-N37))</f>
        <v>0.69999999999999973</v>
      </c>
      <c r="O39" s="100">
        <f t="shared" si="108"/>
        <v>56.847281268802945</v>
      </c>
      <c r="P39" s="221">
        <f t="shared" si="154"/>
        <v>0.10899999999999993</v>
      </c>
      <c r="Q39" s="100">
        <f t="shared" si="109"/>
        <v>637.5502337032749</v>
      </c>
      <c r="R39" s="221">
        <f t="shared" ref="R39" si="155">(R38+(R38-R37))</f>
        <v>4.2958087492529025</v>
      </c>
      <c r="S39" s="100">
        <f t="shared" si="111"/>
        <v>190.75684427928303</v>
      </c>
      <c r="T39" s="100">
        <f t="shared" si="112"/>
        <v>524.40018860568409</v>
      </c>
      <c r="U39" s="101">
        <f t="shared" si="113"/>
        <v>985.29075617456249</v>
      </c>
      <c r="V39" s="101">
        <f t="shared" si="114"/>
        <v>7460.0389300668276</v>
      </c>
      <c r="W39" s="72"/>
      <c r="X39" s="23">
        <v>2038</v>
      </c>
      <c r="Y39" s="218">
        <f t="shared" si="136"/>
        <v>0.29948518253419998</v>
      </c>
      <c r="Z39" s="53">
        <f t="shared" si="137"/>
        <v>-2.5662457502444447E-3</v>
      </c>
      <c r="AA39" s="218">
        <f t="shared" si="138"/>
        <v>0.25916537522770522</v>
      </c>
      <c r="AB39" s="53">
        <f t="shared" si="139"/>
        <v>1.1949205869940416E-2</v>
      </c>
      <c r="AC39" s="218">
        <f t="shared" si="140"/>
        <v>4.04110157453378E-2</v>
      </c>
      <c r="AD39" s="53">
        <f t="shared" si="139"/>
        <v>9.0552194087880622E-3</v>
      </c>
      <c r="AE39" s="218">
        <f t="shared" si="140"/>
        <v>0.1114576015880218</v>
      </c>
      <c r="AF39" s="53">
        <f t="shared" si="123"/>
        <v>-9.9520585386011495E-3</v>
      </c>
      <c r="AG39" s="218">
        <f t="shared" si="141"/>
        <v>0.27630926171048603</v>
      </c>
      <c r="AH39" s="53">
        <f t="shared" si="123"/>
        <v>-1.2186193338449169E-2</v>
      </c>
      <c r="AI39" s="218">
        <f t="shared" si="142"/>
        <v>0.61599488269320657</v>
      </c>
      <c r="AJ39" s="53">
        <f t="shared" si="124"/>
        <v>3.457713320742517E-4</v>
      </c>
      <c r="AK39" s="218">
        <f t="shared" si="143"/>
        <v>0.25916537522770522</v>
      </c>
      <c r="AL39" s="53">
        <f t="shared" si="125"/>
        <v>1.1949205869940416E-2</v>
      </c>
      <c r="AM39" s="218">
        <f t="shared" si="144"/>
        <v>0.28081494372458049</v>
      </c>
      <c r="AN39" s="218">
        <f t="shared" si="144"/>
        <v>0.92699923014888208</v>
      </c>
      <c r="AO39" s="53">
        <f t="shared" si="43"/>
        <v>7.8197184118899976E-4</v>
      </c>
      <c r="AP39" s="218">
        <f t="shared" si="145"/>
        <v>0.71822496875081532</v>
      </c>
      <c r="AQ39" s="53">
        <f t="shared" si="44"/>
        <v>5.1875655132196385E-3</v>
      </c>
      <c r="AR39" s="218">
        <f t="shared" si="146"/>
        <v>0.75842611491625311</v>
      </c>
      <c r="AS39" s="53">
        <f t="shared" si="131"/>
        <v>2.2478428216206048E-3</v>
      </c>
      <c r="AT39" s="218">
        <f t="shared" si="147"/>
        <v>1.7131884230321504</v>
      </c>
      <c r="AU39" s="53">
        <f t="shared" si="132"/>
        <v>1.1396750441150516E-3</v>
      </c>
      <c r="AV39" s="218">
        <f t="shared" si="148"/>
        <v>0.87368680230132822</v>
      </c>
      <c r="AW39" s="53">
        <f t="shared" si="126"/>
        <v>1.4678436864858924E-3</v>
      </c>
      <c r="AX39" s="218">
        <f t="shared" si="149"/>
        <v>1.193739251390149</v>
      </c>
      <c r="AY39" s="53">
        <f t="shared" si="115"/>
        <v>-1.1792268231280989E-4</v>
      </c>
      <c r="AZ39" s="218">
        <f t="shared" si="150"/>
        <v>0.45474297141735237</v>
      </c>
      <c r="BA39" s="53">
        <f t="shared" si="46"/>
        <v>-4.1366845467261104E-4</v>
      </c>
      <c r="BB39" s="218">
        <f t="shared" si="151"/>
        <v>4.369949247989755</v>
      </c>
      <c r="BC39" s="53">
        <f t="shared" si="116"/>
        <v>4.8981660183939901E-3</v>
      </c>
      <c r="BD39" s="218">
        <f t="shared" si="151"/>
        <v>0.3712325493271379</v>
      </c>
      <c r="BE39" s="53">
        <f t="shared" si="47"/>
        <v>-6.1328174227031074E-3</v>
      </c>
      <c r="BF39" s="219">
        <f t="shared" si="152"/>
        <v>1</v>
      </c>
      <c r="BG39" s="219">
        <f t="shared" si="153"/>
        <v>1</v>
      </c>
      <c r="BH39" s="105">
        <f t="shared" si="133"/>
        <v>0.19373925139014903</v>
      </c>
      <c r="BR39" s="26"/>
      <c r="BS39" s="29"/>
      <c r="BT39" s="29"/>
      <c r="BU39" s="29"/>
      <c r="BV39" s="29"/>
      <c r="BW39" s="29"/>
      <c r="BX39" s="29"/>
      <c r="BY39" s="29"/>
      <c r="BZ39" s="29"/>
      <c r="CA39" s="29"/>
      <c r="CC39" s="26"/>
      <c r="CD39" s="29"/>
      <c r="CE39" s="29"/>
      <c r="CF39" s="29"/>
      <c r="CG39" s="29"/>
      <c r="CH39" s="29"/>
      <c r="CI39" s="29"/>
      <c r="CJ39" s="29"/>
      <c r="CK39" s="29"/>
      <c r="CL39" s="29"/>
    </row>
    <row r="40" spans="1:90" x14ac:dyDescent="0.2">
      <c r="A40" s="26">
        <f t="shared" si="74"/>
        <v>2041</v>
      </c>
      <c r="B40" s="221">
        <f t="shared" si="119"/>
        <v>8.12609234891546</v>
      </c>
      <c r="C40" s="221">
        <f t="shared" si="120"/>
        <v>3.3870249999999995</v>
      </c>
      <c r="D40" s="100">
        <f t="shared" si="0"/>
        <v>236.94283780260733</v>
      </c>
      <c r="E40" s="221">
        <f t="shared" si="104"/>
        <v>14.288447364435864</v>
      </c>
      <c r="F40" s="221">
        <f t="shared" si="104"/>
        <v>14.731205999999993</v>
      </c>
      <c r="G40" s="221">
        <f t="shared" si="104"/>
        <v>14.893686305910977</v>
      </c>
      <c r="H40" s="221">
        <f t="shared" si="104"/>
        <v>11.627692423050609</v>
      </c>
      <c r="I40" s="221">
        <f t="shared" si="104"/>
        <v>1.0045135175141504</v>
      </c>
      <c r="J40" s="221">
        <f t="shared" si="104"/>
        <v>532.40052070683942</v>
      </c>
      <c r="K40" s="221">
        <f t="shared" si="104"/>
        <v>407.84955444978317</v>
      </c>
      <c r="L40" s="100">
        <f t="shared" si="105"/>
        <v>327.69698641229098</v>
      </c>
      <c r="M40" s="100">
        <f t="shared" si="106"/>
        <v>315.37273680704646</v>
      </c>
      <c r="N40" s="221">
        <f t="shared" ref="N40:P40" si="156">(N39+(N39-N38))</f>
        <v>0.69999999999999973</v>
      </c>
      <c r="O40" s="100">
        <f t="shared" si="108"/>
        <v>56.834610548017871</v>
      </c>
      <c r="P40" s="221">
        <f t="shared" si="156"/>
        <v>0.10899999999999992</v>
      </c>
      <c r="Q40" s="100">
        <f t="shared" si="109"/>
        <v>637.92635597417802</v>
      </c>
      <c r="R40" s="221">
        <f t="shared" ref="R40" si="157">(R39+(R39-R38))</f>
        <v>4.2943670829222116</v>
      </c>
      <c r="S40" s="100">
        <f t="shared" si="111"/>
        <v>191.14013431677583</v>
      </c>
      <c r="T40" s="100">
        <f t="shared" si="112"/>
        <v>524.21281782257461</v>
      </c>
      <c r="U40" s="101">
        <f t="shared" si="113"/>
        <v>981.84032644725016</v>
      </c>
      <c r="V40" s="101">
        <f t="shared" si="114"/>
        <v>7549.9207440073469</v>
      </c>
      <c r="W40" s="72"/>
      <c r="X40" s="23">
        <v>2039</v>
      </c>
      <c r="Y40" s="218">
        <f t="shared" si="136"/>
        <v>0.29871662995726039</v>
      </c>
      <c r="Z40" s="53">
        <f t="shared" si="137"/>
        <v>-2.5662457502444447E-3</v>
      </c>
      <c r="AA40" s="218">
        <f t="shared" si="138"/>
        <v>0.26226219565066144</v>
      </c>
      <c r="AB40" s="53">
        <f t="shared" si="139"/>
        <v>1.1949205869940416E-2</v>
      </c>
      <c r="AC40" s="218">
        <f t="shared" si="140"/>
        <v>4.0776946359443823E-2</v>
      </c>
      <c r="AD40" s="53">
        <f t="shared" si="139"/>
        <v>9.0552194087880622E-3</v>
      </c>
      <c r="AE40" s="218">
        <f t="shared" si="140"/>
        <v>0.11034836901244573</v>
      </c>
      <c r="AF40" s="53">
        <f t="shared" si="123"/>
        <v>-9.9520585386011495E-3</v>
      </c>
      <c r="AG40" s="218">
        <f t="shared" si="141"/>
        <v>0.2729421036260779</v>
      </c>
      <c r="AH40" s="53">
        <f t="shared" si="123"/>
        <v>-1.2186193338449169E-2</v>
      </c>
      <c r="AI40" s="218">
        <f t="shared" si="142"/>
        <v>0.61620787606434635</v>
      </c>
      <c r="AJ40" s="53">
        <f t="shared" si="124"/>
        <v>3.457713320742517E-4</v>
      </c>
      <c r="AK40" s="218">
        <f t="shared" si="143"/>
        <v>0.26226219565066144</v>
      </c>
      <c r="AL40" s="53">
        <f t="shared" si="125"/>
        <v>1.1949205869940416E-2</v>
      </c>
      <c r="AM40" s="218">
        <f t="shared" si="144"/>
        <v>0.54113018037156824</v>
      </c>
      <c r="AN40" s="218">
        <f t="shared" si="144"/>
        <v>0.92772411744366234</v>
      </c>
      <c r="AO40" s="53">
        <f t="shared" si="43"/>
        <v>7.8197184118899976E-4</v>
      </c>
      <c r="AP40" s="218">
        <f t="shared" si="145"/>
        <v>0.72195080782944032</v>
      </c>
      <c r="AQ40" s="53">
        <f t="shared" si="44"/>
        <v>5.1875655132196385E-3</v>
      </c>
      <c r="AR40" s="218">
        <f t="shared" si="146"/>
        <v>0.76013093761439721</v>
      </c>
      <c r="AS40" s="53">
        <f t="shared" si="131"/>
        <v>2.2478428216206048E-3</v>
      </c>
      <c r="AT40" s="218">
        <f t="shared" si="147"/>
        <v>1.7151409011237468</v>
      </c>
      <c r="AU40" s="53">
        <f t="shared" si="132"/>
        <v>1.1396750441150516E-3</v>
      </c>
      <c r="AV40" s="218">
        <f t="shared" si="148"/>
        <v>0.87496923795805226</v>
      </c>
      <c r="AW40" s="53">
        <f t="shared" si="126"/>
        <v>1.4678436864858924E-3</v>
      </c>
      <c r="AX40" s="218">
        <f t="shared" si="149"/>
        <v>1.1935984824556429</v>
      </c>
      <c r="AY40" s="53">
        <f t="shared" si="115"/>
        <v>-1.1792268231292091E-4</v>
      </c>
      <c r="AZ40" s="218">
        <f t="shared" si="150"/>
        <v>0.45455485859509293</v>
      </c>
      <c r="BA40" s="53">
        <f t="shared" si="46"/>
        <v>-4.1366845467261104E-4</v>
      </c>
      <c r="BB40" s="218">
        <f t="shared" si="151"/>
        <v>4.3913539848983651</v>
      </c>
      <c r="BC40" s="53">
        <f t="shared" si="116"/>
        <v>4.8981660183939901E-3</v>
      </c>
      <c r="BD40" s="218">
        <f t="shared" si="151"/>
        <v>0.36895584788074992</v>
      </c>
      <c r="BE40" s="53">
        <f t="shared" si="47"/>
        <v>-6.1328174227031074E-3</v>
      </c>
      <c r="BF40" s="219">
        <f t="shared" si="152"/>
        <v>1</v>
      </c>
      <c r="BG40" s="219">
        <f t="shared" si="153"/>
        <v>1</v>
      </c>
      <c r="BH40" s="105">
        <f t="shared" si="133"/>
        <v>0.19359848245564293</v>
      </c>
      <c r="BR40" s="26"/>
      <c r="BS40" s="29"/>
      <c r="BT40" s="29"/>
      <c r="BU40" s="29"/>
      <c r="BV40" s="29"/>
      <c r="BW40" s="29"/>
      <c r="BX40" s="29"/>
      <c r="BY40" s="29"/>
      <c r="BZ40" s="29"/>
      <c r="CA40" s="29"/>
      <c r="CC40" s="26"/>
      <c r="CD40" s="29"/>
      <c r="CE40" s="29"/>
      <c r="CF40" s="29"/>
      <c r="CG40" s="29"/>
      <c r="CH40" s="29"/>
      <c r="CI40" s="29"/>
      <c r="CJ40" s="29"/>
      <c r="CK40" s="29"/>
      <c r="CL40" s="29"/>
    </row>
    <row r="41" spans="1:90" x14ac:dyDescent="0.2">
      <c r="A41" s="26">
        <f t="shared" si="74"/>
        <v>2042</v>
      </c>
      <c r="B41" s="221">
        <f t="shared" si="119"/>
        <v>8.1292470516109603</v>
      </c>
      <c r="C41" s="221">
        <f t="shared" si="120"/>
        <v>3.3900299999999994</v>
      </c>
      <c r="D41" s="100">
        <f t="shared" si="0"/>
        <v>229.57335360020343</v>
      </c>
      <c r="E41" s="221">
        <f t="shared" si="104"/>
        <v>14.297708169774198</v>
      </c>
      <c r="F41" s="221">
        <f t="shared" si="104"/>
        <v>14.754778999999992</v>
      </c>
      <c r="G41" s="221">
        <f t="shared" si="104"/>
        <v>14.9027742629115</v>
      </c>
      <c r="H41" s="221">
        <f t="shared" si="104"/>
        <v>11.639754356890823</v>
      </c>
      <c r="I41" s="221">
        <f t="shared" si="104"/>
        <v>1.0052244425854631</v>
      </c>
      <c r="J41" s="221">
        <f t="shared" si="104"/>
        <v>531.75756526825205</v>
      </c>
      <c r="K41" s="221">
        <f t="shared" si="104"/>
        <v>405.72238832729141</v>
      </c>
      <c r="L41" s="100">
        <f t="shared" si="105"/>
        <v>327.51107329563337</v>
      </c>
      <c r="M41" s="100">
        <f t="shared" si="106"/>
        <v>315.37272000194326</v>
      </c>
      <c r="N41" s="221">
        <f t="shared" ref="N41:P41" si="158">(N40+(N40-N39))</f>
        <v>0.69999999999999973</v>
      </c>
      <c r="O41" s="100">
        <f t="shared" si="108"/>
        <v>56.821942651416499</v>
      </c>
      <c r="P41" s="221">
        <f t="shared" si="158"/>
        <v>0.1089999999999999</v>
      </c>
      <c r="Q41" s="100">
        <f t="shared" si="109"/>
        <v>638.30270013812606</v>
      </c>
      <c r="R41" s="221">
        <f t="shared" ref="R41" si="159">(R40+(R40-R39))</f>
        <v>4.2929254165915207</v>
      </c>
      <c r="S41" s="100">
        <f t="shared" si="111"/>
        <v>191.52419450358303</v>
      </c>
      <c r="T41" s="100">
        <f t="shared" si="112"/>
        <v>524.02551398797334</v>
      </c>
      <c r="U41" s="101">
        <f t="shared" si="113"/>
        <v>978.40197991997638</v>
      </c>
      <c r="V41" s="101">
        <f t="shared" si="114"/>
        <v>7640.8854933793009</v>
      </c>
      <c r="W41" s="72"/>
      <c r="X41" s="23">
        <v>2040</v>
      </c>
      <c r="Y41" s="218">
        <f t="shared" si="136"/>
        <v>0.29795004967510524</v>
      </c>
      <c r="Z41" s="53">
        <f t="shared" si="137"/>
        <v>-2.5662457502444447E-3</v>
      </c>
      <c r="AA41" s="218">
        <f t="shared" si="138"/>
        <v>0.26539602061839379</v>
      </c>
      <c r="AB41" s="53">
        <f t="shared" si="139"/>
        <v>1.1949205869940416E-2</v>
      </c>
      <c r="AC41" s="218">
        <f t="shared" si="140"/>
        <v>4.1146190555548967E-2</v>
      </c>
      <c r="AD41" s="53">
        <f t="shared" si="139"/>
        <v>9.0552194087880622E-3</v>
      </c>
      <c r="AE41" s="218">
        <f t="shared" si="140"/>
        <v>0.1092501755843947</v>
      </c>
      <c r="AF41" s="53">
        <f t="shared" si="123"/>
        <v>-9.9520585386011495E-3</v>
      </c>
      <c r="AG41" s="218">
        <f t="shared" si="141"/>
        <v>0.26961597838108747</v>
      </c>
      <c r="AH41" s="53">
        <f t="shared" si="123"/>
        <v>-1.218619333844928E-2</v>
      </c>
      <c r="AI41" s="218">
        <f t="shared" si="142"/>
        <v>0.61642094308248774</v>
      </c>
      <c r="AJ41" s="53">
        <f t="shared" si="124"/>
        <v>3.457713320742517E-4</v>
      </c>
      <c r="AK41" s="218">
        <f t="shared" si="143"/>
        <v>0.26539602061839379</v>
      </c>
      <c r="AL41" s="53">
        <f t="shared" si="125"/>
        <v>1.1949205869940416E-2</v>
      </c>
      <c r="AM41" s="218">
        <f t="shared" si="144"/>
        <v>1.0431496993789111</v>
      </c>
      <c r="AN41" s="218">
        <f t="shared" si="144"/>
        <v>0.92844957157989516</v>
      </c>
      <c r="AO41" s="53">
        <f t="shared" si="43"/>
        <v>7.8197184118899976E-4</v>
      </c>
      <c r="AP41" s="218">
        <f t="shared" si="145"/>
        <v>0.72569597494237736</v>
      </c>
      <c r="AQ41" s="53">
        <f t="shared" si="44"/>
        <v>5.1875655132196385E-3</v>
      </c>
      <c r="AR41" s="218">
        <f t="shared" si="146"/>
        <v>0.76183959248600552</v>
      </c>
      <c r="AS41" s="53">
        <f t="shared" si="131"/>
        <v>2.2478428216206048E-3</v>
      </c>
      <c r="AT41" s="218">
        <f t="shared" si="147"/>
        <v>1.7170956044058985</v>
      </c>
      <c r="AU41" s="53">
        <f t="shared" si="132"/>
        <v>1.1396750441150516E-3</v>
      </c>
      <c r="AV41" s="218">
        <f t="shared" si="148"/>
        <v>0.87625355602985833</v>
      </c>
      <c r="AW41" s="53">
        <f t="shared" si="126"/>
        <v>1.4678436864858924E-3</v>
      </c>
      <c r="AX41" s="218">
        <f t="shared" si="149"/>
        <v>1.1934577301209872</v>
      </c>
      <c r="AY41" s="53">
        <f t="shared" si="115"/>
        <v>-1.1792268231280989E-4</v>
      </c>
      <c r="AZ41" s="218">
        <f t="shared" si="150"/>
        <v>0.45436682358917396</v>
      </c>
      <c r="BA41" s="53">
        <f t="shared" si="46"/>
        <v>-4.1366845467261104E-4</v>
      </c>
      <c r="BB41" s="218">
        <f t="shared" si="151"/>
        <v>4.4128635657619331</v>
      </c>
      <c r="BC41" s="53">
        <f t="shared" si="116"/>
        <v>4.8981660183939901E-3</v>
      </c>
      <c r="BD41" s="218">
        <f t="shared" si="151"/>
        <v>0.36669310902865865</v>
      </c>
      <c r="BE41" s="53">
        <f t="shared" si="47"/>
        <v>-6.1328174227031074E-3</v>
      </c>
      <c r="BF41" s="219">
        <f t="shared" si="152"/>
        <v>1</v>
      </c>
      <c r="BG41" s="219">
        <f t="shared" si="153"/>
        <v>1</v>
      </c>
      <c r="BH41" s="105">
        <f t="shared" si="133"/>
        <v>0.19345773012098721</v>
      </c>
      <c r="BR41" s="26"/>
      <c r="BS41" s="29"/>
      <c r="BT41" s="29"/>
      <c r="BU41" s="29"/>
      <c r="BV41" s="29"/>
      <c r="BW41" s="29"/>
      <c r="BX41" s="29"/>
      <c r="BY41" s="29"/>
      <c r="BZ41" s="29"/>
      <c r="CA41" s="29"/>
      <c r="CC41" s="26"/>
      <c r="CD41" s="29"/>
      <c r="CE41" s="29"/>
      <c r="CF41" s="29"/>
      <c r="CG41" s="29"/>
      <c r="CH41" s="29"/>
      <c r="CI41" s="29"/>
      <c r="CJ41" s="29"/>
      <c r="CK41" s="29"/>
      <c r="CL41" s="29"/>
    </row>
    <row r="42" spans="1:90" x14ac:dyDescent="0.2">
      <c r="A42" s="26">
        <f t="shared" si="74"/>
        <v>2043</v>
      </c>
      <c r="B42" s="221">
        <f t="shared" si="119"/>
        <v>8.1324017543064606</v>
      </c>
      <c r="C42" s="221">
        <f t="shared" si="120"/>
        <v>3.3930349999999994</v>
      </c>
      <c r="D42" s="100">
        <f t="shared" ref="D42" si="160">1000*(AE131/AE87)/ 3.412</f>
        <v>222.43307783437066</v>
      </c>
      <c r="E42" s="221">
        <f t="shared" si="104"/>
        <v>14.306968975112532</v>
      </c>
      <c r="F42" s="221">
        <f t="shared" si="104"/>
        <v>14.778351999999991</v>
      </c>
      <c r="G42" s="221">
        <f t="shared" si="104"/>
        <v>14.911862219912022</v>
      </c>
      <c r="H42" s="221">
        <f t="shared" si="104"/>
        <v>11.651816290731036</v>
      </c>
      <c r="I42" s="221">
        <f t="shared" si="104"/>
        <v>1.0059353676567757</v>
      </c>
      <c r="J42" s="221">
        <f t="shared" si="104"/>
        <v>531.11460982966469</v>
      </c>
      <c r="K42" s="221">
        <f t="shared" si="104"/>
        <v>403.59522220479965</v>
      </c>
      <c r="L42" s="100">
        <f t="shared" ref="L42" si="161">1000*(AT131/AT87)/ 3.412</f>
        <v>327.32526565350975</v>
      </c>
      <c r="M42" s="100">
        <f t="shared" ref="M42" si="162">1000*(AP131/AP87)/ 3.412</f>
        <v>315.37270319684097</v>
      </c>
      <c r="N42" s="221">
        <f t="shared" ref="N42:P42" si="163">(N41+(N41-N40))</f>
        <v>0.69999999999999973</v>
      </c>
      <c r="O42" s="100">
        <f t="shared" ref="O42" si="164">1000*(AN131/AN87)/ 3.412</f>
        <v>56.809277578369361</v>
      </c>
      <c r="P42" s="221">
        <f t="shared" si="163"/>
        <v>0.10899999999999989</v>
      </c>
      <c r="Q42" s="100">
        <f t="shared" ref="Q42" si="165">1000*(AV131/AV87)/ 3.412</f>
        <v>638.6792663260245</v>
      </c>
      <c r="R42" s="221">
        <f t="shared" ref="R42" si="166">(R41+(R41-R40))</f>
        <v>4.2914837502608298</v>
      </c>
      <c r="S42" s="100">
        <f t="shared" ref="S42" si="167">1000*(BB131/BB87)/ 3.412</f>
        <v>191.909026387175</v>
      </c>
      <c r="T42" s="100">
        <f t="shared" ref="T42" si="168">1000*(BD131/BD87)/ 3.412</f>
        <v>523.83827707795945</v>
      </c>
      <c r="U42" s="101">
        <f t="shared" ref="U42" si="169">1000*(BF131/BF87)/ 3.412</f>
        <v>974.97567427809224</v>
      </c>
      <c r="V42" s="101">
        <f t="shared" ref="V42" si="170">1000*(BG131/BG87)/ 3.412</f>
        <v>7732.9462258627145</v>
      </c>
      <c r="W42" s="72"/>
      <c r="X42" s="23">
        <v>2041</v>
      </c>
      <c r="Y42" s="218">
        <f t="shared" si="136"/>
        <v>0.29718543662634139</v>
      </c>
      <c r="Z42" s="53">
        <f t="shared" si="137"/>
        <v>-2.5662457502444447E-3</v>
      </c>
      <c r="AA42" s="218">
        <f t="shared" si="138"/>
        <v>0.26856729230582593</v>
      </c>
      <c r="AB42" s="53">
        <f t="shared" si="139"/>
        <v>1.1949205869940416E-2</v>
      </c>
      <c r="AC42" s="218">
        <f t="shared" si="140"/>
        <v>4.1518778338865268E-2</v>
      </c>
      <c r="AD42" s="53">
        <f t="shared" si="139"/>
        <v>9.0552194087880622E-3</v>
      </c>
      <c r="AE42" s="218">
        <f t="shared" si="140"/>
        <v>0.10816291144162636</v>
      </c>
      <c r="AF42" s="53">
        <f t="shared" si="123"/>
        <v>-9.9520585386010385E-3</v>
      </c>
      <c r="AG42" s="218">
        <f t="shared" si="141"/>
        <v>0.2663303859414004</v>
      </c>
      <c r="AH42" s="53">
        <f t="shared" si="123"/>
        <v>-1.2186193338449169E-2</v>
      </c>
      <c r="AI42" s="218">
        <f t="shared" si="142"/>
        <v>0.61663408377309581</v>
      </c>
      <c r="AJ42" s="53">
        <f t="shared" si="124"/>
        <v>3.457713320742517E-4</v>
      </c>
      <c r="AK42" s="218">
        <f t="shared" si="143"/>
        <v>0.26856729230582593</v>
      </c>
      <c r="AL42" s="53">
        <f t="shared" si="125"/>
        <v>1.1949205869940416E-2</v>
      </c>
      <c r="AM42" s="218">
        <f t="shared" si="144"/>
        <v>2.0116615908609576</v>
      </c>
      <c r="AN42" s="218">
        <f t="shared" si="144"/>
        <v>0.92917559300083463</v>
      </c>
      <c r="AO42" s="53">
        <f t="shared" si="43"/>
        <v>7.8197184118899976E-4</v>
      </c>
      <c r="AP42" s="218">
        <f t="shared" si="145"/>
        <v>0.72946057035507073</v>
      </c>
      <c r="AQ42" s="53">
        <f t="shared" si="44"/>
        <v>5.1875655132196385E-3</v>
      </c>
      <c r="AR42" s="218">
        <f t="shared" si="146"/>
        <v>0.76355208814520159</v>
      </c>
      <c r="AS42" s="53">
        <f t="shared" si="131"/>
        <v>2.2478428216206048E-3</v>
      </c>
      <c r="AT42" s="218">
        <f t="shared" si="147"/>
        <v>1.7190525354145996</v>
      </c>
      <c r="AU42" s="53">
        <f t="shared" si="132"/>
        <v>1.1396750441150516E-3</v>
      </c>
      <c r="AV42" s="218">
        <f t="shared" si="148"/>
        <v>0.87753975927983752</v>
      </c>
      <c r="AW42" s="53">
        <f t="shared" si="126"/>
        <v>1.4678436864858924E-3</v>
      </c>
      <c r="AX42" s="218">
        <f t="shared" si="149"/>
        <v>1.1933169943842243</v>
      </c>
      <c r="AY42" s="53">
        <f t="shared" si="115"/>
        <v>-1.1792268231280989E-4</v>
      </c>
      <c r="AZ42" s="218">
        <f t="shared" si="150"/>
        <v>0.45417886636740534</v>
      </c>
      <c r="BA42" s="53">
        <f t="shared" si="46"/>
        <v>-4.1366845467261104E-4</v>
      </c>
      <c r="BB42" s="218">
        <f t="shared" si="151"/>
        <v>4.4344785041235575</v>
      </c>
      <c r="BC42" s="53">
        <f t="shared" si="116"/>
        <v>4.8981660183939901E-3</v>
      </c>
      <c r="BD42" s="218">
        <f t="shared" si="151"/>
        <v>0.36444424714082252</v>
      </c>
      <c r="BE42" s="53">
        <f t="shared" si="47"/>
        <v>-6.1328174227031074E-3</v>
      </c>
      <c r="BF42" s="219">
        <f t="shared" si="152"/>
        <v>1</v>
      </c>
      <c r="BG42" s="219">
        <f t="shared" si="153"/>
        <v>1</v>
      </c>
      <c r="BH42" s="105">
        <f t="shared" si="133"/>
        <v>0.19331699438422434</v>
      </c>
      <c r="BR42" s="26">
        <v>2023</v>
      </c>
      <c r="BS42" s="29">
        <f t="shared" ref="BS42:CA42" si="171">BS104/BS$80</f>
        <v>1.1741176470588235</v>
      </c>
      <c r="BT42" s="29">
        <f t="shared" si="171"/>
        <v>1.0565400843881856</v>
      </c>
      <c r="BU42" s="29">
        <f t="shared" si="171"/>
        <v>1.0739348370927317</v>
      </c>
      <c r="BV42" s="29">
        <f t="shared" si="171"/>
        <v>0.99119241192411933</v>
      </c>
      <c r="BW42" s="29">
        <f t="shared" si="171"/>
        <v>1.1194029850746268</v>
      </c>
      <c r="BX42" s="29">
        <f t="shared" si="171"/>
        <v>0.99361249112845995</v>
      </c>
      <c r="BY42" s="29">
        <f t="shared" si="171"/>
        <v>0.92073490813648284</v>
      </c>
      <c r="BZ42" s="29">
        <f t="shared" si="171"/>
        <v>1.0279635258358664</v>
      </c>
      <c r="CA42" s="29">
        <f t="shared" si="171"/>
        <v>0.9527198779867817</v>
      </c>
      <c r="CC42" s="26">
        <v>2023</v>
      </c>
      <c r="CD42" s="29">
        <f t="shared" ref="CD42:CL42" si="172">CD104/CD$80</f>
        <v>0.89446721311475419</v>
      </c>
      <c r="CE42" s="29">
        <f t="shared" si="172"/>
        <v>0.86283704572098485</v>
      </c>
      <c r="CF42" s="29">
        <f t="shared" si="172"/>
        <v>0.81756756756756754</v>
      </c>
      <c r="CG42" s="29">
        <f t="shared" si="172"/>
        <v>0.83243967828418231</v>
      </c>
      <c r="CH42" s="29">
        <f t="shared" si="172"/>
        <v>0.83536585365853666</v>
      </c>
      <c r="CI42" s="29">
        <f t="shared" si="172"/>
        <v>0.82723112128146459</v>
      </c>
      <c r="CJ42" s="29">
        <f t="shared" si="172"/>
        <v>0.80278128950695316</v>
      </c>
      <c r="CK42" s="29">
        <f t="shared" si="172"/>
        <v>0.91994177583697234</v>
      </c>
      <c r="CL42" s="29">
        <f t="shared" si="172"/>
        <v>0.91486486486486474</v>
      </c>
    </row>
    <row r="43" spans="1:90" x14ac:dyDescent="0.2">
      <c r="V43" s="75"/>
      <c r="W43" s="72"/>
      <c r="X43" s="23">
        <v>2042</v>
      </c>
      <c r="Y43" s="218">
        <f t="shared" si="136"/>
        <v>0.29642278576256448</v>
      </c>
      <c r="Z43" s="53">
        <f t="shared" si="137"/>
        <v>-2.5662457502445557E-3</v>
      </c>
      <c r="AA43" s="218">
        <f t="shared" si="138"/>
        <v>0.27177645817152069</v>
      </c>
      <c r="AB43" s="53">
        <f t="shared" si="139"/>
        <v>1.1949205869940416E-2</v>
      </c>
      <c r="AC43" s="218">
        <f t="shared" si="140"/>
        <v>4.1894739986308528E-2</v>
      </c>
      <c r="AD43" s="53">
        <f t="shared" si="139"/>
        <v>9.0552194087880622E-3</v>
      </c>
      <c r="AE43" s="218">
        <f t="shared" si="140"/>
        <v>0.10708646781525377</v>
      </c>
      <c r="AF43" s="53">
        <f t="shared" si="123"/>
        <v>-9.9520585386010385E-3</v>
      </c>
      <c r="AG43" s="218">
        <f t="shared" si="141"/>
        <v>0.26308483236641472</v>
      </c>
      <c r="AH43" s="53">
        <f t="shared" si="123"/>
        <v>-1.2186193338449169E-2</v>
      </c>
      <c r="AI43" s="218">
        <f t="shared" si="142"/>
        <v>0.61684729816164441</v>
      </c>
      <c r="AJ43" s="53">
        <f t="shared" si="124"/>
        <v>3.457713320742517E-4</v>
      </c>
      <c r="AK43" s="218">
        <f t="shared" si="143"/>
        <v>0.27177645817152069</v>
      </c>
      <c r="AL43" s="53">
        <f t="shared" si="125"/>
        <v>1.1949205869940416E-2</v>
      </c>
      <c r="AM43" s="218">
        <f t="shared" si="144"/>
        <v>3.8808484424661902</v>
      </c>
      <c r="AN43" s="218">
        <f t="shared" si="144"/>
        <v>0.92990218215008136</v>
      </c>
      <c r="AO43" s="53">
        <f t="shared" si="43"/>
        <v>7.8197184118899976E-4</v>
      </c>
      <c r="AP43" s="218">
        <f t="shared" si="145"/>
        <v>0.73324469485309818</v>
      </c>
      <c r="AQ43" s="53">
        <f t="shared" si="44"/>
        <v>5.1875655132196385E-3</v>
      </c>
      <c r="AR43" s="218">
        <f t="shared" si="146"/>
        <v>0.76526843322547222</v>
      </c>
      <c r="AS43" s="53">
        <f t="shared" si="131"/>
        <v>2.2478428216206048E-3</v>
      </c>
      <c r="AT43" s="218">
        <f t="shared" si="147"/>
        <v>1.7210116966887343</v>
      </c>
      <c r="AU43" s="53">
        <f t="shared" si="132"/>
        <v>1.1396750441150516E-3</v>
      </c>
      <c r="AV43" s="218">
        <f t="shared" si="148"/>
        <v>0.87882785047513678</v>
      </c>
      <c r="AW43" s="53">
        <f t="shared" si="126"/>
        <v>1.4678436864858924E-3</v>
      </c>
      <c r="AX43" s="218">
        <f t="shared" si="149"/>
        <v>1.1931762752433972</v>
      </c>
      <c r="AY43" s="53">
        <f t="shared" si="115"/>
        <v>-1.1792268231269887E-4</v>
      </c>
      <c r="AZ43" s="218">
        <f t="shared" si="150"/>
        <v>0.45399098689761019</v>
      </c>
      <c r="BA43" s="53">
        <f t="shared" si="46"/>
        <v>-4.1366845467261104E-4</v>
      </c>
      <c r="BB43" s="218">
        <f t="shared" si="151"/>
        <v>4.4561993160417543</v>
      </c>
      <c r="BC43" s="53">
        <f t="shared" si="116"/>
        <v>4.8981660183939901E-3</v>
      </c>
      <c r="BD43" s="218">
        <f t="shared" si="151"/>
        <v>0.36220917711235334</v>
      </c>
      <c r="BE43" s="53">
        <f t="shared" si="47"/>
        <v>-6.1328174227032184E-3</v>
      </c>
      <c r="BF43" s="219">
        <f t="shared" si="152"/>
        <v>1</v>
      </c>
      <c r="BG43" s="219">
        <f t="shared" si="153"/>
        <v>1</v>
      </c>
      <c r="BH43" s="105">
        <f t="shared" si="133"/>
        <v>0.1931762752433972</v>
      </c>
      <c r="BR43" s="26">
        <v>2024</v>
      </c>
      <c r="BS43" s="29">
        <f t="shared" ref="BS43:CA43" si="173">BS105/BS$80</f>
        <v>1.1592156862745098</v>
      </c>
      <c r="BT43" s="29">
        <f t="shared" si="173"/>
        <v>1.0510548523206751</v>
      </c>
      <c r="BU43" s="29">
        <f t="shared" si="173"/>
        <v>1.0689223057644108</v>
      </c>
      <c r="BV43" s="29">
        <f t="shared" si="173"/>
        <v>0.98644986449864502</v>
      </c>
      <c r="BW43" s="29">
        <f t="shared" si="173"/>
        <v>1.1170149253731343</v>
      </c>
      <c r="BX43" s="29">
        <f t="shared" si="173"/>
        <v>0.98367636621717525</v>
      </c>
      <c r="BY43" s="29">
        <f t="shared" si="173"/>
        <v>0.92965879265091866</v>
      </c>
      <c r="BZ43" s="29">
        <f t="shared" si="173"/>
        <v>1.0358662613981764</v>
      </c>
      <c r="CA43" s="29">
        <f t="shared" si="173"/>
        <v>0.9527198779867817</v>
      </c>
      <c r="CC43" s="26">
        <v>2024</v>
      </c>
      <c r="CD43" s="29">
        <f t="shared" ref="CD43:CL43" si="174">CD105/CD$80</f>
        <v>0.90573770491803274</v>
      </c>
      <c r="CE43" s="29">
        <f t="shared" si="174"/>
        <v>0.87221570926143033</v>
      </c>
      <c r="CF43" s="29">
        <f t="shared" si="174"/>
        <v>0.83378378378378371</v>
      </c>
      <c r="CG43" s="29">
        <f t="shared" si="174"/>
        <v>0.84584450402144762</v>
      </c>
      <c r="CH43" s="29">
        <f t="shared" si="174"/>
        <v>0.84857723577235766</v>
      </c>
      <c r="CI43" s="29">
        <f t="shared" si="174"/>
        <v>0.84324942791762014</v>
      </c>
      <c r="CJ43" s="29">
        <f t="shared" si="174"/>
        <v>0.81668773704171937</v>
      </c>
      <c r="CK43" s="29">
        <f t="shared" si="174"/>
        <v>0.93595342066957787</v>
      </c>
      <c r="CL43" s="29">
        <f t="shared" si="174"/>
        <v>0.92837837837837833</v>
      </c>
    </row>
    <row r="44" spans="1:90" x14ac:dyDescent="0.2">
      <c r="V44" s="75"/>
      <c r="W44" s="72"/>
      <c r="X44" s="23">
        <v>2043</v>
      </c>
      <c r="Y44" s="218">
        <f t="shared" ref="Y44" si="175">Y43*(1+Z43)</f>
        <v>0.29566209204832566</v>
      </c>
      <c r="Z44" s="53">
        <f t="shared" ref="Z44" si="176">Y44/Y43-1</f>
        <v>-2.5662457502444447E-3</v>
      </c>
      <c r="AA44" s="218">
        <f t="shared" ref="AA44" si="177">AA43*(1+AB43)</f>
        <v>0.27502397102081544</v>
      </c>
      <c r="AB44" s="53">
        <f t="shared" ref="AB44" si="178">AA44/AA43-1</f>
        <v>1.1949205869940416E-2</v>
      </c>
      <c r="AC44" s="218">
        <f t="shared" ref="AC44" si="179">AC43*(1+AD43)</f>
        <v>4.2274106048958676E-2</v>
      </c>
      <c r="AD44" s="53">
        <f t="shared" ref="AD44" si="180">AC44/AC43-1</f>
        <v>9.0552194087880622E-3</v>
      </c>
      <c r="AE44" s="218">
        <f t="shared" ref="AE44" si="181">AE43*(1+AF43)</f>
        <v>0.10602073701886434</v>
      </c>
      <c r="AF44" s="53">
        <f t="shared" ref="AF44" si="182">AE44/AE43-1</f>
        <v>-9.9520585386010385E-3</v>
      </c>
      <c r="AG44" s="218">
        <f t="shared" ref="AG44" si="183">AG43*(1+AH43)</f>
        <v>0.2598788297347841</v>
      </c>
      <c r="AH44" s="53">
        <f t="shared" ref="AH44" si="184">AG44/AG43-1</f>
        <v>-1.2186193338449169E-2</v>
      </c>
      <c r="AI44" s="218">
        <f t="shared" ref="AI44" si="185">AI43*(1+AJ43)</f>
        <v>0.61706058627361615</v>
      </c>
      <c r="AJ44" s="53">
        <f t="shared" ref="AJ44" si="186">AI44/AI43-1</f>
        <v>3.457713320742517E-4</v>
      </c>
      <c r="AK44" s="218">
        <f t="shared" ref="AK44" si="187">AK43*(1+AL43)</f>
        <v>0.27502397102081544</v>
      </c>
      <c r="AL44" s="53">
        <f t="shared" ref="AL44" si="188">AK44/AK43-1</f>
        <v>1.1949205869940416E-2</v>
      </c>
      <c r="AM44" s="218">
        <f t="shared" ref="AM44" si="189">AM43*(1+AN43)</f>
        <v>7.4896578777092451</v>
      </c>
      <c r="AN44" s="218">
        <f t="shared" ref="AN44" si="190">AN43*(1+AO43)</f>
        <v>0.93062933947158288</v>
      </c>
      <c r="AO44" s="53">
        <f t="shared" ref="AO44" si="191">AN44/AN43-1</f>
        <v>7.8197184118899976E-4</v>
      </c>
      <c r="AP44" s="218">
        <f t="shared" ref="AP44" si="192">AP43*(1+AQ43)</f>
        <v>0.73704844974486938</v>
      </c>
      <c r="AQ44" s="53">
        <f t="shared" ref="AQ44" si="193">AP44/AP43-1</f>
        <v>5.1875655132196385E-3</v>
      </c>
      <c r="AR44" s="218">
        <f t="shared" ref="AR44" si="194">AR43*(1+AS43)</f>
        <v>0.76698863637971093</v>
      </c>
      <c r="AS44" s="53">
        <f t="shared" ref="AS44" si="195">AR44/AR43-1</f>
        <v>2.2478428216206048E-3</v>
      </c>
      <c r="AT44" s="218">
        <f t="shared" ref="AT44" si="196">AT43*(1+AU43)</f>
        <v>1.7229730907700807</v>
      </c>
      <c r="AU44" s="53">
        <f t="shared" ref="AU44" si="197">AT44/AT43-1</f>
        <v>1.1396750441150516E-3</v>
      </c>
      <c r="AV44" s="218">
        <f t="shared" ref="AV44" si="198">AV43*(1+AW43)</f>
        <v>0.88011783238696473</v>
      </c>
      <c r="AW44" s="53">
        <f t="shared" ref="AW44" si="199">AV44/AV43-1</f>
        <v>1.4678436864858924E-3</v>
      </c>
      <c r="AX44" s="218">
        <f t="shared" ref="AX44" si="200">AX43*(1+AY43)</f>
        <v>1.1930355726965487</v>
      </c>
      <c r="AY44" s="53">
        <f t="shared" ref="AY44" si="201">AX44/AX43-1</f>
        <v>-1.1792268231258785E-4</v>
      </c>
      <c r="AZ44" s="218">
        <f t="shared" ref="AZ44" si="202">AZ43*(1+BA43)</f>
        <v>0.45380318514762497</v>
      </c>
      <c r="BA44" s="53">
        <f t="shared" ref="BA44" si="203">AZ44/AZ43-1</f>
        <v>-4.1366845467261104E-4</v>
      </c>
      <c r="BB44" s="218">
        <f t="shared" ref="BB44" si="204">BB43*(1+BC43)</f>
        <v>4.4780265201027802</v>
      </c>
      <c r="BC44" s="53">
        <f t="shared" ref="BC44" si="205">BB44/BB43-1</f>
        <v>4.8981660183939901E-3</v>
      </c>
      <c r="BD44" s="218">
        <f t="shared" ref="BD44" si="206">BD43*(1+BE43)</f>
        <v>0.3599878143602957</v>
      </c>
      <c r="BE44" s="53">
        <f t="shared" ref="BE44" si="207">BD44/BD43-1</f>
        <v>-6.1328174227032184E-3</v>
      </c>
      <c r="BF44" s="219">
        <f t="shared" si="152"/>
        <v>1</v>
      </c>
      <c r="BG44" s="219">
        <f t="shared" si="153"/>
        <v>1</v>
      </c>
      <c r="BH44" s="105">
        <f t="shared" ref="BH44" si="208">AX44-1</f>
        <v>0.1930355726965487</v>
      </c>
      <c r="BR44" s="26"/>
      <c r="BS44" s="29"/>
      <c r="BT44" s="29"/>
      <c r="BU44" s="29"/>
      <c r="BV44" s="29"/>
      <c r="BW44" s="29"/>
      <c r="BX44" s="29"/>
      <c r="BY44" s="29"/>
      <c r="BZ44" s="29"/>
      <c r="CA44" s="29"/>
      <c r="CC44" s="26"/>
      <c r="CD44" s="29"/>
      <c r="CE44" s="29"/>
      <c r="CF44" s="29"/>
      <c r="CG44" s="29"/>
      <c r="CH44" s="29"/>
      <c r="CI44" s="29"/>
      <c r="CJ44" s="29"/>
      <c r="CK44" s="29"/>
      <c r="CL44" s="29"/>
    </row>
    <row r="45" spans="1:90" x14ac:dyDescent="0.2">
      <c r="V45" s="75"/>
      <c r="W45" s="30"/>
      <c r="BR45" s="26">
        <v>2025</v>
      </c>
      <c r="BS45" s="29">
        <f t="shared" ref="BS45:CA45" si="209">BS106/BS$80</f>
        <v>1.1439215686274511</v>
      </c>
      <c r="BT45" s="29">
        <f t="shared" si="209"/>
        <v>1.0464135021097047</v>
      </c>
      <c r="BU45" s="29">
        <f t="shared" si="209"/>
        <v>1.0670426065162908</v>
      </c>
      <c r="BV45" s="29">
        <f t="shared" si="209"/>
        <v>0.98170731707317072</v>
      </c>
      <c r="BW45" s="29">
        <f t="shared" si="209"/>
        <v>1.1200000000000001</v>
      </c>
      <c r="BX45" s="29">
        <f t="shared" si="209"/>
        <v>0.98225691980127749</v>
      </c>
      <c r="BY45" s="29">
        <f t="shared" si="209"/>
        <v>0.93910761154855638</v>
      </c>
      <c r="BZ45" s="29">
        <f t="shared" si="209"/>
        <v>1.0486322188449848</v>
      </c>
      <c r="CA45" s="29">
        <f t="shared" si="209"/>
        <v>0.9537366548042705</v>
      </c>
      <c r="CC45" s="26">
        <v>2025</v>
      </c>
      <c r="CD45" s="29">
        <f t="shared" ref="CD45:CL45" si="210">CD106/CD$80</f>
        <v>0.91905737704918045</v>
      </c>
      <c r="CE45" s="29">
        <f t="shared" si="210"/>
        <v>0.88511137162954279</v>
      </c>
      <c r="CF45" s="29">
        <f t="shared" si="210"/>
        <v>0.84864864864864864</v>
      </c>
      <c r="CG45" s="29">
        <f t="shared" si="210"/>
        <v>0.85924932975871315</v>
      </c>
      <c r="CH45" s="29">
        <f t="shared" si="210"/>
        <v>0.86178861788617889</v>
      </c>
      <c r="CI45" s="29">
        <f t="shared" si="210"/>
        <v>0.85812356979405036</v>
      </c>
      <c r="CJ45" s="29">
        <f t="shared" si="210"/>
        <v>0.82932996207332488</v>
      </c>
      <c r="CK45" s="29">
        <f t="shared" si="210"/>
        <v>0.95050946142649206</v>
      </c>
      <c r="CL45" s="29">
        <f t="shared" si="210"/>
        <v>0.94189189189189182</v>
      </c>
    </row>
    <row r="46" spans="1:90" x14ac:dyDescent="0.2">
      <c r="V46" s="75"/>
      <c r="W46" s="30"/>
      <c r="X46" s="8"/>
      <c r="Y46" s="76" t="s">
        <v>78</v>
      </c>
      <c r="Z46" s="76"/>
      <c r="AA46" s="8"/>
      <c r="AB46" s="76"/>
      <c r="AC46" s="8"/>
      <c r="AD46" s="8"/>
      <c r="AE46" s="274" t="s">
        <v>229</v>
      </c>
      <c r="AF46" s="274" t="s">
        <v>229</v>
      </c>
      <c r="AG46" s="274" t="s">
        <v>229</v>
      </c>
      <c r="AH46" s="274" t="s">
        <v>229</v>
      </c>
      <c r="AI46" s="274" t="s">
        <v>229</v>
      </c>
      <c r="AJ46" s="274" t="s">
        <v>229</v>
      </c>
      <c r="AK46" s="274" t="s">
        <v>229</v>
      </c>
      <c r="AL46" s="274" t="s">
        <v>229</v>
      </c>
      <c r="AM46" s="274" t="s">
        <v>229</v>
      </c>
      <c r="AN46" s="274" t="s">
        <v>229</v>
      </c>
      <c r="AO46" s="8"/>
      <c r="AP46" s="274" t="s">
        <v>229</v>
      </c>
      <c r="AQ46" s="274"/>
      <c r="AR46" s="274" t="s">
        <v>229</v>
      </c>
      <c r="AS46" s="8"/>
      <c r="AT46" s="274" t="s">
        <v>229</v>
      </c>
      <c r="AV46" s="274" t="s">
        <v>229</v>
      </c>
      <c r="AW46" s="8"/>
      <c r="AX46" s="274" t="s">
        <v>229</v>
      </c>
      <c r="AY46" s="274"/>
      <c r="AZ46" s="274" t="s">
        <v>229</v>
      </c>
      <c r="BA46" s="8"/>
      <c r="BB46" s="274" t="s">
        <v>229</v>
      </c>
      <c r="BC46" s="8"/>
      <c r="BD46" s="274" t="s">
        <v>229</v>
      </c>
      <c r="BE46" s="8"/>
      <c r="BF46" s="8"/>
      <c r="BG46" s="8"/>
      <c r="BR46" s="26">
        <v>2026</v>
      </c>
      <c r="BS46" s="29">
        <f t="shared" ref="BS46:CA46" si="211">BS107/BS$80</f>
        <v>1.1199999999999999</v>
      </c>
      <c r="BT46" s="29">
        <f t="shared" si="211"/>
        <v>1.0400843881856541</v>
      </c>
      <c r="BU46" s="29">
        <f t="shared" si="211"/>
        <v>1.0651629072681703</v>
      </c>
      <c r="BV46" s="29">
        <f t="shared" si="211"/>
        <v>0.98306233062330628</v>
      </c>
      <c r="BW46" s="29">
        <f t="shared" si="211"/>
        <v>1.1241791044776119</v>
      </c>
      <c r="BX46" s="29">
        <f t="shared" si="211"/>
        <v>0.98509581263307322</v>
      </c>
      <c r="BY46" s="29">
        <f t="shared" si="211"/>
        <v>0.94803149606299197</v>
      </c>
      <c r="BZ46" s="29">
        <f t="shared" si="211"/>
        <v>1.0595744680851065</v>
      </c>
      <c r="CA46" s="29">
        <f t="shared" si="211"/>
        <v>0.94661921708185048</v>
      </c>
      <c r="CC46" s="26">
        <v>2026</v>
      </c>
      <c r="CD46" s="29">
        <f t="shared" ref="CD46:CL46" si="212">CD107/CD$80</f>
        <v>0.92930327868852469</v>
      </c>
      <c r="CE46" s="29">
        <f t="shared" si="212"/>
        <v>0.89449003516998837</v>
      </c>
      <c r="CF46" s="29">
        <f t="shared" si="212"/>
        <v>0.86081081081081079</v>
      </c>
      <c r="CG46" s="29">
        <f t="shared" si="212"/>
        <v>0.87131367292225204</v>
      </c>
      <c r="CH46" s="29">
        <f t="shared" si="212"/>
        <v>0.87296747967479671</v>
      </c>
      <c r="CI46" s="29">
        <f t="shared" si="212"/>
        <v>0.86956521739130432</v>
      </c>
      <c r="CJ46" s="29">
        <f t="shared" si="212"/>
        <v>0.83944374209860928</v>
      </c>
      <c r="CK46" s="29">
        <f t="shared" si="212"/>
        <v>0.96797671033478894</v>
      </c>
      <c r="CL46" s="29">
        <f t="shared" si="212"/>
        <v>0.95405405405405397</v>
      </c>
    </row>
    <row r="47" spans="1:90" x14ac:dyDescent="0.2">
      <c r="V47" s="75"/>
      <c r="W47" s="30"/>
      <c r="X47" s="8"/>
      <c r="Y47" s="8" t="s">
        <v>36</v>
      </c>
      <c r="Z47" s="8"/>
      <c r="AA47" s="8" t="s">
        <v>39</v>
      </c>
      <c r="AB47" s="8"/>
      <c r="AC47" s="66" t="s">
        <v>167</v>
      </c>
      <c r="AD47" s="66"/>
      <c r="AE47" s="66" t="s">
        <v>147</v>
      </c>
      <c r="AF47" s="66"/>
      <c r="AG47" s="8" t="s">
        <v>4</v>
      </c>
      <c r="AH47" s="66"/>
      <c r="AI47" s="8" t="s">
        <v>2</v>
      </c>
      <c r="AJ47" s="66"/>
      <c r="AK47" s="8" t="s">
        <v>40</v>
      </c>
      <c r="AL47" s="66"/>
      <c r="AM47" s="66" t="s">
        <v>168</v>
      </c>
      <c r="AN47" s="8" t="s">
        <v>41</v>
      </c>
      <c r="AO47" s="66"/>
      <c r="AP47" s="8" t="s">
        <v>42</v>
      </c>
      <c r="AQ47" s="66"/>
      <c r="AR47" s="8" t="s">
        <v>5</v>
      </c>
      <c r="AS47" s="66"/>
      <c r="AT47" s="8" t="s">
        <v>43</v>
      </c>
      <c r="AU47" s="66"/>
      <c r="AV47" s="8" t="s">
        <v>44</v>
      </c>
      <c r="AW47" s="66"/>
      <c r="AX47" s="8" t="s">
        <v>45</v>
      </c>
      <c r="AY47" s="8"/>
      <c r="AZ47" s="8" t="s">
        <v>9</v>
      </c>
      <c r="BA47" s="66"/>
      <c r="BB47" s="66" t="s">
        <v>100</v>
      </c>
      <c r="BC47" s="66"/>
      <c r="BD47" s="66" t="s">
        <v>174</v>
      </c>
      <c r="BE47" s="66"/>
      <c r="BF47" s="8" t="s">
        <v>46</v>
      </c>
      <c r="BG47" s="8" t="s">
        <v>14</v>
      </c>
      <c r="BH47" s="111"/>
      <c r="BR47" s="26">
        <v>2027</v>
      </c>
      <c r="BS47" s="29">
        <f t="shared" ref="BS47:CA47" si="213">BS108/BS$80</f>
        <v>1.0992156862745099</v>
      </c>
      <c r="BT47" s="29">
        <f t="shared" si="213"/>
        <v>1.0350210970464135</v>
      </c>
      <c r="BU47" s="29">
        <f t="shared" si="213"/>
        <v>1.0639097744360901</v>
      </c>
      <c r="BV47" s="29">
        <f t="shared" si="213"/>
        <v>0.97831978319783197</v>
      </c>
      <c r="BW47" s="29">
        <f t="shared" si="213"/>
        <v>1.1259701492537313</v>
      </c>
      <c r="BX47" s="29">
        <f t="shared" si="213"/>
        <v>0.98509581263307322</v>
      </c>
      <c r="BY47" s="29">
        <f t="shared" si="213"/>
        <v>0.95800524934383202</v>
      </c>
      <c r="BZ47" s="29">
        <f t="shared" si="213"/>
        <v>1.0711246200607905</v>
      </c>
      <c r="CA47" s="29">
        <f t="shared" si="213"/>
        <v>0.93085917641077764</v>
      </c>
      <c r="CC47" s="26">
        <v>2027</v>
      </c>
      <c r="CD47" s="29">
        <f t="shared" ref="CD47:CL47" si="214">CD108/CD$80</f>
        <v>0.94057377049180324</v>
      </c>
      <c r="CE47" s="29">
        <f t="shared" si="214"/>
        <v>0.90504103165298944</v>
      </c>
      <c r="CF47" s="29">
        <f t="shared" si="214"/>
        <v>0.8716216216216216</v>
      </c>
      <c r="CG47" s="29">
        <f t="shared" si="214"/>
        <v>0.88203753351206438</v>
      </c>
      <c r="CH47" s="29">
        <f t="shared" si="214"/>
        <v>0.88516260162601634</v>
      </c>
      <c r="CI47" s="29">
        <f t="shared" si="214"/>
        <v>0.88215102974828374</v>
      </c>
      <c r="CJ47" s="29">
        <f t="shared" si="214"/>
        <v>0.84829329962073319</v>
      </c>
      <c r="CK47" s="29">
        <f t="shared" si="214"/>
        <v>0.98398835516739447</v>
      </c>
      <c r="CL47" s="29">
        <f t="shared" si="214"/>
        <v>0.96486486486486478</v>
      </c>
    </row>
    <row r="48" spans="1:90" x14ac:dyDescent="0.2">
      <c r="A48" s="74" t="s">
        <v>126</v>
      </c>
      <c r="B48" s="40" t="s">
        <v>127</v>
      </c>
      <c r="C48" s="40"/>
      <c r="D48" s="40"/>
      <c r="E48" s="40"/>
      <c r="F48" s="40"/>
      <c r="O48" s="23"/>
      <c r="P48" s="23"/>
      <c r="S48" s="77"/>
      <c r="T48" s="77"/>
      <c r="U48" s="77"/>
      <c r="V48" s="75"/>
      <c r="W48" s="20"/>
      <c r="X48" s="8" t="s">
        <v>15</v>
      </c>
      <c r="Y48" s="78" t="s">
        <v>47</v>
      </c>
      <c r="Z48" s="78"/>
      <c r="AA48" s="78" t="s">
        <v>47</v>
      </c>
      <c r="AB48" s="78"/>
      <c r="AC48" s="78" t="s">
        <v>47</v>
      </c>
      <c r="AD48" s="78"/>
      <c r="AE48" s="78" t="s">
        <v>47</v>
      </c>
      <c r="AF48" s="78"/>
      <c r="AG48" s="78" t="s">
        <v>47</v>
      </c>
      <c r="AH48" s="78"/>
      <c r="AI48" s="78" t="s">
        <v>47</v>
      </c>
      <c r="AJ48" s="78"/>
      <c r="AK48" s="78" t="s">
        <v>47</v>
      </c>
      <c r="AL48" s="78"/>
      <c r="AM48" s="78" t="s">
        <v>47</v>
      </c>
      <c r="AN48" s="78" t="s">
        <v>47</v>
      </c>
      <c r="AO48" s="78"/>
      <c r="AP48" s="78" t="s">
        <v>47</v>
      </c>
      <c r="AQ48" s="78"/>
      <c r="AR48" s="78" t="s">
        <v>47</v>
      </c>
      <c r="AS48" s="78"/>
      <c r="AT48" s="78" t="s">
        <v>47</v>
      </c>
      <c r="AU48" s="78"/>
      <c r="AV48" s="78" t="s">
        <v>47</v>
      </c>
      <c r="AW48" s="78"/>
      <c r="AX48" s="78" t="s">
        <v>47</v>
      </c>
      <c r="AY48" s="78"/>
      <c r="AZ48" s="78" t="s">
        <v>47</v>
      </c>
      <c r="BA48" s="78"/>
      <c r="BB48" s="78" t="s">
        <v>47</v>
      </c>
      <c r="BC48" s="78"/>
      <c r="BD48" s="78" t="s">
        <v>47</v>
      </c>
      <c r="BE48" s="78"/>
      <c r="BF48" s="78" t="s">
        <v>47</v>
      </c>
      <c r="BG48" s="78" t="s">
        <v>47</v>
      </c>
      <c r="BH48" s="47"/>
      <c r="BR48" s="26">
        <v>2028</v>
      </c>
      <c r="BS48" s="29">
        <f t="shared" ref="BS48:CA48" si="215">BS109/BS$80</f>
        <v>1.083921568627451</v>
      </c>
      <c r="BT48" s="29">
        <f t="shared" si="215"/>
        <v>1.029957805907173</v>
      </c>
      <c r="BU48" s="29">
        <f t="shared" si="215"/>
        <v>1.068295739348371</v>
      </c>
      <c r="BV48" s="29">
        <f t="shared" si="215"/>
        <v>0.9789972899728997</v>
      </c>
      <c r="BW48" s="29">
        <f t="shared" si="215"/>
        <v>1.1253731343283584</v>
      </c>
      <c r="BX48" s="29">
        <f t="shared" si="215"/>
        <v>0.98651525904897097</v>
      </c>
      <c r="BY48" s="29">
        <f t="shared" si="215"/>
        <v>0.96902887139107607</v>
      </c>
      <c r="BZ48" s="29">
        <f t="shared" si="215"/>
        <v>1.0784194528875379</v>
      </c>
      <c r="CA48" s="29">
        <f t="shared" si="215"/>
        <v>0.91814946619217064</v>
      </c>
      <c r="CC48" s="26">
        <v>2028</v>
      </c>
      <c r="CD48" s="29">
        <f t="shared" ref="CD48:CL48" si="216">CD109/CD$80</f>
        <v>0.95081967213114749</v>
      </c>
      <c r="CE48" s="29">
        <f t="shared" si="216"/>
        <v>0.91441969519343502</v>
      </c>
      <c r="CF48" s="29">
        <f t="shared" si="216"/>
        <v>0.88108108108108096</v>
      </c>
      <c r="CG48" s="29">
        <f t="shared" si="216"/>
        <v>0.89142091152815017</v>
      </c>
      <c r="CH48" s="29">
        <f t="shared" si="216"/>
        <v>0.89329268292682917</v>
      </c>
      <c r="CI48" s="29">
        <f t="shared" si="216"/>
        <v>0.88901601830663612</v>
      </c>
      <c r="CJ48" s="29">
        <f t="shared" si="216"/>
        <v>0.85208596713021489</v>
      </c>
      <c r="CK48" s="29">
        <f t="shared" si="216"/>
        <v>0.99854439592430866</v>
      </c>
      <c r="CL48" s="29">
        <f t="shared" si="216"/>
        <v>0.97702702702702704</v>
      </c>
    </row>
    <row r="49" spans="1:90" x14ac:dyDescent="0.2">
      <c r="A49" s="74"/>
      <c r="B49" s="32" t="s">
        <v>128</v>
      </c>
      <c r="C49" s="32"/>
      <c r="D49" s="32"/>
      <c r="E49" s="32"/>
      <c r="F49" s="32"/>
      <c r="O49" s="79"/>
      <c r="P49" s="79"/>
      <c r="V49" s="75"/>
      <c r="W49" s="20"/>
      <c r="X49" s="23">
        <v>2005</v>
      </c>
      <c r="Y49" s="39">
        <v>2334318</v>
      </c>
      <c r="Z49" s="39"/>
      <c r="AA49" s="39">
        <v>1005312</v>
      </c>
      <c r="AB49" s="39"/>
      <c r="AC49" s="39">
        <v>33013</v>
      </c>
      <c r="AD49" s="139"/>
      <c r="AE49" s="39">
        <v>1037052</v>
      </c>
      <c r="AF49" s="39"/>
      <c r="AG49" s="39">
        <v>3020635</v>
      </c>
      <c r="AH49" s="39"/>
      <c r="AI49" s="39">
        <v>4146518</v>
      </c>
      <c r="AJ49" s="39"/>
      <c r="AK49" s="39">
        <f>AA49</f>
        <v>1005312</v>
      </c>
      <c r="AL49" s="39"/>
      <c r="AM49" s="39">
        <f>AC49</f>
        <v>33013</v>
      </c>
      <c r="AN49" s="39">
        <v>6197830</v>
      </c>
      <c r="AO49" s="39"/>
      <c r="AP49" s="39">
        <v>4069566</v>
      </c>
      <c r="AQ49" s="39"/>
      <c r="AR49" s="39">
        <v>4698168</v>
      </c>
      <c r="AS49" s="39"/>
      <c r="AT49" s="39">
        <v>11381568</v>
      </c>
      <c r="AU49" s="39"/>
      <c r="AV49" s="39">
        <v>5661733</v>
      </c>
      <c r="AW49" s="39"/>
      <c r="AX49" s="39">
        <v>8281028</v>
      </c>
      <c r="AY49" s="39"/>
      <c r="AZ49" s="39">
        <v>3160777</v>
      </c>
      <c r="BA49" s="39"/>
      <c r="BB49" s="39">
        <v>22234834</v>
      </c>
      <c r="BC49" s="39"/>
      <c r="BD49" s="127">
        <v>3251769</v>
      </c>
      <c r="BE49" s="127"/>
      <c r="BF49" s="55">
        <v>6892754</v>
      </c>
      <c r="BG49" s="220">
        <f>BF49</f>
        <v>6892754</v>
      </c>
      <c r="BH49" s="47"/>
      <c r="BR49" s="26">
        <v>2029</v>
      </c>
      <c r="BS49" s="29">
        <f t="shared" ref="BS49:CA49" si="217">BS110/BS$80</f>
        <v>1.0725490196078431</v>
      </c>
      <c r="BT49" s="29">
        <f t="shared" si="217"/>
        <v>1.0274261603375527</v>
      </c>
      <c r="BU49" s="29">
        <f t="shared" si="217"/>
        <v>1.0733082706766917</v>
      </c>
      <c r="BV49" s="29">
        <f t="shared" si="217"/>
        <v>0.98238482384823844</v>
      </c>
      <c r="BW49" s="29">
        <f t="shared" si="217"/>
        <v>1.1247761194029851</v>
      </c>
      <c r="BX49" s="29">
        <f t="shared" si="217"/>
        <v>0.98793470546486872</v>
      </c>
      <c r="BY49" s="29">
        <f t="shared" si="217"/>
        <v>0.97742782152230978</v>
      </c>
      <c r="BZ49" s="29">
        <f t="shared" si="217"/>
        <v>1.0881458966565349</v>
      </c>
      <c r="CA49" s="29">
        <f t="shared" si="217"/>
        <v>0.91560752414844937</v>
      </c>
      <c r="CC49" s="26">
        <v>2029</v>
      </c>
      <c r="CD49" s="29">
        <f t="shared" ref="CD49:CL49" si="218">CD110/CD$80</f>
        <v>0.96413934426229508</v>
      </c>
      <c r="CE49" s="29">
        <f t="shared" si="218"/>
        <v>0.92497069167643609</v>
      </c>
      <c r="CF49" s="29">
        <f t="shared" si="218"/>
        <v>0.88918918918918921</v>
      </c>
      <c r="CG49" s="29">
        <f t="shared" si="218"/>
        <v>0.90080428954423586</v>
      </c>
      <c r="CH49" s="29">
        <f t="shared" si="218"/>
        <v>0.90142276422764223</v>
      </c>
      <c r="CI49" s="29">
        <f t="shared" si="218"/>
        <v>0.89473684210526316</v>
      </c>
      <c r="CJ49" s="29">
        <f t="shared" si="218"/>
        <v>0.85461441213653599</v>
      </c>
      <c r="CK49" s="29">
        <f t="shared" si="218"/>
        <v>1.0116448326055314</v>
      </c>
      <c r="CL49" s="29">
        <f t="shared" si="218"/>
        <v>0.98918918918918919</v>
      </c>
    </row>
    <row r="50" spans="1:90" x14ac:dyDescent="0.2">
      <c r="A50" s="40" t="s">
        <v>172</v>
      </c>
      <c r="B50" s="137" t="s">
        <v>173</v>
      </c>
      <c r="C50" s="33"/>
      <c r="D50" s="33"/>
      <c r="E50" s="34"/>
      <c r="F50" s="34"/>
      <c r="O50" s="80"/>
      <c r="P50" s="80"/>
      <c r="Q50" s="72"/>
      <c r="R50" s="72"/>
      <c r="S50" s="72"/>
      <c r="T50" s="72"/>
      <c r="U50" s="72"/>
      <c r="V50" s="75"/>
      <c r="W50" s="20"/>
      <c r="X50" s="23">
        <v>2006</v>
      </c>
      <c r="Y50" s="39">
        <v>2331738</v>
      </c>
      <c r="Z50" s="39"/>
      <c r="AA50" s="39">
        <v>1039308.5</v>
      </c>
      <c r="AB50" s="39"/>
      <c r="AC50" s="39">
        <v>35257</v>
      </c>
      <c r="AD50" s="139"/>
      <c r="AE50" s="39">
        <v>1102752</v>
      </c>
      <c r="AF50" s="39"/>
      <c r="AG50" s="39">
        <v>3002780</v>
      </c>
      <c r="AH50" s="39"/>
      <c r="AI50" s="39">
        <v>4175541</v>
      </c>
      <c r="AJ50" s="39"/>
      <c r="AK50" s="39">
        <f t="shared" ref="AK50:AK79" si="219">AA50</f>
        <v>1039308.5</v>
      </c>
      <c r="AL50" s="39"/>
      <c r="AM50" s="39">
        <f t="shared" ref="AM50:AM79" si="220">AC50</f>
        <v>35257</v>
      </c>
      <c r="AN50" s="39">
        <v>6240888</v>
      </c>
      <c r="AO50" s="39"/>
      <c r="AP50" s="39">
        <v>4114375</v>
      </c>
      <c r="AQ50" s="39"/>
      <c r="AR50" s="39">
        <v>4739456</v>
      </c>
      <c r="AS50" s="39"/>
      <c r="AT50" s="39">
        <v>11455568</v>
      </c>
      <c r="AU50" s="39"/>
      <c r="AV50" s="39">
        <v>5707466</v>
      </c>
      <c r="AW50" s="39"/>
      <c r="AX50" s="39">
        <v>8334830</v>
      </c>
      <c r="AY50" s="39"/>
      <c r="AZ50" s="39">
        <v>3181198</v>
      </c>
      <c r="BA50" s="39"/>
      <c r="BB50" s="39">
        <v>22484345</v>
      </c>
      <c r="BC50" s="39"/>
      <c r="BD50" s="127">
        <v>3262002</v>
      </c>
      <c r="BE50" s="127"/>
      <c r="BF50" s="55">
        <v>6946343</v>
      </c>
      <c r="BG50" s="220">
        <f t="shared" ref="BG50:BG79" si="221">BF50</f>
        <v>6946343</v>
      </c>
      <c r="BH50" s="89"/>
      <c r="BR50" s="26">
        <v>2030</v>
      </c>
      <c r="BS50" s="29">
        <f t="shared" ref="BS50:CA50" si="222">BS111/BS$80</f>
        <v>1.0631372549019609</v>
      </c>
      <c r="BT50" s="29">
        <f t="shared" si="222"/>
        <v>1.0244725738396625</v>
      </c>
      <c r="BU50" s="29">
        <f t="shared" si="222"/>
        <v>1.0739348370927317</v>
      </c>
      <c r="BV50" s="29">
        <f t="shared" si="222"/>
        <v>0.98102981029810299</v>
      </c>
      <c r="BW50" s="29">
        <f t="shared" si="222"/>
        <v>1.1217910447761195</v>
      </c>
      <c r="BX50" s="29">
        <f t="shared" si="222"/>
        <v>0.98083747338537974</v>
      </c>
      <c r="BY50" s="29">
        <f t="shared" si="222"/>
        <v>0.97322834645669287</v>
      </c>
      <c r="BZ50" s="29">
        <f t="shared" si="222"/>
        <v>1.0960486322188452</v>
      </c>
      <c r="CA50" s="29">
        <f t="shared" si="222"/>
        <v>0.9105236400610065</v>
      </c>
      <c r="CC50" s="26">
        <v>2030</v>
      </c>
      <c r="CD50" s="29">
        <f t="shared" ref="CD50:CL50" si="223">CD111/CD$80</f>
        <v>0.97745901639344257</v>
      </c>
      <c r="CE50" s="29">
        <f t="shared" si="223"/>
        <v>0.93786635404454877</v>
      </c>
      <c r="CF50" s="29">
        <f t="shared" si="223"/>
        <v>0.89729729729729724</v>
      </c>
      <c r="CG50" s="29">
        <f t="shared" si="223"/>
        <v>0.91018766756032177</v>
      </c>
      <c r="CH50" s="29">
        <f t="shared" si="223"/>
        <v>0.90955284552845528</v>
      </c>
      <c r="CI50" s="29">
        <f t="shared" si="223"/>
        <v>0.90389016018306634</v>
      </c>
      <c r="CJ50" s="29">
        <f t="shared" si="223"/>
        <v>0.8596713021491782</v>
      </c>
      <c r="CK50" s="29">
        <f t="shared" si="223"/>
        <v>1.0232896652110626</v>
      </c>
      <c r="CL50" s="29">
        <f t="shared" si="223"/>
        <v>1</v>
      </c>
    </row>
    <row r="51" spans="1:90" x14ac:dyDescent="0.2">
      <c r="A51" s="74" t="s">
        <v>129</v>
      </c>
      <c r="B51" s="33" t="s">
        <v>130</v>
      </c>
      <c r="C51" s="74"/>
      <c r="D51" s="74"/>
      <c r="E51" s="34"/>
      <c r="F51" s="34"/>
      <c r="G51" s="30"/>
      <c r="H51" s="30"/>
      <c r="I51" s="30"/>
      <c r="J51" s="30"/>
      <c r="K51" s="30"/>
      <c r="L51" s="30"/>
      <c r="M51" s="81"/>
      <c r="N51" s="81"/>
      <c r="O51" s="80"/>
      <c r="P51" s="80"/>
      <c r="Q51" s="72"/>
      <c r="R51" s="72"/>
      <c r="S51" s="72"/>
      <c r="T51" s="72"/>
      <c r="U51" s="72"/>
      <c r="V51" s="75"/>
      <c r="W51" s="20"/>
      <c r="X51" s="23">
        <v>2007</v>
      </c>
      <c r="Y51" s="39">
        <v>2338060</v>
      </c>
      <c r="Z51" s="39"/>
      <c r="AA51" s="39">
        <v>1088693.5</v>
      </c>
      <c r="AB51" s="39"/>
      <c r="AC51" s="39">
        <v>38681.5</v>
      </c>
      <c r="AD51" s="139"/>
      <c r="AE51" s="39">
        <v>1099306</v>
      </c>
      <c r="AF51" s="39"/>
      <c r="AG51" s="39">
        <v>2985671</v>
      </c>
      <c r="AH51" s="39"/>
      <c r="AI51" s="39">
        <v>4231736</v>
      </c>
      <c r="AJ51" s="39"/>
      <c r="AK51" s="39">
        <f t="shared" si="219"/>
        <v>1088693.5</v>
      </c>
      <c r="AL51" s="39"/>
      <c r="AM51" s="39">
        <f t="shared" si="220"/>
        <v>38681.5</v>
      </c>
      <c r="AN51" s="39">
        <v>6315825</v>
      </c>
      <c r="AO51" s="39"/>
      <c r="AP51" s="39">
        <v>4186862</v>
      </c>
      <c r="AQ51" s="39"/>
      <c r="AR51" s="39">
        <v>4805793</v>
      </c>
      <c r="AS51" s="39"/>
      <c r="AT51" s="39">
        <v>11586517</v>
      </c>
      <c r="AU51" s="39"/>
      <c r="AV51" s="39">
        <v>5785954</v>
      </c>
      <c r="AW51" s="39"/>
      <c r="AX51" s="39">
        <v>8426700</v>
      </c>
      <c r="AY51" s="39"/>
      <c r="AZ51" s="39">
        <v>3216283</v>
      </c>
      <c r="BA51" s="39"/>
      <c r="BB51" s="39">
        <v>24475795</v>
      </c>
      <c r="BC51" s="39"/>
      <c r="BD51" s="127">
        <v>3279144</v>
      </c>
      <c r="BE51" s="127"/>
      <c r="BF51" s="55">
        <v>7022100</v>
      </c>
      <c r="BG51" s="220">
        <f t="shared" si="221"/>
        <v>7022100</v>
      </c>
      <c r="BH51" s="89"/>
      <c r="BR51" s="26">
        <v>2031</v>
      </c>
      <c r="BS51" s="29">
        <f t="shared" ref="BS51:CA51" si="224">BS112/BS$80</f>
        <v>1.0564705882352943</v>
      </c>
      <c r="BT51" s="29">
        <f t="shared" si="224"/>
        <v>1.0244725738396625</v>
      </c>
      <c r="BU51" s="29">
        <f t="shared" si="224"/>
        <v>1.0789473684210524</v>
      </c>
      <c r="BV51" s="29">
        <f t="shared" si="224"/>
        <v>0.98170731707317072</v>
      </c>
      <c r="BW51" s="29">
        <f t="shared" si="224"/>
        <v>1.1235820895522388</v>
      </c>
      <c r="BX51" s="29">
        <f t="shared" si="224"/>
        <v>0.98296664300922643</v>
      </c>
      <c r="BY51" s="29">
        <f t="shared" si="224"/>
        <v>0.98110236220472447</v>
      </c>
      <c r="BZ51" s="29">
        <f t="shared" si="224"/>
        <v>1.103951367781155</v>
      </c>
      <c r="CA51" s="29">
        <f t="shared" si="224"/>
        <v>0.90543975597356363</v>
      </c>
      <c r="CC51" s="26">
        <v>2031</v>
      </c>
      <c r="CD51" s="29">
        <f t="shared" ref="CD51:CL51" si="225">CD112/CD$80</f>
        <v>0.99077868852459017</v>
      </c>
      <c r="CE51" s="29">
        <f t="shared" si="225"/>
        <v>0.94958968347010553</v>
      </c>
      <c r="CF51" s="29">
        <f t="shared" si="225"/>
        <v>0.9094594594594595</v>
      </c>
      <c r="CG51" s="29">
        <f t="shared" si="225"/>
        <v>0.92091152815013411</v>
      </c>
      <c r="CH51" s="29">
        <f t="shared" si="225"/>
        <v>0.92073170731707321</v>
      </c>
      <c r="CI51" s="29">
        <f t="shared" si="225"/>
        <v>0.9176201372997711</v>
      </c>
      <c r="CJ51" s="29">
        <f t="shared" si="225"/>
        <v>0.8710493046776232</v>
      </c>
      <c r="CK51" s="29">
        <f t="shared" si="225"/>
        <v>1.0378457059679767</v>
      </c>
      <c r="CL51" s="29">
        <f t="shared" si="225"/>
        <v>1.0108108108108109</v>
      </c>
    </row>
    <row r="52" spans="1:90" x14ac:dyDescent="0.2">
      <c r="A52" s="40"/>
      <c r="B52" s="74" t="s">
        <v>131</v>
      </c>
      <c r="C52" s="33"/>
      <c r="D52" s="33"/>
      <c r="E52" s="34"/>
      <c r="F52" s="34"/>
      <c r="G52" s="30"/>
      <c r="H52" s="77"/>
      <c r="I52" s="30"/>
      <c r="J52" s="23"/>
      <c r="K52" s="30"/>
      <c r="L52" s="77"/>
      <c r="M52" s="8"/>
      <c r="N52" s="8"/>
      <c r="O52" s="8"/>
      <c r="P52" s="8"/>
      <c r="Q52" s="23"/>
      <c r="R52" s="23"/>
      <c r="S52" s="23"/>
      <c r="T52" s="23"/>
      <c r="U52" s="72"/>
      <c r="V52" s="75"/>
      <c r="W52" s="20"/>
      <c r="X52" s="23">
        <v>2008</v>
      </c>
      <c r="Y52" s="39">
        <v>2342125</v>
      </c>
      <c r="Z52" s="39"/>
      <c r="AA52" s="39">
        <v>1119818.5</v>
      </c>
      <c r="AB52" s="39"/>
      <c r="AC52" s="39">
        <v>44453.5</v>
      </c>
      <c r="AD52" s="139"/>
      <c r="AE52" s="39">
        <v>1095506</v>
      </c>
      <c r="AF52" s="39"/>
      <c r="AG52" s="39">
        <v>2968554</v>
      </c>
      <c r="AH52" s="39"/>
      <c r="AI52" s="39">
        <v>4270266</v>
      </c>
      <c r="AJ52" s="39"/>
      <c r="AK52" s="39">
        <f t="shared" si="219"/>
        <v>1119818.5</v>
      </c>
      <c r="AL52" s="39"/>
      <c r="AM52" s="39">
        <f t="shared" si="220"/>
        <v>44453.5</v>
      </c>
      <c r="AN52" s="39">
        <v>6357500</v>
      </c>
      <c r="AO52" s="39"/>
      <c r="AP52" s="39">
        <v>4232466</v>
      </c>
      <c r="AQ52" s="39"/>
      <c r="AR52" s="39">
        <v>4853552</v>
      </c>
      <c r="AS52" s="39"/>
      <c r="AT52" s="39">
        <v>11662271</v>
      </c>
      <c r="AU52" s="39"/>
      <c r="AV52" s="39">
        <v>5831495</v>
      </c>
      <c r="AW52" s="39"/>
      <c r="AX52" s="39">
        <v>8476408</v>
      </c>
      <c r="AY52" s="39"/>
      <c r="AZ52" s="39">
        <v>3233522</v>
      </c>
      <c r="BA52" s="39"/>
      <c r="BB52" s="39">
        <v>26423090</v>
      </c>
      <c r="BC52" s="39"/>
      <c r="BD52" s="127">
        <v>3281067</v>
      </c>
      <c r="BE52" s="127"/>
      <c r="BF52" s="55">
        <v>7064318</v>
      </c>
      <c r="BG52" s="220">
        <f t="shared" si="221"/>
        <v>7064318</v>
      </c>
      <c r="BH52" s="89"/>
      <c r="BR52" s="26">
        <v>2032</v>
      </c>
      <c r="BS52" s="29">
        <f t="shared" ref="BS52:CA52" si="226">BS113/BS$80</f>
        <v>1.0572549019607844</v>
      </c>
      <c r="BT52" s="29">
        <f t="shared" si="226"/>
        <v>1.0295358649789028</v>
      </c>
      <c r="BU52" s="29">
        <f t="shared" si="226"/>
        <v>1.0808270676691729</v>
      </c>
      <c r="BV52" s="29">
        <f t="shared" si="226"/>
        <v>0.98035230352303526</v>
      </c>
      <c r="BW52" s="29">
        <f t="shared" si="226"/>
        <v>1.1253731343283584</v>
      </c>
      <c r="BX52" s="29">
        <f t="shared" si="226"/>
        <v>0.97657913413768627</v>
      </c>
      <c r="BY52" s="29">
        <f t="shared" si="226"/>
        <v>0.98687664041994749</v>
      </c>
      <c r="BZ52" s="29">
        <f t="shared" si="226"/>
        <v>1.1100303951367783</v>
      </c>
      <c r="CA52" s="29">
        <f t="shared" si="226"/>
        <v>0.89984748347737664</v>
      </c>
      <c r="CC52" s="26">
        <v>2032</v>
      </c>
      <c r="CD52" s="29">
        <f t="shared" ref="CD52:CL52" si="227">CD113/CD$80</f>
        <v>1.0020491803278688</v>
      </c>
      <c r="CE52" s="29">
        <f t="shared" si="227"/>
        <v>0.958968347010551</v>
      </c>
      <c r="CF52" s="29">
        <f t="shared" si="227"/>
        <v>0.92162162162162165</v>
      </c>
      <c r="CG52" s="29">
        <f t="shared" si="227"/>
        <v>0.93297587131367288</v>
      </c>
      <c r="CH52" s="29">
        <f t="shared" si="227"/>
        <v>0.93191056910569103</v>
      </c>
      <c r="CI52" s="29">
        <f t="shared" si="227"/>
        <v>0.93135011441647597</v>
      </c>
      <c r="CJ52" s="29">
        <f t="shared" si="227"/>
        <v>0.88242730720606832</v>
      </c>
      <c r="CK52" s="29">
        <f t="shared" si="227"/>
        <v>1.0509461426491993</v>
      </c>
      <c r="CL52" s="29">
        <f t="shared" si="227"/>
        <v>1.0243243243243243</v>
      </c>
    </row>
    <row r="53" spans="1:90" x14ac:dyDescent="0.2">
      <c r="A53" s="74" t="s">
        <v>132</v>
      </c>
      <c r="B53" s="33" t="s">
        <v>133</v>
      </c>
      <c r="C53" s="74"/>
      <c r="D53" s="74"/>
      <c r="E53" s="34"/>
      <c r="F53" s="34"/>
      <c r="G53" s="30"/>
      <c r="H53" s="30"/>
      <c r="I53" s="30"/>
      <c r="J53" s="79"/>
      <c r="K53" s="30"/>
      <c r="L53" s="30"/>
      <c r="M53" s="32"/>
      <c r="N53" s="32"/>
      <c r="O53" s="32"/>
      <c r="P53" s="32"/>
      <c r="Q53" s="32"/>
      <c r="R53" s="32"/>
      <c r="S53" s="32"/>
      <c r="T53" s="32"/>
      <c r="V53" s="75"/>
      <c r="W53" s="20"/>
      <c r="X53" s="23">
        <v>2009</v>
      </c>
      <c r="Y53" s="39">
        <v>2342408</v>
      </c>
      <c r="Z53" s="39"/>
      <c r="AA53" s="39">
        <v>1151425</v>
      </c>
      <c r="AB53" s="39"/>
      <c r="AC53" s="39">
        <v>49871.5</v>
      </c>
      <c r="AD53" s="139"/>
      <c r="AE53" s="39">
        <v>1091426</v>
      </c>
      <c r="AF53" s="39"/>
      <c r="AG53" s="39">
        <v>2951576</v>
      </c>
      <c r="AH53" s="39"/>
      <c r="AI53" s="39">
        <v>4301579</v>
      </c>
      <c r="AJ53" s="39"/>
      <c r="AK53" s="39">
        <f t="shared" si="219"/>
        <v>1151425</v>
      </c>
      <c r="AL53" s="39"/>
      <c r="AM53" s="39">
        <f t="shared" si="220"/>
        <v>49871.5</v>
      </c>
      <c r="AN53" s="39">
        <v>6393304</v>
      </c>
      <c r="AO53" s="39"/>
      <c r="AP53" s="39">
        <v>4274989</v>
      </c>
      <c r="AQ53" s="39"/>
      <c r="AR53" s="39">
        <v>4896244</v>
      </c>
      <c r="AS53" s="39"/>
      <c r="AT53" s="39">
        <v>11726923</v>
      </c>
      <c r="AU53" s="39"/>
      <c r="AV53" s="39">
        <v>5872475</v>
      </c>
      <c r="AW53" s="39"/>
      <c r="AX53" s="39">
        <v>8519910</v>
      </c>
      <c r="AY53" s="39"/>
      <c r="AZ53" s="39">
        <v>3250096</v>
      </c>
      <c r="BA53" s="39"/>
      <c r="BB53" s="39">
        <v>27855367</v>
      </c>
      <c r="BC53" s="39"/>
      <c r="BD53" s="127">
        <v>3279875</v>
      </c>
      <c r="BE53" s="127"/>
      <c r="BF53" s="55">
        <v>7099711</v>
      </c>
      <c r="BG53" s="220">
        <f t="shared" si="221"/>
        <v>7099711</v>
      </c>
      <c r="BH53" s="212">
        <f>BG53/BG52-1</f>
        <v>5.0101085483411634E-3</v>
      </c>
      <c r="BR53" s="26">
        <v>2033</v>
      </c>
      <c r="BS53" s="29">
        <f t="shared" ref="BS53:CA53" si="228">BS114/BS$80</f>
        <v>1.0611764705882352</v>
      </c>
      <c r="BT53" s="29">
        <f t="shared" si="228"/>
        <v>1.0354430379746835</v>
      </c>
      <c r="BU53" s="29">
        <f t="shared" si="228"/>
        <v>1.0852130325814535</v>
      </c>
      <c r="BV53" s="29">
        <f t="shared" si="228"/>
        <v>0.98441734417344173</v>
      </c>
      <c r="BW53" s="29">
        <f t="shared" si="228"/>
        <v>1.1289552238805971</v>
      </c>
      <c r="BX53" s="29">
        <f t="shared" si="228"/>
        <v>0.98012775017743081</v>
      </c>
      <c r="BY53" s="29">
        <f t="shared" si="228"/>
        <v>0.99475065616797897</v>
      </c>
      <c r="BZ53" s="29">
        <f t="shared" si="228"/>
        <v>1.1191489361702127</v>
      </c>
      <c r="CA53" s="29">
        <f t="shared" si="228"/>
        <v>0.89476359938993388</v>
      </c>
      <c r="CC53" s="26">
        <v>2033</v>
      </c>
      <c r="CD53" s="29">
        <f t="shared" ref="CD53:CL53" si="229">CD114/CD$80</f>
        <v>1.0153688524590165</v>
      </c>
      <c r="CE53" s="29">
        <f t="shared" si="229"/>
        <v>0.97069167643610788</v>
      </c>
      <c r="CF53" s="29">
        <f t="shared" si="229"/>
        <v>0.93513513513513513</v>
      </c>
      <c r="CG53" s="29">
        <f t="shared" si="229"/>
        <v>0.94772117962466496</v>
      </c>
      <c r="CH53" s="29">
        <f t="shared" si="229"/>
        <v>0.94308943089430886</v>
      </c>
      <c r="CI53" s="29">
        <f t="shared" si="229"/>
        <v>0.94393592677345539</v>
      </c>
      <c r="CJ53" s="29">
        <f t="shared" si="229"/>
        <v>0.89127686472819212</v>
      </c>
      <c r="CK53" s="29">
        <f t="shared" si="229"/>
        <v>1.0640465793304221</v>
      </c>
      <c r="CL53" s="29">
        <f t="shared" si="229"/>
        <v>1.0391891891891891</v>
      </c>
    </row>
    <row r="54" spans="1:90" x14ac:dyDescent="0.2">
      <c r="A54" s="40"/>
      <c r="B54" s="74" t="s">
        <v>134</v>
      </c>
      <c r="C54" s="33"/>
      <c r="D54" s="33"/>
      <c r="E54" s="34"/>
      <c r="F54" s="34"/>
      <c r="G54" s="30"/>
      <c r="H54" s="72"/>
      <c r="I54" s="30"/>
      <c r="J54" s="80"/>
      <c r="K54" s="72"/>
      <c r="L54" s="72"/>
      <c r="M54" s="86"/>
      <c r="N54" s="86"/>
      <c r="O54" s="85"/>
      <c r="P54" s="85"/>
      <c r="Q54" s="85"/>
      <c r="R54" s="85"/>
      <c r="S54" s="85"/>
      <c r="T54" s="85"/>
      <c r="U54" s="72"/>
      <c r="V54" s="75"/>
      <c r="W54" s="20"/>
      <c r="X54" s="23">
        <v>2010</v>
      </c>
      <c r="Y54" s="39">
        <v>2337132</v>
      </c>
      <c r="Z54" s="39"/>
      <c r="AA54" s="39">
        <v>1180149.5</v>
      </c>
      <c r="AB54" s="39"/>
      <c r="AC54" s="39">
        <v>54961</v>
      </c>
      <c r="AD54" s="139"/>
      <c r="AE54" s="39">
        <v>1086725</v>
      </c>
      <c r="AF54" s="39"/>
      <c r="AG54" s="39">
        <v>2934580</v>
      </c>
      <c r="AH54" s="39"/>
      <c r="AI54" s="39">
        <v>4324237</v>
      </c>
      <c r="AJ54" s="39"/>
      <c r="AK54" s="39">
        <f t="shared" si="219"/>
        <v>1180149.5</v>
      </c>
      <c r="AL54" s="39"/>
      <c r="AM54" s="39">
        <f t="shared" si="220"/>
        <v>54961</v>
      </c>
      <c r="AN54" s="39">
        <v>6417796</v>
      </c>
      <c r="AO54" s="39"/>
      <c r="AP54" s="39">
        <v>4309232</v>
      </c>
      <c r="AQ54" s="39"/>
      <c r="AR54" s="39">
        <v>4929013</v>
      </c>
      <c r="AS54" s="39"/>
      <c r="AT54" s="39">
        <v>11772249</v>
      </c>
      <c r="AU54" s="39"/>
      <c r="AV54" s="39">
        <v>5902696</v>
      </c>
      <c r="AW54" s="39"/>
      <c r="AX54" s="39">
        <v>8550363</v>
      </c>
      <c r="AY54" s="39"/>
      <c r="AZ54" s="39">
        <v>3261593</v>
      </c>
      <c r="BA54" s="39"/>
      <c r="BB54" s="39">
        <v>28999990</v>
      </c>
      <c r="BC54" s="39"/>
      <c r="BD54" s="127">
        <v>3275824</v>
      </c>
      <c r="BE54" s="127"/>
      <c r="BF54" s="55">
        <v>7123377</v>
      </c>
      <c r="BG54" s="220">
        <f t="shared" si="221"/>
        <v>7123377</v>
      </c>
      <c r="BH54" s="212">
        <f t="shared" ref="BH54:BH68" si="230">BG54/BG53-1</f>
        <v>3.3333751190718353E-3</v>
      </c>
      <c r="BK54" s="64"/>
      <c r="BL54" s="82"/>
      <c r="BM54" s="64"/>
      <c r="BN54" s="64"/>
      <c r="BR54" s="26">
        <v>2034</v>
      </c>
      <c r="BS54" s="29">
        <f t="shared" ref="BS54:CA54" si="231">BS115/BS$80</f>
        <v>1.0654901960784315</v>
      </c>
      <c r="BT54" s="29">
        <f t="shared" si="231"/>
        <v>1.0426160337552743</v>
      </c>
      <c r="BU54" s="29">
        <f t="shared" si="231"/>
        <v>1.0939849624060149</v>
      </c>
      <c r="BV54" s="29">
        <f t="shared" si="231"/>
        <v>0.98983739837398377</v>
      </c>
      <c r="BW54" s="29">
        <f t="shared" si="231"/>
        <v>1.1355223880597014</v>
      </c>
      <c r="BX54" s="29">
        <f t="shared" si="231"/>
        <v>0.98296664300922643</v>
      </c>
      <c r="BY54" s="29">
        <f t="shared" si="231"/>
        <v>0.99947506561679778</v>
      </c>
      <c r="BZ54" s="29">
        <f t="shared" si="231"/>
        <v>1.1276595744680853</v>
      </c>
      <c r="CA54" s="29">
        <f t="shared" si="231"/>
        <v>0.89578037620742246</v>
      </c>
      <c r="CC54" s="26">
        <v>2034</v>
      </c>
      <c r="CD54" s="29">
        <f t="shared" ref="CD54:CL54" si="232">CD115/CD$80</f>
        <v>1.0256147540983607</v>
      </c>
      <c r="CE54" s="29">
        <f t="shared" si="232"/>
        <v>0.97772567409144207</v>
      </c>
      <c r="CF54" s="29">
        <f t="shared" si="232"/>
        <v>0.95</v>
      </c>
      <c r="CG54" s="29">
        <f t="shared" si="232"/>
        <v>0.9651474530831099</v>
      </c>
      <c r="CH54" s="29">
        <f t="shared" si="232"/>
        <v>0.95528455284552849</v>
      </c>
      <c r="CI54" s="29">
        <f t="shared" si="232"/>
        <v>0.95995423340961106</v>
      </c>
      <c r="CJ54" s="29">
        <f t="shared" si="232"/>
        <v>0.90391908975979773</v>
      </c>
      <c r="CK54" s="29">
        <f t="shared" si="232"/>
        <v>1.0844250363901018</v>
      </c>
      <c r="CL54" s="29">
        <f t="shared" si="232"/>
        <v>1.0567567567567568</v>
      </c>
    </row>
    <row r="55" spans="1:90" x14ac:dyDescent="0.2">
      <c r="A55" s="74" t="s">
        <v>135</v>
      </c>
      <c r="B55" s="33" t="s">
        <v>136</v>
      </c>
      <c r="C55" s="74"/>
      <c r="D55" s="74"/>
      <c r="E55" s="34"/>
      <c r="F55" s="34"/>
      <c r="G55" s="72"/>
      <c r="H55" s="72"/>
      <c r="I55" s="81"/>
      <c r="J55" s="80"/>
      <c r="K55" s="72"/>
      <c r="L55" s="72"/>
      <c r="M55" s="86"/>
      <c r="N55" s="86"/>
      <c r="O55" s="85"/>
      <c r="P55" s="85"/>
      <c r="Q55" s="85"/>
      <c r="R55" s="85"/>
      <c r="S55" s="85"/>
      <c r="T55" s="85"/>
      <c r="U55" s="72"/>
      <c r="V55" s="75"/>
      <c r="W55" s="20"/>
      <c r="X55" s="23">
        <v>2011</v>
      </c>
      <c r="Y55" s="39">
        <v>2334256</v>
      </c>
      <c r="Z55" s="39"/>
      <c r="AA55" s="39">
        <v>1205015.5</v>
      </c>
      <c r="AB55" s="39"/>
      <c r="AC55" s="39">
        <v>67828.5</v>
      </c>
      <c r="AD55" s="139"/>
      <c r="AE55" s="39">
        <v>1081926</v>
      </c>
      <c r="AF55" s="39"/>
      <c r="AG55" s="39">
        <v>2917801</v>
      </c>
      <c r="AH55" s="39"/>
      <c r="AI55" s="39">
        <v>4350205</v>
      </c>
      <c r="AJ55" s="39"/>
      <c r="AK55" s="39">
        <f t="shared" si="219"/>
        <v>1205015.5</v>
      </c>
      <c r="AL55" s="39"/>
      <c r="AM55" s="39">
        <f t="shared" si="220"/>
        <v>67828.5</v>
      </c>
      <c r="AN55" s="39">
        <v>6449769</v>
      </c>
      <c r="AO55" s="39"/>
      <c r="AP55" s="39">
        <v>4349997</v>
      </c>
      <c r="AQ55" s="39"/>
      <c r="AR55" s="39">
        <v>4967885</v>
      </c>
      <c r="AS55" s="39"/>
      <c r="AT55" s="39">
        <v>11844289</v>
      </c>
      <c r="AU55" s="39"/>
      <c r="AV55" s="39">
        <v>5939821</v>
      </c>
      <c r="AW55" s="39"/>
      <c r="AX55" s="39">
        <v>8590338</v>
      </c>
      <c r="AY55" s="39"/>
      <c r="AZ55" s="39">
        <v>3276580</v>
      </c>
      <c r="BA55" s="39"/>
      <c r="BB55" s="39">
        <v>29142861</v>
      </c>
      <c r="BC55" s="39"/>
      <c r="BD55" s="127">
        <v>3273221</v>
      </c>
      <c r="BE55" s="127"/>
      <c r="BF55" s="55">
        <v>7154603</v>
      </c>
      <c r="BG55" s="220">
        <f t="shared" si="221"/>
        <v>7154603</v>
      </c>
      <c r="BH55" s="212">
        <f t="shared" si="230"/>
        <v>4.3835950280324276E-3</v>
      </c>
      <c r="BR55" s="26">
        <v>2035</v>
      </c>
      <c r="BS55" s="29">
        <f t="shared" ref="BS55:CA55" si="233">BS116/BS$80</f>
        <v>1.0698039215686275</v>
      </c>
      <c r="BT55" s="29">
        <f t="shared" si="233"/>
        <v>1.0468354430379747</v>
      </c>
      <c r="BU55" s="29">
        <f t="shared" si="233"/>
        <v>1.0952380952380951</v>
      </c>
      <c r="BV55" s="29">
        <f t="shared" si="233"/>
        <v>0.99051490514905149</v>
      </c>
      <c r="BW55" s="29">
        <f t="shared" si="233"/>
        <v>1.1385074626865672</v>
      </c>
      <c r="BX55" s="29">
        <f t="shared" si="233"/>
        <v>0.96877217885024847</v>
      </c>
      <c r="BY55" s="29">
        <f t="shared" si="233"/>
        <v>1.0099737532808397</v>
      </c>
      <c r="BZ55" s="29">
        <f t="shared" si="233"/>
        <v>1.1355623100303951</v>
      </c>
      <c r="CA55" s="29">
        <f t="shared" si="233"/>
        <v>0.89883070665988807</v>
      </c>
      <c r="CC55" s="26">
        <v>2035</v>
      </c>
      <c r="CD55" s="29">
        <f t="shared" ref="CD55:CL55" si="234">CD116/CD$80</f>
        <v>1.0317622950819674</v>
      </c>
      <c r="CE55" s="29">
        <f t="shared" si="234"/>
        <v>0.97889800703399765</v>
      </c>
      <c r="CF55" s="29">
        <f t="shared" si="234"/>
        <v>0.96756756756756757</v>
      </c>
      <c r="CG55" s="29">
        <f t="shared" si="234"/>
        <v>0.98391420911528149</v>
      </c>
      <c r="CH55" s="29">
        <f t="shared" si="234"/>
        <v>0.96951219512195119</v>
      </c>
      <c r="CI55" s="29">
        <f t="shared" si="234"/>
        <v>0.9805491990846682</v>
      </c>
      <c r="CJ55" s="29">
        <f t="shared" si="234"/>
        <v>0.92161820480404555</v>
      </c>
      <c r="CK55" s="29">
        <f t="shared" si="234"/>
        <v>1.1048034934497817</v>
      </c>
      <c r="CL55" s="29">
        <f t="shared" si="234"/>
        <v>1.077027027027027</v>
      </c>
    </row>
    <row r="56" spans="1:90" x14ac:dyDescent="0.2">
      <c r="A56" s="40"/>
      <c r="B56" s="74" t="s">
        <v>137</v>
      </c>
      <c r="C56" s="72"/>
      <c r="D56" s="72"/>
      <c r="E56" s="80"/>
      <c r="F56" s="80"/>
      <c r="G56" s="33"/>
      <c r="H56" s="8"/>
      <c r="I56" s="8"/>
      <c r="J56" s="8"/>
      <c r="K56" s="8"/>
      <c r="L56" s="8"/>
      <c r="M56" s="86"/>
      <c r="N56" s="86"/>
      <c r="O56" s="85"/>
      <c r="P56" s="85"/>
      <c r="Q56" s="85"/>
      <c r="R56" s="85"/>
      <c r="S56" s="85"/>
      <c r="T56" s="85"/>
      <c r="U56" s="72"/>
      <c r="V56" s="75"/>
      <c r="W56" s="20"/>
      <c r="X56" s="23">
        <v>2012</v>
      </c>
      <c r="Y56" s="39">
        <v>2340329</v>
      </c>
      <c r="Z56" s="39"/>
      <c r="AA56" s="39">
        <v>1248861</v>
      </c>
      <c r="AB56" s="39"/>
      <c r="AC56" s="39">
        <v>88274</v>
      </c>
      <c r="AD56" s="139"/>
      <c r="AE56" s="39">
        <v>1077978</v>
      </c>
      <c r="AF56" s="39"/>
      <c r="AG56" s="39">
        <v>2901669</v>
      </c>
      <c r="AH56" s="39"/>
      <c r="AI56" s="39">
        <v>4392067</v>
      </c>
      <c r="AJ56" s="39"/>
      <c r="AK56" s="39">
        <f t="shared" si="219"/>
        <v>1248861</v>
      </c>
      <c r="AL56" s="39"/>
      <c r="AM56" s="39">
        <f t="shared" si="220"/>
        <v>88274</v>
      </c>
      <c r="AN56" s="39">
        <v>6524029</v>
      </c>
      <c r="AO56" s="39"/>
      <c r="AP56" s="39">
        <v>4425070</v>
      </c>
      <c r="AQ56" s="39"/>
      <c r="AR56" s="39">
        <v>5042020</v>
      </c>
      <c r="AS56" s="39"/>
      <c r="AT56" s="39">
        <v>11992072</v>
      </c>
      <c r="AU56" s="39"/>
      <c r="AV56" s="39">
        <v>6016258</v>
      </c>
      <c r="AW56" s="39"/>
      <c r="AX56" s="39">
        <v>8681308</v>
      </c>
      <c r="AY56" s="39"/>
      <c r="AZ56" s="39">
        <v>3310493</v>
      </c>
      <c r="BA56" s="39"/>
      <c r="BB56" s="39">
        <v>29369733</v>
      </c>
      <c r="BC56" s="39"/>
      <c r="BD56" s="127">
        <v>3278156</v>
      </c>
      <c r="BE56" s="127"/>
      <c r="BF56" s="55">
        <v>7229000</v>
      </c>
      <c r="BG56" s="220">
        <f t="shared" si="221"/>
        <v>7229000</v>
      </c>
      <c r="BH56" s="212">
        <f t="shared" si="230"/>
        <v>1.0398480530645848E-2</v>
      </c>
    </row>
    <row r="57" spans="1:90" x14ac:dyDescent="0.2">
      <c r="A57" s="83"/>
      <c r="B57" s="72"/>
      <c r="C57" s="32"/>
      <c r="D57" s="32"/>
      <c r="E57" s="32"/>
      <c r="F57" s="32"/>
      <c r="G57" s="26"/>
      <c r="H57" s="40"/>
      <c r="I57" s="40"/>
      <c r="J57" s="32"/>
      <c r="K57" s="32"/>
      <c r="L57" s="40"/>
      <c r="M57" s="86"/>
      <c r="N57" s="86"/>
      <c r="O57" s="85"/>
      <c r="P57" s="85"/>
      <c r="Q57" s="85"/>
      <c r="R57" s="85"/>
      <c r="S57" s="85"/>
      <c r="T57" s="85"/>
      <c r="U57" s="72"/>
      <c r="V57" s="75">
        <v>4786180.5</v>
      </c>
      <c r="W57" s="20">
        <f>SUM(Y57:AE57)</f>
        <v>4786180.5</v>
      </c>
      <c r="X57" s="23">
        <v>2013</v>
      </c>
      <c r="Y57" s="39">
        <v>2340531</v>
      </c>
      <c r="Z57" s="39"/>
      <c r="AA57" s="39">
        <v>1272682.5</v>
      </c>
      <c r="AB57" s="39"/>
      <c r="AC57" s="39">
        <v>99534</v>
      </c>
      <c r="AD57" s="139"/>
      <c r="AE57" s="39">
        <v>1073433</v>
      </c>
      <c r="AF57" s="39"/>
      <c r="AG57" s="39">
        <v>2885391</v>
      </c>
      <c r="AH57" s="39"/>
      <c r="AI57" s="39">
        <v>4418997</v>
      </c>
      <c r="AJ57" s="39"/>
      <c r="AK57" s="39">
        <f t="shared" si="219"/>
        <v>1272682.5</v>
      </c>
      <c r="AL57" s="39"/>
      <c r="AM57" s="39">
        <f t="shared" si="220"/>
        <v>99534</v>
      </c>
      <c r="AN57" s="39">
        <v>6554585</v>
      </c>
      <c r="AO57" s="39"/>
      <c r="AP57" s="39">
        <v>4463555</v>
      </c>
      <c r="AQ57" s="39"/>
      <c r="AR57" s="39">
        <v>5080368</v>
      </c>
      <c r="AS57" s="39"/>
      <c r="AT57" s="39">
        <v>12063009</v>
      </c>
      <c r="AU57" s="39"/>
      <c r="AV57" s="39">
        <v>6050089</v>
      </c>
      <c r="AW57" s="39"/>
      <c r="AX57" s="39">
        <v>8717672</v>
      </c>
      <c r="AY57" s="39"/>
      <c r="AZ57" s="39">
        <v>3321998</v>
      </c>
      <c r="BA57" s="39"/>
      <c r="BB57" s="39">
        <v>29362776</v>
      </c>
      <c r="BC57" s="39"/>
      <c r="BD57" s="127">
        <v>3274086</v>
      </c>
      <c r="BE57" s="127"/>
      <c r="BF57" s="55">
        <v>7259203</v>
      </c>
      <c r="BG57" s="220">
        <f t="shared" si="221"/>
        <v>7259203</v>
      </c>
      <c r="BH57" s="212">
        <f t="shared" si="230"/>
        <v>4.1780329229492708E-3</v>
      </c>
      <c r="BK57" s="31"/>
      <c r="BL57" s="31"/>
      <c r="BM57" s="31"/>
      <c r="BN57" s="31"/>
      <c r="BR57" s="26" t="s">
        <v>151</v>
      </c>
      <c r="BS57" s="26"/>
      <c r="BT57" s="26"/>
      <c r="BU57" s="26"/>
      <c r="BV57" s="26"/>
      <c r="BW57" s="26"/>
      <c r="BX57" s="26"/>
      <c r="BY57" s="26"/>
      <c r="BZ57" s="26"/>
      <c r="CA57" s="26"/>
      <c r="CC57" s="26" t="s">
        <v>152</v>
      </c>
      <c r="CD57" s="26"/>
      <c r="CE57" s="26"/>
      <c r="CF57" s="26"/>
      <c r="CG57" s="26"/>
      <c r="CH57" s="26"/>
      <c r="CI57" s="26"/>
      <c r="CJ57" s="26"/>
      <c r="CK57" s="26"/>
      <c r="CL57" s="26"/>
    </row>
    <row r="58" spans="1:90" x14ac:dyDescent="0.2">
      <c r="A58" s="26"/>
      <c r="B58" s="84"/>
      <c r="C58" s="84"/>
      <c r="D58" s="84"/>
      <c r="E58" s="87"/>
      <c r="F58" s="87"/>
      <c r="G58" s="26"/>
      <c r="H58" s="85"/>
      <c r="I58" s="85"/>
      <c r="J58" s="85"/>
      <c r="K58" s="55"/>
      <c r="L58" s="55"/>
      <c r="M58" s="106"/>
      <c r="N58" s="106"/>
      <c r="O58" s="85"/>
      <c r="P58" s="85"/>
      <c r="Q58" s="85"/>
      <c r="R58" s="85"/>
      <c r="S58" s="85"/>
      <c r="T58" s="85"/>
      <c r="U58" s="72"/>
      <c r="V58" s="75">
        <v>4841455</v>
      </c>
      <c r="W58" s="20">
        <f t="shared" ref="W58:W66" si="235">SUM(Y58:AE58)</f>
        <v>4841455</v>
      </c>
      <c r="X58" s="23">
        <v>2014</v>
      </c>
      <c r="Y58" s="39">
        <v>2347625</v>
      </c>
      <c r="Z58" s="39"/>
      <c r="AA58" s="39">
        <v>1307625</v>
      </c>
      <c r="AB58" s="39"/>
      <c r="AC58" s="39">
        <v>116134</v>
      </c>
      <c r="AD58" s="139"/>
      <c r="AE58" s="39">
        <v>1070071</v>
      </c>
      <c r="AF58" s="39"/>
      <c r="AG58" s="39">
        <v>2869842</v>
      </c>
      <c r="AH58" s="39"/>
      <c r="AI58" s="39">
        <v>4457921</v>
      </c>
      <c r="AJ58" s="39"/>
      <c r="AK58" s="39">
        <f t="shared" si="219"/>
        <v>1307625</v>
      </c>
      <c r="AL58" s="39"/>
      <c r="AM58" s="39">
        <f t="shared" si="220"/>
        <v>116134</v>
      </c>
      <c r="AN58" s="39">
        <v>6614240</v>
      </c>
      <c r="AO58" s="39"/>
      <c r="AP58" s="39">
        <v>4526672</v>
      </c>
      <c r="AQ58" s="39"/>
      <c r="AR58" s="39">
        <v>5141167</v>
      </c>
      <c r="AS58" s="39"/>
      <c r="AT58" s="39">
        <v>12184332</v>
      </c>
      <c r="AU58" s="39"/>
      <c r="AV58" s="39">
        <v>6111834</v>
      </c>
      <c r="AW58" s="39"/>
      <c r="AX58" s="39">
        <v>8788675</v>
      </c>
      <c r="AY58" s="39"/>
      <c r="AZ58" s="39">
        <v>3348151</v>
      </c>
      <c r="BA58" s="39"/>
      <c r="BB58" s="39">
        <v>29461651</v>
      </c>
      <c r="BC58" s="39"/>
      <c r="BD58" s="127">
        <v>3275766</v>
      </c>
      <c r="BE58" s="127"/>
      <c r="BF58" s="55">
        <v>7318620</v>
      </c>
      <c r="BG58" s="220">
        <f t="shared" si="221"/>
        <v>7318620</v>
      </c>
      <c r="BH58" s="212">
        <f t="shared" si="230"/>
        <v>8.1850583321612103E-3</v>
      </c>
      <c r="BK58" s="31"/>
      <c r="BL58" s="31"/>
      <c r="BM58" s="31"/>
      <c r="BN58" s="31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</row>
    <row r="59" spans="1:90" x14ac:dyDescent="0.2">
      <c r="A59" s="26"/>
      <c r="B59" s="84"/>
      <c r="C59" s="84"/>
      <c r="D59" s="84"/>
      <c r="E59" s="87"/>
      <c r="F59" s="87"/>
      <c r="G59" s="26"/>
      <c r="H59" s="85"/>
      <c r="I59" s="85"/>
      <c r="J59" s="85"/>
      <c r="K59" s="55"/>
      <c r="L59" s="55"/>
      <c r="M59" s="106"/>
      <c r="N59" s="106"/>
      <c r="O59" s="85"/>
      <c r="P59" s="85"/>
      <c r="Q59" s="85"/>
      <c r="R59" s="85"/>
      <c r="S59" s="85"/>
      <c r="T59" s="85"/>
      <c r="U59" s="72"/>
      <c r="V59" s="75">
        <v>4914587.5</v>
      </c>
      <c r="W59" s="20">
        <f t="shared" si="235"/>
        <v>4914587.5</v>
      </c>
      <c r="X59" s="23">
        <v>2015</v>
      </c>
      <c r="Y59" s="39">
        <v>2360836</v>
      </c>
      <c r="Z59" s="39"/>
      <c r="AA59" s="39">
        <v>1349702.5</v>
      </c>
      <c r="AB59" s="39"/>
      <c r="AC59" s="39">
        <v>136248</v>
      </c>
      <c r="AD59" s="139"/>
      <c r="AE59" s="39">
        <v>1067801</v>
      </c>
      <c r="AF59" s="39"/>
      <c r="AG59" s="39">
        <v>2854956</v>
      </c>
      <c r="AH59" s="39"/>
      <c r="AI59" s="39">
        <v>4506412</v>
      </c>
      <c r="AJ59" s="39"/>
      <c r="AK59" s="39">
        <f t="shared" si="219"/>
        <v>1349702.5</v>
      </c>
      <c r="AL59" s="39"/>
      <c r="AM59" s="39">
        <f t="shared" si="220"/>
        <v>136248</v>
      </c>
      <c r="AN59" s="39">
        <v>6694785</v>
      </c>
      <c r="AO59" s="39"/>
      <c r="AP59" s="39">
        <v>4607630</v>
      </c>
      <c r="AQ59" s="39"/>
      <c r="AR59" s="39">
        <v>5217518</v>
      </c>
      <c r="AS59" s="39"/>
      <c r="AT59" s="39">
        <v>12341679</v>
      </c>
      <c r="AU59" s="39"/>
      <c r="AV59" s="39">
        <v>6193485</v>
      </c>
      <c r="AW59" s="39"/>
      <c r="AX59" s="39">
        <v>8883910</v>
      </c>
      <c r="AY59" s="39"/>
      <c r="AZ59" s="39">
        <v>3384592</v>
      </c>
      <c r="BA59" s="39"/>
      <c r="BB59" s="39">
        <v>29667960</v>
      </c>
      <c r="BC59" s="39"/>
      <c r="BD59" s="127">
        <v>3281503</v>
      </c>
      <c r="BE59" s="127"/>
      <c r="BF59" s="55">
        <v>7398955</v>
      </c>
      <c r="BG59" s="220">
        <f t="shared" si="221"/>
        <v>7398955</v>
      </c>
      <c r="BH59" s="212">
        <f t="shared" si="230"/>
        <v>1.0976796171956016E-2</v>
      </c>
      <c r="BK59" s="31"/>
      <c r="BL59" s="31"/>
      <c r="BM59" s="31"/>
      <c r="BN59" s="31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</row>
    <row r="60" spans="1:90" x14ac:dyDescent="0.2">
      <c r="A60" s="26"/>
      <c r="B60" s="84"/>
      <c r="C60" s="84"/>
      <c r="D60" s="84"/>
      <c r="E60" s="87"/>
      <c r="F60" s="87"/>
      <c r="G60" s="26"/>
      <c r="H60" s="85"/>
      <c r="I60" s="85"/>
      <c r="J60" s="85"/>
      <c r="K60" s="55"/>
      <c r="L60" s="55"/>
      <c r="M60" s="106"/>
      <c r="N60" s="106"/>
      <c r="O60" s="85"/>
      <c r="P60" s="85"/>
      <c r="Q60" s="85"/>
      <c r="R60" s="85"/>
      <c r="S60" s="85"/>
      <c r="T60" s="85"/>
      <c r="U60" s="72"/>
      <c r="V60" s="75">
        <v>4999778.5</v>
      </c>
      <c r="W60" s="20">
        <f t="shared" si="235"/>
        <v>4999778.5</v>
      </c>
      <c r="X60" s="23">
        <v>2016</v>
      </c>
      <c r="Y60" s="39">
        <v>2380085</v>
      </c>
      <c r="Z60" s="39"/>
      <c r="AA60" s="39">
        <v>1395553.5</v>
      </c>
      <c r="AB60" s="39"/>
      <c r="AC60" s="39">
        <v>157531</v>
      </c>
      <c r="AD60" s="139"/>
      <c r="AE60" s="39">
        <v>1066609</v>
      </c>
      <c r="AF60" s="39"/>
      <c r="AG60" s="39">
        <v>2840697</v>
      </c>
      <c r="AH60" s="39"/>
      <c r="AI60" s="39">
        <v>4562534</v>
      </c>
      <c r="AJ60" s="39"/>
      <c r="AK60" s="39">
        <f t="shared" si="219"/>
        <v>1395553.5</v>
      </c>
      <c r="AL60" s="39"/>
      <c r="AM60" s="39">
        <f t="shared" si="220"/>
        <v>157531</v>
      </c>
      <c r="AN60" s="39">
        <v>6788520</v>
      </c>
      <c r="AO60" s="39"/>
      <c r="AP60" s="39">
        <v>4699526</v>
      </c>
      <c r="AQ60" s="39"/>
      <c r="AR60" s="39">
        <v>5304584</v>
      </c>
      <c r="AS60" s="39"/>
      <c r="AT60" s="39">
        <v>12511664</v>
      </c>
      <c r="AU60" s="39"/>
      <c r="AV60" s="39">
        <v>6287180</v>
      </c>
      <c r="AW60" s="39"/>
      <c r="AX60" s="39">
        <v>8993239</v>
      </c>
      <c r="AY60" s="39"/>
      <c r="AZ60" s="39">
        <v>3426742</v>
      </c>
      <c r="BA60" s="39"/>
      <c r="BB60" s="39">
        <v>29962707</v>
      </c>
      <c r="BC60" s="39"/>
      <c r="BD60" s="127">
        <v>3289404</v>
      </c>
      <c r="BE60" s="127"/>
      <c r="BF60" s="55">
        <v>7492496</v>
      </c>
      <c r="BG60" s="220">
        <f t="shared" si="221"/>
        <v>7492496</v>
      </c>
      <c r="BH60" s="212">
        <f t="shared" si="230"/>
        <v>1.2642460996181271E-2</v>
      </c>
      <c r="BK60" s="31"/>
      <c r="BL60" s="31"/>
      <c r="BM60" s="31"/>
      <c r="BN60" s="31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</row>
    <row r="61" spans="1:90" x14ac:dyDescent="0.2">
      <c r="A61" s="26"/>
      <c r="B61" s="84"/>
      <c r="C61" s="84"/>
      <c r="D61" s="84"/>
      <c r="E61" s="87"/>
      <c r="F61" s="87"/>
      <c r="G61" s="26"/>
      <c r="H61" s="85"/>
      <c r="I61" s="85"/>
      <c r="J61" s="85"/>
      <c r="K61" s="55"/>
      <c r="L61" s="55"/>
      <c r="M61" s="106"/>
      <c r="N61" s="106"/>
      <c r="O61" s="85"/>
      <c r="P61" s="85"/>
      <c r="Q61" s="85"/>
      <c r="R61" s="85"/>
      <c r="S61" s="85"/>
      <c r="T61" s="85"/>
      <c r="U61" s="72"/>
      <c r="V61" s="75">
        <v>5090055.5</v>
      </c>
      <c r="W61" s="20">
        <f t="shared" si="235"/>
        <v>5090055.5</v>
      </c>
      <c r="X61" s="23">
        <v>2017</v>
      </c>
      <c r="Y61" s="39">
        <v>2403317</v>
      </c>
      <c r="Z61" s="39"/>
      <c r="AA61" s="39">
        <v>1443640.5</v>
      </c>
      <c r="AB61" s="39"/>
      <c r="AC61" s="39">
        <v>176926</v>
      </c>
      <c r="AD61" s="139"/>
      <c r="AE61" s="39">
        <v>1066172</v>
      </c>
      <c r="AF61" s="39"/>
      <c r="AG61" s="39">
        <v>2826912</v>
      </c>
      <c r="AH61" s="39"/>
      <c r="AI61" s="39">
        <v>4623649</v>
      </c>
      <c r="AJ61" s="39"/>
      <c r="AK61" s="39">
        <f t="shared" si="219"/>
        <v>1443640.5</v>
      </c>
      <c r="AL61" s="39"/>
      <c r="AM61" s="39">
        <f t="shared" si="220"/>
        <v>176926</v>
      </c>
      <c r="AN61" s="39">
        <v>6888274</v>
      </c>
      <c r="AO61" s="39"/>
      <c r="AP61" s="39">
        <v>4796644</v>
      </c>
      <c r="AQ61" s="39"/>
      <c r="AR61" s="39">
        <v>5402655</v>
      </c>
      <c r="AS61" s="39"/>
      <c r="AT61" s="39">
        <v>12691218</v>
      </c>
      <c r="AU61" s="39"/>
      <c r="AV61" s="39">
        <v>6386212</v>
      </c>
      <c r="AW61" s="39"/>
      <c r="AX61" s="39">
        <v>9108327</v>
      </c>
      <c r="AY61" s="39"/>
      <c r="AZ61" s="39">
        <v>3471366</v>
      </c>
      <c r="BA61" s="39"/>
      <c r="BB61" s="39">
        <v>30331868</v>
      </c>
      <c r="BC61" s="39"/>
      <c r="BD61" s="127">
        <v>3297094</v>
      </c>
      <c r="BE61" s="127"/>
      <c r="BF61" s="55">
        <v>7591914</v>
      </c>
      <c r="BG61" s="220">
        <f t="shared" si="221"/>
        <v>7591914</v>
      </c>
      <c r="BH61" s="212">
        <f t="shared" si="230"/>
        <v>1.3269009419557998E-2</v>
      </c>
      <c r="BK61" s="31"/>
      <c r="BL61" s="31"/>
      <c r="BM61" s="31"/>
      <c r="BN61" s="31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</row>
    <row r="62" spans="1:90" x14ac:dyDescent="0.2">
      <c r="A62" s="26"/>
      <c r="B62" s="84"/>
      <c r="C62" s="84"/>
      <c r="D62" s="84"/>
      <c r="E62" s="87"/>
      <c r="F62" s="87"/>
      <c r="G62" s="26"/>
      <c r="H62" s="85"/>
      <c r="I62" s="85"/>
      <c r="J62" s="85"/>
      <c r="K62" s="55"/>
      <c r="L62" s="55"/>
      <c r="M62" s="106"/>
      <c r="N62" s="106"/>
      <c r="O62" s="85"/>
      <c r="P62" s="85"/>
      <c r="Q62" s="85"/>
      <c r="R62" s="85"/>
      <c r="S62" s="85"/>
      <c r="T62" s="85"/>
      <c r="U62" s="72"/>
      <c r="V62" s="75">
        <v>5180082.5</v>
      </c>
      <c r="W62" s="20">
        <f t="shared" si="235"/>
        <v>5180082.5</v>
      </c>
      <c r="X62" s="23">
        <v>2018</v>
      </c>
      <c r="Y62" s="39">
        <v>2427853</v>
      </c>
      <c r="Z62" s="39"/>
      <c r="AA62" s="39">
        <v>1491759.5</v>
      </c>
      <c r="AB62" s="39"/>
      <c r="AC62" s="39">
        <v>194403</v>
      </c>
      <c r="AD62" s="139"/>
      <c r="AE62" s="39">
        <v>1066067</v>
      </c>
      <c r="AF62" s="39"/>
      <c r="AG62" s="39">
        <v>2813445</v>
      </c>
      <c r="AH62" s="39"/>
      <c r="AI62" s="39">
        <v>4686224</v>
      </c>
      <c r="AJ62" s="39"/>
      <c r="AK62" s="39">
        <f t="shared" si="219"/>
        <v>1491759.5</v>
      </c>
      <c r="AL62" s="39"/>
      <c r="AM62" s="39">
        <f t="shared" si="220"/>
        <v>194403</v>
      </c>
      <c r="AN62" s="39">
        <v>6988226</v>
      </c>
      <c r="AO62" s="39"/>
      <c r="AP62" s="39">
        <v>4894611</v>
      </c>
      <c r="AQ62" s="39"/>
      <c r="AR62" s="39">
        <v>5499585</v>
      </c>
      <c r="AS62" s="39"/>
      <c r="AT62" s="39">
        <v>12870809</v>
      </c>
      <c r="AU62" s="39"/>
      <c r="AV62" s="39">
        <v>6485364</v>
      </c>
      <c r="AW62" s="39"/>
      <c r="AX62" s="39">
        <v>9222915</v>
      </c>
      <c r="AY62" s="39"/>
      <c r="AZ62" s="39">
        <v>3516148</v>
      </c>
      <c r="BA62" s="39"/>
      <c r="BB62" s="39">
        <v>30751692</v>
      </c>
      <c r="BC62" s="39"/>
      <c r="BD62" s="127">
        <v>3304893</v>
      </c>
      <c r="BE62" s="127"/>
      <c r="BF62" s="55">
        <v>7691282</v>
      </c>
      <c r="BG62" s="220">
        <f t="shared" si="221"/>
        <v>7691282</v>
      </c>
      <c r="BH62" s="212">
        <f t="shared" si="230"/>
        <v>1.3088662490117864E-2</v>
      </c>
      <c r="BK62" s="31"/>
      <c r="BL62" s="31"/>
      <c r="BM62" s="31"/>
      <c r="BN62" s="31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</row>
    <row r="63" spans="1:90" x14ac:dyDescent="0.2">
      <c r="A63" s="26"/>
      <c r="B63" s="84"/>
      <c r="C63" s="84"/>
      <c r="D63" s="84"/>
      <c r="E63" s="87"/>
      <c r="F63" s="87"/>
      <c r="G63" s="26"/>
      <c r="H63" s="85"/>
      <c r="I63" s="85"/>
      <c r="J63" s="85"/>
      <c r="K63" s="55"/>
      <c r="L63" s="55"/>
      <c r="M63" s="106"/>
      <c r="N63" s="106"/>
      <c r="O63" s="85"/>
      <c r="P63" s="85"/>
      <c r="Q63" s="85"/>
      <c r="R63" s="85"/>
      <c r="S63" s="85"/>
      <c r="T63" s="85"/>
      <c r="U63" s="72"/>
      <c r="V63" s="75">
        <v>5268470</v>
      </c>
      <c r="W63" s="20">
        <f t="shared" si="235"/>
        <v>5268470</v>
      </c>
      <c r="X63" s="23">
        <v>2019</v>
      </c>
      <c r="Y63" s="39">
        <v>2452402</v>
      </c>
      <c r="Z63" s="39"/>
      <c r="AA63" s="39">
        <v>1539757</v>
      </c>
      <c r="AB63" s="39"/>
      <c r="AC63" s="39">
        <v>210320</v>
      </c>
      <c r="AD63" s="139"/>
      <c r="AE63" s="39">
        <v>1065991</v>
      </c>
      <c r="AF63" s="39"/>
      <c r="AG63" s="39">
        <v>2800170</v>
      </c>
      <c r="AH63" s="39"/>
      <c r="AI63" s="39">
        <v>4748709</v>
      </c>
      <c r="AJ63" s="39"/>
      <c r="AK63" s="39">
        <f t="shared" si="219"/>
        <v>1539757</v>
      </c>
      <c r="AL63" s="39"/>
      <c r="AM63" s="39">
        <f t="shared" si="220"/>
        <v>210320</v>
      </c>
      <c r="AN63" s="39">
        <v>7086948</v>
      </c>
      <c r="AO63" s="39"/>
      <c r="AP63" s="39">
        <v>4992340</v>
      </c>
      <c r="AQ63" s="39"/>
      <c r="AR63" s="39">
        <v>5594416</v>
      </c>
      <c r="AS63" s="39"/>
      <c r="AT63" s="39">
        <v>13046881</v>
      </c>
      <c r="AU63" s="39"/>
      <c r="AV63" s="39">
        <v>6583251</v>
      </c>
      <c r="AW63" s="39"/>
      <c r="AX63" s="39">
        <v>9335730</v>
      </c>
      <c r="AY63" s="39"/>
      <c r="AZ63" s="39">
        <v>3560348</v>
      </c>
      <c r="BA63" s="39"/>
      <c r="BB63" s="39">
        <v>31209732</v>
      </c>
      <c r="BC63" s="39"/>
      <c r="BD63" s="127">
        <v>3313867</v>
      </c>
      <c r="BE63" s="127"/>
      <c r="BF63" s="55">
        <v>7789169</v>
      </c>
      <c r="BG63" s="220">
        <f t="shared" si="221"/>
        <v>7789169</v>
      </c>
      <c r="BH63" s="212">
        <f t="shared" si="230"/>
        <v>1.2727007019115888E-2</v>
      </c>
      <c r="BK63" s="31"/>
      <c r="BL63" s="31"/>
      <c r="BM63" s="31"/>
      <c r="BN63" s="31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</row>
    <row r="64" spans="1:90" x14ac:dyDescent="0.2">
      <c r="A64" s="26"/>
      <c r="B64" s="84"/>
      <c r="C64" s="84"/>
      <c r="D64" s="84"/>
      <c r="E64" s="87"/>
      <c r="F64" s="87"/>
      <c r="G64" s="26"/>
      <c r="H64" s="85"/>
      <c r="I64" s="85"/>
      <c r="J64" s="85"/>
      <c r="K64" s="55"/>
      <c r="L64" s="55"/>
      <c r="M64" s="106"/>
      <c r="N64" s="106"/>
      <c r="O64" s="85"/>
      <c r="P64" s="85"/>
      <c r="Q64" s="85"/>
      <c r="R64" s="85"/>
      <c r="S64" s="85"/>
      <c r="T64" s="85"/>
      <c r="U64" s="72"/>
      <c r="V64" s="75">
        <v>5353757.5</v>
      </c>
      <c r="W64" s="20">
        <f t="shared" si="235"/>
        <v>5353757.5</v>
      </c>
      <c r="X64" s="23">
        <v>2020</v>
      </c>
      <c r="Y64" s="39">
        <v>2476137</v>
      </c>
      <c r="Z64" s="39"/>
      <c r="AA64" s="39">
        <v>1587068.5</v>
      </c>
      <c r="AB64" s="39"/>
      <c r="AC64" s="39">
        <v>224773</v>
      </c>
      <c r="AD64" s="139"/>
      <c r="AE64" s="39">
        <v>1065779</v>
      </c>
      <c r="AF64" s="39"/>
      <c r="AG64" s="39">
        <v>2787029</v>
      </c>
      <c r="AH64" s="39"/>
      <c r="AI64" s="39">
        <v>4809955</v>
      </c>
      <c r="AJ64" s="39"/>
      <c r="AK64" s="39">
        <f t="shared" si="219"/>
        <v>1587068.5</v>
      </c>
      <c r="AL64" s="39"/>
      <c r="AM64" s="39">
        <f t="shared" si="220"/>
        <v>224773</v>
      </c>
      <c r="AN64" s="39">
        <v>7182783</v>
      </c>
      <c r="AO64" s="39"/>
      <c r="AP64" s="39">
        <v>5088475</v>
      </c>
      <c r="AQ64" s="39"/>
      <c r="AR64" s="39">
        <v>5685765</v>
      </c>
      <c r="AS64" s="39"/>
      <c r="AT64" s="39">
        <v>13217343</v>
      </c>
      <c r="AU64" s="39"/>
      <c r="AV64" s="39">
        <v>6678319</v>
      </c>
      <c r="AW64" s="39"/>
      <c r="AX64" s="39">
        <v>9445001</v>
      </c>
      <c r="AY64" s="39"/>
      <c r="AZ64" s="39">
        <v>3603151</v>
      </c>
      <c r="BA64" s="39"/>
      <c r="BB64" s="39">
        <v>31685772</v>
      </c>
      <c r="BC64" s="39"/>
      <c r="BD64" s="127">
        <v>3322877</v>
      </c>
      <c r="BE64" s="127"/>
      <c r="BF64" s="55">
        <v>7883915</v>
      </c>
      <c r="BG64" s="220">
        <f t="shared" si="221"/>
        <v>7883915</v>
      </c>
      <c r="BH64" s="212">
        <f t="shared" si="230"/>
        <v>1.2163813623764064E-2</v>
      </c>
      <c r="BK64" s="31"/>
      <c r="BL64" s="31"/>
      <c r="BM64" s="31"/>
      <c r="BN64" s="31"/>
      <c r="BR64" s="64" t="s">
        <v>15</v>
      </c>
      <c r="BS64" s="64" t="s">
        <v>83</v>
      </c>
      <c r="BT64" s="64" t="s">
        <v>84</v>
      </c>
      <c r="BU64" s="64" t="s">
        <v>85</v>
      </c>
      <c r="BV64" s="64" t="s">
        <v>86</v>
      </c>
      <c r="BW64" s="64" t="s">
        <v>87</v>
      </c>
      <c r="BX64" s="64" t="s">
        <v>88</v>
      </c>
      <c r="BY64" s="64" t="s">
        <v>89</v>
      </c>
      <c r="BZ64" s="64" t="s">
        <v>90</v>
      </c>
      <c r="CA64" s="64" t="s">
        <v>91</v>
      </c>
      <c r="CC64" s="64" t="s">
        <v>15</v>
      </c>
      <c r="CD64" s="64" t="s">
        <v>83</v>
      </c>
      <c r="CE64" s="64" t="s">
        <v>84</v>
      </c>
      <c r="CF64" s="64" t="s">
        <v>85</v>
      </c>
      <c r="CG64" s="64" t="s">
        <v>86</v>
      </c>
      <c r="CH64" s="64" t="s">
        <v>87</v>
      </c>
      <c r="CI64" s="64" t="s">
        <v>88</v>
      </c>
      <c r="CJ64" s="64" t="s">
        <v>89</v>
      </c>
      <c r="CK64" s="64" t="s">
        <v>90</v>
      </c>
      <c r="CL64" s="64" t="s">
        <v>91</v>
      </c>
    </row>
    <row r="65" spans="1:90" x14ac:dyDescent="0.2">
      <c r="A65" s="26"/>
      <c r="B65" s="84"/>
      <c r="C65" s="84"/>
      <c r="D65" s="84"/>
      <c r="E65" s="87"/>
      <c r="F65" s="87"/>
      <c r="G65" s="26"/>
      <c r="H65" s="85"/>
      <c r="I65" s="85"/>
      <c r="J65" s="85"/>
      <c r="K65" s="55"/>
      <c r="L65" s="55"/>
      <c r="M65" s="106"/>
      <c r="N65" s="106"/>
      <c r="O65" s="85"/>
      <c r="P65" s="85"/>
      <c r="Q65" s="85"/>
      <c r="R65" s="85"/>
      <c r="S65" s="85"/>
      <c r="T65" s="85"/>
      <c r="U65" s="72"/>
      <c r="V65" s="75">
        <v>5434511</v>
      </c>
      <c r="W65" s="20">
        <f t="shared" si="235"/>
        <v>5434511</v>
      </c>
      <c r="X65" s="23">
        <v>2021</v>
      </c>
      <c r="Y65" s="39">
        <v>2498502</v>
      </c>
      <c r="Z65" s="39"/>
      <c r="AA65" s="39">
        <v>1632941</v>
      </c>
      <c r="AB65" s="39"/>
      <c r="AC65" s="39">
        <v>237730</v>
      </c>
      <c r="AD65" s="139"/>
      <c r="AE65" s="39">
        <v>1065338</v>
      </c>
      <c r="AF65" s="39"/>
      <c r="AG65" s="39">
        <v>2773973</v>
      </c>
      <c r="AH65" s="39"/>
      <c r="AI65" s="39">
        <v>4868979</v>
      </c>
      <c r="AJ65" s="39"/>
      <c r="AK65" s="39">
        <f t="shared" si="219"/>
        <v>1632941</v>
      </c>
      <c r="AL65" s="39"/>
      <c r="AM65" s="39">
        <f t="shared" si="220"/>
        <v>237730</v>
      </c>
      <c r="AN65" s="39">
        <v>7273890</v>
      </c>
      <c r="AO65" s="39"/>
      <c r="AP65" s="39">
        <v>5181376</v>
      </c>
      <c r="AQ65" s="39"/>
      <c r="AR65" s="39">
        <v>5772721</v>
      </c>
      <c r="AS65" s="39"/>
      <c r="AT65" s="39">
        <v>13386498</v>
      </c>
      <c r="AU65" s="39"/>
      <c r="AV65" s="39">
        <v>6768816</v>
      </c>
      <c r="AW65" s="39"/>
      <c r="AX65" s="39">
        <v>9548621</v>
      </c>
      <c r="AY65" s="39"/>
      <c r="AZ65" s="39">
        <v>3643662</v>
      </c>
      <c r="BA65" s="39"/>
      <c r="BB65" s="39">
        <v>32150432</v>
      </c>
      <c r="BC65" s="39"/>
      <c r="BD65" s="127">
        <v>3331455</v>
      </c>
      <c r="BE65" s="127"/>
      <c r="BF65" s="55">
        <v>7973708</v>
      </c>
      <c r="BG65" s="220">
        <f t="shared" si="221"/>
        <v>7973708</v>
      </c>
      <c r="BH65" s="212">
        <f t="shared" si="230"/>
        <v>1.1389392199180337E-2</v>
      </c>
      <c r="BK65" s="31"/>
      <c r="BL65" s="31"/>
      <c r="BM65" s="31"/>
      <c r="BN65" s="31"/>
      <c r="BR65" s="26">
        <v>1990</v>
      </c>
      <c r="BS65" s="124">
        <v>27.64</v>
      </c>
      <c r="BT65" s="124">
        <v>31.89</v>
      </c>
      <c r="BU65" s="124">
        <v>15.03</v>
      </c>
      <c r="BV65" s="124">
        <v>13.17</v>
      </c>
      <c r="BW65" s="124">
        <v>16.43</v>
      </c>
      <c r="BX65" s="124">
        <v>13.32</v>
      </c>
      <c r="BY65" s="124">
        <v>14.94</v>
      </c>
      <c r="BZ65" s="124">
        <v>13.31</v>
      </c>
      <c r="CA65" s="124">
        <v>17.690000000000001</v>
      </c>
      <c r="CC65" s="26">
        <v>1990</v>
      </c>
      <c r="CD65" s="120">
        <v>6.86</v>
      </c>
      <c r="CE65" s="120">
        <v>6.06</v>
      </c>
      <c r="CF65" s="120">
        <v>4.5199999999999996</v>
      </c>
      <c r="CG65" s="120">
        <v>4.21</v>
      </c>
      <c r="CH65" s="120">
        <v>5.85</v>
      </c>
      <c r="CI65" s="120">
        <v>4.76</v>
      </c>
      <c r="CJ65" s="120">
        <v>4.8600000000000003</v>
      </c>
      <c r="CK65" s="120">
        <v>4.53</v>
      </c>
      <c r="CL65" s="120">
        <v>4.97</v>
      </c>
    </row>
    <row r="66" spans="1:90" x14ac:dyDescent="0.2">
      <c r="A66" s="26"/>
      <c r="B66" s="84"/>
      <c r="C66" s="84"/>
      <c r="D66" s="84"/>
      <c r="E66" s="87"/>
      <c r="F66" s="87"/>
      <c r="G66" s="26"/>
      <c r="H66" s="85"/>
      <c r="I66" s="85"/>
      <c r="J66" s="85"/>
      <c r="K66" s="55"/>
      <c r="L66" s="55"/>
      <c r="M66" s="106"/>
      <c r="N66" s="106"/>
      <c r="O66" s="85"/>
      <c r="P66" s="85"/>
      <c r="Q66" s="85"/>
      <c r="R66" s="85"/>
      <c r="S66" s="85"/>
      <c r="T66" s="85"/>
      <c r="U66" s="72"/>
      <c r="V66" s="75">
        <v>5512532.5</v>
      </c>
      <c r="W66" s="20">
        <f t="shared" si="235"/>
        <v>5512532.5</v>
      </c>
      <c r="X66" s="23">
        <v>2022</v>
      </c>
      <c r="Y66" s="39">
        <v>2519832</v>
      </c>
      <c r="Z66" s="39"/>
      <c r="AA66" s="39">
        <v>1678329.5</v>
      </c>
      <c r="AB66" s="39"/>
      <c r="AC66" s="39">
        <v>249677</v>
      </c>
      <c r="AD66" s="139"/>
      <c r="AE66" s="39">
        <v>1064694</v>
      </c>
      <c r="AF66" s="39"/>
      <c r="AG66" s="39">
        <v>2761024</v>
      </c>
      <c r="AH66" s="39"/>
      <c r="AI66" s="39">
        <v>4926505</v>
      </c>
      <c r="AJ66" s="39"/>
      <c r="AK66" s="39">
        <f t="shared" si="219"/>
        <v>1678329.5</v>
      </c>
      <c r="AL66" s="39"/>
      <c r="AM66" s="39">
        <f t="shared" si="220"/>
        <v>249677</v>
      </c>
      <c r="AN66" s="39">
        <v>7362216</v>
      </c>
      <c r="AO66" s="39"/>
      <c r="AP66" s="39">
        <v>5272964</v>
      </c>
      <c r="AQ66" s="39"/>
      <c r="AR66" s="39">
        <v>5857171</v>
      </c>
      <c r="AS66" s="39"/>
      <c r="AT66" s="39">
        <v>13550272</v>
      </c>
      <c r="AU66" s="39"/>
      <c r="AV66" s="39">
        <v>6856801</v>
      </c>
      <c r="AW66" s="39"/>
      <c r="AX66" s="39">
        <v>9649252</v>
      </c>
      <c r="AY66" s="39"/>
      <c r="AZ66" s="39">
        <v>3682920</v>
      </c>
      <c r="BA66" s="39"/>
      <c r="BB66" s="39">
        <v>32643307</v>
      </c>
      <c r="BC66" s="39"/>
      <c r="BD66" s="127">
        <v>3339725</v>
      </c>
      <c r="BE66" s="127"/>
      <c r="BF66" s="55">
        <v>8060724</v>
      </c>
      <c r="BG66" s="220">
        <f t="shared" si="221"/>
        <v>8060724</v>
      </c>
      <c r="BH66" s="212">
        <f t="shared" si="230"/>
        <v>1.0912865131253779E-2</v>
      </c>
      <c r="BK66" s="31"/>
      <c r="BL66" s="31"/>
      <c r="BM66" s="31"/>
      <c r="BN66" s="31"/>
      <c r="BR66" s="26">
        <f t="shared" ref="BR66:BR74" si="236">BR67-1</f>
        <v>1991</v>
      </c>
      <c r="BS66" s="124">
        <v>26.03</v>
      </c>
      <c r="BT66" s="124">
        <v>26.33</v>
      </c>
      <c r="BU66" s="124">
        <v>16.899999999999999</v>
      </c>
      <c r="BV66" s="124">
        <v>15.26</v>
      </c>
      <c r="BW66" s="124">
        <v>17.100000000000001</v>
      </c>
      <c r="BX66" s="124">
        <v>15.74</v>
      </c>
      <c r="BY66" s="124">
        <v>15.47</v>
      </c>
      <c r="BZ66" s="124">
        <v>14.4</v>
      </c>
      <c r="CA66" s="124">
        <v>18.13</v>
      </c>
      <c r="CC66" s="26">
        <f>CC65+1</f>
        <v>1991</v>
      </c>
      <c r="CD66" s="120">
        <v>6.84</v>
      </c>
      <c r="CE66" s="120">
        <v>5.9</v>
      </c>
      <c r="CF66" s="120">
        <v>4.34</v>
      </c>
      <c r="CG66" s="120">
        <v>3.98</v>
      </c>
      <c r="CH66" s="120">
        <v>5.58</v>
      </c>
      <c r="CI66" s="120">
        <v>4.67</v>
      </c>
      <c r="CJ66" s="120">
        <v>4.59</v>
      </c>
      <c r="CK66" s="120">
        <v>4.38</v>
      </c>
      <c r="CL66" s="120">
        <v>5.13</v>
      </c>
    </row>
    <row r="67" spans="1:90" x14ac:dyDescent="0.2">
      <c r="A67" s="26"/>
      <c r="B67" s="84"/>
      <c r="C67" s="84"/>
      <c r="D67" s="84"/>
      <c r="E67" s="87"/>
      <c r="F67" s="87"/>
      <c r="G67" s="26"/>
      <c r="H67" s="85"/>
      <c r="I67" s="85"/>
      <c r="J67" s="85"/>
      <c r="K67" s="55"/>
      <c r="L67" s="55"/>
      <c r="M67" s="106"/>
      <c r="N67" s="106"/>
      <c r="O67" s="85"/>
      <c r="P67" s="85"/>
      <c r="Q67" s="85"/>
      <c r="R67" s="85"/>
      <c r="S67" s="85"/>
      <c r="T67" s="85"/>
      <c r="U67" s="72"/>
      <c r="V67" s="75"/>
      <c r="W67" s="20"/>
      <c r="X67" s="23">
        <v>2023</v>
      </c>
      <c r="Y67" s="39">
        <v>2540137</v>
      </c>
      <c r="Z67" s="39"/>
      <c r="AA67" s="39">
        <v>1724282.5</v>
      </c>
      <c r="AB67" s="39"/>
      <c r="AC67" s="39">
        <v>261137</v>
      </c>
      <c r="AD67" s="139"/>
      <c r="AE67" s="39">
        <v>1063853</v>
      </c>
      <c r="AF67" s="39"/>
      <c r="AG67" s="39">
        <v>2748177</v>
      </c>
      <c r="AH67" s="39"/>
      <c r="AI67" s="39">
        <v>4983141</v>
      </c>
      <c r="AJ67" s="39"/>
      <c r="AK67" s="39">
        <f t="shared" si="219"/>
        <v>1724282.5</v>
      </c>
      <c r="AL67" s="39"/>
      <c r="AM67" s="39">
        <f t="shared" si="220"/>
        <v>261137</v>
      </c>
      <c r="AN67" s="39">
        <v>7449943</v>
      </c>
      <c r="AO67" s="39"/>
      <c r="AP67" s="39">
        <v>5365431</v>
      </c>
      <c r="AQ67" s="39"/>
      <c r="AR67" s="39">
        <v>5940745</v>
      </c>
      <c r="AS67" s="39"/>
      <c r="AT67" s="39">
        <v>13713086</v>
      </c>
      <c r="AU67" s="39"/>
      <c r="AV67" s="39">
        <v>6944509</v>
      </c>
      <c r="AW67" s="39"/>
      <c r="AX67" s="39">
        <v>9749796</v>
      </c>
      <c r="AY67" s="39"/>
      <c r="AZ67" s="39">
        <v>3722258</v>
      </c>
      <c r="BA67" s="39"/>
      <c r="BB67" s="39">
        <v>33141743</v>
      </c>
      <c r="BC67" s="39"/>
      <c r="BD67" s="127">
        <v>3347903</v>
      </c>
      <c r="BE67" s="127"/>
      <c r="BF67" s="55">
        <v>8147168</v>
      </c>
      <c r="BG67" s="220">
        <f t="shared" si="221"/>
        <v>8147168</v>
      </c>
      <c r="BH67" s="212">
        <f t="shared" si="230"/>
        <v>1.0724098728600584E-2</v>
      </c>
      <c r="BK67" s="31"/>
      <c r="BL67" s="31"/>
      <c r="BM67" s="31"/>
      <c r="BN67" s="31"/>
      <c r="BR67" s="26">
        <f t="shared" si="236"/>
        <v>1992</v>
      </c>
      <c r="BS67" s="124">
        <v>26.63</v>
      </c>
      <c r="BT67" s="124">
        <v>25.21</v>
      </c>
      <c r="BU67" s="124">
        <v>17.98</v>
      </c>
      <c r="BV67" s="124">
        <v>16.28</v>
      </c>
      <c r="BW67" s="124">
        <v>17.420000000000002</v>
      </c>
      <c r="BX67" s="124">
        <v>16.489999999999998</v>
      </c>
      <c r="BY67" s="124">
        <v>15.96</v>
      </c>
      <c r="BZ67" s="124">
        <v>15.76</v>
      </c>
      <c r="CA67" s="124">
        <v>18.57</v>
      </c>
      <c r="CC67" s="26">
        <f t="shared" ref="CC67:CC111" si="237">CC66+1</f>
        <v>1992</v>
      </c>
      <c r="CD67" s="120">
        <v>6.64</v>
      </c>
      <c r="CE67" s="120">
        <v>5.84</v>
      </c>
      <c r="CF67" s="120">
        <v>4.28</v>
      </c>
      <c r="CG67" s="120">
        <v>4.08</v>
      </c>
      <c r="CH67" s="120">
        <v>5.47</v>
      </c>
      <c r="CI67" s="120">
        <v>4.59</v>
      </c>
      <c r="CJ67" s="120">
        <v>4.55</v>
      </c>
      <c r="CK67" s="120">
        <v>4.2300000000000004</v>
      </c>
      <c r="CL67" s="120">
        <v>4.8099999999999996</v>
      </c>
    </row>
    <row r="68" spans="1:90" x14ac:dyDescent="0.2">
      <c r="A68" s="26"/>
      <c r="B68" s="84"/>
      <c r="C68" s="84"/>
      <c r="D68" s="84"/>
      <c r="E68" s="87"/>
      <c r="F68" s="87"/>
      <c r="G68" s="26"/>
      <c r="H68" s="85"/>
      <c r="I68" s="85"/>
      <c r="J68" s="85"/>
      <c r="K68" s="55"/>
      <c r="L68" s="55"/>
      <c r="M68" s="106"/>
      <c r="N68" s="106"/>
      <c r="O68" s="85"/>
      <c r="P68" s="85"/>
      <c r="Q68" s="85"/>
      <c r="R68" s="85"/>
      <c r="S68" s="85"/>
      <c r="T68" s="85"/>
      <c r="U68" s="72"/>
      <c r="V68" s="75"/>
      <c r="W68" s="20"/>
      <c r="X68" s="23">
        <v>2024</v>
      </c>
      <c r="Y68" s="39">
        <v>2559874</v>
      </c>
      <c r="Z68" s="39"/>
      <c r="AA68" s="39">
        <v>1771198.5</v>
      </c>
      <c r="AB68" s="39"/>
      <c r="AC68" s="39">
        <v>272192</v>
      </c>
      <c r="AD68" s="139"/>
      <c r="AE68" s="39">
        <v>1062872</v>
      </c>
      <c r="AF68" s="39"/>
      <c r="AG68" s="39">
        <v>2735458</v>
      </c>
      <c r="AH68" s="39"/>
      <c r="AI68" s="39">
        <v>5039406</v>
      </c>
      <c r="AJ68" s="39"/>
      <c r="AK68" s="39">
        <f t="shared" si="219"/>
        <v>1771198.5</v>
      </c>
      <c r="AL68" s="39"/>
      <c r="AM68" s="39">
        <f t="shared" si="220"/>
        <v>272192</v>
      </c>
      <c r="AN68" s="39">
        <v>7538099</v>
      </c>
      <c r="AO68" s="39"/>
      <c r="AP68" s="39">
        <v>5459555</v>
      </c>
      <c r="AQ68" s="39"/>
      <c r="AR68" s="39">
        <v>6024215</v>
      </c>
      <c r="AS68" s="39"/>
      <c r="AT68" s="39">
        <v>13877455</v>
      </c>
      <c r="AU68" s="39"/>
      <c r="AV68" s="39">
        <v>7032803</v>
      </c>
      <c r="AW68" s="39"/>
      <c r="AX68" s="39">
        <v>9851294</v>
      </c>
      <c r="AY68" s="39"/>
      <c r="AZ68" s="39">
        <v>3761984</v>
      </c>
      <c r="BA68" s="39"/>
      <c r="BB68" s="39">
        <v>33649386</v>
      </c>
      <c r="BC68" s="39"/>
      <c r="BD68" s="127">
        <v>3357102</v>
      </c>
      <c r="BE68" s="127"/>
      <c r="BF68" s="55">
        <v>8234035</v>
      </c>
      <c r="BG68" s="220">
        <f t="shared" si="221"/>
        <v>8234035</v>
      </c>
      <c r="BH68" s="212">
        <f t="shared" si="230"/>
        <v>1.0662232569648822E-2</v>
      </c>
      <c r="BR68" s="26">
        <f t="shared" si="236"/>
        <v>1993</v>
      </c>
      <c r="BS68" s="124">
        <v>27.92</v>
      </c>
      <c r="BT68" s="124">
        <v>24.89</v>
      </c>
      <c r="BU68" s="124">
        <v>18.21</v>
      </c>
      <c r="BV68" s="124">
        <v>16.48</v>
      </c>
      <c r="BW68" s="124">
        <v>17.350000000000001</v>
      </c>
      <c r="BX68" s="124">
        <v>16.52</v>
      </c>
      <c r="BY68" s="124">
        <v>16.78</v>
      </c>
      <c r="BZ68" s="124">
        <v>15.89</v>
      </c>
      <c r="CA68" s="124">
        <v>18.61</v>
      </c>
      <c r="CC68" s="26">
        <f t="shared" si="237"/>
        <v>1993</v>
      </c>
      <c r="CD68" s="120">
        <v>6.85</v>
      </c>
      <c r="CE68" s="120">
        <v>6.01</v>
      </c>
      <c r="CF68" s="120">
        <v>4.46</v>
      </c>
      <c r="CG68" s="120">
        <v>4.2300000000000004</v>
      </c>
      <c r="CH68" s="120">
        <v>5.76</v>
      </c>
      <c r="CI68" s="120">
        <v>4.7</v>
      </c>
      <c r="CJ68" s="120">
        <v>4.58</v>
      </c>
      <c r="CK68" s="120">
        <v>4.16</v>
      </c>
      <c r="CL68" s="120">
        <v>4.92</v>
      </c>
    </row>
    <row r="69" spans="1:90" x14ac:dyDescent="0.2">
      <c r="A69" s="26"/>
      <c r="B69" s="84"/>
      <c r="C69" s="84"/>
      <c r="D69" s="84"/>
      <c r="E69" s="87"/>
      <c r="F69" s="87"/>
      <c r="G69" s="26"/>
      <c r="H69" s="85"/>
      <c r="I69" s="85"/>
      <c r="J69" s="85"/>
      <c r="K69" s="55"/>
      <c r="L69" s="55"/>
      <c r="M69" s="106"/>
      <c r="N69" s="106"/>
      <c r="O69" s="85"/>
      <c r="P69" s="85"/>
      <c r="Q69" s="85"/>
      <c r="R69" s="85"/>
      <c r="S69" s="85"/>
      <c r="T69" s="85"/>
      <c r="U69" s="72"/>
      <c r="V69" s="75"/>
      <c r="W69" s="20"/>
      <c r="X69" s="23">
        <v>2025</v>
      </c>
      <c r="Y69" s="39">
        <v>2579035</v>
      </c>
      <c r="Z69" s="39"/>
      <c r="AA69" s="39">
        <v>1818783.5</v>
      </c>
      <c r="AB69" s="39"/>
      <c r="AC69" s="39">
        <v>282734</v>
      </c>
      <c r="AD69" s="139"/>
      <c r="AE69" s="39">
        <v>1061713</v>
      </c>
      <c r="AF69" s="39"/>
      <c r="AG69" s="39">
        <v>2722836</v>
      </c>
      <c r="AH69" s="39"/>
      <c r="AI69" s="39">
        <v>5095026</v>
      </c>
      <c r="AJ69" s="39"/>
      <c r="AK69" s="39">
        <f t="shared" si="219"/>
        <v>1818783.5</v>
      </c>
      <c r="AL69" s="39"/>
      <c r="AM69" s="39">
        <f t="shared" si="220"/>
        <v>282734</v>
      </c>
      <c r="AN69" s="39">
        <v>7625973</v>
      </c>
      <c r="AO69" s="39"/>
      <c r="AP69" s="39">
        <v>5554530</v>
      </c>
      <c r="AQ69" s="39"/>
      <c r="AR69" s="39">
        <v>6107071</v>
      </c>
      <c r="AS69" s="39"/>
      <c r="AT69" s="39">
        <v>14040897</v>
      </c>
      <c r="AU69" s="39"/>
      <c r="AV69" s="39">
        <v>7120904</v>
      </c>
      <c r="AW69" s="39"/>
      <c r="AX69" s="39">
        <v>9952747</v>
      </c>
      <c r="AY69" s="39"/>
      <c r="AZ69" s="39">
        <v>3801504</v>
      </c>
      <c r="BA69" s="39"/>
      <c r="BB69" s="39">
        <v>34164025</v>
      </c>
      <c r="BC69" s="39"/>
      <c r="BD69" s="127">
        <v>3366121</v>
      </c>
      <c r="BE69" s="127"/>
      <c r="BF69" s="55">
        <v>8320630</v>
      </c>
      <c r="BG69" s="220">
        <f t="shared" si="221"/>
        <v>8320630</v>
      </c>
      <c r="BH69" s="89"/>
      <c r="BR69" s="26">
        <f t="shared" si="236"/>
        <v>1994</v>
      </c>
      <c r="BS69" s="124">
        <v>29.1</v>
      </c>
      <c r="BT69" s="124">
        <v>25.35</v>
      </c>
      <c r="BU69" s="124">
        <v>18.52</v>
      </c>
      <c r="BV69" s="124">
        <v>16.989999999999998</v>
      </c>
      <c r="BW69" s="124">
        <v>17.760000000000002</v>
      </c>
      <c r="BX69" s="124">
        <v>17.010000000000002</v>
      </c>
      <c r="BY69" s="124">
        <v>17.260000000000002</v>
      </c>
      <c r="BZ69" s="124">
        <v>16.86</v>
      </c>
      <c r="CA69" s="124">
        <v>19.21</v>
      </c>
      <c r="CC69" s="26">
        <f t="shared" si="237"/>
        <v>1994</v>
      </c>
      <c r="CD69" s="120">
        <v>7.22</v>
      </c>
      <c r="CE69" s="120">
        <v>6.26</v>
      </c>
      <c r="CF69" s="120">
        <v>4.42</v>
      </c>
      <c r="CG69" s="120">
        <v>4.1399999999999997</v>
      </c>
      <c r="CH69" s="120">
        <v>5.83</v>
      </c>
      <c r="CI69" s="120">
        <v>4.8499999999999996</v>
      </c>
      <c r="CJ69" s="120">
        <v>4.6500000000000004</v>
      </c>
      <c r="CK69" s="120">
        <v>4.3099999999999996</v>
      </c>
      <c r="CL69" s="120">
        <v>4.97</v>
      </c>
    </row>
    <row r="70" spans="1:90" x14ac:dyDescent="0.2">
      <c r="A70" s="26"/>
      <c r="B70" s="84"/>
      <c r="C70" s="84"/>
      <c r="D70" s="84"/>
      <c r="E70" s="87"/>
      <c r="F70" s="87"/>
      <c r="G70" s="26"/>
      <c r="H70" s="85"/>
      <c r="I70" s="85"/>
      <c r="J70" s="85"/>
      <c r="K70" s="55"/>
      <c r="L70" s="55"/>
      <c r="M70" s="106"/>
      <c r="N70" s="106"/>
      <c r="O70" s="85"/>
      <c r="P70" s="85"/>
      <c r="Q70" s="85"/>
      <c r="R70" s="85"/>
      <c r="S70" s="85"/>
      <c r="T70" s="85"/>
      <c r="U70" s="72"/>
      <c r="V70" s="75"/>
      <c r="W70" s="20"/>
      <c r="X70" s="23">
        <v>2026</v>
      </c>
      <c r="Y70" s="39">
        <v>2597732</v>
      </c>
      <c r="Z70" s="39"/>
      <c r="AA70" s="39">
        <v>1866491</v>
      </c>
      <c r="AB70" s="39"/>
      <c r="AC70" s="39">
        <v>292622</v>
      </c>
      <c r="AD70" s="139"/>
      <c r="AE70" s="39">
        <v>1060399</v>
      </c>
      <c r="AF70" s="39"/>
      <c r="AG70" s="39">
        <v>2710323</v>
      </c>
      <c r="AH70" s="39"/>
      <c r="AI70" s="39">
        <v>5149764</v>
      </c>
      <c r="AJ70" s="39"/>
      <c r="AK70" s="39">
        <f t="shared" si="219"/>
        <v>1866491</v>
      </c>
      <c r="AL70" s="39"/>
      <c r="AM70" s="39">
        <f t="shared" si="220"/>
        <v>292622</v>
      </c>
      <c r="AN70" s="39">
        <v>7712629</v>
      </c>
      <c r="AO70" s="39"/>
      <c r="AP70" s="39">
        <v>5649330</v>
      </c>
      <c r="AQ70" s="39"/>
      <c r="AR70" s="39">
        <v>6188740</v>
      </c>
      <c r="AS70" s="39"/>
      <c r="AT70" s="39">
        <v>14202507</v>
      </c>
      <c r="AU70" s="39"/>
      <c r="AV70" s="39">
        <v>7207828</v>
      </c>
      <c r="AW70" s="39"/>
      <c r="AX70" s="39">
        <v>10052863</v>
      </c>
      <c r="AY70" s="39"/>
      <c r="AZ70" s="39">
        <v>3840183</v>
      </c>
      <c r="BA70" s="39"/>
      <c r="BB70" s="39">
        <v>34677305</v>
      </c>
      <c r="BC70" s="39"/>
      <c r="BD70" s="127">
        <v>3374700</v>
      </c>
      <c r="BE70" s="127"/>
      <c r="BF70" s="55">
        <v>8406034</v>
      </c>
      <c r="BG70" s="220">
        <f t="shared" si="221"/>
        <v>8406034</v>
      </c>
      <c r="BH70" s="89"/>
      <c r="BR70" s="26">
        <f t="shared" si="236"/>
        <v>1995</v>
      </c>
      <c r="BS70" s="124">
        <v>27.34</v>
      </c>
      <c r="BT70" s="124">
        <v>27.44</v>
      </c>
      <c r="BU70" s="124">
        <v>19.72</v>
      </c>
      <c r="BV70" s="124">
        <v>17.11</v>
      </c>
      <c r="BW70" s="124">
        <v>18.34</v>
      </c>
      <c r="BX70" s="124">
        <v>14.51</v>
      </c>
      <c r="BY70" s="124">
        <v>17.63</v>
      </c>
      <c r="BZ70" s="124">
        <v>18.09</v>
      </c>
      <c r="CA70" s="124">
        <v>20.97</v>
      </c>
      <c r="CC70" s="26">
        <f t="shared" si="237"/>
        <v>1995</v>
      </c>
      <c r="CD70" s="120">
        <v>7</v>
      </c>
      <c r="CE70" s="120">
        <v>6</v>
      </c>
      <c r="CF70" s="120">
        <v>3.9</v>
      </c>
      <c r="CG70" s="120">
        <v>3.84</v>
      </c>
      <c r="CH70" s="120">
        <v>5.33</v>
      </c>
      <c r="CI70" s="120">
        <v>4.4400000000000004</v>
      </c>
      <c r="CJ70" s="120">
        <v>4.5</v>
      </c>
      <c r="CK70" s="120">
        <v>4.12</v>
      </c>
      <c r="CL70" s="120">
        <v>4.8899999999999997</v>
      </c>
    </row>
    <row r="71" spans="1:90" x14ac:dyDescent="0.2">
      <c r="A71" s="26"/>
      <c r="B71" s="84"/>
      <c r="C71" s="84"/>
      <c r="D71" s="84"/>
      <c r="E71" s="87"/>
      <c r="F71" s="87"/>
      <c r="G71" s="26"/>
      <c r="H71" s="85"/>
      <c r="I71" s="85"/>
      <c r="J71" s="85"/>
      <c r="K71" s="55"/>
      <c r="L71" s="55"/>
      <c r="M71" s="106"/>
      <c r="N71" s="106"/>
      <c r="O71" s="85"/>
      <c r="P71" s="85"/>
      <c r="Q71" s="85"/>
      <c r="R71" s="85"/>
      <c r="S71" s="85"/>
      <c r="T71" s="85"/>
      <c r="U71" s="72"/>
      <c r="V71" s="75"/>
      <c r="W71" s="20"/>
      <c r="X71" s="23">
        <v>2027</v>
      </c>
      <c r="Y71" s="39">
        <v>2615762</v>
      </c>
      <c r="Z71" s="39"/>
      <c r="AA71" s="39">
        <v>1913366</v>
      </c>
      <c r="AB71" s="39"/>
      <c r="AC71" s="39">
        <v>301711</v>
      </c>
      <c r="AD71" s="139"/>
      <c r="AE71" s="39">
        <v>1058919</v>
      </c>
      <c r="AF71" s="39"/>
      <c r="AG71" s="39">
        <v>2697893</v>
      </c>
      <c r="AH71" s="39"/>
      <c r="AI71" s="39">
        <v>5202950</v>
      </c>
      <c r="AJ71" s="39"/>
      <c r="AK71" s="39">
        <f t="shared" si="219"/>
        <v>1913366</v>
      </c>
      <c r="AL71" s="39"/>
      <c r="AM71" s="39">
        <f t="shared" si="220"/>
        <v>301711</v>
      </c>
      <c r="AN71" s="39">
        <v>7796320</v>
      </c>
      <c r="AO71" s="39"/>
      <c r="AP71" s="39">
        <v>5741487</v>
      </c>
      <c r="AQ71" s="39"/>
      <c r="AR71" s="39">
        <v>6267915</v>
      </c>
      <c r="AS71" s="39"/>
      <c r="AT71" s="39">
        <v>14359929</v>
      </c>
      <c r="AU71" s="39"/>
      <c r="AV71" s="39">
        <v>7291828</v>
      </c>
      <c r="AW71" s="39"/>
      <c r="AX71" s="39">
        <v>10149410</v>
      </c>
      <c r="AY71" s="39"/>
      <c r="AZ71" s="39">
        <v>3877115</v>
      </c>
      <c r="BA71" s="39"/>
      <c r="BB71" s="39">
        <v>35182707</v>
      </c>
      <c r="BC71" s="39"/>
      <c r="BD71" s="127">
        <v>3382532</v>
      </c>
      <c r="BE71" s="127"/>
      <c r="BF71" s="55">
        <v>8488462</v>
      </c>
      <c r="BG71" s="220">
        <f t="shared" si="221"/>
        <v>8488462</v>
      </c>
      <c r="BH71" s="89"/>
      <c r="BR71" s="26">
        <f t="shared" si="236"/>
        <v>1996</v>
      </c>
      <c r="BS71" s="124">
        <v>27</v>
      </c>
      <c r="BT71" s="124">
        <v>27.05</v>
      </c>
      <c r="BU71" s="124">
        <v>19.350000000000001</v>
      </c>
      <c r="BV71" s="124">
        <v>16.55</v>
      </c>
      <c r="BW71" s="124">
        <v>17.920000000000002</v>
      </c>
      <c r="BX71" s="124">
        <v>14.13</v>
      </c>
      <c r="BY71" s="124">
        <v>17.47</v>
      </c>
      <c r="BZ71" s="124">
        <v>17.57</v>
      </c>
      <c r="CA71" s="124">
        <v>20.23</v>
      </c>
      <c r="CC71" s="26">
        <f t="shared" si="237"/>
        <v>1996</v>
      </c>
      <c r="CD71" s="120">
        <v>6.85</v>
      </c>
      <c r="CE71" s="120">
        <v>6.07</v>
      </c>
      <c r="CF71" s="120">
        <v>4.13</v>
      </c>
      <c r="CG71" s="120">
        <v>4.2</v>
      </c>
      <c r="CH71" s="120">
        <v>5.7</v>
      </c>
      <c r="CI71" s="120">
        <v>4.71</v>
      </c>
      <c r="CJ71" s="120">
        <v>4.53</v>
      </c>
      <c r="CK71" s="120">
        <v>3.72</v>
      </c>
      <c r="CL71" s="120">
        <v>4.76</v>
      </c>
    </row>
    <row r="72" spans="1:90" x14ac:dyDescent="0.2">
      <c r="A72" s="26"/>
      <c r="B72" s="84"/>
      <c r="C72" s="84"/>
      <c r="D72" s="84"/>
      <c r="E72" s="87"/>
      <c r="F72" s="87"/>
      <c r="G72" s="26"/>
      <c r="H72" s="85"/>
      <c r="I72" s="85"/>
      <c r="J72" s="85"/>
      <c r="K72" s="55"/>
      <c r="L72" s="55"/>
      <c r="M72" s="106"/>
      <c r="N72" s="106"/>
      <c r="O72" s="85"/>
      <c r="P72" s="85"/>
      <c r="Q72" s="85"/>
      <c r="R72" s="85"/>
      <c r="S72" s="85"/>
      <c r="T72" s="85"/>
      <c r="U72" s="72"/>
      <c r="V72" s="75"/>
      <c r="W72" s="20"/>
      <c r="X72" s="23">
        <v>2028</v>
      </c>
      <c r="Y72" s="39">
        <v>2632975</v>
      </c>
      <c r="Z72" s="39"/>
      <c r="AA72" s="39">
        <v>1959164.5</v>
      </c>
      <c r="AB72" s="39"/>
      <c r="AC72" s="39">
        <v>310037</v>
      </c>
      <c r="AD72" s="139"/>
      <c r="AE72" s="39">
        <v>1057253</v>
      </c>
      <c r="AF72" s="39"/>
      <c r="AG72" s="39">
        <v>2685543</v>
      </c>
      <c r="AH72" s="39"/>
      <c r="AI72" s="39">
        <v>5254358</v>
      </c>
      <c r="AJ72" s="39"/>
      <c r="AK72" s="39">
        <f t="shared" si="219"/>
        <v>1959164.5</v>
      </c>
      <c r="AL72" s="39"/>
      <c r="AM72" s="39">
        <f t="shared" si="220"/>
        <v>310037</v>
      </c>
      <c r="AN72" s="39">
        <v>7876575</v>
      </c>
      <c r="AO72" s="39"/>
      <c r="AP72" s="39">
        <v>5830531</v>
      </c>
      <c r="AQ72" s="39"/>
      <c r="AR72" s="39">
        <v>6344257</v>
      </c>
      <c r="AS72" s="39"/>
      <c r="AT72" s="39">
        <v>14511021</v>
      </c>
      <c r="AU72" s="39"/>
      <c r="AV72" s="39">
        <v>7372440</v>
      </c>
      <c r="AW72" s="39"/>
      <c r="AX72" s="39">
        <v>10241850</v>
      </c>
      <c r="AY72" s="39"/>
      <c r="AZ72" s="39">
        <v>3912078</v>
      </c>
      <c r="BA72" s="39"/>
      <c r="BB72" s="39">
        <v>35677015</v>
      </c>
      <c r="BC72" s="39"/>
      <c r="BD72" s="127">
        <v>3389382</v>
      </c>
      <c r="BE72" s="127"/>
      <c r="BF72" s="55">
        <v>8567468</v>
      </c>
      <c r="BG72" s="220">
        <f t="shared" si="221"/>
        <v>8567468</v>
      </c>
      <c r="BH72" s="89"/>
      <c r="BR72" s="26">
        <f t="shared" si="236"/>
        <v>1997</v>
      </c>
      <c r="BS72" s="124">
        <v>27.07</v>
      </c>
      <c r="BT72" s="124">
        <v>26.87</v>
      </c>
      <c r="BU72" s="124">
        <v>19.2</v>
      </c>
      <c r="BV72" s="124">
        <v>16.309999999999999</v>
      </c>
      <c r="BW72" s="124">
        <v>17.760000000000002</v>
      </c>
      <c r="BX72" s="124">
        <v>14.08</v>
      </c>
      <c r="BY72" s="124">
        <v>17.18</v>
      </c>
      <c r="BZ72" s="124">
        <v>17.100000000000001</v>
      </c>
      <c r="CA72" s="124">
        <v>20.12</v>
      </c>
      <c r="CC72" s="26">
        <f t="shared" si="237"/>
        <v>1997</v>
      </c>
      <c r="CD72" s="120">
        <v>7.13</v>
      </c>
      <c r="CE72" s="120">
        <v>6.6</v>
      </c>
      <c r="CF72" s="120">
        <v>4.5</v>
      </c>
      <c r="CG72" s="120">
        <v>4.57</v>
      </c>
      <c r="CH72" s="120">
        <v>6.14</v>
      </c>
      <c r="CI72" s="120">
        <v>5.22</v>
      </c>
      <c r="CJ72" s="120">
        <v>4.8099999999999996</v>
      </c>
      <c r="CK72" s="120">
        <v>4.05</v>
      </c>
      <c r="CL72" s="120">
        <v>4.91</v>
      </c>
    </row>
    <row r="73" spans="1:90" x14ac:dyDescent="0.2">
      <c r="A73" s="26"/>
      <c r="B73" s="84"/>
      <c r="C73" s="84"/>
      <c r="D73" s="84"/>
      <c r="E73" s="87"/>
      <c r="F73" s="87"/>
      <c r="G73" s="26"/>
      <c r="H73" s="85"/>
      <c r="I73" s="85"/>
      <c r="J73" s="85"/>
      <c r="K73" s="55"/>
      <c r="L73" s="55"/>
      <c r="M73" s="106"/>
      <c r="N73" s="106"/>
      <c r="O73" s="85"/>
      <c r="P73" s="85"/>
      <c r="Q73" s="85"/>
      <c r="R73" s="85"/>
      <c r="S73" s="85"/>
      <c r="T73" s="85"/>
      <c r="U73" s="72"/>
      <c r="V73" s="75"/>
      <c r="W73" s="20"/>
      <c r="X73" s="23">
        <v>2029</v>
      </c>
      <c r="Y73" s="39">
        <v>2649497</v>
      </c>
      <c r="Z73" s="39"/>
      <c r="AA73" s="39">
        <v>2004394.5</v>
      </c>
      <c r="AB73" s="39"/>
      <c r="AC73" s="39">
        <v>317802</v>
      </c>
      <c r="AD73" s="139"/>
      <c r="AE73" s="39">
        <v>1055421</v>
      </c>
      <c r="AF73" s="39"/>
      <c r="AG73" s="39">
        <v>2673285</v>
      </c>
      <c r="AH73" s="39"/>
      <c r="AI73" s="39">
        <v>5304384</v>
      </c>
      <c r="AJ73" s="39"/>
      <c r="AK73" s="39">
        <f t="shared" si="219"/>
        <v>2004394.5</v>
      </c>
      <c r="AL73" s="39"/>
      <c r="AM73" s="39">
        <f t="shared" si="220"/>
        <v>317802</v>
      </c>
      <c r="AN73" s="39">
        <v>7954520</v>
      </c>
      <c r="AO73" s="39"/>
      <c r="AP73" s="39">
        <v>5917578</v>
      </c>
      <c r="AQ73" s="39"/>
      <c r="AR73" s="39">
        <v>6418525</v>
      </c>
      <c r="AS73" s="39"/>
      <c r="AT73" s="39">
        <v>14659122</v>
      </c>
      <c r="AU73" s="39"/>
      <c r="AV73" s="39">
        <v>7450799</v>
      </c>
      <c r="AW73" s="39"/>
      <c r="AX73" s="39">
        <v>10331616</v>
      </c>
      <c r="AY73" s="39"/>
      <c r="AZ73" s="39">
        <v>3945703</v>
      </c>
      <c r="BA73" s="39"/>
      <c r="BB73" s="39">
        <v>36166247</v>
      </c>
      <c r="BC73" s="39"/>
      <c r="BD73" s="127">
        <v>3395640</v>
      </c>
      <c r="BE73" s="127"/>
      <c r="BF73" s="55">
        <v>8644166</v>
      </c>
      <c r="BG73" s="220">
        <f t="shared" si="221"/>
        <v>8644166</v>
      </c>
      <c r="BH73" s="89"/>
      <c r="BR73" s="26">
        <f t="shared" si="236"/>
        <v>1998</v>
      </c>
      <c r="BS73" s="124">
        <v>25.67</v>
      </c>
      <c r="BT73" s="124">
        <v>25.94</v>
      </c>
      <c r="BU73" s="124">
        <v>18.89</v>
      </c>
      <c r="BV73" s="124">
        <v>16.260000000000002</v>
      </c>
      <c r="BW73" s="124">
        <v>17.34</v>
      </c>
      <c r="BX73" s="124">
        <v>14.32</v>
      </c>
      <c r="BY73" s="124">
        <v>16.55</v>
      </c>
      <c r="BZ73" s="124">
        <v>16.940000000000001</v>
      </c>
      <c r="CA73" s="124">
        <v>18.91</v>
      </c>
      <c r="CC73" s="26">
        <f t="shared" si="237"/>
        <v>1998</v>
      </c>
      <c r="CD73" s="120">
        <v>7.03</v>
      </c>
      <c r="CE73" s="120">
        <v>6.36</v>
      </c>
      <c r="CF73" s="120">
        <v>4.25</v>
      </c>
      <c r="CG73" s="120">
        <v>4.32</v>
      </c>
      <c r="CH73" s="120">
        <v>5.89</v>
      </c>
      <c r="CI73" s="120">
        <v>4.99</v>
      </c>
      <c r="CJ73" s="120">
        <v>4.59</v>
      </c>
      <c r="CK73" s="120">
        <v>4.28</v>
      </c>
      <c r="CL73" s="120">
        <v>4.95</v>
      </c>
    </row>
    <row r="74" spans="1:90" x14ac:dyDescent="0.2">
      <c r="A74" s="26"/>
      <c r="B74" s="84"/>
      <c r="C74" s="84"/>
      <c r="D74" s="84"/>
      <c r="E74" s="87"/>
      <c r="F74" s="87"/>
      <c r="G74" s="26"/>
      <c r="H74" s="85"/>
      <c r="I74" s="85"/>
      <c r="J74" s="85"/>
      <c r="K74" s="55"/>
      <c r="L74" s="55"/>
      <c r="M74" s="106"/>
      <c r="N74" s="106"/>
      <c r="O74" s="85"/>
      <c r="P74" s="85"/>
      <c r="Q74" s="85"/>
      <c r="R74" s="85"/>
      <c r="S74" s="85"/>
      <c r="T74" s="85"/>
      <c r="U74" s="72"/>
      <c r="V74" s="75"/>
      <c r="W74" s="20"/>
      <c r="X74" s="23">
        <v>2030</v>
      </c>
      <c r="Y74" s="39">
        <v>2665460</v>
      </c>
      <c r="Z74" s="39"/>
      <c r="AA74" s="39">
        <v>2049630</v>
      </c>
      <c r="AB74" s="39"/>
      <c r="AC74" s="39">
        <v>325215</v>
      </c>
      <c r="AD74" s="139"/>
      <c r="AE74" s="39">
        <v>1053455</v>
      </c>
      <c r="AF74" s="39"/>
      <c r="AG74" s="39">
        <v>2661130</v>
      </c>
      <c r="AH74" s="39"/>
      <c r="AI74" s="39">
        <v>5353501</v>
      </c>
      <c r="AJ74" s="39"/>
      <c r="AK74" s="39">
        <f t="shared" si="219"/>
        <v>2049630</v>
      </c>
      <c r="AL74" s="39"/>
      <c r="AM74" s="39">
        <f t="shared" si="220"/>
        <v>325215</v>
      </c>
      <c r="AN74" s="39">
        <v>8031391</v>
      </c>
      <c r="AO74" s="39"/>
      <c r="AP74" s="39">
        <v>6003891</v>
      </c>
      <c r="AQ74" s="39"/>
      <c r="AR74" s="39">
        <v>6491441</v>
      </c>
      <c r="AS74" s="39"/>
      <c r="AT74" s="39">
        <v>14804949</v>
      </c>
      <c r="AU74" s="39"/>
      <c r="AV74" s="39">
        <v>7528161</v>
      </c>
      <c r="AW74" s="39"/>
      <c r="AX74" s="39">
        <v>10420279</v>
      </c>
      <c r="AY74" s="39"/>
      <c r="AZ74" s="39">
        <v>3978733</v>
      </c>
      <c r="BA74" s="39"/>
      <c r="BB74" s="39">
        <v>36654663</v>
      </c>
      <c r="BC74" s="39"/>
      <c r="BD74" s="127">
        <v>3401669</v>
      </c>
      <c r="BE74" s="127"/>
      <c r="BF74" s="55">
        <v>8719808</v>
      </c>
      <c r="BG74" s="220">
        <f t="shared" si="221"/>
        <v>8719808</v>
      </c>
      <c r="BH74" s="89"/>
      <c r="BR74" s="26">
        <f t="shared" si="236"/>
        <v>1999</v>
      </c>
      <c r="BS74" s="124">
        <v>24.42</v>
      </c>
      <c r="BT74" s="124">
        <v>24.28</v>
      </c>
      <c r="BU74" s="124">
        <v>18.079999999999998</v>
      </c>
      <c r="BV74" s="124">
        <v>16.100000000000001</v>
      </c>
      <c r="BW74" s="124">
        <v>16.899999999999999</v>
      </c>
      <c r="BX74" s="124">
        <v>14.05</v>
      </c>
      <c r="BY74" s="124">
        <v>16.12</v>
      </c>
      <c r="BZ74" s="124">
        <v>16.27</v>
      </c>
      <c r="CA74" s="124">
        <v>18.59</v>
      </c>
      <c r="CC74" s="26">
        <f t="shared" si="237"/>
        <v>1999</v>
      </c>
      <c r="CD74" s="120">
        <v>6.87</v>
      </c>
      <c r="CE74" s="120">
        <v>6.14</v>
      </c>
      <c r="CF74" s="120">
        <v>4.13</v>
      </c>
      <c r="CG74" s="120">
        <v>4.2699999999999996</v>
      </c>
      <c r="CH74" s="120">
        <v>5.42</v>
      </c>
      <c r="CI74" s="120">
        <v>4.8</v>
      </c>
      <c r="CJ74" s="120">
        <v>4.57</v>
      </c>
      <c r="CK74" s="120">
        <v>4.26</v>
      </c>
      <c r="CL74" s="120">
        <v>4.72</v>
      </c>
    </row>
    <row r="75" spans="1:90" x14ac:dyDescent="0.2">
      <c r="A75" s="26"/>
      <c r="B75" s="84"/>
      <c r="C75" s="84"/>
      <c r="D75" s="84"/>
      <c r="E75" s="87"/>
      <c r="F75" s="87"/>
      <c r="G75" s="26"/>
      <c r="H75" s="85"/>
      <c r="I75" s="85"/>
      <c r="J75" s="85"/>
      <c r="K75" s="55"/>
      <c r="L75" s="55"/>
      <c r="M75" s="106"/>
      <c r="N75" s="106"/>
      <c r="O75" s="85"/>
      <c r="P75" s="85"/>
      <c r="Q75" s="85"/>
      <c r="R75" s="85"/>
      <c r="S75" s="85"/>
      <c r="T75" s="85"/>
      <c r="U75" s="72"/>
      <c r="V75" s="75"/>
      <c r="W75" s="20"/>
      <c r="X75" s="23">
        <v>2031</v>
      </c>
      <c r="Y75" s="39">
        <v>2680981</v>
      </c>
      <c r="Z75" s="39"/>
      <c r="AA75" s="39">
        <v>2094508</v>
      </c>
      <c r="AB75" s="39"/>
      <c r="AC75" s="39">
        <v>332215</v>
      </c>
      <c r="AD75" s="139"/>
      <c r="AE75" s="39">
        <v>1051385</v>
      </c>
      <c r="AF75" s="39"/>
      <c r="AG75" s="39">
        <v>2649068</v>
      </c>
      <c r="AH75" s="39"/>
      <c r="AI75" s="39">
        <v>5401624</v>
      </c>
      <c r="AJ75" s="39"/>
      <c r="AK75" s="39">
        <f t="shared" si="219"/>
        <v>2094508</v>
      </c>
      <c r="AL75" s="39"/>
      <c r="AM75" s="39">
        <f t="shared" si="220"/>
        <v>332215</v>
      </c>
      <c r="AN75" s="39">
        <v>8106745</v>
      </c>
      <c r="AO75" s="39"/>
      <c r="AP75" s="39">
        <v>6088947</v>
      </c>
      <c r="AQ75" s="39"/>
      <c r="AR75" s="39">
        <v>6563113</v>
      </c>
      <c r="AS75" s="39"/>
      <c r="AT75" s="39">
        <v>14945406</v>
      </c>
      <c r="AU75" s="39"/>
      <c r="AV75" s="39">
        <v>7604085</v>
      </c>
      <c r="AW75" s="39"/>
      <c r="AX75" s="39">
        <v>10507193</v>
      </c>
      <c r="AY75" s="39"/>
      <c r="AZ75" s="39">
        <v>4010900</v>
      </c>
      <c r="BA75" s="39"/>
      <c r="BB75" s="39">
        <v>37143916</v>
      </c>
      <c r="BC75" s="39"/>
      <c r="BD75" s="127">
        <v>3407338</v>
      </c>
      <c r="BE75" s="127"/>
      <c r="BF75" s="55">
        <v>8793927</v>
      </c>
      <c r="BG75" s="220">
        <f t="shared" si="221"/>
        <v>8793927</v>
      </c>
      <c r="BH75" s="89"/>
      <c r="BR75" s="26">
        <f>BR76-1</f>
        <v>2000</v>
      </c>
      <c r="BS75" s="124">
        <v>23.92</v>
      </c>
      <c r="BT75" s="124">
        <v>24.39</v>
      </c>
      <c r="BU75" s="124">
        <v>17.600000000000001</v>
      </c>
      <c r="BV75" s="124">
        <v>15.75</v>
      </c>
      <c r="BW75" s="124">
        <v>16.5</v>
      </c>
      <c r="BX75" s="124">
        <v>13.77</v>
      </c>
      <c r="BY75" s="124">
        <v>16.64</v>
      </c>
      <c r="BZ75" s="124">
        <v>15.88</v>
      </c>
      <c r="CA75" s="124">
        <v>18.690000000000001</v>
      </c>
      <c r="CC75" s="26">
        <f t="shared" si="237"/>
        <v>2000</v>
      </c>
      <c r="CD75" s="120">
        <v>7.28</v>
      </c>
      <c r="CE75" s="120">
        <v>6.27</v>
      </c>
      <c r="CF75" s="120">
        <v>4.83</v>
      </c>
      <c r="CG75" s="120">
        <v>5.29</v>
      </c>
      <c r="CH75" s="120">
        <v>6.6</v>
      </c>
      <c r="CI75" s="120">
        <v>5.59</v>
      </c>
      <c r="CJ75" s="120">
        <v>5.37</v>
      </c>
      <c r="CK75" s="120">
        <v>4.66</v>
      </c>
      <c r="CL75" s="120">
        <v>5.68</v>
      </c>
    </row>
    <row r="76" spans="1:90" x14ac:dyDescent="0.2">
      <c r="A76" s="26"/>
      <c r="B76" s="84"/>
      <c r="C76" s="84"/>
      <c r="D76" s="84"/>
      <c r="E76" s="87"/>
      <c r="F76" s="87"/>
      <c r="G76" s="26"/>
      <c r="H76" s="85"/>
      <c r="I76" s="85"/>
      <c r="J76" s="85"/>
      <c r="K76" s="55"/>
      <c r="L76" s="55"/>
      <c r="M76" s="106"/>
      <c r="N76" s="106"/>
      <c r="O76" s="85"/>
      <c r="P76" s="85"/>
      <c r="Q76" s="85"/>
      <c r="R76" s="85"/>
      <c r="S76" s="85"/>
      <c r="T76" s="85"/>
      <c r="U76" s="72"/>
      <c r="V76" s="75"/>
      <c r="W76" s="20"/>
      <c r="X76" s="23">
        <v>2032</v>
      </c>
      <c r="Y76" s="39">
        <v>2696010</v>
      </c>
      <c r="Z76" s="39"/>
      <c r="AA76" s="39">
        <v>2138333</v>
      </c>
      <c r="AB76" s="39"/>
      <c r="AC76" s="39">
        <v>338726</v>
      </c>
      <c r="AD76" s="139"/>
      <c r="AE76" s="39">
        <v>1049243</v>
      </c>
      <c r="AF76" s="39"/>
      <c r="AG76" s="39">
        <v>2637128</v>
      </c>
      <c r="AH76" s="39"/>
      <c r="AI76" s="39">
        <v>5448438</v>
      </c>
      <c r="AJ76" s="39"/>
      <c r="AK76" s="39">
        <f t="shared" si="219"/>
        <v>2138333</v>
      </c>
      <c r="AL76" s="39"/>
      <c r="AM76" s="39">
        <f t="shared" si="220"/>
        <v>338726</v>
      </c>
      <c r="AN76" s="39">
        <v>8179445</v>
      </c>
      <c r="AO76" s="39"/>
      <c r="AP76" s="39">
        <v>6171684</v>
      </c>
      <c r="AQ76" s="39"/>
      <c r="AR76" s="39">
        <v>6632661</v>
      </c>
      <c r="AS76" s="39"/>
      <c r="AT76" s="39">
        <v>15084385</v>
      </c>
      <c r="AU76" s="39"/>
      <c r="AV76" s="39">
        <v>7677503</v>
      </c>
      <c r="AW76" s="39"/>
      <c r="AX76" s="39">
        <v>10590907</v>
      </c>
      <c r="AY76" s="39"/>
      <c r="AZ76" s="39">
        <v>4041683</v>
      </c>
      <c r="BA76" s="39"/>
      <c r="BB76" s="39">
        <v>37624961</v>
      </c>
      <c r="BC76" s="39"/>
      <c r="BD76" s="127">
        <v>3413988</v>
      </c>
      <c r="BE76" s="127"/>
      <c r="BF76" s="55">
        <v>8865401</v>
      </c>
      <c r="BG76" s="220">
        <f t="shared" si="221"/>
        <v>8865401</v>
      </c>
      <c r="BH76" s="89"/>
      <c r="BR76" s="28">
        <v>2001</v>
      </c>
      <c r="BS76" s="124">
        <v>25.01</v>
      </c>
      <c r="BT76" s="124">
        <v>23.97</v>
      </c>
      <c r="BU76" s="124">
        <v>17.02</v>
      </c>
      <c r="BV76" s="124">
        <v>15.42</v>
      </c>
      <c r="BW76" s="124">
        <v>16.86</v>
      </c>
      <c r="BX76" s="124">
        <v>13.62</v>
      </c>
      <c r="BY76" s="124">
        <v>17.7</v>
      </c>
      <c r="BZ76" s="124">
        <v>16.32</v>
      </c>
      <c r="CA76" s="124">
        <v>21</v>
      </c>
      <c r="CC76" s="26">
        <f t="shared" si="237"/>
        <v>2001</v>
      </c>
      <c r="CD76" s="120">
        <v>8.7100000000000009</v>
      </c>
      <c r="CE76" s="120">
        <v>7.37</v>
      </c>
      <c r="CF76" s="120">
        <v>5.82</v>
      </c>
      <c r="CG76" s="120">
        <v>6.44</v>
      </c>
      <c r="CH76" s="120">
        <v>7.89</v>
      </c>
      <c r="CI76" s="120">
        <v>7.27</v>
      </c>
      <c r="CJ76" s="120">
        <v>6.49</v>
      </c>
      <c r="CK76" s="120">
        <v>5.89</v>
      </c>
      <c r="CL76" s="120">
        <v>7.05</v>
      </c>
    </row>
    <row r="77" spans="1:90" x14ac:dyDescent="0.2">
      <c r="A77" s="26"/>
      <c r="B77" s="84"/>
      <c r="C77" s="84"/>
      <c r="D77" s="84"/>
      <c r="E77" s="87"/>
      <c r="F77" s="87"/>
      <c r="G77" s="26"/>
      <c r="H77" s="85"/>
      <c r="I77" s="85"/>
      <c r="J77" s="85"/>
      <c r="K77" s="55"/>
      <c r="L77" s="55"/>
      <c r="M77" s="106"/>
      <c r="N77" s="106"/>
      <c r="O77" s="85"/>
      <c r="P77" s="85"/>
      <c r="Q77" s="85"/>
      <c r="R77" s="85"/>
      <c r="S77" s="85"/>
      <c r="T77" s="85"/>
      <c r="U77" s="72"/>
      <c r="V77" s="75"/>
      <c r="W77" s="20"/>
      <c r="X77" s="23">
        <v>2033</v>
      </c>
      <c r="Y77" s="39">
        <v>2710675</v>
      </c>
      <c r="Z77" s="39"/>
      <c r="AA77" s="39">
        <v>2181904.5</v>
      </c>
      <c r="AB77" s="39"/>
      <c r="AC77" s="39">
        <v>344966</v>
      </c>
      <c r="AD77" s="139"/>
      <c r="AE77" s="39">
        <v>1047039</v>
      </c>
      <c r="AF77" s="39"/>
      <c r="AG77" s="39">
        <v>2625301</v>
      </c>
      <c r="AH77" s="39"/>
      <c r="AI77" s="39">
        <v>5494463</v>
      </c>
      <c r="AJ77" s="39"/>
      <c r="AK77" s="39">
        <f t="shared" si="219"/>
        <v>2181904.5</v>
      </c>
      <c r="AL77" s="39"/>
      <c r="AM77" s="39">
        <f t="shared" si="220"/>
        <v>344966</v>
      </c>
      <c r="AN77" s="39">
        <v>8251065</v>
      </c>
      <c r="AO77" s="39"/>
      <c r="AP77" s="39">
        <v>6253680</v>
      </c>
      <c r="AQ77" s="39"/>
      <c r="AR77" s="39">
        <v>6701144</v>
      </c>
      <c r="AS77" s="39"/>
      <c r="AT77" s="39">
        <v>15221665</v>
      </c>
      <c r="AU77" s="39"/>
      <c r="AV77" s="39">
        <v>7749978</v>
      </c>
      <c r="AW77" s="39"/>
      <c r="AX77" s="39">
        <v>10673431</v>
      </c>
      <c r="AY77" s="39"/>
      <c r="AZ77" s="39">
        <v>4071949</v>
      </c>
      <c r="BA77" s="39"/>
      <c r="BB77" s="39">
        <v>38106044</v>
      </c>
      <c r="BC77" s="39"/>
      <c r="BD77" s="127">
        <v>3420795</v>
      </c>
      <c r="BE77" s="127"/>
      <c r="BF77" s="55">
        <v>8935795</v>
      </c>
      <c r="BG77" s="220">
        <f t="shared" si="221"/>
        <v>8935795</v>
      </c>
      <c r="BH77" s="89"/>
      <c r="BR77" s="28">
        <v>2002</v>
      </c>
      <c r="BS77" s="124">
        <v>23.03</v>
      </c>
      <c r="BT77" s="124">
        <v>23.33</v>
      </c>
      <c r="BU77" s="124">
        <v>16.61</v>
      </c>
      <c r="BV77" s="124">
        <v>15.19</v>
      </c>
      <c r="BW77" s="124">
        <v>16.28</v>
      </c>
      <c r="BX77" s="124">
        <v>13.53</v>
      </c>
      <c r="BY77" s="124">
        <v>15.86</v>
      </c>
      <c r="BZ77" s="124">
        <v>16.22</v>
      </c>
      <c r="CA77" s="124">
        <v>21.55</v>
      </c>
      <c r="CC77" s="26">
        <f t="shared" si="237"/>
        <v>2002</v>
      </c>
      <c r="CD77" s="120">
        <v>7.17</v>
      </c>
      <c r="CE77" s="120">
        <v>6.19</v>
      </c>
      <c r="CF77" s="120">
        <v>4.18</v>
      </c>
      <c r="CG77" s="120">
        <v>4.82</v>
      </c>
      <c r="CH77" s="120">
        <v>6.7</v>
      </c>
      <c r="CI77" s="120">
        <v>5.78</v>
      </c>
      <c r="CJ77" s="120">
        <v>5.23</v>
      </c>
      <c r="CK77" s="120">
        <v>4.79</v>
      </c>
      <c r="CL77" s="120">
        <v>5.13</v>
      </c>
    </row>
    <row r="78" spans="1:90" x14ac:dyDescent="0.2">
      <c r="A78" s="26"/>
      <c r="B78" s="84"/>
      <c r="C78" s="84"/>
      <c r="D78" s="84"/>
      <c r="E78" s="87"/>
      <c r="F78" s="87"/>
      <c r="G78" s="26"/>
      <c r="H78" s="85"/>
      <c r="I78" s="85"/>
      <c r="J78" s="85"/>
      <c r="K78" s="55"/>
      <c r="L78" s="55"/>
      <c r="M78" s="106"/>
      <c r="N78" s="106"/>
      <c r="O78" s="85"/>
      <c r="P78" s="85"/>
      <c r="Q78" s="85"/>
      <c r="R78" s="85"/>
      <c r="S78" s="85"/>
      <c r="T78" s="85"/>
      <c r="U78" s="72"/>
      <c r="V78" s="75"/>
      <c r="W78" s="20"/>
      <c r="X78" s="23">
        <v>2034</v>
      </c>
      <c r="Y78" s="39">
        <v>2725095</v>
      </c>
      <c r="Z78" s="39"/>
      <c r="AA78" s="39">
        <v>2225792.5</v>
      </c>
      <c r="AB78" s="39"/>
      <c r="AC78" s="39">
        <v>351061</v>
      </c>
      <c r="AD78" s="139"/>
      <c r="AE78" s="39">
        <v>1044786</v>
      </c>
      <c r="AF78" s="39"/>
      <c r="AG78" s="39">
        <v>2613591</v>
      </c>
      <c r="AH78" s="39"/>
      <c r="AI78" s="39">
        <v>5540119</v>
      </c>
      <c r="AJ78" s="39"/>
      <c r="AK78" s="39">
        <f t="shared" si="219"/>
        <v>2225792.5</v>
      </c>
      <c r="AL78" s="39"/>
      <c r="AM78" s="39">
        <f t="shared" si="220"/>
        <v>351061</v>
      </c>
      <c r="AN78" s="39">
        <v>8322696</v>
      </c>
      <c r="AO78" s="39"/>
      <c r="AP78" s="39">
        <v>6335992</v>
      </c>
      <c r="AQ78" s="39"/>
      <c r="AR78" s="39">
        <v>6769480</v>
      </c>
      <c r="AS78" s="39"/>
      <c r="AT78" s="39">
        <v>15359214</v>
      </c>
      <c r="AU78" s="39"/>
      <c r="AV78" s="39">
        <v>7822585</v>
      </c>
      <c r="AW78" s="39"/>
      <c r="AX78" s="39">
        <v>10756151</v>
      </c>
      <c r="AY78" s="39"/>
      <c r="AZ78" s="39">
        <v>4102299</v>
      </c>
      <c r="BA78" s="39"/>
      <c r="BB78" s="39">
        <v>38594972</v>
      </c>
      <c r="BC78" s="39"/>
      <c r="BD78" s="127">
        <v>3426693</v>
      </c>
      <c r="BE78" s="127"/>
      <c r="BF78" s="55">
        <v>9006220</v>
      </c>
      <c r="BG78" s="220">
        <f t="shared" si="221"/>
        <v>9006220</v>
      </c>
      <c r="BH78" s="89"/>
      <c r="BR78" s="28">
        <v>2003</v>
      </c>
      <c r="BS78" s="124">
        <v>23.55</v>
      </c>
      <c r="BT78" s="124">
        <v>23.44</v>
      </c>
      <c r="BU78" s="124">
        <v>16.43</v>
      </c>
      <c r="BV78" s="124">
        <v>14.97</v>
      </c>
      <c r="BW78" s="124">
        <v>16.329999999999998</v>
      </c>
      <c r="BX78" s="124">
        <v>13.67</v>
      </c>
      <c r="BY78" s="124">
        <v>17.37</v>
      </c>
      <c r="BZ78" s="124">
        <v>16.18</v>
      </c>
      <c r="CA78" s="124">
        <v>20.399999999999999</v>
      </c>
      <c r="CC78" s="26">
        <f t="shared" si="237"/>
        <v>2003</v>
      </c>
      <c r="CD78" s="120">
        <v>8.31</v>
      </c>
      <c r="CE78" s="120">
        <v>7.48</v>
      </c>
      <c r="CF78" s="120">
        <v>5.73</v>
      </c>
      <c r="CG78" s="120">
        <v>5.92</v>
      </c>
      <c r="CH78" s="120">
        <v>7.75</v>
      </c>
      <c r="CI78" s="120">
        <v>6.7</v>
      </c>
      <c r="CJ78" s="120">
        <v>6.3</v>
      </c>
      <c r="CK78" s="120">
        <v>5.18</v>
      </c>
      <c r="CL78" s="120">
        <v>6.01</v>
      </c>
    </row>
    <row r="79" spans="1:90" x14ac:dyDescent="0.2">
      <c r="A79" s="26"/>
      <c r="B79" s="84"/>
      <c r="C79" s="84"/>
      <c r="D79" s="84"/>
      <c r="E79" s="87"/>
      <c r="F79" s="87"/>
      <c r="G79" s="26"/>
      <c r="H79" s="85"/>
      <c r="I79" s="85"/>
      <c r="J79" s="85"/>
      <c r="K79" s="55"/>
      <c r="L79" s="55"/>
      <c r="M79" s="106"/>
      <c r="N79" s="106"/>
      <c r="O79" s="85"/>
      <c r="P79" s="85"/>
      <c r="Q79" s="85"/>
      <c r="R79" s="85"/>
      <c r="S79" s="85"/>
      <c r="T79" s="85"/>
      <c r="U79" s="72"/>
      <c r="V79" s="75"/>
      <c r="W79" s="20"/>
      <c r="X79" s="23">
        <v>2035</v>
      </c>
      <c r="Y79" s="39">
        <v>2739441</v>
      </c>
      <c r="Z79" s="39"/>
      <c r="AA79" s="39">
        <v>2270072</v>
      </c>
      <c r="AB79" s="39"/>
      <c r="AC79" s="39">
        <v>357021</v>
      </c>
      <c r="AD79" s="139"/>
      <c r="AE79" s="39">
        <v>1042509</v>
      </c>
      <c r="AF79" s="39"/>
      <c r="AG79" s="39">
        <v>2602010</v>
      </c>
      <c r="AH79" s="39"/>
      <c r="AI79" s="39">
        <v>5585544</v>
      </c>
      <c r="AJ79" s="39"/>
      <c r="AK79" s="39">
        <f t="shared" si="219"/>
        <v>2270072</v>
      </c>
      <c r="AL79" s="39"/>
      <c r="AM79" s="39">
        <f t="shared" si="220"/>
        <v>357021</v>
      </c>
      <c r="AN79" s="39">
        <v>8394595</v>
      </c>
      <c r="AO79" s="39"/>
      <c r="AP79" s="39">
        <v>6418861</v>
      </c>
      <c r="AQ79" s="39"/>
      <c r="AR79" s="39">
        <v>6837962</v>
      </c>
      <c r="AS79" s="39"/>
      <c r="AT79" s="39">
        <v>15497438</v>
      </c>
      <c r="AU79" s="39"/>
      <c r="AV79" s="39">
        <v>7895571</v>
      </c>
      <c r="AW79" s="39"/>
      <c r="AX79" s="39">
        <v>10839317</v>
      </c>
      <c r="AY79" s="39"/>
      <c r="AZ79" s="39">
        <v>4132795</v>
      </c>
      <c r="BA79" s="39"/>
      <c r="BB79" s="39">
        <v>39088502</v>
      </c>
      <c r="BC79" s="39"/>
      <c r="BD79" s="127">
        <v>3432415</v>
      </c>
      <c r="BE79" s="127"/>
      <c r="BF79" s="55">
        <v>9076926</v>
      </c>
      <c r="BG79" s="220">
        <f t="shared" si="221"/>
        <v>9076926</v>
      </c>
      <c r="BH79" s="47"/>
      <c r="BR79" s="28">
        <v>2004</v>
      </c>
      <c r="BS79" s="124">
        <v>23.35</v>
      </c>
      <c r="BT79" s="124">
        <v>23.17</v>
      </c>
      <c r="BU79" s="124">
        <v>16.25</v>
      </c>
      <c r="BV79" s="124">
        <v>14.85</v>
      </c>
      <c r="BW79" s="124">
        <v>16.34</v>
      </c>
      <c r="BX79" s="124">
        <v>13.97</v>
      </c>
      <c r="BY79" s="124">
        <v>17.75</v>
      </c>
      <c r="BZ79" s="124">
        <v>16.16</v>
      </c>
      <c r="CA79" s="124">
        <v>19.829999999999998</v>
      </c>
      <c r="CC79" s="26">
        <f t="shared" si="237"/>
        <v>2004</v>
      </c>
      <c r="CD79" s="120">
        <v>9.23</v>
      </c>
      <c r="CE79" s="120">
        <v>7.95</v>
      </c>
      <c r="CF79" s="120">
        <v>6.23</v>
      </c>
      <c r="CG79" s="120">
        <v>6.6</v>
      </c>
      <c r="CH79" s="120">
        <v>8.5399999999999991</v>
      </c>
      <c r="CI79" s="120">
        <v>7.4</v>
      </c>
      <c r="CJ79" s="120">
        <v>6.91</v>
      </c>
      <c r="CK79" s="120">
        <v>5.99</v>
      </c>
      <c r="CL79" s="120">
        <v>6.4</v>
      </c>
    </row>
    <row r="80" spans="1:90" x14ac:dyDescent="0.2">
      <c r="A80" s="26"/>
      <c r="B80" s="84"/>
      <c r="C80" s="84"/>
      <c r="D80" s="84"/>
      <c r="E80" s="87"/>
      <c r="F80" s="87"/>
      <c r="G80" s="26"/>
      <c r="H80" s="85"/>
      <c r="I80" s="85"/>
      <c r="J80" s="85"/>
      <c r="K80" s="55"/>
      <c r="L80" s="55"/>
      <c r="M80" s="106"/>
      <c r="N80" s="106"/>
      <c r="O80" s="85"/>
      <c r="P80" s="85"/>
      <c r="Q80" s="85"/>
      <c r="R80" s="85"/>
      <c r="S80" s="85"/>
      <c r="T80" s="85"/>
      <c r="U80" s="72"/>
      <c r="V80" s="75"/>
      <c r="X80" s="23">
        <v>2036</v>
      </c>
      <c r="Y80" s="220">
        <f>(Y79/Y78)*Y79</f>
        <v>2753862.523134423</v>
      </c>
      <c r="Z80" s="55"/>
      <c r="AA80" s="220">
        <f>(AA79/AA78)*AA79</f>
        <v>2315232.3880972732</v>
      </c>
      <c r="AB80" s="55"/>
      <c r="AC80" s="220">
        <f>(AC79/AC78)*AC79</f>
        <v>363082.1835549947</v>
      </c>
      <c r="AD80" s="55"/>
      <c r="AE80" s="220">
        <f>(AE79/AE78)*AE79</f>
        <v>1040236.9624793977</v>
      </c>
      <c r="AF80" s="55"/>
      <c r="AG80" s="220">
        <f>(AG79/AG78)*AG79</f>
        <v>2590480.3162009665</v>
      </c>
      <c r="AH80" s="55"/>
      <c r="AI80" s="220">
        <f>(AI79/AI78)*AI79</f>
        <v>5631341.4524012934</v>
      </c>
      <c r="AJ80" s="55"/>
      <c r="AK80" s="220">
        <f>(AK79/AK78)*AK79</f>
        <v>2315232.3880972732</v>
      </c>
      <c r="AL80" s="55"/>
      <c r="AM80" s="220">
        <f>(AM79/AM78)*AM79</f>
        <v>363082.1835549947</v>
      </c>
      <c r="AN80" s="220">
        <f>(AN79/AN78)*AN79</f>
        <v>8467115.1288026143</v>
      </c>
      <c r="AO80" s="55"/>
      <c r="AP80" s="220">
        <f>(AP79/AP78)*AP79</f>
        <v>6502813.8509835554</v>
      </c>
      <c r="AQ80" s="55"/>
      <c r="AR80" s="220">
        <f>(AR79/AR78)*AR79</f>
        <v>6907136.7835408337</v>
      </c>
      <c r="AS80" s="55"/>
      <c r="AT80" s="220">
        <f>(AT79/AT78)*AT79</f>
        <v>15636905.935671188</v>
      </c>
      <c r="AU80" s="55"/>
      <c r="AV80" s="220">
        <f>(AV79/AV78)*AV79</f>
        <v>7969237.9713408044</v>
      </c>
      <c r="AW80" s="55"/>
      <c r="AX80" s="220">
        <f>(AX79/AX78)*AX79</f>
        <v>10923126.035185728</v>
      </c>
      <c r="AY80" s="55"/>
      <c r="AZ80" s="220">
        <f>(AZ79/AZ78)*AZ79</f>
        <v>4163517.7036157046</v>
      </c>
      <c r="BA80" s="55"/>
      <c r="BB80" s="220">
        <f>(BB79/BB78)*BB79</f>
        <v>39588342.973898359</v>
      </c>
      <c r="BC80" s="55"/>
      <c r="BD80" s="220">
        <f>(BD79/BD78)*BD79</f>
        <v>3438146.5547759896</v>
      </c>
      <c r="BE80" s="55"/>
      <c r="BF80" s="220">
        <f>(BF79/BF78)*BF79</f>
        <v>9148187.0984137636</v>
      </c>
      <c r="BG80" s="220">
        <f>(BG79/BG78)*BG79</f>
        <v>9148187.0984137636</v>
      </c>
      <c r="BH80" s="47"/>
      <c r="BR80" s="28">
        <v>2005</v>
      </c>
      <c r="BS80" s="124">
        <v>25.5</v>
      </c>
      <c r="BT80" s="124">
        <v>23.7</v>
      </c>
      <c r="BU80" s="124">
        <v>15.96</v>
      </c>
      <c r="BV80" s="124">
        <v>14.76</v>
      </c>
      <c r="BW80" s="124">
        <v>16.75</v>
      </c>
      <c r="BX80" s="124">
        <v>14.09</v>
      </c>
      <c r="BY80" s="124">
        <v>19.05</v>
      </c>
      <c r="BZ80" s="124">
        <v>16.45</v>
      </c>
      <c r="CA80" s="124">
        <v>19.670000000000002</v>
      </c>
      <c r="CC80" s="26">
        <f t="shared" si="237"/>
        <v>2005</v>
      </c>
      <c r="CD80" s="120">
        <v>9.76</v>
      </c>
      <c r="CE80" s="120">
        <v>8.5299999999999994</v>
      </c>
      <c r="CF80" s="120">
        <v>7.4</v>
      </c>
      <c r="CG80" s="120">
        <v>7.46</v>
      </c>
      <c r="CH80" s="120">
        <v>9.84</v>
      </c>
      <c r="CI80" s="120">
        <v>8.74</v>
      </c>
      <c r="CJ80" s="120">
        <v>7.91</v>
      </c>
      <c r="CK80" s="120">
        <v>6.87</v>
      </c>
      <c r="CL80" s="120">
        <v>7.4</v>
      </c>
    </row>
    <row r="81" spans="1:90" x14ac:dyDescent="0.2">
      <c r="A81" s="26"/>
      <c r="B81" s="84"/>
      <c r="C81" s="84"/>
      <c r="D81" s="84"/>
      <c r="E81" s="87"/>
      <c r="F81" s="87"/>
      <c r="G81" s="26"/>
      <c r="H81" s="85"/>
      <c r="I81" s="85"/>
      <c r="J81" s="85"/>
      <c r="K81" s="55"/>
      <c r="L81" s="55"/>
      <c r="M81" s="106"/>
      <c r="N81" s="106"/>
      <c r="O81" s="85"/>
      <c r="P81" s="85"/>
      <c r="Q81" s="85"/>
      <c r="R81" s="85"/>
      <c r="S81" s="85"/>
      <c r="T81" s="85"/>
      <c r="U81" s="72"/>
      <c r="V81" s="75"/>
      <c r="X81" s="23">
        <v>2037</v>
      </c>
      <c r="Y81" s="220">
        <f t="shared" ref="Y81:Y87" si="238">(Y80/Y79)*Y80</f>
        <v>2768359.9669875316</v>
      </c>
      <c r="Z81" s="55"/>
      <c r="AA81" s="220">
        <f t="shared" ref="AA81:AA87" si="239">(AA80/AA79)*AA80</f>
        <v>2361291.1885149912</v>
      </c>
      <c r="AB81" s="55"/>
      <c r="AC81" s="220">
        <f t="shared" ref="AC81:BG87" si="240">(AC80/AC79)*AC80</f>
        <v>369246.26846897765</v>
      </c>
      <c r="AD81" s="55"/>
      <c r="AE81" s="220">
        <f t="shared" si="240"/>
        <v>1037969.8766229969</v>
      </c>
      <c r="AF81" s="55"/>
      <c r="AG81" s="220">
        <f t="shared" si="240"/>
        <v>2579001.7212173124</v>
      </c>
      <c r="AH81" s="55"/>
      <c r="AI81" s="220">
        <f t="shared" si="240"/>
        <v>5677514.4110462843</v>
      </c>
      <c r="AJ81" s="55"/>
      <c r="AK81" s="220">
        <f t="shared" si="240"/>
        <v>2361291.1885149912</v>
      </c>
      <c r="AL81" s="55"/>
      <c r="AM81" s="220">
        <f t="shared" si="240"/>
        <v>369246.26846897765</v>
      </c>
      <c r="AN81" s="220">
        <f t="shared" si="240"/>
        <v>8540261.7522820476</v>
      </c>
      <c r="AO81" s="55"/>
      <c r="AP81" s="220">
        <f t="shared" si="240"/>
        <v>6587864.7287335834</v>
      </c>
      <c r="AQ81" s="55"/>
      <c r="AR81" s="220">
        <f t="shared" si="240"/>
        <v>6977011.3590193707</v>
      </c>
      <c r="AS81" s="55"/>
      <c r="AT81" s="220">
        <f t="shared" si="240"/>
        <v>15777629.001711691</v>
      </c>
      <c r="AU81" s="55"/>
      <c r="AV81" s="220">
        <f t="shared" si="240"/>
        <v>8043592.2675966183</v>
      </c>
      <c r="AW81" s="55"/>
      <c r="AX81" s="220">
        <f t="shared" si="240"/>
        <v>11007583.077471789</v>
      </c>
      <c r="AY81" s="55"/>
      <c r="AZ81" s="220">
        <f t="shared" si="240"/>
        <v>4194468.7961346721</v>
      </c>
      <c r="BA81" s="55"/>
      <c r="BB81" s="220">
        <f t="shared" si="240"/>
        <v>40094575.62274982</v>
      </c>
      <c r="BC81" s="55"/>
      <c r="BD81" s="220">
        <f t="shared" si="240"/>
        <v>3443887.6802828354</v>
      </c>
      <c r="BE81" s="55"/>
      <c r="BF81" s="220">
        <f t="shared" si="240"/>
        <v>9220007.6532059461</v>
      </c>
      <c r="BG81" s="220">
        <f t="shared" si="240"/>
        <v>9220007.6532059461</v>
      </c>
      <c r="BH81" s="47"/>
      <c r="BR81" s="28"/>
      <c r="BS81" s="124"/>
      <c r="BT81" s="124"/>
      <c r="BU81" s="124"/>
      <c r="BV81" s="124"/>
      <c r="BW81" s="124"/>
      <c r="BX81" s="124"/>
      <c r="BY81" s="124"/>
      <c r="BZ81" s="124"/>
      <c r="CA81" s="124"/>
      <c r="CC81" s="26"/>
      <c r="CD81" s="120"/>
      <c r="CE81" s="120"/>
      <c r="CF81" s="120"/>
      <c r="CG81" s="120"/>
      <c r="CH81" s="120"/>
      <c r="CI81" s="120"/>
      <c r="CJ81" s="120"/>
      <c r="CK81" s="120"/>
      <c r="CL81" s="120"/>
    </row>
    <row r="82" spans="1:90" x14ac:dyDescent="0.2">
      <c r="A82" s="26"/>
      <c r="B82" s="84"/>
      <c r="C82" s="84"/>
      <c r="D82" s="84"/>
      <c r="E82" s="87"/>
      <c r="F82" s="87"/>
      <c r="G82" s="26"/>
      <c r="H82" s="85"/>
      <c r="I82" s="85"/>
      <c r="J82" s="85"/>
      <c r="K82" s="55"/>
      <c r="L82" s="55"/>
      <c r="M82" s="106"/>
      <c r="N82" s="106"/>
      <c r="O82" s="85"/>
      <c r="P82" s="85"/>
      <c r="Q82" s="85"/>
      <c r="R82" s="85"/>
      <c r="S82" s="85"/>
      <c r="T82" s="85"/>
      <c r="U82" s="72"/>
      <c r="V82" s="75"/>
      <c r="X82" s="23">
        <v>2038</v>
      </c>
      <c r="Y82" s="220">
        <f t="shared" si="238"/>
        <v>2782933.7312366324</v>
      </c>
      <c r="Z82" s="55"/>
      <c r="AA82" s="220">
        <f t="shared" si="239"/>
        <v>2408266.2740999456</v>
      </c>
      <c r="AB82" s="55"/>
      <c r="AC82" s="220">
        <f t="shared" si="240"/>
        <v>375515.00170928374</v>
      </c>
      <c r="AD82" s="55"/>
      <c r="AE82" s="220">
        <f t="shared" si="240"/>
        <v>1035707.731639172</v>
      </c>
      <c r="AF82" s="55"/>
      <c r="AG82" s="220">
        <f t="shared" si="240"/>
        <v>2567573.9886710122</v>
      </c>
      <c r="AH82" s="55"/>
      <c r="AI82" s="220">
        <f t="shared" si="240"/>
        <v>5724065.9548166944</v>
      </c>
      <c r="AJ82" s="55"/>
      <c r="AK82" s="220">
        <f t="shared" si="240"/>
        <v>2408266.2740999456</v>
      </c>
      <c r="AL82" s="55"/>
      <c r="AM82" s="220">
        <f t="shared" si="240"/>
        <v>375515.00170928374</v>
      </c>
      <c r="AN82" s="220">
        <f t="shared" si="240"/>
        <v>8614040.2826677933</v>
      </c>
      <c r="AO82" s="55"/>
      <c r="AP82" s="220">
        <f t="shared" si="240"/>
        <v>6674027.9944393197</v>
      </c>
      <c r="AQ82" s="55"/>
      <c r="AR82" s="220">
        <f t="shared" si="240"/>
        <v>7047592.8057314325</v>
      </c>
      <c r="AS82" s="55"/>
      <c r="AT82" s="220">
        <f t="shared" si="240"/>
        <v>15919618.493565414</v>
      </c>
      <c r="AU82" s="55"/>
      <c r="AV82" s="220">
        <f t="shared" si="240"/>
        <v>8118640.3016215358</v>
      </c>
      <c r="AW82" s="55"/>
      <c r="AX82" s="220">
        <f t="shared" si="240"/>
        <v>11092693.137215374</v>
      </c>
      <c r="AY82" s="55"/>
      <c r="AZ82" s="220">
        <f t="shared" si="240"/>
        <v>4225649.9753726861</v>
      </c>
      <c r="BA82" s="55"/>
      <c r="BB82" s="220">
        <f t="shared" si="240"/>
        <v>40607281.679567158</v>
      </c>
      <c r="BC82" s="55"/>
      <c r="BD82" s="220">
        <f t="shared" si="240"/>
        <v>3449638.3925020448</v>
      </c>
      <c r="BE82" s="55"/>
      <c r="BF82" s="220">
        <f t="shared" si="240"/>
        <v>9292392.0565546956</v>
      </c>
      <c r="BG82" s="220">
        <f t="shared" si="240"/>
        <v>9292392.0565546956</v>
      </c>
      <c r="BH82" s="47"/>
      <c r="BR82" s="28"/>
      <c r="BS82" s="124"/>
      <c r="BT82" s="124"/>
      <c r="BU82" s="124"/>
      <c r="BV82" s="124"/>
      <c r="BW82" s="124"/>
      <c r="BX82" s="124"/>
      <c r="BY82" s="124"/>
      <c r="BZ82" s="124"/>
      <c r="CA82" s="124"/>
      <c r="CC82" s="26"/>
      <c r="CD82" s="120"/>
      <c r="CE82" s="120"/>
      <c r="CF82" s="120"/>
      <c r="CG82" s="120"/>
      <c r="CH82" s="120"/>
      <c r="CI82" s="120"/>
      <c r="CJ82" s="120"/>
      <c r="CK82" s="120"/>
      <c r="CL82" s="120"/>
    </row>
    <row r="83" spans="1:90" x14ac:dyDescent="0.2">
      <c r="A83" s="26"/>
      <c r="B83" s="84"/>
      <c r="C83" s="84"/>
      <c r="D83" s="84"/>
      <c r="E83" s="87"/>
      <c r="F83" s="87"/>
      <c r="G83" s="26"/>
      <c r="H83" s="85"/>
      <c r="I83" s="85"/>
      <c r="J83" s="85"/>
      <c r="K83" s="55"/>
      <c r="L83" s="55"/>
      <c r="M83" s="106"/>
      <c r="N83" s="106"/>
      <c r="O83" s="85"/>
      <c r="P83" s="85"/>
      <c r="Q83" s="85"/>
      <c r="R83" s="85"/>
      <c r="S83" s="85"/>
      <c r="T83" s="85"/>
      <c r="U83" s="72"/>
      <c r="V83" s="75"/>
      <c r="X83" s="23">
        <v>2039</v>
      </c>
      <c r="Y83" s="220">
        <f t="shared" si="238"/>
        <v>2797584.2176630949</v>
      </c>
      <c r="Z83" s="55"/>
      <c r="AA83" s="220">
        <f t="shared" si="239"/>
        <v>2456175.8732580021</v>
      </c>
      <c r="AB83" s="55"/>
      <c r="AC83" s="220">
        <f t="shared" si="240"/>
        <v>381890.15990169853</v>
      </c>
      <c r="AD83" s="55"/>
      <c r="AE83" s="220">
        <f t="shared" si="240"/>
        <v>1033450.5167598163</v>
      </c>
      <c r="AF83" s="55"/>
      <c r="AG83" s="220">
        <f t="shared" si="240"/>
        <v>2556196.8931871364</v>
      </c>
      <c r="AH83" s="55"/>
      <c r="AI83" s="220">
        <f t="shared" si="240"/>
        <v>5770999.1878388645</v>
      </c>
      <c r="AJ83" s="55"/>
      <c r="AK83" s="220">
        <f t="shared" si="240"/>
        <v>2456175.8732580021</v>
      </c>
      <c r="AL83" s="55"/>
      <c r="AM83" s="220">
        <f t="shared" si="240"/>
        <v>381890.15990169853</v>
      </c>
      <c r="AN83" s="220">
        <f t="shared" si="240"/>
        <v>8688456.1789450981</v>
      </c>
      <c r="AO83" s="55"/>
      <c r="AP83" s="220">
        <f t="shared" si="240"/>
        <v>6761318.1971212663</v>
      </c>
      <c r="AQ83" s="55"/>
      <c r="AR83" s="220">
        <f t="shared" si="240"/>
        <v>7118888.2745890263</v>
      </c>
      <c r="AS83" s="55"/>
      <c r="AT83" s="220">
        <f t="shared" si="240"/>
        <v>16062885.808328696</v>
      </c>
      <c r="AU83" s="55"/>
      <c r="AV83" s="220">
        <f t="shared" si="240"/>
        <v>8194388.5461026318</v>
      </c>
      <c r="AW83" s="55"/>
      <c r="AX83" s="220">
        <f t="shared" si="240"/>
        <v>11178461.263513494</v>
      </c>
      <c r="AY83" s="55"/>
      <c r="AZ83" s="220">
        <f t="shared" si="240"/>
        <v>4257062.9517668905</v>
      </c>
      <c r="BA83" s="55"/>
      <c r="BB83" s="220">
        <f t="shared" si="240"/>
        <v>41126543.92251727</v>
      </c>
      <c r="BC83" s="55"/>
      <c r="BD83" s="220">
        <f t="shared" si="240"/>
        <v>3455398.7074418124</v>
      </c>
      <c r="BE83" s="55"/>
      <c r="BF83" s="220">
        <f t="shared" si="240"/>
        <v>9365344.7351202592</v>
      </c>
      <c r="BG83" s="220">
        <f t="shared" si="240"/>
        <v>9365344.7351202592</v>
      </c>
      <c r="BH83" s="47"/>
      <c r="BR83" s="28"/>
      <c r="BS83" s="124"/>
      <c r="BT83" s="124"/>
      <c r="BU83" s="124"/>
      <c r="BV83" s="124"/>
      <c r="BW83" s="124"/>
      <c r="BX83" s="124"/>
      <c r="BY83" s="124"/>
      <c r="BZ83" s="124"/>
      <c r="CA83" s="124"/>
      <c r="CC83" s="26"/>
      <c r="CD83" s="120"/>
      <c r="CE83" s="120"/>
      <c r="CF83" s="120"/>
      <c r="CG83" s="120"/>
      <c r="CH83" s="120"/>
      <c r="CI83" s="120"/>
      <c r="CJ83" s="120"/>
      <c r="CK83" s="120"/>
      <c r="CL83" s="120"/>
    </row>
    <row r="84" spans="1:90" x14ac:dyDescent="0.2">
      <c r="A84" s="26"/>
      <c r="B84" s="84"/>
      <c r="C84" s="84"/>
      <c r="D84" s="84"/>
      <c r="E84" s="87"/>
      <c r="F84" s="87"/>
      <c r="G84" s="26"/>
      <c r="H84" s="85"/>
      <c r="I84" s="85"/>
      <c r="J84" s="85"/>
      <c r="K84" s="55"/>
      <c r="L84" s="55"/>
      <c r="M84" s="106"/>
      <c r="N84" s="106"/>
      <c r="O84" s="85"/>
      <c r="P84" s="85"/>
      <c r="Q84" s="85"/>
      <c r="R84" s="85"/>
      <c r="S84" s="85"/>
      <c r="T84" s="85"/>
      <c r="U84" s="72"/>
      <c r="V84" s="75"/>
      <c r="X84" s="23">
        <v>2040</v>
      </c>
      <c r="Y84" s="220">
        <f t="shared" si="238"/>
        <v>2812311.8301634281</v>
      </c>
      <c r="Z84" s="55"/>
      <c r="AA84" s="220">
        <f t="shared" si="239"/>
        <v>2505038.5770275258</v>
      </c>
      <c r="AB84" s="55"/>
      <c r="AC84" s="220">
        <f t="shared" si="240"/>
        <v>388373.54983397276</v>
      </c>
      <c r="AD84" s="55"/>
      <c r="AE84" s="220">
        <f t="shared" si="240"/>
        <v>1031198.2212402916</v>
      </c>
      <c r="AF84" s="55"/>
      <c r="AG84" s="220">
        <f t="shared" si="240"/>
        <v>2544870.2103894069</v>
      </c>
      <c r="AH84" s="55"/>
      <c r="AI84" s="220">
        <f t="shared" si="240"/>
        <v>5818317.2396907443</v>
      </c>
      <c r="AJ84" s="55"/>
      <c r="AK84" s="220">
        <f t="shared" si="240"/>
        <v>2505038.5770275258</v>
      </c>
      <c r="AL84" s="55"/>
      <c r="AM84" s="220">
        <f t="shared" si="240"/>
        <v>388373.54983397276</v>
      </c>
      <c r="AN84" s="220">
        <f t="shared" si="240"/>
        <v>8763514.9472588729</v>
      </c>
      <c r="AO84" s="55"/>
      <c r="AP84" s="220">
        <f t="shared" si="240"/>
        <v>6849750.0760878492</v>
      </c>
      <c r="AQ84" s="55"/>
      <c r="AR84" s="220">
        <f t="shared" si="240"/>
        <v>7190904.9888448343</v>
      </c>
      <c r="AS84" s="55"/>
      <c r="AT84" s="220">
        <f t="shared" si="240"/>
        <v>16207442.445665114</v>
      </c>
      <c r="AU84" s="55"/>
      <c r="AV84" s="220">
        <f t="shared" si="240"/>
        <v>8270843.5341182118</v>
      </c>
      <c r="AW84" s="55"/>
      <c r="AX84" s="220">
        <f t="shared" si="240"/>
        <v>11264892.544502519</v>
      </c>
      <c r="AY84" s="55"/>
      <c r="AZ84" s="220">
        <f t="shared" si="240"/>
        <v>4288709.4484696137</v>
      </c>
      <c r="BA84" s="55"/>
      <c r="BB84" s="220">
        <f t="shared" si="240"/>
        <v>41652446.188285977</v>
      </c>
      <c r="BC84" s="55"/>
      <c r="BD84" s="220">
        <f t="shared" si="240"/>
        <v>3461168.641137064</v>
      </c>
      <c r="BE84" s="55"/>
      <c r="BF84" s="220">
        <f t="shared" si="240"/>
        <v>9438870.1503156926</v>
      </c>
      <c r="BG84" s="220">
        <f t="shared" si="240"/>
        <v>9438870.1503156926</v>
      </c>
      <c r="BH84" s="47"/>
      <c r="BR84" s="28"/>
      <c r="BS84" s="124"/>
      <c r="BT84" s="124"/>
      <c r="BU84" s="124"/>
      <c r="BV84" s="124"/>
      <c r="BW84" s="124"/>
      <c r="BX84" s="124"/>
      <c r="BY84" s="124"/>
      <c r="BZ84" s="124"/>
      <c r="CA84" s="124"/>
      <c r="CC84" s="26"/>
      <c r="CD84" s="120"/>
      <c r="CE84" s="120"/>
      <c r="CF84" s="120"/>
      <c r="CG84" s="120"/>
      <c r="CH84" s="120"/>
      <c r="CI84" s="120"/>
      <c r="CJ84" s="120"/>
      <c r="CK84" s="120"/>
      <c r="CL84" s="120"/>
    </row>
    <row r="85" spans="1:90" x14ac:dyDescent="0.2">
      <c r="A85" s="26"/>
      <c r="B85" s="84"/>
      <c r="C85" s="84"/>
      <c r="D85" s="84"/>
      <c r="E85" s="87"/>
      <c r="F85" s="87"/>
      <c r="G85" s="26"/>
      <c r="H85" s="85"/>
      <c r="I85" s="85"/>
      <c r="J85" s="85"/>
      <c r="K85" s="55"/>
      <c r="L85" s="55"/>
      <c r="M85" s="106"/>
      <c r="N85" s="106"/>
      <c r="O85" s="85"/>
      <c r="P85" s="85"/>
      <c r="Q85" s="85"/>
      <c r="R85" s="85"/>
      <c r="S85" s="85"/>
      <c r="T85" s="85"/>
      <c r="U85" s="72"/>
      <c r="V85" s="75"/>
      <c r="X85" s="23">
        <v>2041</v>
      </c>
      <c r="Y85" s="220">
        <f t="shared" si="238"/>
        <v>2827116.9747604146</v>
      </c>
      <c r="Z85" s="55"/>
      <c r="AA85" s="220">
        <f t="shared" si="239"/>
        <v>2554873.3462935244</v>
      </c>
      <c r="AB85" s="55"/>
      <c r="AC85" s="220">
        <f t="shared" si="240"/>
        <v>394967.00896788528</v>
      </c>
      <c r="AD85" s="55"/>
      <c r="AE85" s="220">
        <f t="shared" si="240"/>
        <v>1028950.8343593761</v>
      </c>
      <c r="AF85" s="55"/>
      <c r="AG85" s="220">
        <f t="shared" si="240"/>
        <v>2533593.7168957731</v>
      </c>
      <c r="AH85" s="55"/>
      <c r="AI85" s="220">
        <f t="shared" si="240"/>
        <v>5866023.2656105766</v>
      </c>
      <c r="AJ85" s="55"/>
      <c r="AK85" s="220">
        <f t="shared" si="240"/>
        <v>2554873.3462935244</v>
      </c>
      <c r="AL85" s="55"/>
      <c r="AM85" s="220">
        <f t="shared" si="240"/>
        <v>394967.00896788528</v>
      </c>
      <c r="AN85" s="220">
        <f t="shared" si="240"/>
        <v>8839222.1413211059</v>
      </c>
      <c r="AO85" s="55"/>
      <c r="AP85" s="220">
        <f t="shared" si="240"/>
        <v>6939338.5634242166</v>
      </c>
      <c r="AQ85" s="55"/>
      <c r="AR85" s="220">
        <f t="shared" si="240"/>
        <v>7263650.2448240342</v>
      </c>
      <c r="AS85" s="55"/>
      <c r="AT85" s="220">
        <f t="shared" si="240"/>
        <v>16353300.008728538</v>
      </c>
      <c r="AU85" s="55"/>
      <c r="AV85" s="220">
        <f t="shared" si="240"/>
        <v>8348011.8597012712</v>
      </c>
      <c r="AW85" s="55"/>
      <c r="AX85" s="220">
        <f t="shared" si="240"/>
        <v>11351992.10766002</v>
      </c>
      <c r="AY85" s="55"/>
      <c r="AZ85" s="220">
        <f t="shared" si="240"/>
        <v>4320591.2014428927</v>
      </c>
      <c r="BA85" s="55"/>
      <c r="BB85" s="220">
        <f t="shared" si="240"/>
        <v>42185073.385613769</v>
      </c>
      <c r="BC85" s="55"/>
      <c r="BD85" s="220">
        <f t="shared" si="240"/>
        <v>3466948.2096495004</v>
      </c>
      <c r="BE85" s="55"/>
      <c r="BF85" s="220">
        <f t="shared" si="240"/>
        <v>9512972.7985796947</v>
      </c>
      <c r="BG85" s="220">
        <f t="shared" si="240"/>
        <v>9512972.7985796947</v>
      </c>
      <c r="BH85" s="47"/>
      <c r="BR85" s="28"/>
      <c r="BS85" s="124"/>
      <c r="BT85" s="124"/>
      <c r="BU85" s="124"/>
      <c r="BV85" s="124"/>
      <c r="BW85" s="124"/>
      <c r="BX85" s="124"/>
      <c r="BY85" s="124"/>
      <c r="BZ85" s="124"/>
      <c r="CA85" s="124"/>
      <c r="CC85" s="26"/>
      <c r="CD85" s="120"/>
      <c r="CE85" s="120"/>
      <c r="CF85" s="120"/>
      <c r="CG85" s="120"/>
      <c r="CH85" s="120"/>
      <c r="CI85" s="120"/>
      <c r="CJ85" s="120"/>
      <c r="CK85" s="120"/>
      <c r="CL85" s="120"/>
    </row>
    <row r="86" spans="1:90" x14ac:dyDescent="0.2">
      <c r="A86" s="26"/>
      <c r="B86" s="84"/>
      <c r="C86" s="84"/>
      <c r="D86" s="84"/>
      <c r="E86" s="87"/>
      <c r="F86" s="87"/>
      <c r="G86" s="26"/>
      <c r="H86" s="85"/>
      <c r="I86" s="85"/>
      <c r="J86" s="85"/>
      <c r="K86" s="55"/>
      <c r="L86" s="55"/>
      <c r="M86" s="106"/>
      <c r="N86" s="106"/>
      <c r="O86" s="85"/>
      <c r="P86" s="85"/>
      <c r="Q86" s="85"/>
      <c r="R86" s="85"/>
      <c r="S86" s="85"/>
      <c r="T86" s="85"/>
      <c r="U86" s="72"/>
      <c r="V86" s="75"/>
      <c r="X86" s="23">
        <v>2042</v>
      </c>
      <c r="Y86" s="220">
        <f t="shared" si="238"/>
        <v>2842000.0596143054</v>
      </c>
      <c r="Z86" s="55"/>
      <c r="AA86" s="220">
        <f t="shared" si="239"/>
        <v>2605699.5191453081</v>
      </c>
      <c r="AB86" s="55"/>
      <c r="AC86" s="220">
        <f t="shared" si="240"/>
        <v>401672.40595999942</v>
      </c>
      <c r="AD86" s="55"/>
      <c r="AE86" s="220">
        <f t="shared" si="240"/>
        <v>1026708.3454192139</v>
      </c>
      <c r="AF86" s="55"/>
      <c r="AG86" s="220">
        <f t="shared" si="240"/>
        <v>2522367.1903140051</v>
      </c>
      <c r="AH86" s="55"/>
      <c r="AI86" s="220">
        <f t="shared" si="240"/>
        <v>5914120.4467072934</v>
      </c>
      <c r="AJ86" s="55"/>
      <c r="AK86" s="220">
        <f t="shared" si="240"/>
        <v>2605699.5191453081</v>
      </c>
      <c r="AL86" s="55"/>
      <c r="AM86" s="220">
        <f t="shared" si="240"/>
        <v>401672.40595999942</v>
      </c>
      <c r="AN86" s="220">
        <f t="shared" si="240"/>
        <v>8915583.3628217895</v>
      </c>
      <c r="AO86" s="55"/>
      <c r="AP86" s="220">
        <f t="shared" si="240"/>
        <v>7030098.7865135763</v>
      </c>
      <c r="AQ86" s="55"/>
      <c r="AR86" s="220">
        <f t="shared" si="240"/>
        <v>7337131.4126635203</v>
      </c>
      <c r="AS86" s="55"/>
      <c r="AT86" s="220">
        <f t="shared" si="240"/>
        <v>16500470.205094477</v>
      </c>
      <c r="AU86" s="55"/>
      <c r="AV86" s="220">
        <f t="shared" si="240"/>
        <v>8425900.1784082148</v>
      </c>
      <c r="AW86" s="55"/>
      <c r="AX86" s="220">
        <f t="shared" si="240"/>
        <v>11439765.120108958</v>
      </c>
      <c r="AY86" s="55"/>
      <c r="AZ86" s="220">
        <f t="shared" si="240"/>
        <v>4352709.959553699</v>
      </c>
      <c r="BA86" s="55"/>
      <c r="BB86" s="220">
        <f t="shared" si="240"/>
        <v>42724511.5090046</v>
      </c>
      <c r="BC86" s="55"/>
      <c r="BD86" s="220">
        <f t="shared" si="240"/>
        <v>3472737.4290676438</v>
      </c>
      <c r="BE86" s="55"/>
      <c r="BF86" s="220">
        <f t="shared" si="240"/>
        <v>9587657.2116515916</v>
      </c>
      <c r="BG86" s="220">
        <f t="shared" si="240"/>
        <v>9587657.2116515916</v>
      </c>
      <c r="BH86" s="47"/>
      <c r="BR86" s="28"/>
      <c r="BS86" s="124"/>
      <c r="BT86" s="124"/>
      <c r="BU86" s="124"/>
      <c r="BV86" s="124"/>
      <c r="BW86" s="124"/>
      <c r="BX86" s="124"/>
      <c r="BY86" s="124"/>
      <c r="BZ86" s="124"/>
      <c r="CA86" s="124"/>
      <c r="CC86" s="26"/>
      <c r="CD86" s="120"/>
      <c r="CE86" s="120"/>
      <c r="CF86" s="120"/>
      <c r="CG86" s="120"/>
      <c r="CH86" s="120"/>
      <c r="CI86" s="120"/>
      <c r="CJ86" s="120"/>
      <c r="CK86" s="120"/>
      <c r="CL86" s="120"/>
    </row>
    <row r="87" spans="1:90" x14ac:dyDescent="0.2">
      <c r="A87" s="26"/>
      <c r="B87" s="84"/>
      <c r="C87" s="84"/>
      <c r="D87" s="84"/>
      <c r="E87" s="87"/>
      <c r="F87" s="87"/>
      <c r="G87" s="26"/>
      <c r="H87" s="85"/>
      <c r="I87" s="85"/>
      <c r="J87" s="85"/>
      <c r="K87" s="55"/>
      <c r="L87" s="55"/>
      <c r="M87" s="106"/>
      <c r="N87" s="106"/>
      <c r="O87" s="85"/>
      <c r="P87" s="85"/>
      <c r="Q87" s="85"/>
      <c r="R87" s="85"/>
      <c r="S87" s="85"/>
      <c r="T87" s="85"/>
      <c r="U87" s="72"/>
      <c r="V87" s="75"/>
      <c r="X87" s="23">
        <v>2043</v>
      </c>
      <c r="Y87" s="220">
        <f t="shared" si="238"/>
        <v>2856961.4950340716</v>
      </c>
      <c r="Z87" s="55"/>
      <c r="AA87" s="220">
        <f t="shared" si="239"/>
        <v>2657536.8183805216</v>
      </c>
      <c r="AB87" s="55"/>
      <c r="AC87" s="220">
        <f t="shared" si="240"/>
        <v>408491.64119126007</v>
      </c>
      <c r="AD87" s="55"/>
      <c r="AE87" s="220">
        <f t="shared" si="240"/>
        <v>1024470.7437452639</v>
      </c>
      <c r="AF87" s="55"/>
      <c r="AG87" s="220">
        <f t="shared" si="240"/>
        <v>2511190.409237308</v>
      </c>
      <c r="AH87" s="55"/>
      <c r="AI87" s="220">
        <f t="shared" si="240"/>
        <v>5962611.9901726376</v>
      </c>
      <c r="AJ87" s="55"/>
      <c r="AK87" s="220">
        <f t="shared" si="240"/>
        <v>2657536.8183805216</v>
      </c>
      <c r="AL87" s="55"/>
      <c r="AM87" s="220">
        <f t="shared" si="240"/>
        <v>408491.64119126007</v>
      </c>
      <c r="AN87" s="220">
        <f t="shared" si="240"/>
        <v>8992604.2618433945</v>
      </c>
      <c r="AO87" s="55"/>
      <c r="AP87" s="220">
        <f t="shared" si="240"/>
        <v>7122046.0705915224</v>
      </c>
      <c r="AQ87" s="55"/>
      <c r="AR87" s="220">
        <f t="shared" si="240"/>
        <v>7411355.9370586034</v>
      </c>
      <c r="AS87" s="55"/>
      <c r="AT87" s="220">
        <f t="shared" si="240"/>
        <v>16648964.847699821</v>
      </c>
      <c r="AU87" s="55"/>
      <c r="AV87" s="220">
        <f t="shared" si="240"/>
        <v>8504515.2078928817</v>
      </c>
      <c r="AW87" s="55"/>
      <c r="AX87" s="220">
        <f t="shared" si="240"/>
        <v>11528216.788924225</v>
      </c>
      <c r="AY87" s="55"/>
      <c r="AZ87" s="220">
        <f t="shared" si="240"/>
        <v>4385067.4846698716</v>
      </c>
      <c r="BA87" s="55"/>
      <c r="BB87" s="220">
        <f t="shared" si="240"/>
        <v>43270847.652610011</v>
      </c>
      <c r="BC87" s="55"/>
      <c r="BD87" s="220">
        <f t="shared" si="240"/>
        <v>3478536.3155068802</v>
      </c>
      <c r="BE87" s="55"/>
      <c r="BF87" s="220">
        <f t="shared" si="240"/>
        <v>9662927.9568484705</v>
      </c>
      <c r="BG87" s="220">
        <f t="shared" si="240"/>
        <v>9662927.9568484705</v>
      </c>
      <c r="BH87" s="47"/>
      <c r="BR87" s="28">
        <v>2006</v>
      </c>
      <c r="BS87" s="124">
        <v>29.38</v>
      </c>
      <c r="BT87" s="124">
        <v>24.56</v>
      </c>
      <c r="BU87" s="124">
        <v>16.79</v>
      </c>
      <c r="BV87" s="124">
        <v>14.92</v>
      </c>
      <c r="BW87" s="124">
        <v>17.93</v>
      </c>
      <c r="BX87" s="124">
        <v>15</v>
      </c>
      <c r="BY87" s="124">
        <v>21.1</v>
      </c>
      <c r="BZ87" s="124">
        <v>16.510000000000002</v>
      </c>
      <c r="CA87" s="124">
        <v>21.36</v>
      </c>
      <c r="CC87" s="26">
        <f>CC80+1</f>
        <v>2006</v>
      </c>
      <c r="CD87" s="120">
        <v>10.71</v>
      </c>
      <c r="CE87" s="120">
        <v>9.48</v>
      </c>
      <c r="CF87" s="120">
        <v>7.55</v>
      </c>
      <c r="CG87" s="120">
        <v>7.67</v>
      </c>
      <c r="CH87" s="120">
        <v>10.51</v>
      </c>
      <c r="CI87" s="120">
        <v>9.44</v>
      </c>
      <c r="CJ87" s="120">
        <v>8.2100000000000009</v>
      </c>
      <c r="CK87" s="120">
        <v>7.33</v>
      </c>
      <c r="CL87" s="120">
        <v>7.33</v>
      </c>
    </row>
    <row r="88" spans="1:90" x14ac:dyDescent="0.2">
      <c r="A88" s="26"/>
      <c r="B88" s="84"/>
      <c r="C88" s="84"/>
      <c r="D88" s="84"/>
      <c r="E88" s="87"/>
      <c r="F88" s="87"/>
      <c r="G88" s="26"/>
      <c r="H88" s="85"/>
      <c r="I88" s="85"/>
      <c r="J88" s="85"/>
      <c r="K88" s="55"/>
      <c r="L88" s="55"/>
      <c r="M88" s="106"/>
      <c r="N88" s="106"/>
      <c r="O88" s="85"/>
      <c r="P88" s="85"/>
      <c r="Q88" s="85"/>
      <c r="R88" s="85"/>
      <c r="S88" s="85"/>
      <c r="T88" s="85"/>
      <c r="U88" s="72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9"/>
      <c r="AL88" s="88"/>
      <c r="AM88" s="89"/>
      <c r="AN88" s="89"/>
      <c r="AO88" s="88"/>
      <c r="AP88" s="89"/>
      <c r="AQ88" s="88"/>
      <c r="AR88" s="89"/>
      <c r="AS88" s="88"/>
      <c r="AT88" s="89"/>
      <c r="AU88" s="88"/>
      <c r="AV88" s="89"/>
      <c r="AW88" s="88"/>
      <c r="AX88" s="89"/>
      <c r="AY88" s="89"/>
      <c r="AZ88" s="89"/>
      <c r="BA88" s="88"/>
      <c r="BB88" s="89"/>
      <c r="BC88" s="89"/>
      <c r="BD88" s="89"/>
      <c r="BE88" s="89"/>
      <c r="BF88" s="89"/>
      <c r="BG88" s="88"/>
      <c r="BH88" s="110"/>
      <c r="BR88" s="28">
        <v>2007</v>
      </c>
      <c r="BS88" s="124">
        <v>29.82</v>
      </c>
      <c r="BT88" s="124">
        <v>24.91</v>
      </c>
      <c r="BU88" s="124">
        <v>17.39</v>
      </c>
      <c r="BV88" s="124">
        <v>14.83</v>
      </c>
      <c r="BW88" s="124">
        <v>17.899999999999999</v>
      </c>
      <c r="BX88" s="124">
        <v>14.92</v>
      </c>
      <c r="BY88" s="124">
        <v>19.920000000000002</v>
      </c>
      <c r="BZ88" s="124">
        <v>16.62</v>
      </c>
      <c r="CA88" s="124">
        <v>21.11</v>
      </c>
      <c r="CC88" s="26">
        <f t="shared" si="237"/>
        <v>2007</v>
      </c>
      <c r="CD88" s="120">
        <v>9.93</v>
      </c>
      <c r="CE88" s="120">
        <v>8.94</v>
      </c>
      <c r="CF88" s="120">
        <v>6.87</v>
      </c>
      <c r="CG88" s="120">
        <v>7.09</v>
      </c>
      <c r="CH88" s="120">
        <v>9.6</v>
      </c>
      <c r="CI88" s="120">
        <v>8.25</v>
      </c>
      <c r="CJ88" s="120">
        <v>7.31</v>
      </c>
      <c r="CK88" s="120">
        <v>6.47</v>
      </c>
      <c r="CL88" s="120">
        <v>7.09</v>
      </c>
    </row>
    <row r="89" spans="1:90" x14ac:dyDescent="0.2">
      <c r="A89" s="26"/>
      <c r="B89" s="84"/>
      <c r="C89" s="84"/>
      <c r="D89" s="84"/>
      <c r="E89" s="87"/>
      <c r="F89" s="87"/>
      <c r="G89" s="26"/>
      <c r="H89" s="85"/>
      <c r="I89" s="85"/>
      <c r="J89" s="85"/>
      <c r="K89" s="55"/>
      <c r="L89" s="55"/>
      <c r="M89" s="106"/>
      <c r="N89" s="106"/>
      <c r="O89" s="85"/>
      <c r="P89" s="85"/>
      <c r="Q89" s="85"/>
      <c r="R89" s="85"/>
      <c r="S89" s="85"/>
      <c r="T89" s="85"/>
      <c r="U89" s="72"/>
      <c r="BH89" s="47"/>
      <c r="BR89" s="28">
        <v>2008</v>
      </c>
      <c r="BS89" s="124">
        <v>30.94</v>
      </c>
      <c r="BT89" s="124">
        <v>26</v>
      </c>
      <c r="BU89" s="124">
        <v>18.149999999999999</v>
      </c>
      <c r="BV89" s="124">
        <v>15.15</v>
      </c>
      <c r="BW89" s="124">
        <v>18.64</v>
      </c>
      <c r="BX89" s="124">
        <v>16.28</v>
      </c>
      <c r="BY89" s="124">
        <v>20.72</v>
      </c>
      <c r="BZ89" s="124">
        <v>17.190000000000001</v>
      </c>
      <c r="CA89" s="124">
        <v>20.18</v>
      </c>
      <c r="CC89" s="26">
        <f t="shared" si="237"/>
        <v>2008</v>
      </c>
      <c r="CD89" s="120">
        <v>10.039999999999999</v>
      </c>
      <c r="CE89" s="120">
        <v>9.41</v>
      </c>
      <c r="CF89" s="120">
        <v>7.38</v>
      </c>
      <c r="CG89" s="120">
        <v>7.03</v>
      </c>
      <c r="CH89" s="120">
        <v>9.82</v>
      </c>
      <c r="CI89" s="120">
        <v>8.65</v>
      </c>
      <c r="CJ89" s="120">
        <v>7.95</v>
      </c>
      <c r="CK89" s="120">
        <v>6.53</v>
      </c>
      <c r="CL89" s="120">
        <v>7.41</v>
      </c>
    </row>
    <row r="90" spans="1:90" x14ac:dyDescent="0.2">
      <c r="A90" s="26"/>
      <c r="B90" s="84"/>
      <c r="C90" s="84"/>
      <c r="D90" s="84"/>
      <c r="E90" s="87"/>
      <c r="F90" s="87"/>
      <c r="G90" s="26"/>
      <c r="H90" s="85"/>
      <c r="I90" s="85"/>
      <c r="J90" s="85"/>
      <c r="K90" s="55"/>
      <c r="L90" s="55"/>
      <c r="M90" s="106"/>
      <c r="N90" s="106"/>
      <c r="O90" s="85"/>
      <c r="P90" s="85"/>
      <c r="Q90" s="85"/>
      <c r="R90" s="85"/>
      <c r="S90" s="85"/>
      <c r="T90" s="85"/>
      <c r="U90" s="72"/>
      <c r="Y90" s="76" t="s">
        <v>79</v>
      </c>
      <c r="Z90" s="76"/>
      <c r="AB90" s="76"/>
      <c r="BH90" s="91"/>
      <c r="BR90" s="28">
        <v>2009</v>
      </c>
      <c r="BS90" s="124">
        <v>30.29</v>
      </c>
      <c r="BT90" s="124">
        <v>25.7</v>
      </c>
      <c r="BU90" s="124">
        <v>18.920000000000002</v>
      </c>
      <c r="BV90" s="124">
        <v>15.83</v>
      </c>
      <c r="BW90" s="124">
        <v>19.600000000000001</v>
      </c>
      <c r="BX90" s="124">
        <v>16.64</v>
      </c>
      <c r="BY90" s="124">
        <v>19.11</v>
      </c>
      <c r="BZ90" s="124">
        <v>17.63</v>
      </c>
      <c r="CA90" s="124">
        <v>21.03</v>
      </c>
      <c r="CC90" s="26">
        <f t="shared" si="237"/>
        <v>2009</v>
      </c>
      <c r="CD90" s="120">
        <v>9.68</v>
      </c>
      <c r="CE90" s="120">
        <v>8.58</v>
      </c>
      <c r="CF90" s="120">
        <v>6.27</v>
      </c>
      <c r="CG90" s="120">
        <v>5.94</v>
      </c>
      <c r="CH90" s="120">
        <v>8.68</v>
      </c>
      <c r="CI90" s="120">
        <v>7.62</v>
      </c>
      <c r="CJ90" s="120">
        <v>6.73</v>
      </c>
      <c r="CK90" s="120">
        <v>5.96</v>
      </c>
      <c r="CL90" s="120">
        <v>5.97</v>
      </c>
    </row>
    <row r="91" spans="1:90" x14ac:dyDescent="0.2">
      <c r="A91" s="26"/>
      <c r="B91" s="84"/>
      <c r="C91" s="84"/>
      <c r="D91" s="84"/>
      <c r="E91" s="87"/>
      <c r="F91" s="87"/>
      <c r="G91" s="92"/>
      <c r="H91" s="87"/>
      <c r="I91" s="93"/>
      <c r="J91" s="87"/>
      <c r="K91" s="55"/>
      <c r="L91" s="55"/>
      <c r="M91" s="106"/>
      <c r="N91" s="106"/>
      <c r="O91" s="94"/>
      <c r="P91" s="94"/>
      <c r="S91" s="94"/>
      <c r="T91" s="94"/>
      <c r="U91" s="72"/>
      <c r="W91" s="96"/>
      <c r="X91" s="8"/>
      <c r="Y91" s="23" t="s">
        <v>36</v>
      </c>
      <c r="Z91" s="23"/>
      <c r="AA91" s="23" t="s">
        <v>39</v>
      </c>
      <c r="AB91" s="23"/>
      <c r="AC91" s="66" t="s">
        <v>167</v>
      </c>
      <c r="AD91" s="66"/>
      <c r="AE91" s="66" t="s">
        <v>147</v>
      </c>
      <c r="AF91" s="66"/>
      <c r="AG91" s="23" t="s">
        <v>4</v>
      </c>
      <c r="AH91" s="66"/>
      <c r="AI91" s="23" t="s">
        <v>2</v>
      </c>
      <c r="AJ91" s="66"/>
      <c r="AK91" s="23" t="s">
        <v>40</v>
      </c>
      <c r="AL91" s="66"/>
      <c r="AM91" s="66" t="s">
        <v>168</v>
      </c>
      <c r="AN91" s="23" t="s">
        <v>41</v>
      </c>
      <c r="AO91" s="66"/>
      <c r="AP91" s="23" t="s">
        <v>42</v>
      </c>
      <c r="AQ91" s="66"/>
      <c r="AR91" s="23" t="s">
        <v>5</v>
      </c>
      <c r="AS91" s="66"/>
      <c r="AT91" s="23" t="s">
        <v>43</v>
      </c>
      <c r="AU91" s="66"/>
      <c r="AV91" s="23" t="s">
        <v>44</v>
      </c>
      <c r="AW91" s="66"/>
      <c r="AX91" s="23" t="s">
        <v>45</v>
      </c>
      <c r="AY91" s="23"/>
      <c r="AZ91" s="23" t="s">
        <v>9</v>
      </c>
      <c r="BA91" s="66"/>
      <c r="BB91" s="90" t="s">
        <v>100</v>
      </c>
      <c r="BC91" s="90"/>
      <c r="BD91" s="90" t="s">
        <v>174</v>
      </c>
      <c r="BE91" s="90"/>
      <c r="BF91" s="23" t="s">
        <v>46</v>
      </c>
      <c r="BG91" s="23" t="s">
        <v>14</v>
      </c>
      <c r="BH91" s="91"/>
      <c r="BI91" s="8"/>
      <c r="BR91" s="28">
        <v>2010</v>
      </c>
      <c r="BS91" s="124">
        <v>31.16</v>
      </c>
      <c r="BT91" s="124">
        <v>26.35</v>
      </c>
      <c r="BU91" s="124">
        <v>19.93</v>
      </c>
      <c r="BV91" s="124">
        <v>16.72</v>
      </c>
      <c r="BW91" s="124">
        <v>19.78</v>
      </c>
      <c r="BX91" s="124">
        <v>15.85</v>
      </c>
      <c r="BY91" s="124">
        <v>18.309999999999999</v>
      </c>
      <c r="BZ91" s="124">
        <v>16.190000000000001</v>
      </c>
      <c r="CA91" s="124">
        <v>20.53</v>
      </c>
      <c r="CC91" s="26">
        <f t="shared" si="237"/>
        <v>2010</v>
      </c>
      <c r="CD91" s="120">
        <v>8.73</v>
      </c>
      <c r="CE91" s="120">
        <v>7.62</v>
      </c>
      <c r="CF91" s="120">
        <v>5.92</v>
      </c>
      <c r="CG91" s="120">
        <v>5.86</v>
      </c>
      <c r="CH91" s="120">
        <v>7.88</v>
      </c>
      <c r="CI91" s="120">
        <v>6.76</v>
      </c>
      <c r="CJ91" s="120">
        <v>6.02</v>
      </c>
      <c r="CK91" s="120">
        <v>5.78</v>
      </c>
      <c r="CL91" s="120">
        <v>6.32</v>
      </c>
    </row>
    <row r="92" spans="1:90" x14ac:dyDescent="0.2">
      <c r="A92" s="26"/>
      <c r="B92" s="84"/>
      <c r="C92" s="81"/>
      <c r="D92" s="81"/>
      <c r="E92" s="30"/>
      <c r="F92" s="30"/>
      <c r="G92" s="30"/>
      <c r="H92" s="81"/>
      <c r="I92" s="81"/>
      <c r="J92" s="95"/>
      <c r="K92" s="55"/>
      <c r="L92" s="55"/>
      <c r="M92" s="106"/>
      <c r="N92" s="106"/>
      <c r="O92" s="96"/>
      <c r="P92" s="96"/>
      <c r="Q92" s="71"/>
      <c r="R92" s="71"/>
      <c r="S92" s="20"/>
      <c r="T92" s="20"/>
      <c r="U92" s="20"/>
      <c r="V92" s="96"/>
      <c r="W92" s="96"/>
      <c r="X92" s="8" t="s">
        <v>15</v>
      </c>
      <c r="Y92" s="78" t="s">
        <v>77</v>
      </c>
      <c r="Z92" s="78"/>
      <c r="AA92" s="78" t="s">
        <v>77</v>
      </c>
      <c r="AB92" s="78"/>
      <c r="AC92" s="78" t="s">
        <v>77</v>
      </c>
      <c r="AD92" s="78"/>
      <c r="AE92" s="78" t="s">
        <v>77</v>
      </c>
      <c r="AF92" s="78"/>
      <c r="AG92" s="78" t="s">
        <v>77</v>
      </c>
      <c r="AH92" s="78"/>
      <c r="AI92" s="78" t="s">
        <v>77</v>
      </c>
      <c r="AJ92" s="78"/>
      <c r="AK92" s="78" t="s">
        <v>77</v>
      </c>
      <c r="AL92" s="78"/>
      <c r="AM92" s="78" t="s">
        <v>77</v>
      </c>
      <c r="AN92" s="78" t="s">
        <v>77</v>
      </c>
      <c r="AO92" s="78"/>
      <c r="AP92" s="78" t="s">
        <v>77</v>
      </c>
      <c r="AQ92" s="78"/>
      <c r="AR92" s="78" t="s">
        <v>77</v>
      </c>
      <c r="AS92" s="78"/>
      <c r="AT92" s="78" t="s">
        <v>77</v>
      </c>
      <c r="AU92" s="78"/>
      <c r="AV92" s="78" t="s">
        <v>77</v>
      </c>
      <c r="AW92" s="78"/>
      <c r="AX92" s="78" t="s">
        <v>77</v>
      </c>
      <c r="AY92" s="78"/>
      <c r="AZ92" s="78" t="s">
        <v>77</v>
      </c>
      <c r="BA92" s="78"/>
      <c r="BB92" s="78" t="s">
        <v>77</v>
      </c>
      <c r="BC92" s="78"/>
      <c r="BD92" s="78" t="s">
        <v>77</v>
      </c>
      <c r="BE92" s="78"/>
      <c r="BF92" s="78" t="s">
        <v>77</v>
      </c>
      <c r="BG92" s="78" t="s">
        <v>77</v>
      </c>
      <c r="BH92" s="97"/>
      <c r="BI92" s="8"/>
      <c r="BR92" s="28">
        <v>2011</v>
      </c>
      <c r="BS92" s="124">
        <v>32.99</v>
      </c>
      <c r="BT92" s="124">
        <v>25.57</v>
      </c>
      <c r="BU92" s="124">
        <v>18.149999999999999</v>
      </c>
      <c r="BV92" s="124">
        <v>15.07</v>
      </c>
      <c r="BW92" s="124">
        <v>18.36</v>
      </c>
      <c r="BX92" s="124">
        <v>14.64</v>
      </c>
      <c r="BY92" s="124">
        <v>16.52</v>
      </c>
      <c r="BZ92" s="124">
        <v>15.32</v>
      </c>
      <c r="CA92" s="124">
        <v>20.51</v>
      </c>
      <c r="CC92" s="26">
        <f t="shared" si="237"/>
        <v>2011</v>
      </c>
      <c r="CD92" s="120">
        <v>7.92</v>
      </c>
      <c r="CE92" s="120">
        <v>6.97</v>
      </c>
      <c r="CF92" s="120">
        <v>5.47</v>
      </c>
      <c r="CG92" s="120">
        <v>5.43</v>
      </c>
      <c r="CH92" s="120">
        <v>7.49</v>
      </c>
      <c r="CI92" s="120">
        <v>6.38</v>
      </c>
      <c r="CJ92" s="120">
        <v>5.84</v>
      </c>
      <c r="CK92" s="120">
        <v>5.47</v>
      </c>
      <c r="CL92" s="120">
        <v>5.9</v>
      </c>
    </row>
    <row r="93" spans="1:90" x14ac:dyDescent="0.2">
      <c r="A93" s="30"/>
      <c r="B93" s="81"/>
      <c r="C93" s="30"/>
      <c r="D93" s="30"/>
      <c r="E93" s="30"/>
      <c r="F93" s="30"/>
      <c r="G93" s="30"/>
      <c r="H93" s="30"/>
      <c r="I93" s="30"/>
      <c r="J93" s="95"/>
      <c r="K93" s="55"/>
      <c r="L93" s="55"/>
      <c r="M93" s="106"/>
      <c r="N93" s="106"/>
      <c r="O93" s="96"/>
      <c r="P93" s="96"/>
      <c r="Q93" s="71"/>
      <c r="R93" s="71"/>
      <c r="S93" s="20"/>
      <c r="T93" s="20"/>
      <c r="U93" s="20"/>
      <c r="V93" s="96"/>
      <c r="W93" s="96"/>
      <c r="X93" s="8">
        <v>2005</v>
      </c>
      <c r="Y93" s="127">
        <v>20494125</v>
      </c>
      <c r="Z93" s="127"/>
      <c r="AA93" s="55">
        <v>9340069</v>
      </c>
      <c r="AB93" s="127"/>
      <c r="AC93" s="55">
        <v>208675</v>
      </c>
      <c r="AD93" s="55"/>
      <c r="AE93" s="55">
        <v>2213161</v>
      </c>
      <c r="AF93" s="55"/>
      <c r="AG93" s="127">
        <v>9831042</v>
      </c>
      <c r="AH93" s="55"/>
      <c r="AI93" s="127">
        <v>62917799</v>
      </c>
      <c r="AJ93" s="55"/>
      <c r="AK93" s="55">
        <v>14816839</v>
      </c>
      <c r="AL93" s="55"/>
      <c r="AM93" s="55">
        <v>369877</v>
      </c>
      <c r="AN93" s="127">
        <v>2337285</v>
      </c>
      <c r="AO93" s="55"/>
      <c r="AP93" s="127">
        <v>6027026</v>
      </c>
      <c r="AQ93" s="55"/>
      <c r="AR93" s="127">
        <v>47715975</v>
      </c>
      <c r="AS93" s="55"/>
      <c r="AT93" s="127">
        <v>12869848</v>
      </c>
      <c r="AU93" s="55"/>
      <c r="AV93" s="127">
        <v>17820575</v>
      </c>
      <c r="AW93" s="55"/>
      <c r="AX93" s="127">
        <v>23733426</v>
      </c>
      <c r="AY93" s="127"/>
      <c r="AZ93" s="127">
        <v>6871528</v>
      </c>
      <c r="BA93" s="55"/>
      <c r="BB93" s="127">
        <v>16186913</v>
      </c>
      <c r="BC93" s="127"/>
      <c r="BD93" s="127">
        <v>5355859</v>
      </c>
      <c r="BE93" s="127"/>
      <c r="BF93" s="55">
        <v>47257268</v>
      </c>
      <c r="BG93" s="119">
        <v>94022661</v>
      </c>
      <c r="BH93" s="54"/>
      <c r="BI93" s="8"/>
      <c r="BR93" s="28">
        <v>2012</v>
      </c>
      <c r="BS93" s="124">
        <v>33.56</v>
      </c>
      <c r="BT93" s="124">
        <v>26.38</v>
      </c>
      <c r="BU93" s="124">
        <v>18.059999999999999</v>
      </c>
      <c r="BV93" s="124">
        <v>15.06</v>
      </c>
      <c r="BW93" s="124">
        <v>18.43</v>
      </c>
      <c r="BX93" s="124">
        <v>14.61</v>
      </c>
      <c r="BY93" s="124">
        <v>16.690000000000001</v>
      </c>
      <c r="BZ93" s="124">
        <v>15.79</v>
      </c>
      <c r="CA93" s="124">
        <v>20.49</v>
      </c>
      <c r="CC93" s="26">
        <f t="shared" si="237"/>
        <v>2012</v>
      </c>
      <c r="CD93" s="120">
        <v>7.91</v>
      </c>
      <c r="CE93" s="120">
        <v>7.02</v>
      </c>
      <c r="CF93" s="120">
        <v>5.27</v>
      </c>
      <c r="CG93" s="120">
        <v>5.37</v>
      </c>
      <c r="CH93" s="120">
        <v>7.42</v>
      </c>
      <c r="CI93" s="120">
        <v>6.34</v>
      </c>
      <c r="CJ93" s="120">
        <v>5.77</v>
      </c>
      <c r="CK93" s="120">
        <v>5.42</v>
      </c>
      <c r="CL93" s="120">
        <v>5.85</v>
      </c>
    </row>
    <row r="94" spans="1:90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20"/>
      <c r="N94" s="20"/>
      <c r="O94" s="96"/>
      <c r="P94" s="96"/>
      <c r="Q94" s="71"/>
      <c r="R94" s="71"/>
      <c r="S94" s="20"/>
      <c r="T94" s="20"/>
      <c r="U94" s="20"/>
      <c r="V94" s="96"/>
      <c r="W94" s="96"/>
      <c r="X94" s="8">
        <v>2006</v>
      </c>
      <c r="Y94" s="127">
        <v>17550185</v>
      </c>
      <c r="Z94" s="127"/>
      <c r="AA94" s="55">
        <v>8143774</v>
      </c>
      <c r="AB94" s="127"/>
      <c r="AC94" s="55">
        <v>191491</v>
      </c>
      <c r="AD94" s="55"/>
      <c r="AE94" s="55">
        <v>2008997</v>
      </c>
      <c r="AF94" s="55"/>
      <c r="AG94" s="127">
        <v>9123872</v>
      </c>
      <c r="AH94" s="55"/>
      <c r="AI94" s="127">
        <v>61673339</v>
      </c>
      <c r="AJ94" s="55"/>
      <c r="AK94" s="55">
        <v>14042753</v>
      </c>
      <c r="AL94" s="55"/>
      <c r="AM94" s="55">
        <v>377608</v>
      </c>
      <c r="AN94" s="127">
        <v>2341886</v>
      </c>
      <c r="AO94" s="55"/>
      <c r="AP94" s="127">
        <v>6077394</v>
      </c>
      <c r="AQ94" s="55"/>
      <c r="AR94" s="127">
        <v>47557729</v>
      </c>
      <c r="AS94" s="55"/>
      <c r="AT94" s="127">
        <v>12942078</v>
      </c>
      <c r="AU94" s="55"/>
      <c r="AV94" s="127">
        <v>17808215</v>
      </c>
      <c r="AW94" s="55"/>
      <c r="AX94" s="127">
        <v>23421425</v>
      </c>
      <c r="AY94" s="127"/>
      <c r="AZ94" s="127">
        <v>6815017</v>
      </c>
      <c r="BA94" s="55"/>
      <c r="BB94" s="127">
        <v>17324519</v>
      </c>
      <c r="BC94" s="127"/>
      <c r="BD94" s="127">
        <v>5105456</v>
      </c>
      <c r="BE94" s="127"/>
      <c r="BF94" s="55">
        <v>47050591</v>
      </c>
      <c r="BG94" s="119">
        <v>100685067</v>
      </c>
      <c r="BH94" s="54"/>
      <c r="BI94" s="8"/>
      <c r="BR94" s="28">
        <v>2013</v>
      </c>
      <c r="BS94" s="124">
        <v>33.869999999999997</v>
      </c>
      <c r="BT94" s="124">
        <v>26.77</v>
      </c>
      <c r="BU94" s="124">
        <v>18.21</v>
      </c>
      <c r="BV94" s="124">
        <v>15.44</v>
      </c>
      <c r="BW94" s="124">
        <v>18.53</v>
      </c>
      <c r="BX94" s="124">
        <v>14.53</v>
      </c>
      <c r="BY94" s="124">
        <v>16.739999999999998</v>
      </c>
      <c r="BZ94" s="124">
        <v>16.239999999999998</v>
      </c>
      <c r="CA94" s="124">
        <v>20.36</v>
      </c>
      <c r="CC94" s="26">
        <f t="shared" si="237"/>
        <v>2013</v>
      </c>
      <c r="CD94" s="120">
        <v>8.0299999999999994</v>
      </c>
      <c r="CE94" s="120">
        <v>7.19</v>
      </c>
      <c r="CF94" s="120">
        <v>5.22</v>
      </c>
      <c r="CG94" s="120">
        <v>5.33</v>
      </c>
      <c r="CH94" s="120">
        <v>7.43</v>
      </c>
      <c r="CI94" s="120">
        <v>6.34</v>
      </c>
      <c r="CJ94" s="120">
        <v>5.74</v>
      </c>
      <c r="CK94" s="120">
        <v>5.44</v>
      </c>
      <c r="CL94" s="120">
        <v>5.83</v>
      </c>
    </row>
    <row r="95" spans="1:90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20"/>
      <c r="N95" s="20"/>
      <c r="O95" s="96"/>
      <c r="P95" s="96"/>
      <c r="Q95" s="71"/>
      <c r="R95" s="71"/>
      <c r="S95" s="20"/>
      <c r="T95" s="20"/>
      <c r="U95" s="20"/>
      <c r="V95" s="96"/>
      <c r="W95" s="96"/>
      <c r="X95" s="8">
        <v>2007</v>
      </c>
      <c r="Y95" s="127">
        <v>17588300</v>
      </c>
      <c r="Z95" s="127"/>
      <c r="AA95" s="55">
        <v>8391716</v>
      </c>
      <c r="AB95" s="127"/>
      <c r="AC95" s="55">
        <v>210868</v>
      </c>
      <c r="AD95" s="55"/>
      <c r="AE95" s="55">
        <v>1966322</v>
      </c>
      <c r="AF95" s="55"/>
      <c r="AG95" s="127">
        <v>10626238</v>
      </c>
      <c r="AH95" s="55"/>
      <c r="AI95" s="127">
        <v>63740205</v>
      </c>
      <c r="AJ95" s="55"/>
      <c r="AK95" s="55">
        <v>16869697</v>
      </c>
      <c r="AL95" s="55"/>
      <c r="AM95" s="55">
        <v>543964</v>
      </c>
      <c r="AN95" s="127">
        <v>2357262</v>
      </c>
      <c r="AO95" s="55"/>
      <c r="AP95" s="127">
        <v>6184496</v>
      </c>
      <c r="AQ95" s="55"/>
      <c r="AR95" s="127">
        <v>48099250</v>
      </c>
      <c r="AS95" s="55"/>
      <c r="AT95" s="127">
        <v>13082185</v>
      </c>
      <c r="AU95" s="55"/>
      <c r="AV95" s="127">
        <v>17931388</v>
      </c>
      <c r="AW95" s="55"/>
      <c r="AX95" s="127">
        <v>23237363</v>
      </c>
      <c r="AY95" s="127"/>
      <c r="AZ95" s="127">
        <v>6815958</v>
      </c>
      <c r="BA95" s="55"/>
      <c r="BB95" s="127">
        <v>18131318</v>
      </c>
      <c r="BC95" s="127"/>
      <c r="BD95" s="127">
        <v>5141817</v>
      </c>
      <c r="BE95" s="127"/>
      <c r="BF95" s="55">
        <v>46479655</v>
      </c>
      <c r="BG95" s="119">
        <v>109529564</v>
      </c>
      <c r="BH95" s="54"/>
      <c r="BI95" s="8"/>
      <c r="BJ95" s="8"/>
      <c r="BK95" s="55"/>
      <c r="BR95" s="28">
        <v>2014</v>
      </c>
      <c r="BS95" s="124">
        <v>33.67</v>
      </c>
      <c r="BT95" s="124">
        <v>26.92</v>
      </c>
      <c r="BU95" s="124">
        <v>18.22</v>
      </c>
      <c r="BV95" s="124">
        <v>15.38</v>
      </c>
      <c r="BW95" s="124">
        <v>18.47</v>
      </c>
      <c r="BX95" s="124">
        <v>14.37</v>
      </c>
      <c r="BY95" s="124">
        <v>16.79</v>
      </c>
      <c r="BZ95" s="124">
        <v>16.32</v>
      </c>
      <c r="CA95" s="124">
        <v>20.39</v>
      </c>
      <c r="CC95" s="26">
        <f t="shared" si="237"/>
        <v>2014</v>
      </c>
      <c r="CD95" s="120">
        <v>8.09</v>
      </c>
      <c r="CE95" s="120">
        <v>7.33</v>
      </c>
      <c r="CF95" s="120">
        <v>5.16</v>
      </c>
      <c r="CG95" s="120">
        <v>5.27</v>
      </c>
      <c r="CH95" s="120">
        <v>7.31</v>
      </c>
      <c r="CI95" s="120">
        <v>6.32</v>
      </c>
      <c r="CJ95" s="120">
        <v>5.69</v>
      </c>
      <c r="CK95" s="120">
        <v>5.38</v>
      </c>
      <c r="CL95" s="120">
        <v>5.74</v>
      </c>
    </row>
    <row r="96" spans="1:90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20"/>
      <c r="N96" s="20"/>
      <c r="O96" s="96"/>
      <c r="P96" s="96"/>
      <c r="Q96" s="71"/>
      <c r="R96" s="71"/>
      <c r="S96" s="20"/>
      <c r="T96" s="20"/>
      <c r="U96" s="20"/>
      <c r="V96" s="96"/>
      <c r="W96" s="96"/>
      <c r="X96" s="8">
        <v>2008</v>
      </c>
      <c r="Y96" s="127">
        <v>19592553</v>
      </c>
      <c r="Z96" s="127"/>
      <c r="AA96" s="55">
        <v>9452049</v>
      </c>
      <c r="AB96" s="127"/>
      <c r="AC96" s="55">
        <v>270624</v>
      </c>
      <c r="AD96" s="55"/>
      <c r="AE96" s="55">
        <v>2155323</v>
      </c>
      <c r="AF96" s="55"/>
      <c r="AG96" s="127">
        <v>8209462</v>
      </c>
      <c r="AH96" s="55"/>
      <c r="AI96" s="127">
        <v>51914988</v>
      </c>
      <c r="AJ96" s="55"/>
      <c r="AK96" s="55">
        <v>13296407</v>
      </c>
      <c r="AL96" s="55"/>
      <c r="AM96" s="55">
        <v>506397</v>
      </c>
      <c r="AN96" s="127">
        <v>2320131</v>
      </c>
      <c r="AO96" s="55"/>
      <c r="AP96" s="127">
        <v>6273740</v>
      </c>
      <c r="AQ96" s="55"/>
      <c r="AR96" s="127">
        <v>48044644</v>
      </c>
      <c r="AS96" s="55"/>
      <c r="AT96" s="127">
        <v>13182623</v>
      </c>
      <c r="AU96" s="55"/>
      <c r="AV96" s="127">
        <v>17923660</v>
      </c>
      <c r="AW96" s="55"/>
      <c r="AX96" s="127">
        <v>23026512</v>
      </c>
      <c r="AY96" s="127"/>
      <c r="AZ96" s="127">
        <v>6809191</v>
      </c>
      <c r="BA96" s="55"/>
      <c r="BB96" s="127">
        <v>18663024</v>
      </c>
      <c r="BC96" s="127"/>
      <c r="BD96" s="127">
        <v>5872641</v>
      </c>
      <c r="BE96" s="127"/>
      <c r="BF96" s="55">
        <v>45854257</v>
      </c>
      <c r="BG96" s="119">
        <v>115890765</v>
      </c>
      <c r="BH96" s="54"/>
      <c r="BI96" s="8"/>
      <c r="BJ96" s="8"/>
      <c r="BK96" s="55"/>
      <c r="BR96" s="28">
        <v>2015</v>
      </c>
      <c r="BS96" s="124">
        <v>33.39</v>
      </c>
      <c r="BT96" s="124">
        <v>26.81</v>
      </c>
      <c r="BU96" s="124">
        <v>18.27</v>
      </c>
      <c r="BV96" s="124">
        <v>15.34</v>
      </c>
      <c r="BW96" s="124">
        <v>18.48</v>
      </c>
      <c r="BX96" s="124">
        <v>14.27</v>
      </c>
      <c r="BY96" s="124">
        <v>16.899999999999999</v>
      </c>
      <c r="BZ96" s="124">
        <v>16.489999999999998</v>
      </c>
      <c r="CA96" s="124">
        <v>20.309999999999999</v>
      </c>
      <c r="CC96" s="26">
        <f t="shared" si="237"/>
        <v>2015</v>
      </c>
      <c r="CD96" s="120">
        <v>8.02</v>
      </c>
      <c r="CE96" s="120">
        <v>7.2</v>
      </c>
      <c r="CF96" s="120">
        <v>5.25</v>
      </c>
      <c r="CG96" s="120">
        <v>5.35</v>
      </c>
      <c r="CH96" s="120">
        <v>7.42</v>
      </c>
      <c r="CI96" s="120">
        <v>6.45</v>
      </c>
      <c r="CJ96" s="120">
        <v>5.78</v>
      </c>
      <c r="CK96" s="120">
        <v>5.47</v>
      </c>
      <c r="CL96" s="120">
        <v>5.79</v>
      </c>
    </row>
    <row r="97" spans="1:90" x14ac:dyDescent="0.2">
      <c r="A97" s="30"/>
      <c r="B97" s="30"/>
      <c r="C97" s="77"/>
      <c r="D97" s="77"/>
      <c r="E97" s="32"/>
      <c r="F97" s="32"/>
      <c r="G97" s="23"/>
      <c r="H97" s="32"/>
      <c r="I97" s="77"/>
      <c r="J97" s="32"/>
      <c r="K97" s="23"/>
      <c r="L97" s="32"/>
      <c r="M97" s="20"/>
      <c r="N97" s="20"/>
      <c r="O97" s="96"/>
      <c r="P97" s="96"/>
      <c r="Q97" s="71"/>
      <c r="R97" s="71"/>
      <c r="S97" s="20"/>
      <c r="T97" s="20"/>
      <c r="U97" s="20"/>
      <c r="V97" s="96"/>
      <c r="W97" s="96"/>
      <c r="X97" s="8">
        <v>2009</v>
      </c>
      <c r="Y97" s="127">
        <v>18796906</v>
      </c>
      <c r="Z97" s="127"/>
      <c r="AA97" s="55">
        <v>9203045</v>
      </c>
      <c r="AB97" s="127"/>
      <c r="AC97" s="55">
        <v>294582</v>
      </c>
      <c r="AD97" s="55"/>
      <c r="AE97" s="55">
        <v>2054856</v>
      </c>
      <c r="AF97" s="55"/>
      <c r="AG97" s="127">
        <v>7617069</v>
      </c>
      <c r="AH97" s="55"/>
      <c r="AI97" s="127">
        <v>45656354</v>
      </c>
      <c r="AJ97" s="55"/>
      <c r="AK97" s="55">
        <v>12627376</v>
      </c>
      <c r="AL97" s="55"/>
      <c r="AM97" s="55">
        <v>568413</v>
      </c>
      <c r="AN97" s="127">
        <v>2267392</v>
      </c>
      <c r="AO97" s="55"/>
      <c r="AP97" s="127">
        <v>6336587</v>
      </c>
      <c r="AQ97" s="55"/>
      <c r="AR97" s="127">
        <v>47867049</v>
      </c>
      <c r="AS97" s="55"/>
      <c r="AT97" s="127">
        <v>13207868</v>
      </c>
      <c r="AU97" s="55"/>
      <c r="AV97" s="127">
        <v>17828496</v>
      </c>
      <c r="AW97" s="55"/>
      <c r="AX97" s="127">
        <v>22708346</v>
      </c>
      <c r="AY97" s="127"/>
      <c r="AZ97" s="127">
        <v>6775564</v>
      </c>
      <c r="BA97" s="55"/>
      <c r="BB97" s="127">
        <v>18867640</v>
      </c>
      <c r="BC97" s="127"/>
      <c r="BD97" s="127">
        <v>5840469</v>
      </c>
      <c r="BE97" s="127"/>
      <c r="BF97" s="55">
        <v>44824160</v>
      </c>
      <c r="BG97" s="119">
        <v>113155114</v>
      </c>
      <c r="BH97" s="54"/>
      <c r="BI97" s="8"/>
      <c r="BJ97" s="8"/>
      <c r="BK97" s="55"/>
      <c r="BR97" s="28">
        <v>2016</v>
      </c>
      <c r="BS97" s="124">
        <v>32.61</v>
      </c>
      <c r="BT97" s="124">
        <v>26.48</v>
      </c>
      <c r="BU97" s="124">
        <v>18.22</v>
      </c>
      <c r="BV97" s="124">
        <v>15.18</v>
      </c>
      <c r="BW97" s="124">
        <v>18.46</v>
      </c>
      <c r="BX97" s="124">
        <v>14.25</v>
      </c>
      <c r="BY97" s="124">
        <v>17.059999999999999</v>
      </c>
      <c r="BZ97" s="124">
        <v>16.47</v>
      </c>
      <c r="CA97" s="124">
        <v>19.98</v>
      </c>
      <c r="CC97" s="26">
        <f t="shared" si="237"/>
        <v>2016</v>
      </c>
      <c r="CD97" s="120">
        <v>8</v>
      </c>
      <c r="CE97" s="120">
        <v>7.02</v>
      </c>
      <c r="CF97" s="120">
        <v>5.35</v>
      </c>
      <c r="CG97" s="120">
        <v>5.45</v>
      </c>
      <c r="CH97" s="120">
        <v>7.5</v>
      </c>
      <c r="CI97" s="120">
        <v>6.51</v>
      </c>
      <c r="CJ97" s="120">
        <v>5.82</v>
      </c>
      <c r="CK97" s="120">
        <v>5.54</v>
      </c>
      <c r="CL97" s="120">
        <v>5.91</v>
      </c>
    </row>
    <row r="98" spans="1:90" x14ac:dyDescent="0.2">
      <c r="A98" s="77"/>
      <c r="B98" s="77"/>
      <c r="C98" s="32"/>
      <c r="D98" s="32"/>
      <c r="E98" s="32"/>
      <c r="F98" s="32"/>
      <c r="G98" s="75"/>
      <c r="H98" s="32"/>
      <c r="I98" s="32"/>
      <c r="J98" s="32"/>
      <c r="K98" s="75"/>
      <c r="L98" s="32"/>
      <c r="M98" s="20"/>
      <c r="N98" s="20"/>
      <c r="O98" s="96"/>
      <c r="P98" s="96"/>
      <c r="Q98" s="71"/>
      <c r="R98" s="71"/>
      <c r="S98" s="20"/>
      <c r="T98" s="20"/>
      <c r="U98" s="20"/>
      <c r="V98" s="96"/>
      <c r="W98" s="96"/>
      <c r="X98" s="8">
        <v>2010</v>
      </c>
      <c r="Y98" s="127">
        <v>20443608</v>
      </c>
      <c r="Z98" s="127"/>
      <c r="AA98" s="55">
        <v>10199519</v>
      </c>
      <c r="AB98" s="127"/>
      <c r="AC98" s="55">
        <v>358175</v>
      </c>
      <c r="AD98" s="55"/>
      <c r="AE98" s="55">
        <v>2218342</v>
      </c>
      <c r="AF98" s="55"/>
      <c r="AG98" s="127">
        <v>10267172</v>
      </c>
      <c r="AH98" s="55"/>
      <c r="AI98" s="127">
        <v>75745431</v>
      </c>
      <c r="AJ98" s="55"/>
      <c r="AK98" s="55">
        <v>17998204</v>
      </c>
      <c r="AL98" s="55"/>
      <c r="AM98" s="55">
        <v>959607</v>
      </c>
      <c r="AN98" s="127">
        <v>2219754</v>
      </c>
      <c r="AO98" s="55"/>
      <c r="AP98" s="127">
        <v>6292176</v>
      </c>
      <c r="AQ98" s="55"/>
      <c r="AR98" s="127">
        <v>47973496</v>
      </c>
      <c r="AS98" s="55"/>
      <c r="AT98" s="127">
        <v>13258091</v>
      </c>
      <c r="AU98" s="55"/>
      <c r="AV98" s="127">
        <v>17821336</v>
      </c>
      <c r="AW98" s="55"/>
      <c r="AX98" s="127">
        <v>22465048</v>
      </c>
      <c r="AY98" s="127"/>
      <c r="AZ98" s="127">
        <v>6762620</v>
      </c>
      <c r="BA98" s="55"/>
      <c r="BB98" s="127">
        <v>19183664</v>
      </c>
      <c r="BC98" s="127"/>
      <c r="BD98" s="127">
        <v>6637360</v>
      </c>
      <c r="BE98" s="127"/>
      <c r="BF98" s="55">
        <v>43974385</v>
      </c>
      <c r="BG98" s="119">
        <v>117180710</v>
      </c>
      <c r="BH98" s="54"/>
      <c r="BI98" s="8"/>
      <c r="BJ98" s="8"/>
      <c r="BK98" s="55"/>
      <c r="BR98" s="28">
        <v>2017</v>
      </c>
      <c r="BS98" s="124">
        <v>31.93</v>
      </c>
      <c r="BT98" s="124">
        <v>26.1</v>
      </c>
      <c r="BU98" s="124">
        <v>18.04</v>
      </c>
      <c r="BV98" s="124">
        <v>15.1</v>
      </c>
      <c r="BW98" s="124">
        <v>18.579999999999998</v>
      </c>
      <c r="BX98" s="124">
        <v>14.47</v>
      </c>
      <c r="BY98" s="124">
        <v>17.09</v>
      </c>
      <c r="BZ98" s="124">
        <v>16.510000000000002</v>
      </c>
      <c r="CA98" s="124">
        <v>19.739999999999998</v>
      </c>
      <c r="CC98" s="26">
        <f t="shared" si="237"/>
        <v>2017</v>
      </c>
      <c r="CD98" s="120">
        <v>8.11</v>
      </c>
      <c r="CE98" s="120">
        <v>7.02</v>
      </c>
      <c r="CF98" s="120">
        <v>5.45</v>
      </c>
      <c r="CG98" s="120">
        <v>5.58</v>
      </c>
      <c r="CH98" s="120">
        <v>7.59</v>
      </c>
      <c r="CI98" s="120">
        <v>6.57</v>
      </c>
      <c r="CJ98" s="120">
        <v>5.86</v>
      </c>
      <c r="CK98" s="120">
        <v>5.62</v>
      </c>
      <c r="CL98" s="120">
        <v>6.05</v>
      </c>
    </row>
    <row r="99" spans="1:90" x14ac:dyDescent="0.2">
      <c r="A99" s="83"/>
      <c r="B99" s="32"/>
      <c r="C99" s="33"/>
      <c r="D99" s="33"/>
      <c r="E99" s="32"/>
      <c r="F99" s="32"/>
      <c r="G99" s="75"/>
      <c r="H99" s="33"/>
      <c r="I99" s="33"/>
      <c r="J99" s="32"/>
      <c r="K99" s="75"/>
      <c r="L99" s="33"/>
      <c r="M99" s="20"/>
      <c r="N99" s="20"/>
      <c r="O99" s="96"/>
      <c r="P99" s="96"/>
      <c r="Q99" s="71"/>
      <c r="R99" s="71"/>
      <c r="S99" s="20"/>
      <c r="T99" s="20"/>
      <c r="U99" s="20"/>
      <c r="V99" s="96"/>
      <c r="W99" s="96"/>
      <c r="X99" s="8">
        <v>2011</v>
      </c>
      <c r="Y99" s="127">
        <v>17200303</v>
      </c>
      <c r="Z99" s="127"/>
      <c r="AA99" s="55">
        <v>8766678</v>
      </c>
      <c r="AB99" s="127"/>
      <c r="AC99" s="55">
        <v>375299</v>
      </c>
      <c r="AD99" s="55"/>
      <c r="AE99" s="55">
        <v>1879231</v>
      </c>
      <c r="AF99" s="55"/>
      <c r="AG99" s="127">
        <v>8917612</v>
      </c>
      <c r="AH99" s="55"/>
      <c r="AI99" s="127">
        <v>70071552</v>
      </c>
      <c r="AJ99" s="55"/>
      <c r="AK99" s="55">
        <v>13730169</v>
      </c>
      <c r="AL99" s="55"/>
      <c r="AM99" s="55">
        <v>843220</v>
      </c>
      <c r="AN99" s="127">
        <v>2211227</v>
      </c>
      <c r="AO99" s="55"/>
      <c r="AP99" s="127">
        <v>6262891</v>
      </c>
      <c r="AQ99" s="55"/>
      <c r="AR99" s="127">
        <v>47601141</v>
      </c>
      <c r="AS99" s="55"/>
      <c r="AT99" s="127">
        <v>13292895</v>
      </c>
      <c r="AU99" s="55"/>
      <c r="AV99" s="127">
        <v>17586792</v>
      </c>
      <c r="AW99" s="55"/>
      <c r="AX99" s="127">
        <v>22325349</v>
      </c>
      <c r="AY99" s="127"/>
      <c r="AZ99" s="127">
        <v>6773142</v>
      </c>
      <c r="BA99" s="55"/>
      <c r="BB99" s="127">
        <v>18866997</v>
      </c>
      <c r="BC99" s="127"/>
      <c r="BD99" s="127">
        <v>6092897</v>
      </c>
      <c r="BE99" s="127"/>
      <c r="BF99" s="55">
        <v>42273328</v>
      </c>
      <c r="BG99" s="119">
        <v>116049088</v>
      </c>
      <c r="BH99" s="212">
        <f t="shared" ref="BH99:BI104" si="241">BF99/BF98-1</f>
        <v>-3.8682905969009029E-2</v>
      </c>
      <c r="BI99" s="212">
        <f t="shared" si="241"/>
        <v>-9.6570672766874699E-3</v>
      </c>
      <c r="BJ99" s="8"/>
      <c r="BK99" s="55"/>
      <c r="BR99" s="28">
        <v>2018</v>
      </c>
      <c r="BS99" s="124">
        <v>31.4</v>
      </c>
      <c r="BT99" s="124">
        <v>25.8</v>
      </c>
      <c r="BU99" s="124">
        <v>17.84</v>
      </c>
      <c r="BV99" s="124">
        <v>14.97</v>
      </c>
      <c r="BW99" s="124">
        <v>18.7</v>
      </c>
      <c r="BX99" s="124">
        <v>14.46</v>
      </c>
      <c r="BY99" s="124">
        <v>17.22</v>
      </c>
      <c r="BZ99" s="124">
        <v>16.52</v>
      </c>
      <c r="CA99" s="124">
        <v>19.41</v>
      </c>
      <c r="CC99" s="26">
        <f t="shared" si="237"/>
        <v>2018</v>
      </c>
      <c r="CD99" s="120">
        <v>8.19</v>
      </c>
      <c r="CE99" s="120">
        <v>7.03</v>
      </c>
      <c r="CF99" s="120">
        <v>5.53</v>
      </c>
      <c r="CG99" s="120">
        <v>5.67</v>
      </c>
      <c r="CH99" s="120">
        <v>7.67</v>
      </c>
      <c r="CI99" s="120">
        <v>6.63</v>
      </c>
      <c r="CJ99" s="120">
        <v>5.89</v>
      </c>
      <c r="CK99" s="120">
        <v>5.73</v>
      </c>
      <c r="CL99" s="120">
        <v>6.18</v>
      </c>
    </row>
    <row r="100" spans="1:90" x14ac:dyDescent="0.2">
      <c r="A100" s="83"/>
      <c r="B100" s="33"/>
      <c r="C100" s="33"/>
      <c r="D100" s="33"/>
      <c r="E100" s="98"/>
      <c r="F100" s="98"/>
      <c r="G100" s="75"/>
      <c r="H100" s="33"/>
      <c r="I100" s="33"/>
      <c r="J100" s="98"/>
      <c r="K100" s="75"/>
      <c r="L100" s="33"/>
      <c r="M100" s="20"/>
      <c r="N100" s="20"/>
      <c r="O100" s="96"/>
      <c r="P100" s="96"/>
      <c r="Q100" s="71"/>
      <c r="R100" s="71"/>
      <c r="S100" s="20"/>
      <c r="T100" s="20"/>
      <c r="U100" s="20"/>
      <c r="V100" s="96"/>
      <c r="W100" s="96"/>
      <c r="X100" s="8">
        <v>2012</v>
      </c>
      <c r="Y100" s="127">
        <v>17461162</v>
      </c>
      <c r="Z100" s="127"/>
      <c r="AA100" s="55">
        <v>9104408</v>
      </c>
      <c r="AB100" s="127"/>
      <c r="AC100" s="55">
        <v>501307</v>
      </c>
      <c r="AD100" s="55"/>
      <c r="AE100" s="55">
        <v>1870896</v>
      </c>
      <c r="AF100" s="55"/>
      <c r="AG100" s="127">
        <v>7629275</v>
      </c>
      <c r="AH100" s="55"/>
      <c r="AI100" s="127">
        <v>62733039</v>
      </c>
      <c r="AJ100" s="55"/>
      <c r="AK100" s="55">
        <v>14833581</v>
      </c>
      <c r="AL100" s="55"/>
      <c r="AM100" s="55">
        <v>995162</v>
      </c>
      <c r="AN100" s="127">
        <v>2233495</v>
      </c>
      <c r="AO100" s="55"/>
      <c r="AP100" s="127">
        <v>6300320</v>
      </c>
      <c r="AQ100" s="55"/>
      <c r="AR100" s="127">
        <v>48635570</v>
      </c>
      <c r="AS100" s="55"/>
      <c r="AT100" s="127">
        <v>13505004</v>
      </c>
      <c r="AU100" s="55"/>
      <c r="AV100" s="127">
        <v>17903759</v>
      </c>
      <c r="AW100" s="55"/>
      <c r="AX100" s="127">
        <v>22426869</v>
      </c>
      <c r="AY100" s="127"/>
      <c r="AZ100" s="127">
        <v>6857532</v>
      </c>
      <c r="BA100" s="55"/>
      <c r="BB100" s="127">
        <v>19038709</v>
      </c>
      <c r="BC100" s="127"/>
      <c r="BD100" s="127">
        <v>6259857</v>
      </c>
      <c r="BE100" s="127"/>
      <c r="BF100" s="55">
        <v>41785411</v>
      </c>
      <c r="BG100" s="119">
        <v>118201291</v>
      </c>
      <c r="BH100" s="212">
        <f t="shared" si="241"/>
        <v>-1.1541958560726484E-2</v>
      </c>
      <c r="BI100" s="212">
        <f t="shared" si="241"/>
        <v>1.8545626140551885E-2</v>
      </c>
      <c r="BJ100" s="8"/>
      <c r="BK100" s="55"/>
      <c r="BR100" s="28">
        <v>2019</v>
      </c>
      <c r="BS100" s="124">
        <v>31.05</v>
      </c>
      <c r="BT100" s="124">
        <v>25.69</v>
      </c>
      <c r="BU100" s="124">
        <v>17.68</v>
      </c>
      <c r="BV100" s="124">
        <v>14.85</v>
      </c>
      <c r="BW100" s="124">
        <v>18.760000000000002</v>
      </c>
      <c r="BX100" s="124">
        <v>14.46</v>
      </c>
      <c r="BY100" s="124">
        <v>17.07</v>
      </c>
      <c r="BZ100" s="124">
        <v>16.57</v>
      </c>
      <c r="CA100" s="124">
        <v>19.190000000000001</v>
      </c>
      <c r="CC100" s="26">
        <f t="shared" si="237"/>
        <v>2019</v>
      </c>
      <c r="CD100" s="120">
        <v>8.27</v>
      </c>
      <c r="CE100" s="120">
        <v>7.06</v>
      </c>
      <c r="CF100" s="120">
        <v>5.6</v>
      </c>
      <c r="CG100" s="120">
        <v>5.75</v>
      </c>
      <c r="CH100" s="120">
        <v>7.73</v>
      </c>
      <c r="CI100" s="120">
        <v>6.69</v>
      </c>
      <c r="CJ100" s="120">
        <v>5.93</v>
      </c>
      <c r="CK100" s="120">
        <v>5.84</v>
      </c>
      <c r="CL100" s="120">
        <v>6.3</v>
      </c>
    </row>
    <row r="101" spans="1:90" x14ac:dyDescent="0.2">
      <c r="A101" s="83"/>
      <c r="B101" s="33"/>
      <c r="C101" s="33"/>
      <c r="D101" s="33"/>
      <c r="E101" s="98"/>
      <c r="F101" s="98"/>
      <c r="G101" s="75"/>
      <c r="H101" s="33"/>
      <c r="I101" s="33"/>
      <c r="J101" s="98"/>
      <c r="K101" s="75"/>
      <c r="L101" s="33"/>
      <c r="M101" s="20"/>
      <c r="N101" s="20"/>
      <c r="O101" s="96"/>
      <c r="P101" s="96"/>
      <c r="Q101" s="71"/>
      <c r="R101" s="71"/>
      <c r="S101" s="20"/>
      <c r="T101" s="20"/>
      <c r="U101" s="20"/>
      <c r="V101" s="96"/>
      <c r="W101" s="96"/>
      <c r="X101" s="8">
        <v>2013</v>
      </c>
      <c r="Y101" s="127">
        <v>16917216</v>
      </c>
      <c r="Z101" s="127"/>
      <c r="AA101" s="55">
        <v>8913027</v>
      </c>
      <c r="AB101" s="127"/>
      <c r="AC101" s="55">
        <v>553736</v>
      </c>
      <c r="AD101" s="55"/>
      <c r="AE101" s="55">
        <v>1787826</v>
      </c>
      <c r="AF101" s="55"/>
      <c r="AG101" s="127">
        <v>7891339</v>
      </c>
      <c r="AH101" s="55"/>
      <c r="AI101" s="127">
        <v>64574133</v>
      </c>
      <c r="AJ101" s="55"/>
      <c r="AK101" s="55">
        <v>15146644</v>
      </c>
      <c r="AL101" s="55"/>
      <c r="AM101" s="55">
        <v>1104246</v>
      </c>
      <c r="AN101" s="127">
        <v>2229389</v>
      </c>
      <c r="AO101" s="55"/>
      <c r="AP101" s="127">
        <v>6212980</v>
      </c>
      <c r="AQ101" s="55"/>
      <c r="AR101" s="127">
        <v>48827222</v>
      </c>
      <c r="AS101" s="55"/>
      <c r="AT101" s="127">
        <v>13539568</v>
      </c>
      <c r="AU101" s="55"/>
      <c r="AV101" s="127">
        <v>17905684</v>
      </c>
      <c r="AW101" s="55"/>
      <c r="AX101" s="127">
        <v>22312175</v>
      </c>
      <c r="AY101" s="127"/>
      <c r="AZ101" s="127">
        <v>6862716</v>
      </c>
      <c r="BA101" s="55"/>
      <c r="BB101" s="127">
        <v>18907803</v>
      </c>
      <c r="BC101" s="127"/>
      <c r="BD101" s="127">
        <v>6214530</v>
      </c>
      <c r="BE101" s="127"/>
      <c r="BF101" s="55">
        <v>36537779</v>
      </c>
      <c r="BG101" s="119">
        <v>119330286</v>
      </c>
      <c r="BH101" s="212">
        <f t="shared" si="241"/>
        <v>-0.12558526706845119</v>
      </c>
      <c r="BI101" s="212">
        <f t="shared" si="241"/>
        <v>9.551460821185076E-3</v>
      </c>
      <c r="BJ101" s="8"/>
      <c r="BK101" s="55"/>
      <c r="BL101" s="82"/>
      <c r="BM101" s="64"/>
      <c r="BN101" s="64"/>
      <c r="BR101" s="28">
        <v>2020</v>
      </c>
      <c r="BS101" s="124">
        <v>30.72</v>
      </c>
      <c r="BT101" s="124">
        <v>25.52</v>
      </c>
      <c r="BU101" s="124">
        <v>17.510000000000002</v>
      </c>
      <c r="BV101" s="124">
        <v>14.73</v>
      </c>
      <c r="BW101" s="124">
        <v>18.84</v>
      </c>
      <c r="BX101" s="124">
        <v>14.4</v>
      </c>
      <c r="BY101" s="124">
        <v>17.149999999999999</v>
      </c>
      <c r="BZ101" s="124">
        <v>16.57</v>
      </c>
      <c r="CA101" s="124">
        <v>19</v>
      </c>
      <c r="CC101" s="26">
        <f t="shared" si="237"/>
        <v>2020</v>
      </c>
      <c r="CD101" s="120">
        <v>8.36</v>
      </c>
      <c r="CE101" s="120">
        <v>7.1</v>
      </c>
      <c r="CF101" s="120">
        <v>5.71</v>
      </c>
      <c r="CG101" s="120">
        <v>5.87</v>
      </c>
      <c r="CH101" s="120">
        <v>7.84</v>
      </c>
      <c r="CI101" s="120">
        <v>6.83</v>
      </c>
      <c r="CJ101" s="120">
        <v>6.04</v>
      </c>
      <c r="CK101" s="120">
        <v>5.94</v>
      </c>
      <c r="CL101" s="120">
        <v>6.4</v>
      </c>
    </row>
    <row r="102" spans="1:90" x14ac:dyDescent="0.2">
      <c r="A102" s="83"/>
      <c r="B102" s="33"/>
      <c r="C102" s="33"/>
      <c r="D102" s="33"/>
      <c r="E102" s="98"/>
      <c r="F102" s="98"/>
      <c r="G102" s="75"/>
      <c r="H102" s="33"/>
      <c r="I102" s="33"/>
      <c r="J102" s="98"/>
      <c r="K102" s="75"/>
      <c r="L102" s="33"/>
      <c r="M102" s="20"/>
      <c r="N102" s="20"/>
      <c r="O102" s="96"/>
      <c r="P102" s="96"/>
      <c r="Q102" s="71"/>
      <c r="R102" s="71"/>
      <c r="S102" s="20"/>
      <c r="T102" s="20"/>
      <c r="U102" s="20"/>
      <c r="V102" s="96"/>
      <c r="W102" s="96"/>
      <c r="X102" s="8">
        <v>2014</v>
      </c>
      <c r="Y102" s="127">
        <v>16718454</v>
      </c>
      <c r="Z102" s="127"/>
      <c r="AA102" s="55">
        <v>8956907</v>
      </c>
      <c r="AB102" s="127"/>
      <c r="AC102" s="55">
        <v>643407</v>
      </c>
      <c r="AD102" s="55"/>
      <c r="AE102" s="55">
        <v>1742313</v>
      </c>
      <c r="AF102" s="55"/>
      <c r="AG102" s="127">
        <v>7694562</v>
      </c>
      <c r="AH102" s="55"/>
      <c r="AI102" s="127">
        <v>63991003</v>
      </c>
      <c r="AJ102" s="55"/>
      <c r="AK102" s="55">
        <v>15394619</v>
      </c>
      <c r="AL102" s="55"/>
      <c r="AM102" s="55">
        <v>1201518</v>
      </c>
      <c r="AN102" s="127">
        <v>2240341</v>
      </c>
      <c r="AO102" s="55"/>
      <c r="AP102" s="127">
        <v>6172490</v>
      </c>
      <c r="AQ102" s="55"/>
      <c r="AR102" s="127">
        <v>49209227</v>
      </c>
      <c r="AS102" s="55"/>
      <c r="AT102" s="127">
        <v>13663253</v>
      </c>
      <c r="AU102" s="55"/>
      <c r="AV102" s="127">
        <v>17991685</v>
      </c>
      <c r="AW102" s="55"/>
      <c r="AX102" s="127">
        <v>22219609</v>
      </c>
      <c r="AY102" s="127"/>
      <c r="AZ102" s="127">
        <v>6825837</v>
      </c>
      <c r="BA102" s="55"/>
      <c r="BB102" s="127">
        <v>18874748</v>
      </c>
      <c r="BC102" s="127"/>
      <c r="BD102" s="127">
        <v>6279823</v>
      </c>
      <c r="BE102" s="127"/>
      <c r="BF102" s="55">
        <v>34454459</v>
      </c>
      <c r="BG102" s="119">
        <v>122024110</v>
      </c>
      <c r="BH102" s="212">
        <f t="shared" si="241"/>
        <v>-5.7018244048167244E-2</v>
      </c>
      <c r="BI102" s="212">
        <f t="shared" si="241"/>
        <v>2.2574520604098813E-2</v>
      </c>
      <c r="BJ102" s="8"/>
      <c r="BK102" s="55"/>
      <c r="BR102" s="26">
        <v>2021</v>
      </c>
      <c r="BS102" s="124">
        <v>30.46</v>
      </c>
      <c r="BT102" s="124">
        <v>25.39</v>
      </c>
      <c r="BU102" s="124">
        <v>17.37</v>
      </c>
      <c r="BV102" s="124">
        <v>14.67</v>
      </c>
      <c r="BW102" s="124">
        <v>18.84</v>
      </c>
      <c r="BX102" s="124">
        <v>14.32</v>
      </c>
      <c r="BY102" s="124">
        <v>17.13</v>
      </c>
      <c r="BZ102" s="124">
        <v>16.649999999999999</v>
      </c>
      <c r="CA102" s="124">
        <v>18.82</v>
      </c>
      <c r="CC102" s="26">
        <f t="shared" si="237"/>
        <v>2021</v>
      </c>
      <c r="CD102" s="120">
        <v>8.4600000000000009</v>
      </c>
      <c r="CE102" s="120">
        <v>7.17</v>
      </c>
      <c r="CF102" s="120">
        <v>5.82</v>
      </c>
      <c r="CG102" s="120">
        <v>5.98</v>
      </c>
      <c r="CH102" s="120">
        <v>7.96</v>
      </c>
      <c r="CI102" s="120">
        <v>6.96</v>
      </c>
      <c r="CJ102" s="120">
        <v>6.14</v>
      </c>
      <c r="CK102" s="120">
        <v>6.07</v>
      </c>
      <c r="CL102" s="120">
        <v>6.53</v>
      </c>
    </row>
    <row r="103" spans="1:90" x14ac:dyDescent="0.2">
      <c r="A103" s="83"/>
      <c r="B103" s="33"/>
      <c r="C103" s="33"/>
      <c r="D103" s="33"/>
      <c r="E103" s="98"/>
      <c r="F103" s="98"/>
      <c r="G103" s="75"/>
      <c r="H103" s="33"/>
      <c r="I103" s="33"/>
      <c r="J103" s="98"/>
      <c r="K103" s="75"/>
      <c r="L103" s="33"/>
      <c r="M103" s="20"/>
      <c r="N103" s="20"/>
      <c r="O103" s="96"/>
      <c r="P103" s="96"/>
      <c r="Q103" s="71"/>
      <c r="R103" s="71"/>
      <c r="S103" s="20"/>
      <c r="T103" s="20"/>
      <c r="U103" s="20"/>
      <c r="V103" s="96"/>
      <c r="W103" s="96"/>
      <c r="X103" s="8">
        <v>2015</v>
      </c>
      <c r="Y103" s="127">
        <v>16570376</v>
      </c>
      <c r="Z103" s="127"/>
      <c r="AA103" s="55">
        <v>9030046</v>
      </c>
      <c r="AB103" s="127"/>
      <c r="AC103" s="55">
        <v>752130</v>
      </c>
      <c r="AD103" s="55"/>
      <c r="AE103" s="55">
        <v>1699491</v>
      </c>
      <c r="AF103" s="55"/>
      <c r="AG103" s="127">
        <v>7518004</v>
      </c>
      <c r="AH103" s="55"/>
      <c r="AI103" s="127">
        <v>63455135</v>
      </c>
      <c r="AJ103" s="55"/>
      <c r="AK103" s="55">
        <v>15578506</v>
      </c>
      <c r="AL103" s="55"/>
      <c r="AM103" s="55">
        <v>1303945</v>
      </c>
      <c r="AN103" s="127">
        <v>2182247</v>
      </c>
      <c r="AO103" s="55"/>
      <c r="AP103" s="127">
        <v>6154745</v>
      </c>
      <c r="AQ103" s="55"/>
      <c r="AR103" s="127">
        <v>49102022</v>
      </c>
      <c r="AS103" s="55"/>
      <c r="AT103" s="127">
        <v>13829178</v>
      </c>
      <c r="AU103" s="55"/>
      <c r="AV103" s="127">
        <v>17762742</v>
      </c>
      <c r="AW103" s="55"/>
      <c r="AX103" s="127">
        <v>22216680</v>
      </c>
      <c r="AY103" s="127"/>
      <c r="AZ103" s="127">
        <v>6814032</v>
      </c>
      <c r="BA103" s="55"/>
      <c r="BB103" s="127">
        <v>18912947</v>
      </c>
      <c r="BC103" s="127"/>
      <c r="BD103" s="127">
        <v>6347567</v>
      </c>
      <c r="BE103" s="127"/>
      <c r="BF103" s="55">
        <v>33336101</v>
      </c>
      <c r="BG103" s="119">
        <v>125016751</v>
      </c>
      <c r="BH103" s="212">
        <f t="shared" si="241"/>
        <v>-3.2459020761289592E-2</v>
      </c>
      <c r="BI103" s="212">
        <f t="shared" si="241"/>
        <v>2.4524997559908446E-2</v>
      </c>
      <c r="BJ103" s="113"/>
      <c r="BK103" s="55"/>
      <c r="BR103" s="26">
        <v>2022</v>
      </c>
      <c r="BS103" s="124">
        <v>30.15</v>
      </c>
      <c r="BT103" s="124">
        <v>25.24</v>
      </c>
      <c r="BU103" s="124">
        <v>17.25</v>
      </c>
      <c r="BV103" s="124">
        <v>14.63</v>
      </c>
      <c r="BW103" s="124">
        <v>18.77</v>
      </c>
      <c r="BX103" s="124">
        <v>14.17</v>
      </c>
      <c r="BY103" s="124">
        <v>17.350000000000001</v>
      </c>
      <c r="BZ103" s="124">
        <v>16.79</v>
      </c>
      <c r="CA103" s="124">
        <v>18.739999999999998</v>
      </c>
      <c r="CC103" s="26">
        <f t="shared" si="237"/>
        <v>2022</v>
      </c>
      <c r="CD103" s="120">
        <v>8.59</v>
      </c>
      <c r="CE103" s="120">
        <v>7.25</v>
      </c>
      <c r="CF103" s="120">
        <v>5.93</v>
      </c>
      <c r="CG103" s="120">
        <v>6.09</v>
      </c>
      <c r="CH103" s="120">
        <v>8.08</v>
      </c>
      <c r="CI103" s="120">
        <v>7.08</v>
      </c>
      <c r="CJ103" s="120">
        <v>6.23</v>
      </c>
      <c r="CK103" s="120">
        <v>6.21</v>
      </c>
      <c r="CL103" s="120">
        <v>6.66</v>
      </c>
    </row>
    <row r="104" spans="1:90" x14ac:dyDescent="0.2">
      <c r="A104" s="83"/>
      <c r="B104" s="33"/>
      <c r="C104" s="33"/>
      <c r="D104" s="33"/>
      <c r="E104" s="98"/>
      <c r="F104" s="98"/>
      <c r="G104" s="75"/>
      <c r="H104" s="33"/>
      <c r="I104" s="33"/>
      <c r="J104" s="98"/>
      <c r="K104" s="75"/>
      <c r="L104" s="33"/>
      <c r="M104" s="20"/>
      <c r="N104" s="20"/>
      <c r="O104" s="96"/>
      <c r="P104" s="96"/>
      <c r="Q104" s="71"/>
      <c r="R104" s="71"/>
      <c r="S104" s="20"/>
      <c r="T104" s="20"/>
      <c r="U104" s="20"/>
      <c r="V104" s="96"/>
      <c r="W104" s="96"/>
      <c r="X104" s="8">
        <v>2016</v>
      </c>
      <c r="Y104" s="127">
        <v>16527019</v>
      </c>
      <c r="Z104" s="127"/>
      <c r="AA104" s="55">
        <v>9153127</v>
      </c>
      <c r="AB104" s="127"/>
      <c r="AC104" s="55">
        <v>868997</v>
      </c>
      <c r="AD104" s="55"/>
      <c r="AE104" s="55">
        <v>1663129</v>
      </c>
      <c r="AF104" s="55"/>
      <c r="AG104" s="127">
        <v>7373662</v>
      </c>
      <c r="AH104" s="55"/>
      <c r="AI104" s="127">
        <v>63116302</v>
      </c>
      <c r="AJ104" s="55"/>
      <c r="AK104" s="55">
        <v>15748684</v>
      </c>
      <c r="AL104" s="55"/>
      <c r="AM104" s="55">
        <v>1406402</v>
      </c>
      <c r="AN104" s="127">
        <v>2121567</v>
      </c>
      <c r="AO104" s="55"/>
      <c r="AP104" s="127">
        <v>6156072</v>
      </c>
      <c r="AQ104" s="55"/>
      <c r="AR104" s="127">
        <v>49477102</v>
      </c>
      <c r="AS104" s="55"/>
      <c r="AT104" s="127">
        <v>14023681</v>
      </c>
      <c r="AU104" s="55"/>
      <c r="AV104" s="127">
        <v>17597252</v>
      </c>
      <c r="AW104" s="55"/>
      <c r="AX104" s="127">
        <v>22275913</v>
      </c>
      <c r="AY104" s="127"/>
      <c r="AZ104" s="127">
        <v>6818744</v>
      </c>
      <c r="BA104" s="55"/>
      <c r="BB104" s="127">
        <v>19049422</v>
      </c>
      <c r="BC104" s="127"/>
      <c r="BD104" s="127">
        <v>6413658</v>
      </c>
      <c r="BE104" s="127"/>
      <c r="BF104" s="55">
        <v>32726938</v>
      </c>
      <c r="BG104" s="119">
        <v>129048322</v>
      </c>
      <c r="BH104" s="212">
        <f t="shared" si="241"/>
        <v>-1.8273372761859585E-2</v>
      </c>
      <c r="BI104" s="212">
        <f t="shared" si="241"/>
        <v>3.2248246476986209E-2</v>
      </c>
      <c r="BJ104" s="113"/>
      <c r="BK104" s="55"/>
      <c r="BL104" s="31"/>
      <c r="BM104" s="31"/>
      <c r="BN104" s="31"/>
      <c r="BR104" s="26">
        <v>2023</v>
      </c>
      <c r="BS104" s="124">
        <v>29.94</v>
      </c>
      <c r="BT104" s="124">
        <v>25.04</v>
      </c>
      <c r="BU104" s="124">
        <v>17.14</v>
      </c>
      <c r="BV104" s="124">
        <v>14.63</v>
      </c>
      <c r="BW104" s="124">
        <v>18.75</v>
      </c>
      <c r="BX104" s="124">
        <v>14</v>
      </c>
      <c r="BY104" s="124">
        <v>17.54</v>
      </c>
      <c r="BZ104" s="124">
        <v>16.91</v>
      </c>
      <c r="CA104" s="124">
        <v>18.739999999999998</v>
      </c>
      <c r="CC104" s="26">
        <f t="shared" si="237"/>
        <v>2023</v>
      </c>
      <c r="CD104" s="120">
        <v>8.73</v>
      </c>
      <c r="CE104" s="120">
        <v>7.36</v>
      </c>
      <c r="CF104" s="120">
        <v>6.05</v>
      </c>
      <c r="CG104" s="120">
        <v>6.21</v>
      </c>
      <c r="CH104" s="120">
        <v>8.2200000000000006</v>
      </c>
      <c r="CI104" s="120">
        <v>7.23</v>
      </c>
      <c r="CJ104" s="120">
        <v>6.35</v>
      </c>
      <c r="CK104" s="120">
        <v>6.32</v>
      </c>
      <c r="CL104" s="120">
        <v>6.77</v>
      </c>
    </row>
    <row r="105" spans="1:90" x14ac:dyDescent="0.2">
      <c r="A105" s="83"/>
      <c r="B105" s="33"/>
      <c r="C105" s="33"/>
      <c r="D105" s="33"/>
      <c r="E105" s="98"/>
      <c r="F105" s="98"/>
      <c r="G105" s="75"/>
      <c r="H105" s="33"/>
      <c r="I105" s="33"/>
      <c r="J105" s="98"/>
      <c r="K105" s="75"/>
      <c r="L105" s="33"/>
      <c r="M105" s="20"/>
      <c r="N105" s="20"/>
      <c r="O105" s="96"/>
      <c r="P105" s="96"/>
      <c r="Q105" s="71"/>
      <c r="R105" s="71"/>
      <c r="S105" s="20"/>
      <c r="T105" s="20"/>
      <c r="U105" s="20"/>
      <c r="V105" s="96"/>
      <c r="W105" s="96"/>
      <c r="X105" s="8">
        <v>2017</v>
      </c>
      <c r="Y105" s="127">
        <v>16540965</v>
      </c>
      <c r="Z105" s="127"/>
      <c r="AA105" s="55">
        <v>9308545</v>
      </c>
      <c r="AB105" s="127"/>
      <c r="AC105" s="55">
        <v>976538</v>
      </c>
      <c r="AD105" s="55"/>
      <c r="AE105" s="55">
        <v>1628924</v>
      </c>
      <c r="AF105" s="55"/>
      <c r="AG105" s="127">
        <v>7253858</v>
      </c>
      <c r="AH105" s="55"/>
      <c r="AI105" s="127">
        <v>63113447</v>
      </c>
      <c r="AJ105" s="55"/>
      <c r="AK105" s="55">
        <v>15857478</v>
      </c>
      <c r="AL105" s="55"/>
      <c r="AM105" s="55">
        <v>1487958</v>
      </c>
      <c r="AN105" s="127">
        <v>2060152</v>
      </c>
      <c r="AO105" s="55"/>
      <c r="AP105" s="127">
        <v>6168785</v>
      </c>
      <c r="AQ105" s="55"/>
      <c r="AR105" s="127">
        <v>50024103</v>
      </c>
      <c r="AS105" s="55"/>
      <c r="AT105" s="127">
        <v>14231937</v>
      </c>
      <c r="AU105" s="55"/>
      <c r="AV105" s="127">
        <v>17451420</v>
      </c>
      <c r="AW105" s="55"/>
      <c r="AX105" s="127">
        <v>22377232</v>
      </c>
      <c r="AY105" s="127"/>
      <c r="AZ105" s="127">
        <v>6834326</v>
      </c>
      <c r="BA105" s="55"/>
      <c r="BB105" s="127">
        <v>19244248</v>
      </c>
      <c r="BC105" s="127"/>
      <c r="BD105" s="127">
        <v>6470268</v>
      </c>
      <c r="BE105" s="127"/>
      <c r="BF105" s="55">
        <v>32404240</v>
      </c>
      <c r="BG105" s="119">
        <v>133166293</v>
      </c>
      <c r="BH105" s="54"/>
      <c r="BI105" s="31"/>
      <c r="BJ105" s="113"/>
      <c r="BK105" s="55"/>
      <c r="BL105" s="31"/>
      <c r="BM105" s="31"/>
      <c r="BN105" s="31"/>
      <c r="BR105" s="26">
        <v>2024</v>
      </c>
      <c r="BS105" s="124">
        <v>29.56</v>
      </c>
      <c r="BT105" s="124">
        <v>24.91</v>
      </c>
      <c r="BU105" s="124">
        <v>17.059999999999999</v>
      </c>
      <c r="BV105" s="124">
        <v>14.56</v>
      </c>
      <c r="BW105" s="124">
        <v>18.71</v>
      </c>
      <c r="BX105" s="124">
        <v>13.86</v>
      </c>
      <c r="BY105" s="124">
        <v>17.71</v>
      </c>
      <c r="BZ105" s="124">
        <v>17.04</v>
      </c>
      <c r="CA105" s="124">
        <v>18.739999999999998</v>
      </c>
      <c r="CC105" s="26">
        <f t="shared" si="237"/>
        <v>2024</v>
      </c>
      <c r="CD105" s="120">
        <v>8.84</v>
      </c>
      <c r="CE105" s="120">
        <v>7.44</v>
      </c>
      <c r="CF105" s="120">
        <v>6.17</v>
      </c>
      <c r="CG105" s="120">
        <v>6.31</v>
      </c>
      <c r="CH105" s="120">
        <v>8.35</v>
      </c>
      <c r="CI105" s="120">
        <v>7.37</v>
      </c>
      <c r="CJ105" s="120">
        <v>6.46</v>
      </c>
      <c r="CK105" s="120">
        <v>6.43</v>
      </c>
      <c r="CL105" s="120">
        <v>6.87</v>
      </c>
    </row>
    <row r="106" spans="1:90" x14ac:dyDescent="0.2">
      <c r="A106" s="83"/>
      <c r="B106" s="33"/>
      <c r="C106" s="33"/>
      <c r="D106" s="33"/>
      <c r="E106" s="98"/>
      <c r="F106" s="98"/>
      <c r="G106" s="75"/>
      <c r="H106" s="33"/>
      <c r="I106" s="33"/>
      <c r="J106" s="98"/>
      <c r="K106" s="75"/>
      <c r="L106" s="33"/>
      <c r="M106" s="20"/>
      <c r="N106" s="20"/>
      <c r="O106" s="96"/>
      <c r="P106" s="96"/>
      <c r="Q106" s="71"/>
      <c r="R106" s="71"/>
      <c r="S106" s="20"/>
      <c r="T106" s="20"/>
      <c r="U106" s="20"/>
      <c r="V106" s="96"/>
      <c r="W106" s="96"/>
      <c r="X106" s="8">
        <v>2018</v>
      </c>
      <c r="Y106" s="127">
        <v>16558868</v>
      </c>
      <c r="Z106" s="127"/>
      <c r="AA106" s="55">
        <v>9471485</v>
      </c>
      <c r="AB106" s="127"/>
      <c r="AC106" s="55">
        <v>1075038</v>
      </c>
      <c r="AD106" s="55"/>
      <c r="AE106" s="55">
        <v>1595127</v>
      </c>
      <c r="AF106" s="55"/>
      <c r="AG106" s="127">
        <v>7135522</v>
      </c>
      <c r="AH106" s="55"/>
      <c r="AI106" s="127">
        <v>63158789</v>
      </c>
      <c r="AJ106" s="55"/>
      <c r="AK106" s="55">
        <v>15985121</v>
      </c>
      <c r="AL106" s="55"/>
      <c r="AM106" s="55">
        <v>1563276</v>
      </c>
      <c r="AN106" s="127">
        <v>1996859</v>
      </c>
      <c r="AO106" s="55"/>
      <c r="AP106" s="127">
        <v>6176562</v>
      </c>
      <c r="AQ106" s="55"/>
      <c r="AR106" s="127">
        <v>50530764</v>
      </c>
      <c r="AS106" s="55"/>
      <c r="AT106" s="127">
        <v>14439677</v>
      </c>
      <c r="AU106" s="55"/>
      <c r="AV106" s="127">
        <v>17313795</v>
      </c>
      <c r="AW106" s="55"/>
      <c r="AX106" s="127">
        <v>22499671</v>
      </c>
      <c r="AY106" s="127"/>
      <c r="AZ106" s="127">
        <v>6852616</v>
      </c>
      <c r="BA106" s="55"/>
      <c r="BB106" s="127">
        <v>19458391</v>
      </c>
      <c r="BC106" s="127"/>
      <c r="BD106" s="127">
        <v>6521560</v>
      </c>
      <c r="BE106" s="127"/>
      <c r="BF106" s="55">
        <v>32218201</v>
      </c>
      <c r="BG106" s="119">
        <v>137550332</v>
      </c>
      <c r="BH106" s="54"/>
      <c r="BI106" s="31"/>
      <c r="BJ106" s="113"/>
      <c r="BK106" s="55"/>
      <c r="BL106" s="31"/>
      <c r="BM106" s="31"/>
      <c r="BN106" s="31"/>
      <c r="BR106" s="26">
        <v>2025</v>
      </c>
      <c r="BS106" s="124">
        <v>29.17</v>
      </c>
      <c r="BT106" s="124">
        <v>24.8</v>
      </c>
      <c r="BU106" s="124">
        <v>17.03</v>
      </c>
      <c r="BV106" s="124">
        <v>14.49</v>
      </c>
      <c r="BW106" s="124">
        <v>18.760000000000002</v>
      </c>
      <c r="BX106" s="124">
        <v>13.84</v>
      </c>
      <c r="BY106" s="124">
        <v>17.89</v>
      </c>
      <c r="BZ106" s="124">
        <v>17.25</v>
      </c>
      <c r="CA106" s="124">
        <v>18.760000000000002</v>
      </c>
      <c r="CC106" s="26">
        <f t="shared" si="237"/>
        <v>2025</v>
      </c>
      <c r="CD106" s="120">
        <v>8.9700000000000006</v>
      </c>
      <c r="CE106" s="120">
        <v>7.55</v>
      </c>
      <c r="CF106" s="120">
        <v>6.28</v>
      </c>
      <c r="CG106" s="120">
        <v>6.41</v>
      </c>
      <c r="CH106" s="120">
        <v>8.48</v>
      </c>
      <c r="CI106" s="120">
        <v>7.5</v>
      </c>
      <c r="CJ106" s="120">
        <v>6.56</v>
      </c>
      <c r="CK106" s="120">
        <v>6.53</v>
      </c>
      <c r="CL106" s="120">
        <v>6.97</v>
      </c>
    </row>
    <row r="107" spans="1:90" x14ac:dyDescent="0.2">
      <c r="A107" s="83"/>
      <c r="B107" s="33"/>
      <c r="C107" s="33"/>
      <c r="D107" s="33"/>
      <c r="E107" s="98"/>
      <c r="F107" s="98"/>
      <c r="G107" s="75"/>
      <c r="H107" s="33"/>
      <c r="I107" s="33"/>
      <c r="J107" s="98"/>
      <c r="K107" s="75"/>
      <c r="L107" s="33"/>
      <c r="M107" s="20"/>
      <c r="N107" s="20"/>
      <c r="O107" s="96"/>
      <c r="P107" s="96"/>
      <c r="Q107" s="71"/>
      <c r="R107" s="71"/>
      <c r="S107" s="20"/>
      <c r="T107" s="20"/>
      <c r="U107" s="20"/>
      <c r="V107" s="96"/>
      <c r="W107" s="96"/>
      <c r="X107" s="8">
        <v>2019</v>
      </c>
      <c r="Y107" s="127">
        <v>16585344</v>
      </c>
      <c r="Z107" s="127"/>
      <c r="AA107" s="55">
        <v>9647260</v>
      </c>
      <c r="AB107" s="127"/>
      <c r="AC107" s="55">
        <v>1165994</v>
      </c>
      <c r="AD107" s="55"/>
      <c r="AE107" s="55">
        <v>1561890</v>
      </c>
      <c r="AF107" s="55"/>
      <c r="AG107" s="127">
        <v>7026570</v>
      </c>
      <c r="AH107" s="55"/>
      <c r="AI107" s="127">
        <v>63273912</v>
      </c>
      <c r="AJ107" s="55"/>
      <c r="AK107" s="55">
        <v>16126972</v>
      </c>
      <c r="AL107" s="55"/>
      <c r="AM107" s="55">
        <v>1631589</v>
      </c>
      <c r="AN107" s="127">
        <v>1933986</v>
      </c>
      <c r="AO107" s="55"/>
      <c r="AP107" s="127">
        <v>6176562</v>
      </c>
      <c r="AQ107" s="55"/>
      <c r="AR107" s="127">
        <v>51081072</v>
      </c>
      <c r="AS107" s="55"/>
      <c r="AT107" s="127">
        <v>14645591</v>
      </c>
      <c r="AU107" s="55"/>
      <c r="AV107" s="127">
        <v>17189683</v>
      </c>
      <c r="AW107" s="55"/>
      <c r="AX107" s="127">
        <v>22637272</v>
      </c>
      <c r="AY107" s="127"/>
      <c r="AZ107" s="127">
        <v>6870812</v>
      </c>
      <c r="BA107" s="55"/>
      <c r="BB107" s="127">
        <v>19707590</v>
      </c>
      <c r="BC107" s="127"/>
      <c r="BD107" s="127">
        <v>6488621</v>
      </c>
      <c r="BE107" s="127"/>
      <c r="BF107" s="55">
        <v>32137520</v>
      </c>
      <c r="BG107" s="119">
        <v>142098272</v>
      </c>
      <c r="BH107" s="54"/>
      <c r="BI107" s="31"/>
      <c r="BJ107" s="113"/>
      <c r="BK107" s="55"/>
      <c r="BL107" s="31"/>
      <c r="BM107" s="31"/>
      <c r="BN107" s="31"/>
      <c r="BR107" s="26">
        <v>2026</v>
      </c>
      <c r="BS107" s="124">
        <v>28.56</v>
      </c>
      <c r="BT107" s="124">
        <v>24.65</v>
      </c>
      <c r="BU107" s="124">
        <v>17</v>
      </c>
      <c r="BV107" s="124">
        <v>14.51</v>
      </c>
      <c r="BW107" s="124">
        <v>18.829999999999998</v>
      </c>
      <c r="BX107" s="124">
        <v>13.88</v>
      </c>
      <c r="BY107" s="124">
        <v>18.059999999999999</v>
      </c>
      <c r="BZ107" s="124">
        <v>17.43</v>
      </c>
      <c r="CA107" s="124">
        <v>18.62</v>
      </c>
      <c r="CC107" s="26">
        <f t="shared" si="237"/>
        <v>2026</v>
      </c>
      <c r="CD107" s="120">
        <v>9.07</v>
      </c>
      <c r="CE107" s="120">
        <v>7.63</v>
      </c>
      <c r="CF107" s="120">
        <v>6.37</v>
      </c>
      <c r="CG107" s="120">
        <v>6.5</v>
      </c>
      <c r="CH107" s="120">
        <v>8.59</v>
      </c>
      <c r="CI107" s="120">
        <v>7.6</v>
      </c>
      <c r="CJ107" s="120">
        <v>6.64</v>
      </c>
      <c r="CK107" s="120">
        <v>6.65</v>
      </c>
      <c r="CL107" s="120">
        <v>7.06</v>
      </c>
    </row>
    <row r="108" spans="1:90" x14ac:dyDescent="0.2">
      <c r="A108" s="83"/>
      <c r="B108" s="33"/>
      <c r="C108" s="33"/>
      <c r="D108" s="33"/>
      <c r="E108" s="98"/>
      <c r="F108" s="98"/>
      <c r="G108" s="75"/>
      <c r="H108" s="33"/>
      <c r="I108" s="33"/>
      <c r="J108" s="98"/>
      <c r="K108" s="75"/>
      <c r="L108" s="33"/>
      <c r="M108" s="20"/>
      <c r="N108" s="20"/>
      <c r="O108" s="96"/>
      <c r="P108" s="96"/>
      <c r="Q108" s="71"/>
      <c r="R108" s="71"/>
      <c r="S108" s="20"/>
      <c r="T108" s="20"/>
      <c r="U108" s="20"/>
      <c r="V108" s="96"/>
      <c r="W108" s="96"/>
      <c r="X108" s="8">
        <v>2020</v>
      </c>
      <c r="Y108" s="127">
        <v>16602243</v>
      </c>
      <c r="Z108" s="127"/>
      <c r="AA108" s="55">
        <v>9824964</v>
      </c>
      <c r="AB108" s="127"/>
      <c r="AC108" s="55">
        <v>1249419</v>
      </c>
      <c r="AD108" s="55"/>
      <c r="AE108" s="55">
        <v>1529069</v>
      </c>
      <c r="AF108" s="55"/>
      <c r="AG108" s="127">
        <v>6921964</v>
      </c>
      <c r="AH108" s="55"/>
      <c r="AI108" s="127">
        <v>63426640</v>
      </c>
      <c r="AJ108" s="55"/>
      <c r="AK108" s="55">
        <v>16278302</v>
      </c>
      <c r="AL108" s="55"/>
      <c r="AM108" s="55">
        <v>1684519</v>
      </c>
      <c r="AN108" s="127">
        <v>1877663</v>
      </c>
      <c r="AO108" s="55"/>
      <c r="AP108" s="127">
        <v>6166615</v>
      </c>
      <c r="AQ108" s="55"/>
      <c r="AR108" s="127">
        <v>51587433</v>
      </c>
      <c r="AS108" s="55"/>
      <c r="AT108" s="127">
        <v>14844435</v>
      </c>
      <c r="AU108" s="55"/>
      <c r="AV108" s="127">
        <v>17066465</v>
      </c>
      <c r="AW108" s="55"/>
      <c r="AX108" s="127">
        <v>22773072</v>
      </c>
      <c r="AY108" s="127"/>
      <c r="AZ108" s="127">
        <v>6888329</v>
      </c>
      <c r="BA108" s="55"/>
      <c r="BB108" s="127">
        <v>19966731</v>
      </c>
      <c r="BC108" s="127"/>
      <c r="BD108" s="127">
        <v>6514373</v>
      </c>
      <c r="BE108" s="127"/>
      <c r="BF108" s="55">
        <v>31099921</v>
      </c>
      <c r="BG108" s="119">
        <v>146490233</v>
      </c>
      <c r="BH108" s="54"/>
      <c r="BI108" s="31"/>
      <c r="BJ108" s="113"/>
      <c r="BK108" s="55"/>
      <c r="BL108" s="31"/>
      <c r="BM108" s="31"/>
      <c r="BN108" s="31"/>
      <c r="BR108" s="26">
        <v>2027</v>
      </c>
      <c r="BS108" s="124">
        <v>28.03</v>
      </c>
      <c r="BT108" s="124">
        <v>24.53</v>
      </c>
      <c r="BU108" s="124">
        <v>16.98</v>
      </c>
      <c r="BV108" s="124">
        <v>14.44</v>
      </c>
      <c r="BW108" s="124">
        <v>18.86</v>
      </c>
      <c r="BX108" s="124">
        <v>13.88</v>
      </c>
      <c r="BY108" s="124">
        <v>18.25</v>
      </c>
      <c r="BZ108" s="124">
        <v>17.62</v>
      </c>
      <c r="CA108" s="124">
        <v>18.309999999999999</v>
      </c>
      <c r="CC108" s="26">
        <f t="shared" si="237"/>
        <v>2027</v>
      </c>
      <c r="CD108" s="120">
        <v>9.18</v>
      </c>
      <c r="CE108" s="120">
        <v>7.72</v>
      </c>
      <c r="CF108" s="120">
        <v>6.45</v>
      </c>
      <c r="CG108" s="120">
        <v>6.58</v>
      </c>
      <c r="CH108" s="120">
        <v>8.7100000000000009</v>
      </c>
      <c r="CI108" s="120">
        <v>7.71</v>
      </c>
      <c r="CJ108" s="120">
        <v>6.71</v>
      </c>
      <c r="CK108" s="120">
        <v>6.76</v>
      </c>
      <c r="CL108" s="120">
        <v>7.14</v>
      </c>
    </row>
    <row r="109" spans="1:90" x14ac:dyDescent="0.2">
      <c r="A109" s="83"/>
      <c r="B109" s="33"/>
      <c r="C109" s="33"/>
      <c r="D109" s="33"/>
      <c r="E109" s="98"/>
      <c r="F109" s="98"/>
      <c r="G109" s="75"/>
      <c r="H109" s="33"/>
      <c r="I109" s="33"/>
      <c r="J109" s="98"/>
      <c r="K109" s="75"/>
      <c r="L109" s="33"/>
      <c r="M109" s="20"/>
      <c r="N109" s="20"/>
      <c r="O109" s="96"/>
      <c r="P109" s="96"/>
      <c r="Q109" s="71"/>
      <c r="R109" s="71"/>
      <c r="S109" s="20"/>
      <c r="T109" s="20"/>
      <c r="U109" s="20"/>
      <c r="V109" s="96"/>
      <c r="W109" s="96"/>
      <c r="X109" s="8">
        <v>2021</v>
      </c>
      <c r="Y109" s="127">
        <v>16610638</v>
      </c>
      <c r="Z109" s="127"/>
      <c r="AA109" s="55">
        <v>10002193</v>
      </c>
      <c r="AB109" s="127"/>
      <c r="AC109" s="55">
        <v>1325225</v>
      </c>
      <c r="AD109" s="55"/>
      <c r="AE109" s="55">
        <v>1496056</v>
      </c>
      <c r="AF109" s="55"/>
      <c r="AG109" s="127">
        <v>6825249</v>
      </c>
      <c r="AH109" s="55"/>
      <c r="AI109" s="127">
        <v>63601182</v>
      </c>
      <c r="AJ109" s="55"/>
      <c r="AK109" s="55">
        <v>16445277</v>
      </c>
      <c r="AL109" s="55"/>
      <c r="AM109" s="55">
        <v>1733403</v>
      </c>
      <c r="AN109" s="127">
        <v>1829523</v>
      </c>
      <c r="AO109" s="55"/>
      <c r="AP109" s="127">
        <v>6143823</v>
      </c>
      <c r="AQ109" s="55"/>
      <c r="AR109" s="127">
        <v>52077597</v>
      </c>
      <c r="AS109" s="55"/>
      <c r="AT109" s="127">
        <v>15038133</v>
      </c>
      <c r="AU109" s="55"/>
      <c r="AV109" s="127">
        <v>16954766</v>
      </c>
      <c r="AW109" s="55"/>
      <c r="AX109" s="127">
        <v>22904484</v>
      </c>
      <c r="AY109" s="127"/>
      <c r="AZ109" s="127">
        <v>6902070</v>
      </c>
      <c r="BA109" s="55"/>
      <c r="BB109" s="127">
        <v>20249022</v>
      </c>
      <c r="BC109" s="127"/>
      <c r="BD109" s="127">
        <v>6475407</v>
      </c>
      <c r="BE109" s="127"/>
      <c r="BF109" s="55">
        <v>30718232</v>
      </c>
      <c r="BG109" s="119">
        <v>150720183</v>
      </c>
      <c r="BH109" s="54"/>
      <c r="BI109" s="31"/>
      <c r="BJ109" s="113"/>
      <c r="BK109" s="55"/>
      <c r="BL109" s="31"/>
      <c r="BM109" s="31"/>
      <c r="BN109" s="31"/>
      <c r="BR109" s="26">
        <v>2028</v>
      </c>
      <c r="BS109" s="124">
        <v>27.64</v>
      </c>
      <c r="BT109" s="124">
        <v>24.41</v>
      </c>
      <c r="BU109" s="124">
        <v>17.05</v>
      </c>
      <c r="BV109" s="124">
        <v>14.45</v>
      </c>
      <c r="BW109" s="124">
        <v>18.850000000000001</v>
      </c>
      <c r="BX109" s="124">
        <v>13.9</v>
      </c>
      <c r="BY109" s="124">
        <v>18.46</v>
      </c>
      <c r="BZ109" s="124">
        <v>17.739999999999998</v>
      </c>
      <c r="CA109" s="124">
        <v>18.059999999999999</v>
      </c>
      <c r="CC109" s="26">
        <f t="shared" si="237"/>
        <v>2028</v>
      </c>
      <c r="CD109" s="120">
        <v>9.2799999999999994</v>
      </c>
      <c r="CE109" s="120">
        <v>7.8</v>
      </c>
      <c r="CF109" s="120">
        <v>6.52</v>
      </c>
      <c r="CG109" s="120">
        <v>6.65</v>
      </c>
      <c r="CH109" s="120">
        <v>8.7899999999999991</v>
      </c>
      <c r="CI109" s="120">
        <v>7.77</v>
      </c>
      <c r="CJ109" s="120">
        <v>6.74</v>
      </c>
      <c r="CK109" s="120">
        <v>6.86</v>
      </c>
      <c r="CL109" s="120">
        <v>7.23</v>
      </c>
    </row>
    <row r="110" spans="1:90" x14ac:dyDescent="0.2">
      <c r="A110" s="83"/>
      <c r="B110" s="33"/>
      <c r="C110" s="33"/>
      <c r="D110" s="33"/>
      <c r="E110" s="98"/>
      <c r="F110" s="98"/>
      <c r="G110" s="75"/>
      <c r="H110" s="33"/>
      <c r="I110" s="33"/>
      <c r="J110" s="98"/>
      <c r="K110" s="75"/>
      <c r="L110" s="33"/>
      <c r="M110" s="20"/>
      <c r="N110" s="20"/>
      <c r="O110" s="96"/>
      <c r="P110" s="96"/>
      <c r="Q110" s="71"/>
      <c r="R110" s="71"/>
      <c r="S110" s="20"/>
      <c r="T110" s="20"/>
      <c r="U110" s="20"/>
      <c r="V110" s="96"/>
      <c r="W110" s="96"/>
      <c r="X110" s="8">
        <v>2022</v>
      </c>
      <c r="Y110" s="127">
        <v>16605777</v>
      </c>
      <c r="Z110" s="127"/>
      <c r="AA110" s="55">
        <v>10180430</v>
      </c>
      <c r="AB110" s="127"/>
      <c r="AC110" s="55">
        <v>1395644</v>
      </c>
      <c r="AD110" s="55"/>
      <c r="AE110" s="55">
        <v>1462712</v>
      </c>
      <c r="AF110" s="55"/>
      <c r="AG110" s="127">
        <v>6737359</v>
      </c>
      <c r="AH110" s="55"/>
      <c r="AI110" s="127">
        <v>63831206</v>
      </c>
      <c r="AJ110" s="55"/>
      <c r="AK110" s="55">
        <v>16636526</v>
      </c>
      <c r="AL110" s="55"/>
      <c r="AM110" s="55">
        <v>1780161</v>
      </c>
      <c r="AN110" s="127">
        <v>1791589</v>
      </c>
      <c r="AO110" s="55"/>
      <c r="AP110" s="127">
        <v>6127254</v>
      </c>
      <c r="AQ110" s="55"/>
      <c r="AR110" s="127">
        <v>52523490</v>
      </c>
      <c r="AS110" s="55"/>
      <c r="AT110" s="127">
        <v>15225761</v>
      </c>
      <c r="AU110" s="55"/>
      <c r="AV110" s="127">
        <v>16849051</v>
      </c>
      <c r="AW110" s="55"/>
      <c r="AX110" s="127">
        <v>23044631</v>
      </c>
      <c r="AY110" s="127"/>
      <c r="AZ110" s="127">
        <v>6913746</v>
      </c>
      <c r="BA110" s="55"/>
      <c r="BB110" s="127">
        <v>20544285</v>
      </c>
      <c r="BC110" s="127"/>
      <c r="BD110" s="127">
        <v>6465450</v>
      </c>
      <c r="BE110" s="127"/>
      <c r="BF110" s="55">
        <v>30479940</v>
      </c>
      <c r="BG110" s="119">
        <v>155241738</v>
      </c>
      <c r="BH110" s="54"/>
      <c r="BI110" s="31"/>
      <c r="BJ110" s="113"/>
      <c r="BK110" s="55"/>
      <c r="BL110" s="73"/>
      <c r="BM110" s="73"/>
      <c r="BN110" s="73"/>
      <c r="BR110" s="26">
        <v>2029</v>
      </c>
      <c r="BS110" s="124">
        <v>27.35</v>
      </c>
      <c r="BT110" s="124">
        <v>24.35</v>
      </c>
      <c r="BU110" s="124">
        <v>17.13</v>
      </c>
      <c r="BV110" s="124">
        <v>14.5</v>
      </c>
      <c r="BW110" s="124">
        <v>18.84</v>
      </c>
      <c r="BX110" s="124">
        <v>13.92</v>
      </c>
      <c r="BY110" s="124">
        <v>18.62</v>
      </c>
      <c r="BZ110" s="124">
        <v>17.899999999999999</v>
      </c>
      <c r="CA110" s="124">
        <v>18.010000000000002</v>
      </c>
      <c r="CC110" s="26">
        <f t="shared" si="237"/>
        <v>2029</v>
      </c>
      <c r="CD110" s="120">
        <v>9.41</v>
      </c>
      <c r="CE110" s="120">
        <v>7.89</v>
      </c>
      <c r="CF110" s="120">
        <v>6.58</v>
      </c>
      <c r="CG110" s="120">
        <v>6.72</v>
      </c>
      <c r="CH110" s="120">
        <v>8.8699999999999992</v>
      </c>
      <c r="CI110" s="120">
        <v>7.82</v>
      </c>
      <c r="CJ110" s="120">
        <v>6.76</v>
      </c>
      <c r="CK110" s="120">
        <v>6.95</v>
      </c>
      <c r="CL110" s="120">
        <v>7.32</v>
      </c>
    </row>
    <row r="111" spans="1:90" x14ac:dyDescent="0.2">
      <c r="A111" s="83"/>
      <c r="B111" s="33"/>
      <c r="C111" s="33"/>
      <c r="D111" s="33"/>
      <c r="E111" s="98"/>
      <c r="F111" s="98"/>
      <c r="G111" s="75"/>
      <c r="H111" s="33"/>
      <c r="I111" s="33"/>
      <c r="J111" s="98"/>
      <c r="K111" s="75"/>
      <c r="L111" s="33"/>
      <c r="M111" s="20"/>
      <c r="N111" s="20"/>
      <c r="O111" s="96"/>
      <c r="P111" s="96"/>
      <c r="Q111" s="71"/>
      <c r="R111" s="71"/>
      <c r="S111" s="20"/>
      <c r="T111" s="20"/>
      <c r="U111" s="20"/>
      <c r="V111" s="96"/>
      <c r="W111" s="96"/>
      <c r="X111" s="8">
        <v>2023</v>
      </c>
      <c r="Y111" s="127">
        <v>16590687</v>
      </c>
      <c r="Z111" s="127"/>
      <c r="AA111" s="55">
        <v>10371374</v>
      </c>
      <c r="AB111" s="127"/>
      <c r="AC111" s="55">
        <v>1463711</v>
      </c>
      <c r="AD111" s="55"/>
      <c r="AE111" s="55">
        <v>1429263</v>
      </c>
      <c r="AF111" s="55"/>
      <c r="AG111" s="127">
        <v>6644672</v>
      </c>
      <c r="AH111" s="55"/>
      <c r="AI111" s="127">
        <v>64068623</v>
      </c>
      <c r="AJ111" s="55"/>
      <c r="AK111" s="55">
        <v>16836778</v>
      </c>
      <c r="AL111" s="55"/>
      <c r="AM111" s="55">
        <v>1823393</v>
      </c>
      <c r="AN111" s="127">
        <v>1761538</v>
      </c>
      <c r="AO111" s="55"/>
      <c r="AP111" s="127">
        <v>6114918</v>
      </c>
      <c r="AQ111" s="55"/>
      <c r="AR111" s="127">
        <v>52929026</v>
      </c>
      <c r="AS111" s="55"/>
      <c r="AT111" s="127">
        <v>15412787</v>
      </c>
      <c r="AU111" s="55"/>
      <c r="AV111" s="127">
        <v>16756543</v>
      </c>
      <c r="AW111" s="55"/>
      <c r="AX111" s="127">
        <v>23202139</v>
      </c>
      <c r="AY111" s="127"/>
      <c r="AZ111" s="127">
        <v>6925793</v>
      </c>
      <c r="BA111" s="55"/>
      <c r="BB111" s="127">
        <v>20860105</v>
      </c>
      <c r="BC111" s="127"/>
      <c r="BD111" s="127">
        <v>6422827</v>
      </c>
      <c r="BE111" s="127"/>
      <c r="BF111" s="55">
        <v>30348088</v>
      </c>
      <c r="BG111" s="119">
        <v>159905566</v>
      </c>
      <c r="BH111" s="54"/>
      <c r="BI111" s="31"/>
      <c r="BJ111" s="113"/>
      <c r="BK111" s="55"/>
      <c r="BL111" s="31"/>
      <c r="BM111" s="31"/>
      <c r="BN111" s="31"/>
      <c r="BR111" s="26">
        <v>2030</v>
      </c>
      <c r="BS111" s="124">
        <v>27.11</v>
      </c>
      <c r="BT111" s="124">
        <v>24.28</v>
      </c>
      <c r="BU111" s="124">
        <v>17.14</v>
      </c>
      <c r="BV111" s="124">
        <v>14.48</v>
      </c>
      <c r="BW111" s="124">
        <v>18.79</v>
      </c>
      <c r="BX111" s="124">
        <v>13.82</v>
      </c>
      <c r="BY111" s="124">
        <v>18.54</v>
      </c>
      <c r="BZ111" s="124">
        <v>18.03</v>
      </c>
      <c r="CA111" s="124">
        <v>17.91</v>
      </c>
      <c r="CC111" s="26">
        <f t="shared" si="237"/>
        <v>2030</v>
      </c>
      <c r="CD111" s="120">
        <v>9.5399999999999991</v>
      </c>
      <c r="CE111" s="120">
        <v>8</v>
      </c>
      <c r="CF111" s="120">
        <v>6.64</v>
      </c>
      <c r="CG111" s="120">
        <v>6.79</v>
      </c>
      <c r="CH111" s="120">
        <v>8.9499999999999993</v>
      </c>
      <c r="CI111" s="120">
        <v>7.9</v>
      </c>
      <c r="CJ111" s="120">
        <v>6.8</v>
      </c>
      <c r="CK111" s="120">
        <v>7.03</v>
      </c>
      <c r="CL111" s="120">
        <v>7.4</v>
      </c>
    </row>
    <row r="112" spans="1:90" x14ac:dyDescent="0.2">
      <c r="A112" s="83"/>
      <c r="B112" s="33"/>
      <c r="C112" s="33"/>
      <c r="D112" s="33"/>
      <c r="E112" s="98"/>
      <c r="F112" s="98"/>
      <c r="G112" s="75"/>
      <c r="H112" s="33"/>
      <c r="I112" s="33"/>
      <c r="J112" s="98"/>
      <c r="K112" s="75"/>
      <c r="L112" s="33"/>
      <c r="M112" s="20"/>
      <c r="N112" s="20"/>
      <c r="O112" s="96"/>
      <c r="P112" s="96"/>
      <c r="Q112" s="71"/>
      <c r="R112" s="71"/>
      <c r="S112" s="20"/>
      <c r="T112" s="20"/>
      <c r="U112" s="20"/>
      <c r="V112" s="96"/>
      <c r="W112" s="96"/>
      <c r="X112" s="8">
        <v>2024</v>
      </c>
      <c r="Y112" s="127">
        <v>16559917</v>
      </c>
      <c r="Z112" s="127"/>
      <c r="AA112" s="55">
        <v>10569656</v>
      </c>
      <c r="AB112" s="127"/>
      <c r="AC112" s="55">
        <v>1529149</v>
      </c>
      <c r="AD112" s="55"/>
      <c r="AE112" s="55">
        <v>1395542</v>
      </c>
      <c r="AF112" s="55"/>
      <c r="AG112" s="127">
        <v>6550449</v>
      </c>
      <c r="AH112" s="55"/>
      <c r="AI112" s="127">
        <v>64320962</v>
      </c>
      <c r="AJ112" s="55"/>
      <c r="AK112" s="55">
        <v>17058263</v>
      </c>
      <c r="AL112" s="55"/>
      <c r="AM112" s="55">
        <v>1865202</v>
      </c>
      <c r="AN112" s="127">
        <v>1733574</v>
      </c>
      <c r="AO112" s="55"/>
      <c r="AP112" s="127">
        <v>6107077</v>
      </c>
      <c r="AQ112" s="55"/>
      <c r="AR112" s="127">
        <v>53256590</v>
      </c>
      <c r="AS112" s="55"/>
      <c r="AT112" s="127">
        <v>15599871</v>
      </c>
      <c r="AU112" s="55"/>
      <c r="AV112" s="127">
        <v>16667854</v>
      </c>
      <c r="AW112" s="55"/>
      <c r="AX112" s="127">
        <v>23379776</v>
      </c>
      <c r="AY112" s="127"/>
      <c r="AZ112" s="127">
        <v>6938379</v>
      </c>
      <c r="BA112" s="55"/>
      <c r="BB112" s="127">
        <v>21188252</v>
      </c>
      <c r="BC112" s="127"/>
      <c r="BD112" s="127">
        <v>6389673</v>
      </c>
      <c r="BE112" s="127"/>
      <c r="BF112" s="55">
        <v>30277963</v>
      </c>
      <c r="BG112" s="119">
        <v>164752673</v>
      </c>
      <c r="BH112" s="54"/>
      <c r="BI112" s="31"/>
      <c r="BJ112" s="113"/>
      <c r="BK112" s="55"/>
      <c r="BL112" s="31"/>
      <c r="BM112" s="31"/>
      <c r="BN112" s="31"/>
      <c r="BR112" s="26">
        <v>2031</v>
      </c>
      <c r="BS112" s="124">
        <v>26.94</v>
      </c>
      <c r="BT112" s="124">
        <v>24.28</v>
      </c>
      <c r="BU112" s="124">
        <v>17.22</v>
      </c>
      <c r="BV112" s="124">
        <v>14.49</v>
      </c>
      <c r="BW112" s="124">
        <v>18.82</v>
      </c>
      <c r="BX112" s="124">
        <v>13.85</v>
      </c>
      <c r="BY112" s="124">
        <v>18.690000000000001</v>
      </c>
      <c r="BZ112" s="124">
        <v>18.16</v>
      </c>
      <c r="CA112" s="124">
        <v>17.809999999999999</v>
      </c>
      <c r="CC112" s="26">
        <f>CC111+1</f>
        <v>2031</v>
      </c>
      <c r="CD112" s="120">
        <v>9.67</v>
      </c>
      <c r="CE112" s="120">
        <v>8.1</v>
      </c>
      <c r="CF112" s="120">
        <v>6.73</v>
      </c>
      <c r="CG112" s="120">
        <v>6.87</v>
      </c>
      <c r="CH112" s="120">
        <v>9.06</v>
      </c>
      <c r="CI112" s="120">
        <v>8.02</v>
      </c>
      <c r="CJ112" s="120">
        <v>6.89</v>
      </c>
      <c r="CK112" s="120">
        <v>7.13</v>
      </c>
      <c r="CL112" s="120">
        <v>7.48</v>
      </c>
    </row>
    <row r="113" spans="1:90" x14ac:dyDescent="0.2">
      <c r="A113" s="83"/>
      <c r="B113" s="33"/>
      <c r="C113" s="33"/>
      <c r="D113" s="33"/>
      <c r="E113" s="98"/>
      <c r="F113" s="98"/>
      <c r="G113" s="75"/>
      <c r="H113" s="33"/>
      <c r="I113" s="33"/>
      <c r="J113" s="98"/>
      <c r="K113" s="75"/>
      <c r="L113" s="33"/>
      <c r="M113" s="20"/>
      <c r="N113" s="20"/>
      <c r="O113" s="96"/>
      <c r="P113" s="96"/>
      <c r="Q113" s="71"/>
      <c r="R113" s="71"/>
      <c r="S113" s="20"/>
      <c r="T113" s="20"/>
      <c r="U113" s="20"/>
      <c r="V113" s="96"/>
      <c r="W113" s="96"/>
      <c r="X113" s="8">
        <v>2025</v>
      </c>
      <c r="Y113" s="127">
        <v>16514534</v>
      </c>
      <c r="Z113" s="127"/>
      <c r="AA113" s="55">
        <v>10770490</v>
      </c>
      <c r="AB113" s="127"/>
      <c r="AC113" s="55">
        <v>1591078</v>
      </c>
      <c r="AD113" s="55"/>
      <c r="AE113" s="55">
        <v>1361554</v>
      </c>
      <c r="AF113" s="55"/>
      <c r="AG113" s="127">
        <v>6460497</v>
      </c>
      <c r="AH113" s="55"/>
      <c r="AI113" s="127">
        <v>64617086</v>
      </c>
      <c r="AJ113" s="55"/>
      <c r="AK113" s="55">
        <v>17268310</v>
      </c>
      <c r="AL113" s="55"/>
      <c r="AM113" s="55">
        <v>1902807</v>
      </c>
      <c r="AN113" s="127">
        <v>1705602</v>
      </c>
      <c r="AO113" s="55"/>
      <c r="AP113" s="127">
        <v>6122089</v>
      </c>
      <c r="AQ113" s="55"/>
      <c r="AR113" s="127">
        <v>53508423</v>
      </c>
      <c r="AS113" s="55"/>
      <c r="AT113" s="127">
        <v>15784647</v>
      </c>
      <c r="AU113" s="55"/>
      <c r="AV113" s="127">
        <v>16589295</v>
      </c>
      <c r="AW113" s="55"/>
      <c r="AX113" s="127">
        <v>23575504</v>
      </c>
      <c r="AY113" s="127"/>
      <c r="AZ113" s="127">
        <v>6947925</v>
      </c>
      <c r="BA113" s="55"/>
      <c r="BB113" s="127">
        <v>21522783</v>
      </c>
      <c r="BC113" s="127"/>
      <c r="BD113" s="127">
        <v>6359757</v>
      </c>
      <c r="BE113" s="127"/>
      <c r="BF113" s="55">
        <v>30247108</v>
      </c>
      <c r="BG113" s="119">
        <v>169830818</v>
      </c>
      <c r="BH113" s="54"/>
      <c r="BI113" s="31"/>
      <c r="BJ113" s="113"/>
      <c r="BK113" s="55"/>
      <c r="BL113" s="31"/>
      <c r="BM113" s="31"/>
      <c r="BN113" s="31"/>
      <c r="BR113" s="26">
        <v>2032</v>
      </c>
      <c r="BS113" s="124">
        <v>26.96</v>
      </c>
      <c r="BT113" s="124">
        <v>24.4</v>
      </c>
      <c r="BU113" s="124">
        <v>17.25</v>
      </c>
      <c r="BV113" s="124">
        <v>14.47</v>
      </c>
      <c r="BW113" s="124">
        <v>18.850000000000001</v>
      </c>
      <c r="BX113" s="124">
        <v>13.76</v>
      </c>
      <c r="BY113" s="124">
        <v>18.8</v>
      </c>
      <c r="BZ113" s="124">
        <v>18.260000000000002</v>
      </c>
      <c r="CA113" s="124">
        <v>17.7</v>
      </c>
      <c r="CC113" s="26">
        <f>CC112+1</f>
        <v>2032</v>
      </c>
      <c r="CD113" s="120">
        <v>9.7799999999999994</v>
      </c>
      <c r="CE113" s="120">
        <v>8.18</v>
      </c>
      <c r="CF113" s="120">
        <v>6.82</v>
      </c>
      <c r="CG113" s="120">
        <v>6.96</v>
      </c>
      <c r="CH113" s="120">
        <v>9.17</v>
      </c>
      <c r="CI113" s="120">
        <v>8.14</v>
      </c>
      <c r="CJ113" s="120">
        <v>6.98</v>
      </c>
      <c r="CK113" s="120">
        <v>7.22</v>
      </c>
      <c r="CL113" s="120">
        <v>7.58</v>
      </c>
    </row>
    <row r="114" spans="1:90" x14ac:dyDescent="0.2">
      <c r="A114" s="83"/>
      <c r="B114" s="33"/>
      <c r="C114" s="33"/>
      <c r="D114" s="33"/>
      <c r="E114" s="98"/>
      <c r="F114" s="98"/>
      <c r="G114" s="75"/>
      <c r="H114" s="33"/>
      <c r="I114" s="33"/>
      <c r="J114" s="98"/>
      <c r="K114" s="75"/>
      <c r="L114" s="33"/>
      <c r="M114" s="20"/>
      <c r="N114" s="20"/>
      <c r="O114" s="96"/>
      <c r="P114" s="96"/>
      <c r="Q114" s="71"/>
      <c r="R114" s="71"/>
      <c r="S114" s="20"/>
      <c r="T114" s="20"/>
      <c r="U114" s="20"/>
      <c r="V114" s="96"/>
      <c r="W114" s="96"/>
      <c r="X114" s="23">
        <v>2026</v>
      </c>
      <c r="Y114" s="127">
        <v>16463655</v>
      </c>
      <c r="Z114" s="127"/>
      <c r="AA114" s="55">
        <v>10972906</v>
      </c>
      <c r="AB114" s="127"/>
      <c r="AC114" s="55">
        <v>1649191</v>
      </c>
      <c r="AD114" s="55"/>
      <c r="AE114" s="55">
        <v>1327693</v>
      </c>
      <c r="AF114" s="55"/>
      <c r="AG114" s="127">
        <v>6364820</v>
      </c>
      <c r="AH114" s="55"/>
      <c r="AI114" s="127">
        <v>64869439</v>
      </c>
      <c r="AJ114" s="55"/>
      <c r="AK114" s="55">
        <v>17444505</v>
      </c>
      <c r="AL114" s="55"/>
      <c r="AM114" s="55">
        <v>1933302</v>
      </c>
      <c r="AN114" s="127">
        <v>1677471</v>
      </c>
      <c r="AO114" s="55"/>
      <c r="AP114" s="127">
        <v>6160645</v>
      </c>
      <c r="AQ114" s="55"/>
      <c r="AR114" s="127">
        <v>53698291</v>
      </c>
      <c r="AS114" s="55"/>
      <c r="AT114" s="127">
        <v>15965743</v>
      </c>
      <c r="AU114" s="55"/>
      <c r="AV114" s="127">
        <v>16517824</v>
      </c>
      <c r="AW114" s="55"/>
      <c r="AX114" s="127">
        <v>23787319</v>
      </c>
      <c r="AY114" s="127"/>
      <c r="AZ114" s="127">
        <v>6958385</v>
      </c>
      <c r="BA114" s="55"/>
      <c r="BB114" s="127">
        <v>21863223</v>
      </c>
      <c r="BC114" s="127"/>
      <c r="BD114" s="127">
        <v>6301822</v>
      </c>
      <c r="BE114" s="127"/>
      <c r="BF114" s="55">
        <v>30242518</v>
      </c>
      <c r="BG114" s="55">
        <v>174762500</v>
      </c>
      <c r="BH114" s="54"/>
      <c r="BI114" s="31"/>
      <c r="BJ114" s="113"/>
      <c r="BK114" s="55"/>
      <c r="BL114" s="31"/>
      <c r="BM114" s="31"/>
      <c r="BN114" s="31"/>
      <c r="BR114" s="26">
        <v>2033</v>
      </c>
      <c r="BS114" s="124">
        <v>27.06</v>
      </c>
      <c r="BT114" s="124">
        <v>24.54</v>
      </c>
      <c r="BU114" s="124">
        <v>17.32</v>
      </c>
      <c r="BV114" s="124">
        <v>14.53</v>
      </c>
      <c r="BW114" s="124">
        <v>18.91</v>
      </c>
      <c r="BX114" s="124">
        <v>13.81</v>
      </c>
      <c r="BY114" s="124">
        <v>18.95</v>
      </c>
      <c r="BZ114" s="124">
        <v>18.41</v>
      </c>
      <c r="CA114" s="124">
        <v>17.600000000000001</v>
      </c>
      <c r="CC114" s="26">
        <f>CC113+1</f>
        <v>2033</v>
      </c>
      <c r="CD114" s="120">
        <v>9.91</v>
      </c>
      <c r="CE114" s="120">
        <v>8.2799999999999994</v>
      </c>
      <c r="CF114" s="120">
        <v>6.92</v>
      </c>
      <c r="CG114" s="120">
        <v>7.07</v>
      </c>
      <c r="CH114" s="120">
        <v>9.2799999999999994</v>
      </c>
      <c r="CI114" s="120">
        <v>8.25</v>
      </c>
      <c r="CJ114" s="120">
        <v>7.05</v>
      </c>
      <c r="CK114" s="120">
        <v>7.31</v>
      </c>
      <c r="CL114" s="120">
        <v>7.69</v>
      </c>
    </row>
    <row r="115" spans="1:90" x14ac:dyDescent="0.2">
      <c r="A115" s="83"/>
      <c r="B115" s="33"/>
      <c r="C115" s="33"/>
      <c r="D115" s="33"/>
      <c r="E115" s="98"/>
      <c r="F115" s="98"/>
      <c r="G115" s="75"/>
      <c r="H115" s="33"/>
      <c r="I115" s="33"/>
      <c r="J115" s="98"/>
      <c r="K115" s="75"/>
      <c r="L115" s="33"/>
      <c r="M115" s="20"/>
      <c r="N115" s="20"/>
      <c r="O115" s="96"/>
      <c r="P115" s="96"/>
      <c r="Q115" s="71"/>
      <c r="R115" s="71"/>
      <c r="S115" s="20"/>
      <c r="T115" s="20"/>
      <c r="U115" s="20"/>
      <c r="V115" s="96"/>
      <c r="W115" s="96"/>
      <c r="X115" s="23">
        <v>2027</v>
      </c>
      <c r="Y115" s="127">
        <v>16395492</v>
      </c>
      <c r="Z115" s="127"/>
      <c r="AA115" s="55">
        <v>11162362</v>
      </c>
      <c r="AB115" s="127"/>
      <c r="AC115" s="55">
        <v>1701504</v>
      </c>
      <c r="AD115" s="55"/>
      <c r="AE115" s="55">
        <v>1293242</v>
      </c>
      <c r="AF115" s="55"/>
      <c r="AG115" s="127">
        <v>6271368</v>
      </c>
      <c r="AH115" s="55"/>
      <c r="AI115" s="127">
        <v>65123321</v>
      </c>
      <c r="AJ115" s="55"/>
      <c r="AK115" s="55">
        <v>17622260</v>
      </c>
      <c r="AL115" s="55"/>
      <c r="AM115" s="55">
        <v>1960266</v>
      </c>
      <c r="AN115" s="127">
        <v>1651585</v>
      </c>
      <c r="AO115" s="55"/>
      <c r="AP115" s="127">
        <v>6218242</v>
      </c>
      <c r="AQ115" s="55"/>
      <c r="AR115" s="127">
        <v>53811648</v>
      </c>
      <c r="AS115" s="55"/>
      <c r="AT115" s="127">
        <v>16139794</v>
      </c>
      <c r="AU115" s="55"/>
      <c r="AV115" s="127">
        <v>16467771</v>
      </c>
      <c r="AW115" s="55"/>
      <c r="AX115" s="127">
        <v>24011363</v>
      </c>
      <c r="AY115" s="127"/>
      <c r="AZ115" s="127">
        <v>6967950</v>
      </c>
      <c r="BA115" s="55"/>
      <c r="BB115" s="127">
        <v>22202661</v>
      </c>
      <c r="BC115" s="127"/>
      <c r="BD115" s="127">
        <v>6278889</v>
      </c>
      <c r="BE115" s="127"/>
      <c r="BF115" s="55">
        <v>30249236</v>
      </c>
      <c r="BG115" s="55">
        <v>179819242</v>
      </c>
      <c r="BH115" s="54"/>
      <c r="BI115" s="31"/>
      <c r="BJ115" s="113"/>
      <c r="BK115" s="55"/>
      <c r="BR115" s="26">
        <v>2034</v>
      </c>
      <c r="BS115" s="124">
        <v>27.17</v>
      </c>
      <c r="BT115" s="124">
        <v>24.71</v>
      </c>
      <c r="BU115" s="124">
        <v>17.46</v>
      </c>
      <c r="BV115" s="124">
        <v>14.61</v>
      </c>
      <c r="BW115" s="124">
        <v>19.02</v>
      </c>
      <c r="BX115" s="124">
        <v>13.85</v>
      </c>
      <c r="BY115" s="124">
        <v>19.04</v>
      </c>
      <c r="BZ115" s="124">
        <v>18.55</v>
      </c>
      <c r="CA115" s="124">
        <v>17.62</v>
      </c>
      <c r="CC115" s="26">
        <f>CC114+1</f>
        <v>2034</v>
      </c>
      <c r="CD115" s="120">
        <v>10.01</v>
      </c>
      <c r="CE115" s="120">
        <v>8.34</v>
      </c>
      <c r="CF115" s="120">
        <v>7.03</v>
      </c>
      <c r="CG115" s="120">
        <v>7.2</v>
      </c>
      <c r="CH115" s="120">
        <v>9.4</v>
      </c>
      <c r="CI115" s="120">
        <v>8.39</v>
      </c>
      <c r="CJ115" s="120">
        <v>7.15</v>
      </c>
      <c r="CK115" s="120">
        <v>7.45</v>
      </c>
      <c r="CL115" s="120">
        <v>7.82</v>
      </c>
    </row>
    <row r="116" spans="1:90" x14ac:dyDescent="0.2">
      <c r="A116" s="83"/>
      <c r="B116" s="33"/>
      <c r="C116" s="33"/>
      <c r="D116" s="33"/>
      <c r="E116" s="98"/>
      <c r="F116" s="98"/>
      <c r="G116" s="75"/>
      <c r="H116" s="33"/>
      <c r="I116" s="33"/>
      <c r="J116" s="98"/>
      <c r="K116" s="75"/>
      <c r="L116" s="33"/>
      <c r="M116" s="20"/>
      <c r="N116" s="20"/>
      <c r="O116" s="96"/>
      <c r="P116" s="96"/>
      <c r="Q116" s="71"/>
      <c r="R116" s="71"/>
      <c r="S116" s="20"/>
      <c r="T116" s="20"/>
      <c r="U116" s="20"/>
      <c r="V116" s="96"/>
      <c r="W116" s="96"/>
      <c r="X116" s="23">
        <v>2028</v>
      </c>
      <c r="Y116" s="127">
        <v>16327896</v>
      </c>
      <c r="Z116" s="127"/>
      <c r="AA116" s="55">
        <v>11348041</v>
      </c>
      <c r="AB116" s="127"/>
      <c r="AC116" s="55">
        <v>1749902</v>
      </c>
      <c r="AD116" s="55"/>
      <c r="AE116" s="55">
        <v>1259153</v>
      </c>
      <c r="AF116" s="55"/>
      <c r="AG116" s="127">
        <v>6188035</v>
      </c>
      <c r="AH116" s="55"/>
      <c r="AI116" s="127">
        <v>65408774</v>
      </c>
      <c r="AJ116" s="55"/>
      <c r="AK116" s="55">
        <v>17771198</v>
      </c>
      <c r="AL116" s="55"/>
      <c r="AM116" s="55">
        <v>1981068</v>
      </c>
      <c r="AN116" s="127">
        <v>1627619</v>
      </c>
      <c r="AO116" s="55"/>
      <c r="AP116" s="127">
        <v>6294593</v>
      </c>
      <c r="AQ116" s="55"/>
      <c r="AR116" s="127">
        <v>53871735</v>
      </c>
      <c r="AS116" s="55"/>
      <c r="AT116" s="127">
        <v>16307701</v>
      </c>
      <c r="AU116" s="55"/>
      <c r="AV116" s="127">
        <v>16451757</v>
      </c>
      <c r="AW116" s="55"/>
      <c r="AX116" s="127">
        <v>24230808</v>
      </c>
      <c r="AY116" s="127"/>
      <c r="AZ116" s="127">
        <v>6976239</v>
      </c>
      <c r="BA116" s="55"/>
      <c r="BB116" s="127">
        <v>22555672</v>
      </c>
      <c r="BC116" s="127"/>
      <c r="BD116" s="127">
        <v>6201692</v>
      </c>
      <c r="BE116" s="127"/>
      <c r="BF116" s="55">
        <v>30281327</v>
      </c>
      <c r="BG116" s="55">
        <v>184871097</v>
      </c>
      <c r="BH116" s="54"/>
      <c r="BI116" s="31"/>
      <c r="BJ116" s="113"/>
      <c r="BK116" s="55"/>
      <c r="BR116" s="26">
        <v>2035</v>
      </c>
      <c r="BS116" s="124">
        <v>27.28</v>
      </c>
      <c r="BT116" s="124">
        <v>24.81</v>
      </c>
      <c r="BU116" s="124">
        <v>17.48</v>
      </c>
      <c r="BV116" s="124">
        <v>14.62</v>
      </c>
      <c r="BW116" s="124">
        <v>19.07</v>
      </c>
      <c r="BX116" s="124">
        <v>13.65</v>
      </c>
      <c r="BY116" s="124">
        <v>19.239999999999998</v>
      </c>
      <c r="BZ116" s="124">
        <v>18.68</v>
      </c>
      <c r="CA116" s="124">
        <v>17.68</v>
      </c>
      <c r="CC116" s="26">
        <f>CC115+1</f>
        <v>2035</v>
      </c>
      <c r="CD116" s="120">
        <v>10.07</v>
      </c>
      <c r="CE116" s="120">
        <v>8.35</v>
      </c>
      <c r="CF116" s="120">
        <v>7.16</v>
      </c>
      <c r="CG116" s="120">
        <v>7.34</v>
      </c>
      <c r="CH116" s="120">
        <v>9.5399999999999991</v>
      </c>
      <c r="CI116" s="120">
        <v>8.57</v>
      </c>
      <c r="CJ116" s="120">
        <v>7.29</v>
      </c>
      <c r="CK116" s="120">
        <v>7.59</v>
      </c>
      <c r="CL116" s="120">
        <v>7.97</v>
      </c>
    </row>
    <row r="117" spans="1:90" x14ac:dyDescent="0.2">
      <c r="A117" s="83"/>
      <c r="B117" s="33"/>
      <c r="C117" s="33"/>
      <c r="D117" s="33"/>
      <c r="E117" s="98"/>
      <c r="F117" s="98"/>
      <c r="G117" s="75"/>
      <c r="H117" s="33"/>
      <c r="I117" s="33"/>
      <c r="J117" s="98"/>
      <c r="K117" s="75"/>
      <c r="L117" s="33"/>
      <c r="V117" s="96"/>
      <c r="W117" s="96"/>
      <c r="X117" s="23">
        <v>2029</v>
      </c>
      <c r="Y117" s="127">
        <v>16266349</v>
      </c>
      <c r="Z117" s="127"/>
      <c r="AA117" s="55">
        <v>11539147</v>
      </c>
      <c r="AB117" s="127"/>
      <c r="AC117" s="55">
        <v>1796061</v>
      </c>
      <c r="AD117" s="55"/>
      <c r="AE117" s="55">
        <v>1225588</v>
      </c>
      <c r="AF117" s="55"/>
      <c r="AG117" s="127">
        <v>6110558</v>
      </c>
      <c r="AH117" s="55"/>
      <c r="AI117" s="127">
        <v>65695464</v>
      </c>
      <c r="AJ117" s="55"/>
      <c r="AK117" s="55">
        <v>17927403</v>
      </c>
      <c r="AL117" s="55"/>
      <c r="AM117" s="55">
        <v>2000115</v>
      </c>
      <c r="AN117" s="127">
        <v>1605763</v>
      </c>
      <c r="AO117" s="55"/>
      <c r="AP117" s="127">
        <v>6374791</v>
      </c>
      <c r="AQ117" s="55"/>
      <c r="AR117" s="127">
        <v>53895757</v>
      </c>
      <c r="AS117" s="55"/>
      <c r="AT117" s="127">
        <v>16473234</v>
      </c>
      <c r="AU117" s="55"/>
      <c r="AV117" s="127">
        <v>16474112</v>
      </c>
      <c r="AW117" s="55"/>
      <c r="AX117" s="127">
        <v>24444276</v>
      </c>
      <c r="AY117" s="127"/>
      <c r="AZ117" s="127">
        <v>6984422</v>
      </c>
      <c r="BA117" s="55"/>
      <c r="BB117" s="127">
        <v>22928419</v>
      </c>
      <c r="BC117" s="127"/>
      <c r="BD117" s="127">
        <v>6205693</v>
      </c>
      <c r="BE117" s="127"/>
      <c r="BF117" s="55">
        <v>30345359</v>
      </c>
      <c r="BG117" s="55">
        <v>189826817</v>
      </c>
      <c r="BH117" s="54"/>
      <c r="BI117" s="31"/>
      <c r="BJ117" s="113"/>
      <c r="BK117" s="55"/>
    </row>
    <row r="118" spans="1:90" x14ac:dyDescent="0.2">
      <c r="A118" s="83"/>
      <c r="B118" s="33"/>
      <c r="C118" s="33"/>
      <c r="D118" s="33"/>
      <c r="E118" s="98"/>
      <c r="F118" s="98"/>
      <c r="G118" s="75"/>
      <c r="H118" s="33"/>
      <c r="I118" s="33"/>
      <c r="J118" s="98"/>
      <c r="K118" s="75"/>
      <c r="L118" s="33"/>
      <c r="V118" s="96"/>
      <c r="W118" s="96"/>
      <c r="X118" s="23">
        <v>2030</v>
      </c>
      <c r="Y118" s="127">
        <v>16206862</v>
      </c>
      <c r="Z118" s="127"/>
      <c r="AA118" s="55">
        <v>11737153</v>
      </c>
      <c r="AB118" s="127"/>
      <c r="AC118" s="55">
        <v>1840843</v>
      </c>
      <c r="AD118" s="55"/>
      <c r="AE118" s="55">
        <v>1192215</v>
      </c>
      <c r="AF118" s="55"/>
      <c r="AG118" s="127">
        <v>6034755</v>
      </c>
      <c r="AH118" s="55"/>
      <c r="AI118" s="127">
        <v>65997295</v>
      </c>
      <c r="AJ118" s="55"/>
      <c r="AK118" s="55">
        <v>18106404</v>
      </c>
      <c r="AL118" s="55"/>
      <c r="AM118" s="55">
        <v>2020535</v>
      </c>
      <c r="AN118" s="127">
        <v>1591493</v>
      </c>
      <c r="AO118" s="55"/>
      <c r="AP118" s="127">
        <v>6460500</v>
      </c>
      <c r="AQ118" s="55"/>
      <c r="AR118" s="127">
        <v>53896204</v>
      </c>
      <c r="AS118" s="55"/>
      <c r="AT118" s="127">
        <v>16637660</v>
      </c>
      <c r="AU118" s="55"/>
      <c r="AV118" s="127">
        <v>16532370</v>
      </c>
      <c r="AW118" s="55"/>
      <c r="AX118" s="127">
        <v>24654413</v>
      </c>
      <c r="AY118" s="127"/>
      <c r="AZ118" s="127">
        <v>6993667</v>
      </c>
      <c r="BA118" s="55"/>
      <c r="BB118" s="127">
        <v>23319305</v>
      </c>
      <c r="BC118" s="127"/>
      <c r="BD118" s="127">
        <v>6102773</v>
      </c>
      <c r="BE118" s="127"/>
      <c r="BF118" s="55">
        <v>30433352</v>
      </c>
      <c r="BG118" s="55">
        <v>195084521</v>
      </c>
      <c r="BH118" s="54"/>
      <c r="BI118" s="31"/>
      <c r="BJ118" s="113"/>
      <c r="BK118" s="55"/>
    </row>
    <row r="119" spans="1:90" x14ac:dyDescent="0.2">
      <c r="A119" s="83"/>
      <c r="B119" s="33"/>
      <c r="C119" s="33"/>
      <c r="D119" s="33"/>
      <c r="E119" s="98"/>
      <c r="F119" s="98"/>
      <c r="G119" s="75"/>
      <c r="H119" s="33"/>
      <c r="I119" s="33"/>
      <c r="J119" s="98"/>
      <c r="K119" s="75"/>
      <c r="L119" s="33"/>
      <c r="V119" s="96"/>
      <c r="W119" s="96"/>
      <c r="X119" s="23">
        <v>2031</v>
      </c>
      <c r="Y119" s="126">
        <v>16137048</v>
      </c>
      <c r="Z119" s="126"/>
      <c r="AA119" s="126">
        <v>11928903</v>
      </c>
      <c r="AB119" s="126"/>
      <c r="AC119" s="126">
        <v>1882558</v>
      </c>
      <c r="AD119" s="126"/>
      <c r="AE119" s="126">
        <v>1158486</v>
      </c>
      <c r="AF119" s="126"/>
      <c r="AG119" s="126">
        <v>5963389</v>
      </c>
      <c r="AH119" s="126"/>
      <c r="AI119" s="126">
        <v>66292981</v>
      </c>
      <c r="AJ119" s="126"/>
      <c r="AK119" s="126">
        <v>18257256</v>
      </c>
      <c r="AL119" s="126"/>
      <c r="AM119" s="126">
        <v>2036730</v>
      </c>
      <c r="AN119" s="126">
        <v>1586785</v>
      </c>
      <c r="AO119" s="126"/>
      <c r="AP119" s="126">
        <v>6552024</v>
      </c>
      <c r="AQ119" s="126"/>
      <c r="AR119" s="126">
        <v>53861828</v>
      </c>
      <c r="AS119" s="126"/>
      <c r="AT119" s="126">
        <v>16796604</v>
      </c>
      <c r="AU119" s="126"/>
      <c r="AV119" s="126">
        <v>16613037</v>
      </c>
      <c r="AW119" s="126"/>
      <c r="AX119" s="126">
        <v>24857505</v>
      </c>
      <c r="AY119" s="126"/>
      <c r="AZ119" s="126">
        <v>7003900</v>
      </c>
      <c r="BA119" s="126"/>
      <c r="BB119" s="126">
        <v>23712914</v>
      </c>
      <c r="BC119" s="126"/>
      <c r="BD119" s="126">
        <v>6119318</v>
      </c>
      <c r="BE119" s="126"/>
      <c r="BF119" s="126">
        <v>30557970</v>
      </c>
      <c r="BG119" s="126">
        <v>200088570</v>
      </c>
      <c r="BH119" s="54"/>
      <c r="BI119" s="31"/>
      <c r="BJ119" s="113"/>
      <c r="BK119" s="55"/>
    </row>
    <row r="120" spans="1:90" x14ac:dyDescent="0.2">
      <c r="A120" s="83"/>
      <c r="B120" s="33"/>
      <c r="C120" s="33"/>
      <c r="D120" s="33"/>
      <c r="E120" s="98"/>
      <c r="F120" s="98"/>
      <c r="G120" s="75"/>
      <c r="H120" s="33"/>
      <c r="I120" s="33"/>
      <c r="J120" s="98"/>
      <c r="K120" s="75"/>
      <c r="L120" s="33"/>
      <c r="V120" s="96"/>
      <c r="W120" s="96"/>
      <c r="X120" s="23">
        <v>2032</v>
      </c>
      <c r="Y120" s="126">
        <v>16042570</v>
      </c>
      <c r="Z120" s="126"/>
      <c r="AA120" s="126">
        <v>12104911</v>
      </c>
      <c r="AB120" s="126"/>
      <c r="AC120" s="126">
        <v>1920055</v>
      </c>
      <c r="AD120" s="126"/>
      <c r="AE120" s="126">
        <v>1123907</v>
      </c>
      <c r="AF120" s="126"/>
      <c r="AG120" s="126">
        <v>5886573</v>
      </c>
      <c r="AH120" s="126"/>
      <c r="AI120" s="126">
        <v>66491565</v>
      </c>
      <c r="AJ120" s="126"/>
      <c r="AK120" s="126">
        <v>18417954</v>
      </c>
      <c r="AL120" s="126"/>
      <c r="AM120" s="126">
        <v>2052735</v>
      </c>
      <c r="AN120" s="126">
        <v>1590435</v>
      </c>
      <c r="AO120" s="126"/>
      <c r="AP120" s="126">
        <v>6641052</v>
      </c>
      <c r="AQ120" s="126"/>
      <c r="AR120" s="126">
        <v>53805531</v>
      </c>
      <c r="AS120" s="126"/>
      <c r="AT120" s="126">
        <v>16949554</v>
      </c>
      <c r="AU120" s="126"/>
      <c r="AV120" s="126">
        <v>16710732</v>
      </c>
      <c r="AW120" s="126"/>
      <c r="AX120" s="126">
        <v>25048661</v>
      </c>
      <c r="AY120" s="126"/>
      <c r="AZ120" s="126">
        <v>7014235</v>
      </c>
      <c r="BA120" s="126"/>
      <c r="BB120" s="126">
        <v>24097094</v>
      </c>
      <c r="BC120" s="126"/>
      <c r="BD120" s="126">
        <v>6125999</v>
      </c>
      <c r="BE120" s="126"/>
      <c r="BF120" s="126">
        <v>30687953</v>
      </c>
      <c r="BG120" s="126">
        <v>204732288</v>
      </c>
      <c r="BH120" s="54"/>
      <c r="BI120" s="31"/>
      <c r="BJ120" s="113"/>
      <c r="BK120" s="55"/>
    </row>
    <row r="121" spans="1:90" x14ac:dyDescent="0.2">
      <c r="A121" s="83"/>
      <c r="B121" s="33"/>
      <c r="C121" s="33"/>
      <c r="D121" s="33"/>
      <c r="E121" s="98"/>
      <c r="F121" s="98"/>
      <c r="G121" s="75"/>
      <c r="H121" s="33"/>
      <c r="I121" s="33"/>
      <c r="J121" s="98"/>
      <c r="K121" s="75"/>
      <c r="L121" s="33"/>
      <c r="V121" s="96"/>
      <c r="X121" s="23">
        <v>2033</v>
      </c>
      <c r="Y121" s="126">
        <v>15924745</v>
      </c>
      <c r="Z121" s="126"/>
      <c r="AA121" s="126">
        <v>12266876</v>
      </c>
      <c r="AB121" s="126"/>
      <c r="AC121" s="126">
        <v>1953692</v>
      </c>
      <c r="AD121" s="126"/>
      <c r="AE121" s="126">
        <v>1088923</v>
      </c>
      <c r="AF121" s="126"/>
      <c r="AG121" s="126">
        <v>5811151</v>
      </c>
      <c r="AH121" s="126"/>
      <c r="AI121" s="126">
        <v>66662366</v>
      </c>
      <c r="AJ121" s="126"/>
      <c r="AK121" s="126">
        <v>18545614</v>
      </c>
      <c r="AL121" s="126"/>
      <c r="AM121" s="126">
        <v>2064013</v>
      </c>
      <c r="AN121" s="126">
        <v>1603270</v>
      </c>
      <c r="AO121" s="126"/>
      <c r="AP121" s="126">
        <v>6729285</v>
      </c>
      <c r="AQ121" s="126"/>
      <c r="AR121" s="126">
        <v>53753667</v>
      </c>
      <c r="AS121" s="126"/>
      <c r="AT121" s="126">
        <v>17096710</v>
      </c>
      <c r="AU121" s="126"/>
      <c r="AV121" s="126">
        <v>16823767</v>
      </c>
      <c r="AW121" s="126"/>
      <c r="AX121" s="126">
        <v>25240985</v>
      </c>
      <c r="AY121" s="126"/>
      <c r="AZ121" s="126">
        <v>7025109</v>
      </c>
      <c r="BA121" s="126"/>
      <c r="BB121" s="126">
        <v>24460776</v>
      </c>
      <c r="BC121" s="126"/>
      <c r="BD121" s="126">
        <v>6135247</v>
      </c>
      <c r="BE121" s="126"/>
      <c r="BF121" s="126">
        <v>30805795</v>
      </c>
      <c r="BG121" s="126">
        <v>209125993</v>
      </c>
      <c r="BH121" s="54"/>
      <c r="BJ121" s="113"/>
      <c r="BK121" s="55"/>
    </row>
    <row r="122" spans="1:90" x14ac:dyDescent="0.2">
      <c r="A122" s="83"/>
      <c r="B122" s="33"/>
      <c r="C122" s="33"/>
      <c r="D122" s="33"/>
      <c r="E122" s="98"/>
      <c r="F122" s="98"/>
      <c r="G122" s="75"/>
      <c r="H122" s="33"/>
      <c r="I122" s="33"/>
      <c r="J122" s="98"/>
      <c r="K122" s="75"/>
      <c r="L122" s="33"/>
      <c r="X122" s="23">
        <v>2034</v>
      </c>
      <c r="Y122" s="126">
        <v>15791537</v>
      </c>
      <c r="Z122" s="126"/>
      <c r="AA122" s="126">
        <v>12423851</v>
      </c>
      <c r="AB122" s="126"/>
      <c r="AC122" s="126">
        <v>1984792</v>
      </c>
      <c r="AD122" s="126"/>
      <c r="AE122" s="126">
        <v>1053743</v>
      </c>
      <c r="AF122" s="126"/>
      <c r="AG122" s="126">
        <v>5730867</v>
      </c>
      <c r="AH122" s="126"/>
      <c r="AI122" s="126">
        <v>66760448</v>
      </c>
      <c r="AJ122" s="126"/>
      <c r="AK122" s="126">
        <v>18679457</v>
      </c>
      <c r="AL122" s="126"/>
      <c r="AM122" s="126">
        <v>2075048</v>
      </c>
      <c r="AN122" s="126">
        <v>1616455</v>
      </c>
      <c r="AO122" s="126"/>
      <c r="AP122" s="126">
        <v>6817858</v>
      </c>
      <c r="AQ122" s="126"/>
      <c r="AR122" s="126">
        <v>53742313</v>
      </c>
      <c r="AS122" s="126"/>
      <c r="AT122" s="126">
        <v>17241525</v>
      </c>
      <c r="AU122" s="126"/>
      <c r="AV122" s="126">
        <v>16956527</v>
      </c>
      <c r="AW122" s="126"/>
      <c r="AX122" s="126">
        <v>25437999</v>
      </c>
      <c r="AY122" s="126"/>
      <c r="AZ122" s="126">
        <v>7037798</v>
      </c>
      <c r="BA122" s="126"/>
      <c r="BB122" s="126">
        <v>24819289</v>
      </c>
      <c r="BC122" s="126"/>
      <c r="BD122" s="126">
        <v>6144383</v>
      </c>
      <c r="BE122" s="126"/>
      <c r="BF122" s="126">
        <v>30921264</v>
      </c>
      <c r="BG122" s="126">
        <v>213346182</v>
      </c>
      <c r="BH122" s="47"/>
      <c r="BJ122" s="113"/>
      <c r="BK122" s="55"/>
    </row>
    <row r="123" spans="1:90" x14ac:dyDescent="0.2">
      <c r="A123" s="83"/>
      <c r="B123" s="33"/>
      <c r="C123" s="33"/>
      <c r="D123" s="33"/>
      <c r="E123" s="98"/>
      <c r="F123" s="98"/>
      <c r="G123" s="75"/>
      <c r="H123" s="33"/>
      <c r="I123" s="33"/>
      <c r="J123" s="98"/>
      <c r="K123" s="75"/>
      <c r="L123" s="33"/>
      <c r="X123" s="23">
        <v>2035</v>
      </c>
      <c r="Y123" s="126">
        <v>15658554</v>
      </c>
      <c r="Z123" s="126"/>
      <c r="AA123" s="126">
        <v>12585346</v>
      </c>
      <c r="AB123" s="126"/>
      <c r="AC123" s="126">
        <v>2014852</v>
      </c>
      <c r="AD123" s="126"/>
      <c r="AE123" s="126">
        <v>1018744</v>
      </c>
      <c r="AF123" s="126"/>
      <c r="AG123" s="126">
        <v>5653856</v>
      </c>
      <c r="AH123" s="126"/>
      <c r="AI123" s="126">
        <v>66860944</v>
      </c>
      <c r="AJ123" s="126"/>
      <c r="AK123" s="126">
        <v>18860375</v>
      </c>
      <c r="AL123" s="126"/>
      <c r="AM123" s="126">
        <v>2090540</v>
      </c>
      <c r="AN123" s="126">
        <v>1630056</v>
      </c>
      <c r="AO123" s="126"/>
      <c r="AP123" s="126">
        <v>6907029</v>
      </c>
      <c r="AQ123" s="126"/>
      <c r="AR123" s="126">
        <v>53841221</v>
      </c>
      <c r="AS123" s="126"/>
      <c r="AT123" s="126">
        <v>17386819</v>
      </c>
      <c r="AU123" s="126"/>
      <c r="AV123" s="126">
        <v>17124831</v>
      </c>
      <c r="AW123" s="126"/>
      <c r="AX123" s="126">
        <v>25639711</v>
      </c>
      <c r="AY123" s="126"/>
      <c r="AZ123" s="126">
        <v>7052415</v>
      </c>
      <c r="BA123" s="126"/>
      <c r="BB123" s="126">
        <v>25187171</v>
      </c>
      <c r="BC123" s="126"/>
      <c r="BD123" s="126">
        <v>6152444</v>
      </c>
      <c r="BE123" s="126"/>
      <c r="BF123" s="126">
        <v>31054886</v>
      </c>
      <c r="BG123" s="126">
        <v>217611788</v>
      </c>
      <c r="BH123" s="47"/>
      <c r="BJ123" s="113"/>
      <c r="BK123" s="55"/>
    </row>
    <row r="124" spans="1:90" x14ac:dyDescent="0.2">
      <c r="A124" s="83"/>
      <c r="B124" s="33"/>
      <c r="C124" s="33"/>
      <c r="D124" s="33"/>
      <c r="E124" s="98"/>
      <c r="F124" s="98"/>
      <c r="G124" s="75"/>
      <c r="H124" s="33"/>
      <c r="I124" s="33"/>
      <c r="J124" s="98"/>
      <c r="K124" s="75"/>
      <c r="L124" s="33"/>
      <c r="X124" s="23">
        <v>2036</v>
      </c>
      <c r="Y124" s="220">
        <f>(Y123/Y122)*Y123</f>
        <v>15526690.870617343</v>
      </c>
      <c r="AA124" s="220">
        <f>(AA123/AA122)*AA123</f>
        <v>12748940.239199264</v>
      </c>
      <c r="AC124" s="220">
        <f>(AC123/AC122)*AC123</f>
        <v>2045367.2636246015</v>
      </c>
      <c r="AD124" s="220"/>
      <c r="AE124" s="220">
        <f t="shared" ref="AE124" si="242">(AE123/AE122)*AE123</f>
        <v>984907.4561216539</v>
      </c>
      <c r="AG124" s="220">
        <f>(AG123/AG122)*AG123</f>
        <v>5577879.8685671818</v>
      </c>
      <c r="AI124" s="220">
        <f>(AI123/AI122)*AI123</f>
        <v>66961591.278883204</v>
      </c>
      <c r="AK124" s="220">
        <f>(AK123/AK122)*AK123</f>
        <v>19043045.26307296</v>
      </c>
      <c r="AM124" s="220">
        <f t="shared" ref="AM124:AN131" si="243">(AM123/AM122)*AM123</f>
        <v>2106147.6609697705</v>
      </c>
      <c r="AN124" s="220">
        <f t="shared" si="243"/>
        <v>1643771.4400561724</v>
      </c>
      <c r="AP124" s="220">
        <f>(AP123/AP122)*AP123</f>
        <v>6997366.2705854243</v>
      </c>
      <c r="AR124" s="220">
        <f>(AR123/AR122)*AR123</f>
        <v>53940311.031474225</v>
      </c>
      <c r="AT124" s="220">
        <f>(AT123/AT122)*AT123</f>
        <v>17533337.389747195</v>
      </c>
      <c r="AV124" s="220">
        <f>(AV123/AV122)*AV123</f>
        <v>17294805.521116499</v>
      </c>
      <c r="AX124" s="220">
        <f>(AX123/AX122)*AX123</f>
        <v>25843022.486301735</v>
      </c>
      <c r="AZ124" s="220">
        <f>(AZ123/AZ122)*AZ123</f>
        <v>7067062.3584571481</v>
      </c>
      <c r="BB124" s="220">
        <f>(BB123/BB122)*BB123</f>
        <v>25560505.902616348</v>
      </c>
      <c r="BD124" s="220">
        <f>(BD123/BD122)*BD123</f>
        <v>6160515.5754672196</v>
      </c>
      <c r="BF124" s="220">
        <f t="shared" ref="BF124:BG131" si="244">(BF123/BF122)*BF123</f>
        <v>31189085.429140158</v>
      </c>
      <c r="BG124" s="220">
        <f t="shared" si="244"/>
        <v>221962679.77533782</v>
      </c>
      <c r="BH124" s="47"/>
      <c r="BJ124" s="113"/>
      <c r="BK124" s="55"/>
    </row>
    <row r="125" spans="1:90" x14ac:dyDescent="0.2">
      <c r="A125" s="83"/>
      <c r="B125" s="33"/>
      <c r="C125" s="33"/>
      <c r="D125" s="33"/>
      <c r="E125" s="98"/>
      <c r="F125" s="98"/>
      <c r="G125" s="75"/>
      <c r="H125" s="33"/>
      <c r="I125" s="33"/>
      <c r="J125" s="98"/>
      <c r="K125" s="75"/>
      <c r="L125" s="33"/>
      <c r="X125" s="23">
        <v>2037</v>
      </c>
      <c r="Y125" s="220">
        <f t="shared" ref="Y125:Y131" si="245">(Y124/Y123)*Y124</f>
        <v>15395938.181246618</v>
      </c>
      <c r="AA125" s="220">
        <f t="shared" ref="AA125:AA131" si="246">(AA124/AA123)*AA124</f>
        <v>12914661.005162209</v>
      </c>
      <c r="AC125" s="220">
        <f t="shared" ref="AC125:AC131" si="247">(AC124/AC123)*AC124</f>
        <v>2076344.685915983</v>
      </c>
      <c r="AE125" s="220">
        <f t="shared" ref="AE125:AE131" si="248">(AE124/AE123)*AE124</f>
        <v>952194.75856940274</v>
      </c>
      <c r="AG125" s="220">
        <f t="shared" ref="AG125:AG131" si="249">(AG124/AG123)*AG124</f>
        <v>5502924.6992082996</v>
      </c>
      <c r="AI125" s="220">
        <f t="shared" ref="AI125:AI131" si="250">(AI124/AI123)*AI124</f>
        <v>67062390.064373113</v>
      </c>
      <c r="AK125" s="220">
        <f t="shared" ref="AK125:AK131" si="251">(AK124/AK123)*AK124</f>
        <v>19227484.760586441</v>
      </c>
      <c r="AM125" s="220">
        <f t="shared" si="243"/>
        <v>2121871.8464169232</v>
      </c>
      <c r="AN125" s="220">
        <f t="shared" si="243"/>
        <v>1657602.2830776016</v>
      </c>
      <c r="AP125" s="220">
        <f t="shared" ref="AP125:AP131" si="252">(AP124/AP123)*AP124</f>
        <v>7088885.0654494958</v>
      </c>
      <c r="AR125" s="220">
        <f t="shared" ref="AR125:AR131" si="253">(AR124/AR123)*AR124</f>
        <v>54039583.429435603</v>
      </c>
      <c r="AT125" s="220">
        <f t="shared" ref="AT125:AT131" si="254">(AT124/AT123)*AT124</f>
        <v>17681090.487150464</v>
      </c>
      <c r="AV125" s="220">
        <f t="shared" ref="AV125:AV131" si="255">(AV124/AV123)*AV124</f>
        <v>17466467.144303013</v>
      </c>
      <c r="AX125" s="220">
        <f t="shared" ref="AX125:AX131" si="256">(AX124/AX123)*AX124</f>
        <v>26047946.142119039</v>
      </c>
      <c r="AZ125" s="220">
        <f t="shared" ref="AZ125:AZ131" si="257">(AZ124/AZ123)*AZ124</f>
        <v>7081740.1384237753</v>
      </c>
      <c r="BB125" s="220">
        <f t="shared" ref="BB125:BB131" si="258">(BB124/BB123)*BB124</f>
        <v>25939374.533078179</v>
      </c>
      <c r="BD125" s="220">
        <f t="shared" ref="BD125:BD131" si="259">(BD124/BD123)*BD124</f>
        <v>6168597.7402759306</v>
      </c>
      <c r="BF125" s="220">
        <f t="shared" si="244"/>
        <v>31323864.782701276</v>
      </c>
      <c r="BG125" s="220">
        <f t="shared" si="244"/>
        <v>226400562.5147897</v>
      </c>
    </row>
    <row r="126" spans="1:90" x14ac:dyDescent="0.2">
      <c r="A126" s="83"/>
      <c r="B126" s="33"/>
      <c r="C126" s="33"/>
      <c r="D126" s="33"/>
      <c r="E126" s="98"/>
      <c r="F126" s="98"/>
      <c r="G126" s="75"/>
      <c r="H126" s="33"/>
      <c r="I126" s="33"/>
      <c r="J126" s="98"/>
      <c r="K126" s="75"/>
      <c r="L126" s="33"/>
      <c r="X126" s="23">
        <v>2038</v>
      </c>
      <c r="Y126" s="220">
        <f t="shared" si="245"/>
        <v>15266286.580699014</v>
      </c>
      <c r="AA126" s="220">
        <f t="shared" si="246"/>
        <v>13082535.940158507</v>
      </c>
      <c r="AC126" s="220">
        <f t="shared" si="247"/>
        <v>2107791.2663428667</v>
      </c>
      <c r="AE126" s="220">
        <f t="shared" si="248"/>
        <v>920568.57993270434</v>
      </c>
      <c r="AG126" s="220">
        <f t="shared" si="249"/>
        <v>5428976.7723046159</v>
      </c>
      <c r="AI126" s="220">
        <f t="shared" si="250"/>
        <v>67163340.584536016</v>
      </c>
      <c r="AK126" s="220">
        <f t="shared" si="251"/>
        <v>19413710.628282476</v>
      </c>
      <c r="AM126" s="220">
        <f t="shared" si="243"/>
        <v>2137713.4262958905</v>
      </c>
      <c r="AN126" s="220">
        <f t="shared" si="243"/>
        <v>1671549.5000753768</v>
      </c>
      <c r="AP126" s="220">
        <f t="shared" si="252"/>
        <v>7181600.8377890186</v>
      </c>
      <c r="AR126" s="220">
        <f t="shared" si="253"/>
        <v>54139038.529513605</v>
      </c>
      <c r="AT126" s="220">
        <f t="shared" si="254"/>
        <v>17830088.697067514</v>
      </c>
      <c r="AV126" s="220">
        <f t="shared" si="255"/>
        <v>17639832.61508926</v>
      </c>
      <c r="AX126" s="220">
        <f t="shared" si="256"/>
        <v>26254494.751237985</v>
      </c>
      <c r="AZ126" s="220">
        <f t="shared" si="257"/>
        <v>7096448.403083167</v>
      </c>
      <c r="BB126" s="220">
        <f t="shared" si="258"/>
        <v>26323858.914640356</v>
      </c>
      <c r="BD126" s="220">
        <f t="shared" si="259"/>
        <v>6176690.5083186077</v>
      </c>
      <c r="BF126" s="220">
        <f t="shared" si="244"/>
        <v>31459226.566747174</v>
      </c>
      <c r="BG126" s="220">
        <f t="shared" si="244"/>
        <v>230927175.50037602</v>
      </c>
    </row>
    <row r="127" spans="1:90" x14ac:dyDescent="0.2">
      <c r="A127" s="83"/>
      <c r="B127" s="33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X127" s="23">
        <v>2039</v>
      </c>
      <c r="Y127" s="220">
        <f t="shared" si="245"/>
        <v>15137726.79653354</v>
      </c>
      <c r="AA127" s="220">
        <f t="shared" si="246"/>
        <v>13252593.045773819</v>
      </c>
      <c r="AC127" s="220">
        <f t="shared" si="247"/>
        <v>2139714.1103820745</v>
      </c>
      <c r="AE127" s="220">
        <f t="shared" si="248"/>
        <v>889992.83259292156</v>
      </c>
      <c r="AG127" s="220">
        <f t="shared" si="249"/>
        <v>5356022.5526006939</v>
      </c>
      <c r="AI127" s="220">
        <f t="shared" si="250"/>
        <v>67264443.067781538</v>
      </c>
      <c r="AK127" s="220">
        <f t="shared" si="251"/>
        <v>19601740.167869609</v>
      </c>
      <c r="AM127" s="220">
        <f t="shared" si="243"/>
        <v>2153673.2770560542</v>
      </c>
      <c r="AN127" s="220">
        <f t="shared" si="243"/>
        <v>1685614.0702307634</v>
      </c>
      <c r="AP127" s="220">
        <f t="shared" si="252"/>
        <v>7275529.2429136904</v>
      </c>
      <c r="AR127" s="220">
        <f t="shared" si="253"/>
        <v>54238676.667955413</v>
      </c>
      <c r="AT127" s="220">
        <f t="shared" si="254"/>
        <v>17980342.512037579</v>
      </c>
      <c r="AV127" s="220">
        <f t="shared" si="255"/>
        <v>17814918.845214684</v>
      </c>
      <c r="AX127" s="220">
        <f t="shared" si="256"/>
        <v>26462681.198814373</v>
      </c>
      <c r="AZ127" s="220">
        <f t="shared" si="257"/>
        <v>7111187.2157498375</v>
      </c>
      <c r="BB127" s="220">
        <f t="shared" si="258"/>
        <v>26714042.286341123</v>
      </c>
      <c r="BD127" s="220">
        <f t="shared" si="259"/>
        <v>6184793.8935059505</v>
      </c>
      <c r="BF127" s="220">
        <f t="shared" si="244"/>
        <v>31595173.298171282</v>
      </c>
      <c r="BG127" s="220">
        <f t="shared" si="244"/>
        <v>235544292.78901562</v>
      </c>
    </row>
    <row r="128" spans="1:90" x14ac:dyDescent="0.2">
      <c r="A128" s="32"/>
      <c r="B128" s="32"/>
      <c r="C128" s="98"/>
      <c r="D128" s="98"/>
      <c r="E128" s="98"/>
      <c r="F128" s="98"/>
      <c r="G128" s="99"/>
      <c r="H128" s="98"/>
      <c r="I128" s="98"/>
      <c r="J128" s="98"/>
      <c r="K128" s="99"/>
      <c r="L128" s="98"/>
      <c r="X128" s="23">
        <v>2040</v>
      </c>
      <c r="Y128" s="220">
        <f t="shared" si="245"/>
        <v>15010249.63439388</v>
      </c>
      <c r="AA128" s="220">
        <f t="shared" si="246"/>
        <v>13424860.687580474</v>
      </c>
      <c r="AC128" s="220">
        <f t="shared" si="247"/>
        <v>2172120.431124039</v>
      </c>
      <c r="AE128" s="220">
        <f t="shared" si="248"/>
        <v>860432.62754489784</v>
      </c>
      <c r="AG128" s="220">
        <f t="shared" si="249"/>
        <v>5284048.6867269371</v>
      </c>
      <c r="AI128" s="220">
        <f t="shared" si="250"/>
        <v>67365697.742863104</v>
      </c>
      <c r="AK128" s="220">
        <f t="shared" si="251"/>
        <v>19791590.848630331</v>
      </c>
      <c r="AM128" s="220">
        <f t="shared" si="243"/>
        <v>2169752.2816902371</v>
      </c>
      <c r="AN128" s="220">
        <f t="shared" si="243"/>
        <v>1699796.9809639475</v>
      </c>
      <c r="AP128" s="220">
        <f t="shared" si="252"/>
        <v>7370686.1408895431</v>
      </c>
      <c r="AR128" s="220">
        <f t="shared" si="253"/>
        <v>54338498.181627035</v>
      </c>
      <c r="AT128" s="220">
        <f t="shared" si="254"/>
        <v>18131862.513020322</v>
      </c>
      <c r="AV128" s="220">
        <f t="shared" si="255"/>
        <v>17991742.914278176</v>
      </c>
      <c r="AX128" s="220">
        <f t="shared" si="256"/>
        <v>26672518.472177554</v>
      </c>
      <c r="AZ128" s="220">
        <f t="shared" si="257"/>
        <v>7125956.6398697989</v>
      </c>
      <c r="BB128" s="220">
        <f t="shared" si="258"/>
        <v>27110009.121022962</v>
      </c>
      <c r="BD128" s="220">
        <f t="shared" si="259"/>
        <v>6192907.9097669087</v>
      </c>
      <c r="BF128" s="220">
        <f t="shared" si="244"/>
        <v>31731707.504743442</v>
      </c>
      <c r="BG128" s="220">
        <f t="shared" si="244"/>
        <v>240253723.90780911</v>
      </c>
    </row>
    <row r="129" spans="1:60" x14ac:dyDescent="0.2">
      <c r="A129" s="32"/>
      <c r="B129" s="98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X129" s="23">
        <v>2041</v>
      </c>
      <c r="Y129" s="220">
        <f t="shared" si="245"/>
        <v>14883845.977350831</v>
      </c>
      <c r="AA129" s="220">
        <f t="shared" si="246"/>
        <v>13599367.599868847</v>
      </c>
      <c r="AC129" s="220">
        <f t="shared" si="247"/>
        <v>2205017.5509026297</v>
      </c>
      <c r="AE129" s="220">
        <f t="shared" si="248"/>
        <v>831854.23458623153</v>
      </c>
      <c r="AG129" s="220">
        <f t="shared" si="249"/>
        <v>5213042.000755419</v>
      </c>
      <c r="AI129" s="220">
        <f t="shared" si="250"/>
        <v>67467104.838878497</v>
      </c>
      <c r="AK129" s="220">
        <f t="shared" si="251"/>
        <v>19983280.309044119</v>
      </c>
      <c r="AM129" s="220">
        <f t="shared" si="243"/>
        <v>2185951.3297835561</v>
      </c>
      <c r="AN129" s="220">
        <f t="shared" si="243"/>
        <v>1714099.2280033585</v>
      </c>
      <c r="AP129" s="220">
        <f t="shared" si="252"/>
        <v>7467087.5992169622</v>
      </c>
      <c r="AR129" s="220">
        <f t="shared" si="253"/>
        <v>54438503.408014446</v>
      </c>
      <c r="AT129" s="220">
        <f t="shared" si="254"/>
        <v>18284659.370140951</v>
      </c>
      <c r="AV129" s="220">
        <f t="shared" si="255"/>
        <v>18170322.0714042</v>
      </c>
      <c r="AX129" s="220">
        <f t="shared" si="256"/>
        <v>26884019.661640607</v>
      </c>
      <c r="AZ129" s="220">
        <f t="shared" si="257"/>
        <v>7140756.7390208365</v>
      </c>
      <c r="BB129" s="220">
        <f t="shared" si="258"/>
        <v>27511845.143620554</v>
      </c>
      <c r="BD129" s="220">
        <f t="shared" si="259"/>
        <v>6201032.5710487058</v>
      </c>
      <c r="BF129" s="220">
        <f t="shared" si="244"/>
        <v>31868831.725156907</v>
      </c>
      <c r="BG129" s="220">
        <f t="shared" si="244"/>
        <v>245057314.56322327</v>
      </c>
      <c r="BH129" s="14"/>
    </row>
    <row r="130" spans="1:60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X130" s="23">
        <v>2042</v>
      </c>
      <c r="Y130" s="220">
        <f t="shared" si="245"/>
        <v>14758506.785250273</v>
      </c>
      <c r="AA130" s="220">
        <f t="shared" si="246"/>
        <v>13776142.890440252</v>
      </c>
      <c r="AC130" s="220">
        <f t="shared" si="247"/>
        <v>2238412.9029496619</v>
      </c>
      <c r="AE130" s="220">
        <f t="shared" si="248"/>
        <v>804225.04382882337</v>
      </c>
      <c r="AG130" s="220">
        <f t="shared" si="249"/>
        <v>5142989.4977885587</v>
      </c>
      <c r="AI130" s="220">
        <f t="shared" si="250"/>
        <v>67568664.58527036</v>
      </c>
      <c r="AK130" s="220">
        <f t="shared" si="251"/>
        <v>20176826.358426157</v>
      </c>
      <c r="AM130" s="220">
        <f t="shared" si="243"/>
        <v>2202271.3175626374</v>
      </c>
      <c r="AN130" s="220">
        <f t="shared" si="243"/>
        <v>1728521.8154555757</v>
      </c>
      <c r="AP130" s="220">
        <f t="shared" si="252"/>
        <v>7564749.8955437224</v>
      </c>
      <c r="AR130" s="220">
        <f t="shared" si="253"/>
        <v>54538692.685224749</v>
      </c>
      <c r="AT130" s="220">
        <f t="shared" si="254"/>
        <v>18438743.843441617</v>
      </c>
      <c r="AV130" s="220">
        <f t="shared" si="255"/>
        <v>18350673.736925423</v>
      </c>
      <c r="AX130" s="220">
        <f t="shared" si="256"/>
        <v>27097197.961316966</v>
      </c>
      <c r="AZ130" s="220">
        <f t="shared" si="257"/>
        <v>7155587.5769127831</v>
      </c>
      <c r="BB130" s="220">
        <f t="shared" si="258"/>
        <v>27919637.34971983</v>
      </c>
      <c r="BD130" s="220">
        <f t="shared" si="259"/>
        <v>6209167.8913168637</v>
      </c>
      <c r="BF130" s="220">
        <f t="shared" si="244"/>
        <v>32006548.509075541</v>
      </c>
      <c r="BG130" s="220">
        <f t="shared" si="244"/>
        <v>249956947.36445507</v>
      </c>
      <c r="BH130" s="14"/>
    </row>
    <row r="131" spans="1:60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X131" s="23">
        <v>2043</v>
      </c>
      <c r="Y131" s="220">
        <f t="shared" si="245"/>
        <v>14634223.094066637</v>
      </c>
      <c r="AA131" s="220">
        <f t="shared" si="246"/>
        <v>13955216.045462126</v>
      </c>
      <c r="AC131" s="220">
        <f t="shared" si="247"/>
        <v>2272314.0330744646</v>
      </c>
      <c r="AE131" s="220">
        <f t="shared" si="248"/>
        <v>777513.52848877839</v>
      </c>
      <c r="AG131" s="220">
        <f t="shared" si="249"/>
        <v>5073878.3555801976</v>
      </c>
      <c r="AI131" s="220">
        <f t="shared" si="250"/>
        <v>67670377.211826742</v>
      </c>
      <c r="AK131" s="220">
        <f t="shared" si="251"/>
        <v>20372246.978581969</v>
      </c>
      <c r="AM131" s="220">
        <f t="shared" si="243"/>
        <v>2218713.1479452024</v>
      </c>
      <c r="AN131" s="220">
        <f t="shared" si="243"/>
        <v>1743065.7558758236</v>
      </c>
      <c r="AP131" s="220">
        <f t="shared" si="252"/>
        <v>7663689.520413517</v>
      </c>
      <c r="AR131" s="220">
        <f t="shared" si="253"/>
        <v>54639066.351987287</v>
      </c>
      <c r="AT131" s="220">
        <f t="shared" si="254"/>
        <v>18594126.783639133</v>
      </c>
      <c r="AV131" s="220">
        <f t="shared" si="255"/>
        <v>18532815.504082073</v>
      </c>
      <c r="AX131" s="220">
        <f t="shared" si="256"/>
        <v>27312066.669943504</v>
      </c>
      <c r="AZ131" s="220">
        <f t="shared" si="257"/>
        <v>7170449.2173877917</v>
      </c>
      <c r="BB131" s="220">
        <f t="shared" si="258"/>
        <v>28333474.024392083</v>
      </c>
      <c r="BD131" s="220">
        <f t="shared" si="259"/>
        <v>6217313.8845552262</v>
      </c>
      <c r="BF131" s="220">
        <f t="shared" si="244"/>
        <v>32144860.417181231</v>
      </c>
      <c r="BG131" s="220">
        <f t="shared" si="244"/>
        <v>254954542.56125829</v>
      </c>
      <c r="BH131" s="14"/>
    </row>
    <row r="132" spans="1:60" x14ac:dyDescent="0.2">
      <c r="A132" s="30"/>
      <c r="B132" s="30"/>
      <c r="BH132" s="14"/>
    </row>
  </sheetData>
  <phoneticPr fontId="0" type="noConversion"/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"/>
  <sheetViews>
    <sheetView tabSelected="1" workbookViewId="0">
      <pane xSplit="1" ySplit="1" topLeftCell="C2" activePane="bottomRight" state="frozenSplit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" style="17" bestFit="1" customWidth="1"/>
    <col min="2" max="2" width="8" style="16" bestFit="1" customWidth="1"/>
    <col min="3" max="3" width="8.28515625" style="16" bestFit="1" customWidth="1"/>
    <col min="4" max="4" width="8.42578125" style="16" bestFit="1" customWidth="1"/>
    <col min="5" max="5" width="2.28515625" style="16" customWidth="1"/>
    <col min="6" max="6" width="13.85546875" style="16" bestFit="1" customWidth="1"/>
    <col min="7" max="7" width="9.140625" style="16"/>
    <col min="8" max="8" width="9.7109375" style="16" customWidth="1"/>
    <col min="9" max="9" width="11.5703125" style="16" bestFit="1" customWidth="1"/>
    <col min="10" max="10" width="2" style="16" customWidth="1"/>
    <col min="11" max="11" width="13.85546875" style="48" bestFit="1" customWidth="1"/>
    <col min="12" max="12" width="11.140625" style="48" customWidth="1"/>
    <col min="13" max="13" width="14.42578125" style="52" bestFit="1" customWidth="1"/>
    <col min="14" max="14" width="14.28515625" style="52" bestFit="1" customWidth="1"/>
    <col min="15" max="15" width="10.140625" style="48" bestFit="1" customWidth="1"/>
    <col min="16" max="16" width="10" style="48" bestFit="1" customWidth="1"/>
    <col min="17" max="17" width="12.5703125" style="52" bestFit="1" customWidth="1"/>
    <col min="18" max="18" width="12.42578125" style="17" bestFit="1" customWidth="1"/>
    <col min="19" max="16384" width="9.140625" style="17"/>
  </cols>
  <sheetData>
    <row r="1" spans="1:18" s="19" customFormat="1" ht="25.5" x14ac:dyDescent="0.2">
      <c r="A1" s="19" t="s">
        <v>15</v>
      </c>
      <c r="B1" s="107" t="s">
        <v>138</v>
      </c>
      <c r="C1" s="108" t="s">
        <v>139</v>
      </c>
      <c r="D1" s="108" t="s">
        <v>140</v>
      </c>
      <c r="E1" s="45"/>
      <c r="F1" s="46" t="s">
        <v>107</v>
      </c>
      <c r="G1" s="46" t="s">
        <v>108</v>
      </c>
      <c r="H1" s="46" t="s">
        <v>109</v>
      </c>
      <c r="I1" s="47" t="s">
        <v>110</v>
      </c>
      <c r="J1" s="46"/>
      <c r="K1" s="48" t="s">
        <v>111</v>
      </c>
      <c r="L1" s="48" t="s">
        <v>112</v>
      </c>
      <c r="M1" s="52" t="s">
        <v>141</v>
      </c>
      <c r="N1" s="52" t="s">
        <v>142</v>
      </c>
      <c r="O1" s="48" t="s">
        <v>143</v>
      </c>
      <c r="P1" s="48" t="s">
        <v>144</v>
      </c>
      <c r="Q1" s="52" t="s">
        <v>145</v>
      </c>
      <c r="R1" s="52" t="s">
        <v>146</v>
      </c>
    </row>
    <row r="2" spans="1:18" x14ac:dyDescent="0.2">
      <c r="A2" s="17">
        <v>1995</v>
      </c>
      <c r="I2" s="268">
        <v>6208583.6941262158</v>
      </c>
      <c r="J2" s="49"/>
      <c r="K2" s="103">
        <v>1347.0245777333951</v>
      </c>
      <c r="L2" s="103">
        <v>2831.715391936089</v>
      </c>
      <c r="M2" s="128">
        <v>1.0769109708374249</v>
      </c>
      <c r="N2" s="129">
        <v>1.02</v>
      </c>
      <c r="O2" s="103">
        <v>3049.5053718651729</v>
      </c>
      <c r="P2" s="103">
        <v>2888.3496997748107</v>
      </c>
      <c r="Q2" s="104">
        <v>0.98173551977295415</v>
      </c>
      <c r="R2" s="116">
        <v>0.92985423798750055</v>
      </c>
    </row>
    <row r="3" spans="1:18" x14ac:dyDescent="0.2">
      <c r="A3" s="17">
        <v>1996</v>
      </c>
      <c r="I3" s="268">
        <v>6274516.2770623872</v>
      </c>
      <c r="J3" s="49"/>
      <c r="K3" s="103">
        <v>1365.7584048733686</v>
      </c>
      <c r="L3" s="103">
        <v>2858.6921030176509</v>
      </c>
      <c r="M3" s="128">
        <v>1.0705869871632039</v>
      </c>
      <c r="N3" s="129">
        <v>1.018</v>
      </c>
      <c r="O3" s="103">
        <v>3060.4785657969101</v>
      </c>
      <c r="P3" s="103">
        <v>2910.1485608719686</v>
      </c>
      <c r="Q3" s="104">
        <v>0.98526814980126409</v>
      </c>
      <c r="R3" s="116">
        <v>0.93687200435286599</v>
      </c>
    </row>
    <row r="4" spans="1:18" x14ac:dyDescent="0.2">
      <c r="A4" s="17">
        <v>1997</v>
      </c>
      <c r="B4" s="50"/>
      <c r="C4" s="50"/>
      <c r="D4" s="50"/>
      <c r="E4" s="50"/>
      <c r="F4" s="109"/>
      <c r="I4" s="269">
        <v>6338581.603674259</v>
      </c>
      <c r="J4" s="49"/>
      <c r="K4" s="103">
        <v>1384.4922320133421</v>
      </c>
      <c r="L4" s="103">
        <v>2885.6688140992128</v>
      </c>
      <c r="M4" s="128">
        <v>1.0638591592086974</v>
      </c>
      <c r="N4" s="129">
        <v>1.016</v>
      </c>
      <c r="O4" s="103">
        <v>3069.9451983223476</v>
      </c>
      <c r="P4" s="103">
        <v>2931.8395151248001</v>
      </c>
      <c r="Q4" s="104">
        <v>0.98831576843758595</v>
      </c>
      <c r="R4" s="116">
        <v>0.94385503197571963</v>
      </c>
    </row>
    <row r="5" spans="1:18" x14ac:dyDescent="0.2">
      <c r="A5" s="17">
        <v>1998</v>
      </c>
      <c r="B5" s="50"/>
      <c r="C5" s="50"/>
      <c r="D5" s="50"/>
      <c r="E5" s="50"/>
      <c r="I5" s="269">
        <v>6399736.8036696464</v>
      </c>
      <c r="J5" s="49"/>
      <c r="K5" s="103">
        <v>1403.2260591533156</v>
      </c>
      <c r="L5" s="103">
        <v>2912.6455251807747</v>
      </c>
      <c r="M5" s="128">
        <v>1.05674953017865</v>
      </c>
      <c r="N5" s="129">
        <v>1.014</v>
      </c>
      <c r="O5" s="103">
        <v>3077.9367903117309</v>
      </c>
      <c r="P5" s="103">
        <v>2953.4225625333056</v>
      </c>
      <c r="Q5" s="104">
        <v>0.99088852328100896</v>
      </c>
      <c r="R5" s="116">
        <v>0.95080332085606145</v>
      </c>
    </row>
    <row r="6" spans="1:18" x14ac:dyDescent="0.2">
      <c r="A6" s="17">
        <v>1999</v>
      </c>
      <c r="B6" s="50"/>
      <c r="C6" s="50"/>
      <c r="D6" s="50"/>
      <c r="E6" s="50"/>
      <c r="I6" s="269">
        <v>6458246.6870777924</v>
      </c>
      <c r="J6" s="49"/>
      <c r="K6" s="103">
        <v>1421.9598862932892</v>
      </c>
      <c r="L6" s="103">
        <v>2939.6222362623366</v>
      </c>
      <c r="M6" s="128">
        <v>1.0492894712926248</v>
      </c>
      <c r="N6" s="129">
        <v>1.012</v>
      </c>
      <c r="O6" s="103">
        <v>3084.5146620877508</v>
      </c>
      <c r="P6" s="103">
        <v>2974.8977030974847</v>
      </c>
      <c r="Q6" s="104">
        <v>0.99300615534901904</v>
      </c>
      <c r="R6" s="116">
        <v>0.95771687099389136</v>
      </c>
    </row>
    <row r="7" spans="1:18" x14ac:dyDescent="0.2">
      <c r="A7" s="17">
        <v>2000</v>
      </c>
      <c r="B7" s="50"/>
      <c r="C7" s="50"/>
      <c r="D7" s="50"/>
      <c r="E7" s="50"/>
      <c r="I7" s="269">
        <v>6519472.8578261342</v>
      </c>
      <c r="J7" s="49"/>
      <c r="K7" s="103">
        <v>1440.6937134332627</v>
      </c>
      <c r="L7" s="103">
        <v>2966.5989473438981</v>
      </c>
      <c r="M7" s="128">
        <v>1.0415196731996021</v>
      </c>
      <c r="N7" s="129">
        <v>1.01</v>
      </c>
      <c r="O7" s="103">
        <v>3089.7711661519006</v>
      </c>
      <c r="P7" s="103">
        <v>2996.264936817337</v>
      </c>
      <c r="Q7" s="104">
        <v>0.99469839593243226</v>
      </c>
      <c r="R7" s="116">
        <v>0.96459568238920934</v>
      </c>
    </row>
    <row r="8" spans="1:18" x14ac:dyDescent="0.2">
      <c r="A8" s="17">
        <v>2001</v>
      </c>
      <c r="B8" s="117"/>
      <c r="C8" s="117"/>
      <c r="D8" s="117"/>
      <c r="E8" s="39"/>
      <c r="F8" s="39"/>
      <c r="G8" s="39"/>
      <c r="H8" s="39"/>
      <c r="I8" s="270">
        <v>6818281</v>
      </c>
      <c r="J8" s="49"/>
      <c r="K8" s="103">
        <v>1459.4275405732362</v>
      </c>
      <c r="L8" s="103">
        <v>2993.57565842546</v>
      </c>
      <c r="M8" s="128">
        <v>1.0334896671545859</v>
      </c>
      <c r="N8" s="129">
        <v>1.008</v>
      </c>
      <c r="O8" s="103">
        <v>3093.8295108281991</v>
      </c>
      <c r="P8" s="103">
        <v>3017.5242636928638</v>
      </c>
      <c r="Q8" s="104">
        <v>0.99600490982054091</v>
      </c>
      <c r="R8" s="116">
        <v>0.97143975504201563</v>
      </c>
    </row>
    <row r="9" spans="1:18" x14ac:dyDescent="0.2">
      <c r="A9" s="17">
        <v>2002</v>
      </c>
      <c r="B9" s="117"/>
      <c r="C9" s="117"/>
      <c r="D9" s="117"/>
      <c r="E9" s="51"/>
      <c r="F9" s="39"/>
      <c r="G9" s="39"/>
      <c r="H9" s="39"/>
      <c r="I9" s="270">
        <v>6836899.25</v>
      </c>
      <c r="J9" s="49"/>
      <c r="K9" s="103">
        <v>1478.1613677132098</v>
      </c>
      <c r="L9" s="103">
        <v>3020.5523695070219</v>
      </c>
      <c r="M9" s="128">
        <v>1.0252568484637279</v>
      </c>
      <c r="N9" s="129">
        <v>1.006</v>
      </c>
      <c r="O9" s="103">
        <v>3096.8420029804151</v>
      </c>
      <c r="P9" s="103">
        <v>3038.6756837240641</v>
      </c>
      <c r="Q9" s="104">
        <v>0.99697472957431255</v>
      </c>
      <c r="R9" s="116">
        <v>0.97824908895231011</v>
      </c>
    </row>
    <row r="10" spans="1:18" x14ac:dyDescent="0.2">
      <c r="A10" s="17">
        <v>2003</v>
      </c>
      <c r="B10" s="117"/>
      <c r="C10" s="117"/>
      <c r="D10" s="117"/>
      <c r="E10" s="51"/>
      <c r="F10" s="39"/>
      <c r="G10" s="39"/>
      <c r="H10" s="39"/>
      <c r="I10" s="270">
        <v>6855517.4999999991</v>
      </c>
      <c r="J10" s="49"/>
      <c r="K10" s="103">
        <v>1496.8951948531833</v>
      </c>
      <c r="L10" s="103">
        <v>3047.5290805885838</v>
      </c>
      <c r="M10" s="128">
        <v>1.0168850184771556</v>
      </c>
      <c r="N10" s="129">
        <v>1.004</v>
      </c>
      <c r="O10" s="103">
        <v>3098.9866654239913</v>
      </c>
      <c r="P10" s="103">
        <v>3059.7191969109381</v>
      </c>
      <c r="Q10" s="104">
        <v>0.99766516656065374</v>
      </c>
      <c r="R10" s="116">
        <v>0.98502368412009267</v>
      </c>
    </row>
    <row r="11" spans="1:18" x14ac:dyDescent="0.2">
      <c r="A11" s="17">
        <v>2004</v>
      </c>
      <c r="B11" s="117"/>
      <c r="C11" s="117"/>
      <c r="D11" s="117"/>
      <c r="E11" s="51"/>
      <c r="F11" s="39"/>
      <c r="G11" s="39"/>
      <c r="H11" s="39"/>
      <c r="I11" s="270">
        <v>6874135.75</v>
      </c>
      <c r="J11" s="49"/>
      <c r="K11" s="103">
        <v>1515.6290219931568</v>
      </c>
      <c r="L11" s="103">
        <v>3074.5057916701458</v>
      </c>
      <c r="M11" s="130">
        <v>1.0084425092385778</v>
      </c>
      <c r="N11" s="129">
        <v>1.002</v>
      </c>
      <c r="O11" s="103">
        <v>3100.4623352203821</v>
      </c>
      <c r="P11" s="103">
        <v>3080.6548032534861</v>
      </c>
      <c r="Q11" s="104">
        <v>0.99814023293303622</v>
      </c>
      <c r="R11" s="116">
        <v>0.99176354054536342</v>
      </c>
    </row>
    <row r="12" spans="1:18" x14ac:dyDescent="0.2">
      <c r="A12" s="17">
        <v>2005</v>
      </c>
      <c r="B12" s="121">
        <v>9289.1067809006363</v>
      </c>
      <c r="C12" s="121">
        <v>583.58132045088564</v>
      </c>
      <c r="D12" s="121">
        <v>726.06621621621616</v>
      </c>
      <c r="E12" s="51"/>
      <c r="F12" s="133">
        <v>5438660</v>
      </c>
      <c r="G12" s="133">
        <v>729591</v>
      </c>
      <c r="H12" s="133">
        <v>724503</v>
      </c>
      <c r="I12" s="102">
        <v>6892754</v>
      </c>
      <c r="J12" s="49"/>
      <c r="K12" s="103">
        <v>1537.6661226510823</v>
      </c>
      <c r="L12" s="103">
        <v>3106.2392166175587</v>
      </c>
      <c r="M12" s="115">
        <v>1</v>
      </c>
      <c r="N12" s="115">
        <v>1</v>
      </c>
      <c r="O12" s="103">
        <v>3106.2392166175587</v>
      </c>
      <c r="P12" s="103">
        <v>3106.2392166175587</v>
      </c>
      <c r="Q12" s="104">
        <v>1</v>
      </c>
      <c r="R12" s="116">
        <v>1</v>
      </c>
    </row>
    <row r="13" spans="1:18" x14ac:dyDescent="0.2">
      <c r="A13" s="17">
        <v>2006</v>
      </c>
      <c r="B13" s="134">
        <v>9429</v>
      </c>
      <c r="C13" s="134">
        <v>602</v>
      </c>
      <c r="D13" s="134">
        <v>733</v>
      </c>
      <c r="E13" s="51"/>
      <c r="F13" s="133">
        <v>5486469</v>
      </c>
      <c r="G13" s="133">
        <v>739843</v>
      </c>
      <c r="H13" s="133">
        <v>720031</v>
      </c>
      <c r="I13" s="102">
        <v>6946343</v>
      </c>
      <c r="J13" s="49"/>
      <c r="K13" s="103">
        <v>1549.592353847197</v>
      </c>
      <c r="L13" s="103">
        <v>3123.4129895399637</v>
      </c>
      <c r="M13" s="115">
        <v>0.98678549999999998</v>
      </c>
      <c r="N13" s="115">
        <v>0.98678549999999998</v>
      </c>
      <c r="O13" s="103">
        <v>3082.1386485896878</v>
      </c>
      <c r="P13" s="103">
        <v>3082.1386485896878</v>
      </c>
      <c r="Q13" s="104">
        <v>0.99224123889140958</v>
      </c>
      <c r="R13" s="116">
        <v>0.99224123889140958</v>
      </c>
    </row>
    <row r="14" spans="1:18" x14ac:dyDescent="0.2">
      <c r="A14" s="17">
        <v>2007</v>
      </c>
      <c r="B14" s="134">
        <v>9571</v>
      </c>
      <c r="C14" s="134">
        <v>621</v>
      </c>
      <c r="D14" s="134">
        <v>740</v>
      </c>
      <c r="E14" s="51"/>
      <c r="F14" s="133">
        <v>5543666</v>
      </c>
      <c r="G14" s="133">
        <v>756913</v>
      </c>
      <c r="H14" s="133">
        <v>721521</v>
      </c>
      <c r="I14" s="102">
        <v>7022100</v>
      </c>
      <c r="J14" s="49"/>
      <c r="K14" s="103">
        <v>1556.7992480881787</v>
      </c>
      <c r="L14" s="103">
        <v>3133.7909172469772</v>
      </c>
      <c r="M14" s="131">
        <v>0.97374562301024992</v>
      </c>
      <c r="N14" s="131">
        <v>0.97374562301024992</v>
      </c>
      <c r="O14" s="103">
        <v>3051.5151890985203</v>
      </c>
      <c r="P14" s="103">
        <v>3051.5151890985203</v>
      </c>
      <c r="Q14" s="104">
        <v>0.98238254567572281</v>
      </c>
      <c r="R14" s="116">
        <v>0.98238254567572281</v>
      </c>
    </row>
    <row r="15" spans="1:18" x14ac:dyDescent="0.2">
      <c r="A15" s="17">
        <v>2008</v>
      </c>
      <c r="B15" s="134">
        <v>9658</v>
      </c>
      <c r="C15" s="134">
        <v>639</v>
      </c>
      <c r="D15" s="134">
        <v>744</v>
      </c>
      <c r="E15" s="51"/>
      <c r="F15" s="133">
        <v>5570130</v>
      </c>
      <c r="G15" s="133">
        <v>773341</v>
      </c>
      <c r="H15" s="133">
        <v>720847</v>
      </c>
      <c r="I15" s="102">
        <v>7064318</v>
      </c>
      <c r="J15" s="49"/>
      <c r="K15" s="103">
        <v>1562.9251118083869</v>
      </c>
      <c r="L15" s="103">
        <v>3142.6121610040768</v>
      </c>
      <c r="M15" s="131">
        <v>0.96683539081863046</v>
      </c>
      <c r="N15" s="131">
        <v>0.97115279176668401</v>
      </c>
      <c r="O15" s="103">
        <v>3038.3886568757575</v>
      </c>
      <c r="P15" s="103">
        <v>3051.9565735990409</v>
      </c>
      <c r="Q15" s="104">
        <v>0.97815668562201563</v>
      </c>
      <c r="R15" s="116">
        <v>0.98252464178286081</v>
      </c>
    </row>
    <row r="16" spans="1:18" x14ac:dyDescent="0.2">
      <c r="A16" s="17">
        <v>2009</v>
      </c>
      <c r="B16" s="134">
        <v>9747</v>
      </c>
      <c r="C16" s="134">
        <v>651</v>
      </c>
      <c r="D16" s="134">
        <v>746</v>
      </c>
      <c r="E16" s="51"/>
      <c r="F16" s="133">
        <v>5598720</v>
      </c>
      <c r="G16" s="133">
        <v>782545</v>
      </c>
      <c r="H16" s="133">
        <v>718446</v>
      </c>
      <c r="I16" s="102">
        <v>7099711</v>
      </c>
      <c r="J16" s="49"/>
      <c r="K16" s="103">
        <v>1569.6413558242018</v>
      </c>
      <c r="L16" s="103">
        <v>3152.2835523868507</v>
      </c>
      <c r="M16" s="131">
        <v>0.9568684684490294</v>
      </c>
      <c r="N16" s="131">
        <v>0.96646709673878217</v>
      </c>
      <c r="O16" s="103">
        <v>3016.3207348894716</v>
      </c>
      <c r="P16" s="103">
        <v>3046.5783329727342</v>
      </c>
      <c r="Q16" s="104">
        <v>0.97105229975623031</v>
      </c>
      <c r="R16" s="116">
        <v>0.98079321021843568</v>
      </c>
    </row>
    <row r="17" spans="1:18" x14ac:dyDescent="0.2">
      <c r="A17" s="17">
        <v>2010</v>
      </c>
      <c r="B17" s="134">
        <v>9830</v>
      </c>
      <c r="C17" s="134">
        <v>660</v>
      </c>
      <c r="D17" s="134">
        <v>744</v>
      </c>
      <c r="E17" s="51"/>
      <c r="F17" s="133">
        <v>5622533</v>
      </c>
      <c r="G17" s="133">
        <v>788535</v>
      </c>
      <c r="H17" s="133">
        <v>712309</v>
      </c>
      <c r="I17" s="102">
        <v>7123377</v>
      </c>
      <c r="J17" s="49"/>
      <c r="K17" s="103">
        <v>1577.0609922793642</v>
      </c>
      <c r="L17" s="103">
        <v>3162.9678288822843</v>
      </c>
      <c r="M17" s="131">
        <v>0.94624796025621982</v>
      </c>
      <c r="N17" s="131">
        <v>0.96128543399132438</v>
      </c>
      <c r="O17" s="103">
        <v>2992.9518564359055</v>
      </c>
      <c r="P17" s="103">
        <v>3040.5149020877038</v>
      </c>
      <c r="Q17" s="104">
        <v>0.9635290934530748</v>
      </c>
      <c r="R17" s="116">
        <v>0.97884119349912035</v>
      </c>
    </row>
    <row r="18" spans="1:18" x14ac:dyDescent="0.2">
      <c r="A18" s="17">
        <v>2011</v>
      </c>
      <c r="B18" s="134">
        <v>9924</v>
      </c>
      <c r="C18" s="134">
        <v>671</v>
      </c>
      <c r="D18" s="134">
        <v>742</v>
      </c>
      <c r="E18" s="51"/>
      <c r="F18" s="133">
        <v>5653305</v>
      </c>
      <c r="G18" s="133">
        <v>795767</v>
      </c>
      <c r="H18" s="133">
        <v>705531</v>
      </c>
      <c r="I18" s="102">
        <v>7154603</v>
      </c>
      <c r="J18" s="49"/>
      <c r="K18" s="103">
        <v>1584.5742943389032</v>
      </c>
      <c r="L18" s="103">
        <v>3173.7869838480206</v>
      </c>
      <c r="M18" s="131">
        <v>0.93970687333754865</v>
      </c>
      <c r="N18" s="131">
        <v>0.95839562207697615</v>
      </c>
      <c r="O18" s="103">
        <v>2982.4294432312327</v>
      </c>
      <c r="P18" s="103">
        <v>3041.7435507248333</v>
      </c>
      <c r="Q18" s="104">
        <v>0.96014158448455078</v>
      </c>
      <c r="R18" s="116">
        <v>0.97923673568098346</v>
      </c>
    </row>
    <row r="19" spans="1:18" x14ac:dyDescent="0.2">
      <c r="A19" s="17">
        <v>2012</v>
      </c>
      <c r="B19" s="134">
        <v>10068</v>
      </c>
      <c r="C19" s="134">
        <v>690</v>
      </c>
      <c r="D19" s="134">
        <v>744</v>
      </c>
      <c r="E19" s="51"/>
      <c r="F19" s="133">
        <v>5711901</v>
      </c>
      <c r="G19" s="133">
        <v>813352</v>
      </c>
      <c r="H19" s="133">
        <v>703747</v>
      </c>
      <c r="I19" s="102">
        <v>7229000</v>
      </c>
      <c r="J19" s="49"/>
      <c r="K19" s="103">
        <v>1591.0914372665652</v>
      </c>
      <c r="L19" s="103">
        <v>3183.1716696638537</v>
      </c>
      <c r="M19" s="131">
        <v>0.93298696533764758</v>
      </c>
      <c r="N19" s="131">
        <v>0.95642975002728459</v>
      </c>
      <c r="O19" s="103">
        <v>2969.8576762284515</v>
      </c>
      <c r="P19" s="103">
        <v>3044.4800843105336</v>
      </c>
      <c r="Q19" s="104">
        <v>0.95609432149993412</v>
      </c>
      <c r="R19" s="116">
        <v>0.98011771534638092</v>
      </c>
    </row>
    <row r="20" spans="1:18" x14ac:dyDescent="0.2">
      <c r="A20" s="17">
        <v>2013</v>
      </c>
      <c r="B20" s="134">
        <v>10145</v>
      </c>
      <c r="C20" s="134">
        <v>707</v>
      </c>
      <c r="D20" s="134">
        <v>743</v>
      </c>
      <c r="E20" s="51"/>
      <c r="F20" s="133">
        <v>5733393</v>
      </c>
      <c r="G20" s="133">
        <v>827447</v>
      </c>
      <c r="H20" s="133">
        <v>698363</v>
      </c>
      <c r="I20" s="102">
        <v>7259203</v>
      </c>
      <c r="J20" s="49"/>
      <c r="K20" s="103">
        <v>1597.2827871048653</v>
      </c>
      <c r="L20" s="103">
        <v>3192.0872134310061</v>
      </c>
      <c r="M20" s="131">
        <v>0.92760141815440911</v>
      </c>
      <c r="N20" s="131">
        <v>0.95531982226779433</v>
      </c>
      <c r="O20" s="103">
        <v>2960.9846260511572</v>
      </c>
      <c r="P20" s="103">
        <v>3049.4641893982075</v>
      </c>
      <c r="Q20" s="104">
        <v>0.95323779643585471</v>
      </c>
      <c r="R20" s="116">
        <v>0.98172226178987765</v>
      </c>
    </row>
    <row r="21" spans="1:18" x14ac:dyDescent="0.2">
      <c r="A21" s="17">
        <v>2014</v>
      </c>
      <c r="B21" s="134">
        <v>10257</v>
      </c>
      <c r="C21" s="134">
        <v>726</v>
      </c>
      <c r="D21" s="134">
        <v>749</v>
      </c>
      <c r="E21" s="51"/>
      <c r="F21" s="133">
        <v>5774173</v>
      </c>
      <c r="G21" s="133">
        <v>844502</v>
      </c>
      <c r="H21" s="133">
        <v>699945</v>
      </c>
      <c r="I21" s="102">
        <v>7318620</v>
      </c>
      <c r="J21" s="49"/>
      <c r="K21" s="103">
        <v>1603.0344518502122</v>
      </c>
      <c r="L21" s="103">
        <v>3200.3696106643056</v>
      </c>
      <c r="M21" s="131">
        <v>0.92242606417191453</v>
      </c>
      <c r="N21" s="131">
        <v>0.95437888350952382</v>
      </c>
      <c r="O21" s="103">
        <v>2952.1043438604779</v>
      </c>
      <c r="P21" s="103">
        <v>3054.3651758436094</v>
      </c>
      <c r="Q21" s="104">
        <v>0.95037894315012827</v>
      </c>
      <c r="R21" s="116">
        <v>0.98330004962385487</v>
      </c>
    </row>
    <row r="22" spans="1:18" x14ac:dyDescent="0.2">
      <c r="A22" s="17">
        <v>2015</v>
      </c>
      <c r="B22" s="134">
        <v>10391</v>
      </c>
      <c r="C22" s="134">
        <v>747</v>
      </c>
      <c r="D22" s="134">
        <v>762</v>
      </c>
      <c r="E22" s="51"/>
      <c r="F22" s="133">
        <v>5826754</v>
      </c>
      <c r="G22" s="133">
        <v>864245</v>
      </c>
      <c r="H22" s="133">
        <v>707956</v>
      </c>
      <c r="I22" s="102">
        <v>7398955</v>
      </c>
      <c r="J22" s="49"/>
      <c r="K22" s="103">
        <v>1608.3352311238546</v>
      </c>
      <c r="L22" s="103">
        <v>3208.0027328183505</v>
      </c>
      <c r="M22" s="131">
        <v>0.91679686019378381</v>
      </c>
      <c r="N22" s="131">
        <v>0.95331995243087508</v>
      </c>
      <c r="O22" s="103">
        <v>2941.0868329409418</v>
      </c>
      <c r="P22" s="103">
        <v>3058.2530126485071</v>
      </c>
      <c r="Q22" s="104">
        <v>0.94683204603396443</v>
      </c>
      <c r="R22" s="116">
        <v>0.98455167145133637</v>
      </c>
    </row>
    <row r="23" spans="1:18" x14ac:dyDescent="0.2">
      <c r="A23" s="17">
        <v>2016</v>
      </c>
      <c r="B23" s="134">
        <v>10530</v>
      </c>
      <c r="C23" s="134">
        <v>771</v>
      </c>
      <c r="D23" s="134">
        <v>781</v>
      </c>
      <c r="E23" s="51"/>
      <c r="F23" s="133">
        <v>5882496</v>
      </c>
      <c r="G23" s="133">
        <v>887682</v>
      </c>
      <c r="H23" s="133">
        <v>722318</v>
      </c>
      <c r="I23" s="102">
        <v>7492496</v>
      </c>
      <c r="J23" s="49"/>
      <c r="K23" s="103">
        <v>1612.5467400983598</v>
      </c>
      <c r="L23" s="103">
        <v>3214.0673057416379</v>
      </c>
      <c r="M23" s="131">
        <v>0.91126595552346379</v>
      </c>
      <c r="N23" s="131">
        <v>0.95234401595045848</v>
      </c>
      <c r="O23" s="103">
        <v>2928.8701144833785</v>
      </c>
      <c r="P23" s="103">
        <v>3060.8977654850614</v>
      </c>
      <c r="Q23" s="104">
        <v>0.94289908478867235</v>
      </c>
      <c r="R23" s="116">
        <v>0.98540310389169883</v>
      </c>
    </row>
    <row r="24" spans="1:18" x14ac:dyDescent="0.2">
      <c r="A24" s="17">
        <v>2017</v>
      </c>
      <c r="B24" s="134">
        <v>10669</v>
      </c>
      <c r="C24" s="134">
        <v>797</v>
      </c>
      <c r="D24" s="134">
        <v>806</v>
      </c>
      <c r="E24" s="51"/>
      <c r="F24" s="133">
        <v>5937805</v>
      </c>
      <c r="G24" s="133">
        <v>913010</v>
      </c>
      <c r="H24" s="133">
        <v>741099</v>
      </c>
      <c r="I24" s="102">
        <v>7591914</v>
      </c>
      <c r="J24" s="49"/>
      <c r="K24" s="103">
        <v>1616.4566669222017</v>
      </c>
      <c r="L24" s="103">
        <v>3219.6976003679706</v>
      </c>
      <c r="M24" s="131">
        <v>0.90582812147436864</v>
      </c>
      <c r="N24" s="131">
        <v>0.95143207530482321</v>
      </c>
      <c r="O24" s="103">
        <v>2916.4926290568515</v>
      </c>
      <c r="P24" s="103">
        <v>3063.3235697720575</v>
      </c>
      <c r="Q24" s="104">
        <v>0.93891436739784462</v>
      </c>
      <c r="R24" s="116">
        <v>0.98618404963277972</v>
      </c>
    </row>
    <row r="25" spans="1:18" x14ac:dyDescent="0.2">
      <c r="A25" s="17">
        <v>2018</v>
      </c>
      <c r="B25" s="134">
        <v>10805</v>
      </c>
      <c r="C25" s="134">
        <v>822</v>
      </c>
      <c r="D25" s="134">
        <v>832</v>
      </c>
      <c r="E25" s="51"/>
      <c r="F25" s="133">
        <v>5991474</v>
      </c>
      <c r="G25" s="133">
        <v>938016</v>
      </c>
      <c r="H25" s="133">
        <v>761792</v>
      </c>
      <c r="I25" s="102">
        <v>7691282</v>
      </c>
      <c r="J25" s="49"/>
      <c r="K25" s="103">
        <v>1619.8859955986532</v>
      </c>
      <c r="L25" s="103">
        <v>3224.6358336620606</v>
      </c>
      <c r="M25" s="131">
        <v>0.90050427279284095</v>
      </c>
      <c r="N25" s="131">
        <v>0.95053013400837272</v>
      </c>
      <c r="O25" s="103">
        <v>2903.7983464135905</v>
      </c>
      <c r="P25" s="103">
        <v>3065.1135310989989</v>
      </c>
      <c r="Q25" s="104">
        <v>0.93482766262142236</v>
      </c>
      <c r="R25" s="116">
        <v>0.98676029672842058</v>
      </c>
    </row>
    <row r="26" spans="1:18" x14ac:dyDescent="0.2">
      <c r="A26" s="17">
        <v>2019</v>
      </c>
      <c r="B26" s="134">
        <v>10939</v>
      </c>
      <c r="C26" s="134">
        <v>847</v>
      </c>
      <c r="D26" s="134">
        <v>859</v>
      </c>
      <c r="E26" s="51"/>
      <c r="F26" s="133">
        <v>6044092</v>
      </c>
      <c r="G26" s="133">
        <v>962478</v>
      </c>
      <c r="H26" s="133">
        <v>782599</v>
      </c>
      <c r="I26" s="102">
        <v>7789169</v>
      </c>
      <c r="J26" s="49"/>
      <c r="K26" s="103">
        <v>1623.4080939828114</v>
      </c>
      <c r="L26" s="103">
        <v>3229.7076553352481</v>
      </c>
      <c r="M26" s="131">
        <v>0.89530800406400368</v>
      </c>
      <c r="N26" s="131">
        <v>0.94962319303732989</v>
      </c>
      <c r="O26" s="103">
        <v>2891.5831146084342</v>
      </c>
      <c r="P26" s="103">
        <v>3067.0052962365662</v>
      </c>
      <c r="Q26" s="104">
        <v>0.93089517997816429</v>
      </c>
      <c r="R26" s="116">
        <v>0.98736931780041237</v>
      </c>
    </row>
    <row r="27" spans="1:18" x14ac:dyDescent="0.2">
      <c r="A27" s="17">
        <v>2020</v>
      </c>
      <c r="B27" s="134">
        <v>11070</v>
      </c>
      <c r="C27" s="134">
        <v>872</v>
      </c>
      <c r="D27" s="134">
        <v>884</v>
      </c>
      <c r="E27" s="51"/>
      <c r="F27" s="133">
        <v>6095231</v>
      </c>
      <c r="G27" s="133">
        <v>986146</v>
      </c>
      <c r="H27" s="133">
        <v>802538</v>
      </c>
      <c r="I27" s="102">
        <v>7883915</v>
      </c>
      <c r="J27" s="49"/>
      <c r="K27" s="103">
        <v>1626.8567076129054</v>
      </c>
      <c r="L27" s="103">
        <v>3234.6736589625839</v>
      </c>
      <c r="M27" s="131">
        <v>0.8902706874073707</v>
      </c>
      <c r="N27" s="131">
        <v>0.94871225232661327</v>
      </c>
      <c r="O27" s="103">
        <v>2879.7351419031347</v>
      </c>
      <c r="P27" s="103">
        <v>3068.7745325359601</v>
      </c>
      <c r="Q27" s="104">
        <v>0.92708093005114123</v>
      </c>
      <c r="R27" s="116">
        <v>0.98793889283182945</v>
      </c>
    </row>
    <row r="28" spans="1:18" x14ac:dyDescent="0.2">
      <c r="A28" s="17">
        <v>2021</v>
      </c>
      <c r="B28" s="134">
        <v>11197</v>
      </c>
      <c r="C28" s="134">
        <v>895</v>
      </c>
      <c r="D28" s="134">
        <v>909</v>
      </c>
      <c r="E28" s="51"/>
      <c r="F28" s="133">
        <v>6143864</v>
      </c>
      <c r="G28" s="133">
        <v>1008790</v>
      </c>
      <c r="H28" s="133">
        <v>821054</v>
      </c>
      <c r="I28" s="102">
        <v>7973708</v>
      </c>
      <c r="J28" s="49"/>
      <c r="K28" s="103">
        <v>1630.4835842998014</v>
      </c>
      <c r="L28" s="103">
        <v>3239.896361391714</v>
      </c>
      <c r="M28" s="131">
        <v>0.88523546222537197</v>
      </c>
      <c r="N28" s="131">
        <v>0.94774731513029975</v>
      </c>
      <c r="O28" s="103">
        <v>2868.0711530388949</v>
      </c>
      <c r="P28" s="103">
        <v>3070.6030778094241</v>
      </c>
      <c r="Q28" s="104">
        <v>0.92332591054013879</v>
      </c>
      <c r="R28" s="116">
        <v>0.98852756136182607</v>
      </c>
    </row>
    <row r="29" spans="1:18" x14ac:dyDescent="0.2">
      <c r="A29" s="17">
        <v>2022</v>
      </c>
      <c r="B29" s="134">
        <v>11322</v>
      </c>
      <c r="C29" s="134">
        <v>918</v>
      </c>
      <c r="D29" s="134">
        <v>931</v>
      </c>
      <c r="E29" s="51"/>
      <c r="F29" s="133">
        <v>6191679</v>
      </c>
      <c r="G29" s="133">
        <v>1030747</v>
      </c>
      <c r="H29" s="133">
        <v>838298</v>
      </c>
      <c r="I29" s="102">
        <v>8060724</v>
      </c>
      <c r="J29" s="49"/>
      <c r="K29" s="103">
        <v>1633.9723330063155</v>
      </c>
      <c r="L29" s="103">
        <v>3244.9201595290942</v>
      </c>
      <c r="M29" s="131">
        <v>0.8801521331267852</v>
      </c>
      <c r="N29" s="131">
        <v>0.94671238248969403</v>
      </c>
      <c r="O29" s="103">
        <v>2856.0234002356406</v>
      </c>
      <c r="P29" s="103">
        <v>3072.0060952166268</v>
      </c>
      <c r="Q29" s="104">
        <v>0.91944734486535051</v>
      </c>
      <c r="R29" s="116">
        <v>0.9889792385538777</v>
      </c>
    </row>
    <row r="30" spans="1:18" x14ac:dyDescent="0.2">
      <c r="A30" s="17">
        <v>2023</v>
      </c>
      <c r="B30" s="134">
        <v>11450</v>
      </c>
      <c r="C30" s="134">
        <v>941</v>
      </c>
      <c r="D30" s="134">
        <v>952</v>
      </c>
      <c r="E30" s="51"/>
      <c r="F30" s="133">
        <v>6241201</v>
      </c>
      <c r="G30" s="133">
        <v>1051654</v>
      </c>
      <c r="H30" s="133">
        <v>854313</v>
      </c>
      <c r="I30" s="102">
        <v>8147168</v>
      </c>
      <c r="J30" s="49"/>
      <c r="K30" s="103">
        <v>1637.7470060762219</v>
      </c>
      <c r="L30" s="103">
        <v>3250.3556887497593</v>
      </c>
      <c r="M30" s="131">
        <v>0.87517233202259459</v>
      </c>
      <c r="N30" s="131">
        <v>0.94566045095547446</v>
      </c>
      <c r="O30" s="103">
        <v>2844.6213680260335</v>
      </c>
      <c r="P30" s="103">
        <v>3073.7328263887894</v>
      </c>
      <c r="Q30" s="104">
        <v>0.91577665776932471</v>
      </c>
      <c r="R30" s="116">
        <v>0.98953512979461833</v>
      </c>
    </row>
    <row r="31" spans="1:18" x14ac:dyDescent="0.2">
      <c r="A31" s="17">
        <v>2024</v>
      </c>
      <c r="B31" s="134">
        <v>11582</v>
      </c>
      <c r="C31" s="134">
        <v>963</v>
      </c>
      <c r="D31" s="134">
        <v>973</v>
      </c>
      <c r="E31" s="51"/>
      <c r="F31" s="133">
        <v>6292539</v>
      </c>
      <c r="G31" s="133">
        <v>1072061</v>
      </c>
      <c r="H31" s="133">
        <v>869435</v>
      </c>
      <c r="I31" s="102">
        <v>8234035</v>
      </c>
      <c r="J31" s="49"/>
      <c r="K31" s="103">
        <v>1641.7224362053355</v>
      </c>
      <c r="L31" s="103">
        <v>3256.080308135683</v>
      </c>
      <c r="M31" s="131">
        <v>0.87041736444158779</v>
      </c>
      <c r="N31" s="131">
        <v>0.94464551701323796</v>
      </c>
      <c r="O31" s="103">
        <v>2834.1488402176142</v>
      </c>
      <c r="P31" s="103">
        <v>3075.8416661154556</v>
      </c>
      <c r="Q31" s="104">
        <v>0.91240520854146301</v>
      </c>
      <c r="R31" s="116">
        <v>0.99021403427672794</v>
      </c>
    </row>
    <row r="32" spans="1:18" x14ac:dyDescent="0.2">
      <c r="A32" s="17">
        <v>2025</v>
      </c>
      <c r="B32" s="134">
        <v>11715</v>
      </c>
      <c r="C32" s="134">
        <v>985</v>
      </c>
      <c r="D32" s="134">
        <v>992</v>
      </c>
      <c r="E32" s="51"/>
      <c r="F32" s="133">
        <v>6344699</v>
      </c>
      <c r="G32" s="133">
        <v>1092496</v>
      </c>
      <c r="H32" s="133">
        <v>883435</v>
      </c>
      <c r="I32" s="102">
        <v>8320630</v>
      </c>
      <c r="J32" s="49"/>
      <c r="K32" s="103">
        <v>1645.5484740939087</v>
      </c>
      <c r="L32" s="103">
        <v>3261.5898026952286</v>
      </c>
      <c r="M32" s="131">
        <v>0.86587781874791059</v>
      </c>
      <c r="N32" s="131">
        <v>0.94366958053282135</v>
      </c>
      <c r="O32" s="103">
        <v>2824.1382640081724</v>
      </c>
      <c r="P32" s="103">
        <v>3077.8630809795341</v>
      </c>
      <c r="Q32" s="104">
        <v>0.90918247664242313</v>
      </c>
      <c r="R32" s="116">
        <v>0.99086479383615411</v>
      </c>
    </row>
    <row r="33" spans="1:18" x14ac:dyDescent="0.2">
      <c r="A33" s="17">
        <v>2026</v>
      </c>
      <c r="B33" s="134">
        <v>11848</v>
      </c>
      <c r="C33" s="134">
        <v>1007</v>
      </c>
      <c r="D33" s="134">
        <v>1010</v>
      </c>
      <c r="E33" s="39"/>
      <c r="F33" s="133">
        <v>6396310</v>
      </c>
      <c r="G33" s="133">
        <v>1113270</v>
      </c>
      <c r="H33" s="133">
        <v>896454</v>
      </c>
      <c r="I33" s="102">
        <v>8406034</v>
      </c>
      <c r="K33" s="103">
        <v>1649.4104116162271</v>
      </c>
      <c r="L33" s="103">
        <v>3267.1509927273669</v>
      </c>
      <c r="M33" s="131">
        <v>0.86137591959765014</v>
      </c>
      <c r="N33" s="131">
        <v>0.94268164483338324</v>
      </c>
      <c r="O33" s="103">
        <v>2814.2451908249113</v>
      </c>
      <c r="P33" s="103">
        <v>3079.8832717432551</v>
      </c>
      <c r="Q33" s="104">
        <v>0.9059975728106977</v>
      </c>
      <c r="R33" s="116">
        <v>0.99151515931763845</v>
      </c>
    </row>
    <row r="34" spans="1:18" x14ac:dyDescent="0.2">
      <c r="A34" s="17">
        <v>2027</v>
      </c>
      <c r="B34" s="134">
        <v>11976</v>
      </c>
      <c r="C34" s="134">
        <v>1030</v>
      </c>
      <c r="D34" s="134">
        <v>1026</v>
      </c>
      <c r="E34" s="39"/>
      <c r="F34" s="133">
        <v>6445760</v>
      </c>
      <c r="G34" s="133">
        <v>1134284</v>
      </c>
      <c r="H34" s="133">
        <v>908418</v>
      </c>
      <c r="I34" s="102">
        <v>8488462</v>
      </c>
      <c r="K34" s="103">
        <v>1653.0674225790256</v>
      </c>
      <c r="L34" s="103">
        <v>3272.4170885137969</v>
      </c>
      <c r="M34" s="131">
        <v>0.8570057833493484</v>
      </c>
      <c r="N34" s="131">
        <v>0.94171770757198825</v>
      </c>
      <c r="O34" s="103">
        <v>2804.4803703875605</v>
      </c>
      <c r="P34" s="103">
        <v>3081.6931188146132</v>
      </c>
      <c r="Q34" s="104">
        <v>0.90285395773266008</v>
      </c>
      <c r="R34" s="116">
        <v>0.99209780828481264</v>
      </c>
    </row>
    <row r="35" spans="1:18" x14ac:dyDescent="0.2">
      <c r="A35" s="17">
        <v>2028</v>
      </c>
      <c r="B35" s="134">
        <v>12100</v>
      </c>
      <c r="C35" s="134">
        <v>1052</v>
      </c>
      <c r="D35" s="134">
        <v>1041</v>
      </c>
      <c r="E35" s="39"/>
      <c r="F35" s="133">
        <v>6492771</v>
      </c>
      <c r="G35" s="133">
        <v>1155481</v>
      </c>
      <c r="H35" s="133">
        <v>919216</v>
      </c>
      <c r="I35" s="102">
        <v>8567468</v>
      </c>
      <c r="K35" s="103">
        <v>1656.6154667866865</v>
      </c>
      <c r="L35" s="103">
        <v>3277.5262721728286</v>
      </c>
      <c r="M35" s="131">
        <v>0.85289603569301298</v>
      </c>
      <c r="N35" s="131">
        <v>0.94083276516915149</v>
      </c>
      <c r="O35" s="103">
        <v>2795.3891644159048</v>
      </c>
      <c r="P35" s="103">
        <v>3083.6041055629034</v>
      </c>
      <c r="Q35" s="104">
        <v>0.89992720118312586</v>
      </c>
      <c r="R35" s="116">
        <v>0.99271301742197982</v>
      </c>
    </row>
    <row r="36" spans="1:18" x14ac:dyDescent="0.2">
      <c r="A36" s="17">
        <v>2029</v>
      </c>
      <c r="B36" s="134">
        <v>12221</v>
      </c>
      <c r="C36" s="134">
        <v>1075</v>
      </c>
      <c r="D36" s="134">
        <v>1056</v>
      </c>
      <c r="E36" s="39"/>
      <c r="F36" s="133">
        <v>6538419</v>
      </c>
      <c r="G36" s="133">
        <v>1176776</v>
      </c>
      <c r="H36" s="133">
        <v>928971</v>
      </c>
      <c r="I36" s="102">
        <v>8644166</v>
      </c>
      <c r="K36" s="103">
        <v>1660.3105493346611</v>
      </c>
      <c r="L36" s="103">
        <v>3282.8471910419121</v>
      </c>
      <c r="M36" s="131">
        <v>0.84905190531522945</v>
      </c>
      <c r="N36" s="131">
        <v>0.9400248177550361</v>
      </c>
      <c r="O36" s="103">
        <v>2787.3076624128844</v>
      </c>
      <c r="P36" s="103">
        <v>3085.9578324768054</v>
      </c>
      <c r="Q36" s="104">
        <v>0.89732550136561451</v>
      </c>
      <c r="R36" s="116">
        <v>0.99347075909921767</v>
      </c>
    </row>
    <row r="37" spans="1:18" x14ac:dyDescent="0.2">
      <c r="A37" s="17">
        <v>2030</v>
      </c>
      <c r="B37" s="134">
        <v>12342</v>
      </c>
      <c r="C37" s="134">
        <v>1098</v>
      </c>
      <c r="D37" s="134">
        <v>1069</v>
      </c>
      <c r="E37" s="39"/>
      <c r="F37" s="133">
        <v>6583920</v>
      </c>
      <c r="G37" s="133">
        <v>1198033</v>
      </c>
      <c r="H37" s="133">
        <v>937855</v>
      </c>
      <c r="I37" s="102">
        <v>8719808</v>
      </c>
      <c r="K37" s="103">
        <v>1663.9127834007354</v>
      </c>
      <c r="L37" s="103">
        <v>3288.034408097059</v>
      </c>
      <c r="M37" s="131">
        <v>0.84530084555867091</v>
      </c>
      <c r="N37" s="131">
        <v>0.93922286995043147</v>
      </c>
      <c r="O37" s="103">
        <v>2779.3782653904482</v>
      </c>
      <c r="P37" s="103">
        <v>3088.1971132686881</v>
      </c>
      <c r="Q37" s="104">
        <v>0.89477276911627068</v>
      </c>
      <c r="R37" s="116">
        <v>0.9941916568265734</v>
      </c>
    </row>
    <row r="38" spans="1:18" x14ac:dyDescent="0.2">
      <c r="A38" s="17">
        <v>2031</v>
      </c>
      <c r="B38" s="134">
        <v>12461</v>
      </c>
      <c r="C38" s="134">
        <v>1121</v>
      </c>
      <c r="D38" s="134">
        <v>1081</v>
      </c>
      <c r="F38" s="133">
        <v>6628541</v>
      </c>
      <c r="G38" s="133">
        <v>1219323</v>
      </c>
      <c r="H38" s="133">
        <v>946063</v>
      </c>
      <c r="I38" s="102">
        <v>8793927</v>
      </c>
      <c r="K38" s="103">
        <v>1667.4006959575624</v>
      </c>
      <c r="L38" s="103">
        <v>3293.0570021788899</v>
      </c>
      <c r="M38" s="131">
        <v>0.84145566944357031</v>
      </c>
      <c r="N38" s="131">
        <v>0.93835192663645328</v>
      </c>
      <c r="O38" s="103">
        <v>2770.9614842842748</v>
      </c>
      <c r="P38" s="103">
        <v>3090.0463825182246</v>
      </c>
      <c r="Q38" s="104">
        <v>0.8920631319894371</v>
      </c>
      <c r="R38" s="116">
        <v>0.99478699708228957</v>
      </c>
    </row>
    <row r="39" spans="1:18" x14ac:dyDescent="0.2">
      <c r="A39" s="17">
        <v>2032</v>
      </c>
      <c r="B39" s="134">
        <v>12577</v>
      </c>
      <c r="C39" s="134">
        <v>1144</v>
      </c>
      <c r="D39" s="134">
        <v>1092</v>
      </c>
      <c r="F39" s="133">
        <v>6671188</v>
      </c>
      <c r="G39" s="133">
        <v>1240435</v>
      </c>
      <c r="H39" s="133">
        <v>953778</v>
      </c>
      <c r="I39" s="102">
        <v>8865401</v>
      </c>
      <c r="K39" s="103">
        <v>1670.8776061003896</v>
      </c>
      <c r="L39" s="103">
        <v>3298.0637527845611</v>
      </c>
      <c r="M39" s="132">
        <v>0.83734905899918644</v>
      </c>
      <c r="N39" s="132">
        <v>0.93725099829122926</v>
      </c>
      <c r="O39" s="103">
        <v>2761.6305799134775</v>
      </c>
      <c r="P39" s="103">
        <v>3091.1135447254478</v>
      </c>
      <c r="Q39" s="104">
        <v>0.88905920868537236</v>
      </c>
      <c r="R39" s="116">
        <v>0.99513055150060803</v>
      </c>
    </row>
    <row r="40" spans="1:18" x14ac:dyDescent="0.2">
      <c r="A40" s="17">
        <v>2033</v>
      </c>
      <c r="B40" s="134">
        <v>12691</v>
      </c>
      <c r="C40" s="134">
        <v>1166</v>
      </c>
      <c r="D40" s="134">
        <v>1103</v>
      </c>
      <c r="F40" s="133">
        <v>6713409</v>
      </c>
      <c r="G40" s="133">
        <v>1261326</v>
      </c>
      <c r="H40" s="133">
        <v>961060</v>
      </c>
      <c r="I40" s="102">
        <v>8935795</v>
      </c>
      <c r="K40" s="103">
        <v>1674.1655331170869</v>
      </c>
      <c r="L40" s="103">
        <v>3302.7983676886051</v>
      </c>
      <c r="M40" s="132">
        <v>0.8333010098445619</v>
      </c>
      <c r="N40" s="132">
        <v>0.93615106988092367</v>
      </c>
      <c r="O40" s="103">
        <v>2752.2252151078851</v>
      </c>
      <c r="P40" s="103">
        <v>3091.9182255126561</v>
      </c>
      <c r="Q40" s="104">
        <v>0.8860313141319599</v>
      </c>
      <c r="R40" s="116">
        <v>0.99538960456480974</v>
      </c>
    </row>
    <row r="41" spans="1:18" x14ac:dyDescent="0.2">
      <c r="A41" s="17">
        <v>2034</v>
      </c>
      <c r="B41" s="134">
        <v>12807</v>
      </c>
      <c r="C41" s="134">
        <v>1189</v>
      </c>
      <c r="D41" s="134">
        <v>1114</v>
      </c>
      <c r="F41" s="133">
        <v>6756217</v>
      </c>
      <c r="G41" s="133">
        <v>1282015</v>
      </c>
      <c r="H41" s="133">
        <v>967988</v>
      </c>
      <c r="I41" s="102">
        <v>9006220</v>
      </c>
      <c r="K41" s="103">
        <v>1677.7293914650097</v>
      </c>
      <c r="L41" s="103">
        <v>3307.9303237096137</v>
      </c>
      <c r="M41" s="132">
        <v>0.82932093361555115</v>
      </c>
      <c r="N41" s="132">
        <v>0.93505714108012883</v>
      </c>
      <c r="O41" s="103">
        <v>2743.3358643940492</v>
      </c>
      <c r="P41" s="103">
        <v>3093.1038713801763</v>
      </c>
      <c r="Q41" s="104">
        <v>0.88316954139202397</v>
      </c>
      <c r="R41" s="116">
        <v>0.99577130274863834</v>
      </c>
    </row>
    <row r="42" spans="1:18" x14ac:dyDescent="0.2">
      <c r="A42" s="17">
        <v>2035</v>
      </c>
      <c r="B42" s="134">
        <v>12924</v>
      </c>
      <c r="C42" s="134">
        <v>1211</v>
      </c>
      <c r="D42" s="134">
        <v>1124</v>
      </c>
      <c r="F42" s="133">
        <v>6799586</v>
      </c>
      <c r="G42" s="133">
        <v>1302633</v>
      </c>
      <c r="H42" s="133">
        <v>974707</v>
      </c>
      <c r="I42" s="102">
        <v>9076926</v>
      </c>
      <c r="K42" s="103">
        <v>1681.0757298230701</v>
      </c>
      <c r="L42" s="103">
        <v>3312.7490509452209</v>
      </c>
      <c r="M42" s="132">
        <v>0.82537954966727423</v>
      </c>
      <c r="N42" s="132">
        <v>0.93396021247457861</v>
      </c>
      <c r="O42" s="103">
        <v>2734.2753198298565</v>
      </c>
      <c r="P42" s="103">
        <v>3093.9758074957572</v>
      </c>
      <c r="Q42" s="104">
        <v>0.88025265575239875</v>
      </c>
      <c r="R42" s="116">
        <v>0.99605200750277201</v>
      </c>
    </row>
    <row r="43" spans="1:18" x14ac:dyDescent="0.2">
      <c r="A43" s="17">
        <f t="shared" ref="A43:A50" si="0">A42+1</f>
        <v>2036</v>
      </c>
      <c r="B43" s="209">
        <f>B42*(1+(B42/B41-1))</f>
        <v>13042.06886858749</v>
      </c>
      <c r="C43" s="209">
        <f t="shared" ref="C43:D43" si="1">C42*(1+(C42/C41-1))</f>
        <v>1233.4070647603025</v>
      </c>
      <c r="D43" s="209">
        <f t="shared" si="1"/>
        <v>1134.0897666068222</v>
      </c>
      <c r="E43" s="209"/>
      <c r="F43" s="209">
        <f t="shared" ref="F43" si="2">F42*(1+(F42/F41-1))</f>
        <v>6843233.3910228172</v>
      </c>
      <c r="G43" s="209">
        <f t="shared" ref="G43" si="3">G42*(1+(G42/G41-1))</f>
        <v>1323582.5888846854</v>
      </c>
      <c r="H43" s="209">
        <f t="shared" ref="H43" si="4">H42*(1+(H42/H41-1))</f>
        <v>981472.63793456112</v>
      </c>
      <c r="I43" s="102">
        <f t="shared" ref="I43:I49" si="5">(F43+G43+H43)</f>
        <v>9148288.6178420633</v>
      </c>
      <c r="K43" s="103">
        <f t="shared" ref="K43:K49" si="6">(SUM(B43:D43)*1000000)/I43</f>
        <v>1684.4205887755963</v>
      </c>
      <c r="L43" s="103">
        <f t="shared" ref="L43:L49" si="7">892 + 1.44*K43</f>
        <v>3317.5656478368587</v>
      </c>
      <c r="M43" s="210">
        <f>M42*(1+(M42/M41-1))</f>
        <v>0.82145689731830718</v>
      </c>
      <c r="N43" s="210">
        <f t="shared" ref="N43" si="8">N42*(1+(N42/N41-1))</f>
        <v>0.93286457069131212</v>
      </c>
      <c r="O43" s="103">
        <f t="shared" ref="O43:O49" si="9">L43*M43</f>
        <v>2725.2371837218657</v>
      </c>
      <c r="P43" s="103">
        <f t="shared" ref="P43:P49" si="10">L43*N43</f>
        <v>3094.8394538095758</v>
      </c>
      <c r="Q43" s="104">
        <f t="shared" ref="Q43:Q49" si="11">O43/$O$12</f>
        <v>0.87734298412774103</v>
      </c>
      <c r="R43" s="116">
        <f t="shared" ref="R43:R49" si="12">P43/P$12</f>
        <v>0.99633004349858278</v>
      </c>
    </row>
    <row r="44" spans="1:18" x14ac:dyDescent="0.2">
      <c r="A44" s="17">
        <f t="shared" si="0"/>
        <v>2037</v>
      </c>
      <c r="B44" s="209">
        <f t="shared" ref="B44:B50" si="13">B43*(1+(B43/B42-1))</f>
        <v>13161.216370549286</v>
      </c>
      <c r="C44" s="209">
        <f t="shared" ref="C44:C50" si="14">C43*(1+(C43/C42-1))</f>
        <v>1256.2287261772299</v>
      </c>
      <c r="D44" s="209">
        <f t="shared" ref="D44:D50" si="15">D43*(1+(D43/D42-1))</f>
        <v>1144.2701056248366</v>
      </c>
      <c r="F44" s="209">
        <f t="shared" ref="F44:F50" si="16">F43*(1+(F43/F42-1))</f>
        <v>6887160.9600951653</v>
      </c>
      <c r="G44" s="209">
        <f t="shared" ref="G44:G50" si="17">G43*(1+(G43/G42-1))</f>
        <v>1344869.099430681</v>
      </c>
      <c r="H44" s="209">
        <f t="shared" ref="H44:H50" si="18">H43*(1+(H43/H42-1))</f>
        <v>988285.23752699641</v>
      </c>
      <c r="I44" s="102">
        <f t="shared" si="5"/>
        <v>9220315.2970528435</v>
      </c>
      <c r="K44" s="103">
        <f t="shared" si="6"/>
        <v>1687.7638888689041</v>
      </c>
      <c r="L44" s="103">
        <f t="shared" si="7"/>
        <v>3322.3799999712219</v>
      </c>
      <c r="M44" s="210">
        <f t="shared" ref="M44:M50" si="19">M43*(1+(M43/M42-1))</f>
        <v>0.81755288754590627</v>
      </c>
      <c r="N44" s="210">
        <f t="shared" ref="N44:N50" si="20">N43*(1+(N43/N42-1))</f>
        <v>0.93177021422074013</v>
      </c>
      <c r="O44" s="103">
        <f t="shared" si="9"/>
        <v>2716.2213625012405</v>
      </c>
      <c r="P44" s="103">
        <f t="shared" si="10"/>
        <v>3095.6947242958881</v>
      </c>
      <c r="Q44" s="104">
        <f t="shared" si="11"/>
        <v>0.8744404963951824</v>
      </c>
      <c r="R44" s="116">
        <f t="shared" si="12"/>
        <v>0.99660538304156987</v>
      </c>
    </row>
    <row r="45" spans="1:18" x14ac:dyDescent="0.2">
      <c r="A45" s="17">
        <f t="shared" si="0"/>
        <v>2038</v>
      </c>
      <c r="B45" s="209">
        <f t="shared" si="13"/>
        <v>13281.452359879671</v>
      </c>
      <c r="C45" s="209">
        <f t="shared" si="14"/>
        <v>1279.4726555093569</v>
      </c>
      <c r="D45" s="209">
        <f t="shared" si="15"/>
        <v>1154.5418300918457</v>
      </c>
      <c r="F45" s="209">
        <f t="shared" si="16"/>
        <v>6931370.5057149064</v>
      </c>
      <c r="G45" s="209">
        <f t="shared" si="17"/>
        <v>1366497.9501789655</v>
      </c>
      <c r="H45" s="209">
        <f t="shared" si="18"/>
        <v>995145.12474764779</v>
      </c>
      <c r="I45" s="102">
        <f t="shared" si="5"/>
        <v>9293013.5806415193</v>
      </c>
      <c r="K45" s="103">
        <f t="shared" si="6"/>
        <v>1691.1055503263344</v>
      </c>
      <c r="L45" s="103">
        <f t="shared" si="7"/>
        <v>3327.1919924699214</v>
      </c>
      <c r="M45" s="210">
        <f t="shared" si="19"/>
        <v>0.81366743175041245</v>
      </c>
      <c r="N45" s="210">
        <f t="shared" si="20"/>
        <v>0.93067714155504433</v>
      </c>
      <c r="O45" s="103">
        <f t="shared" si="9"/>
        <v>2707.2277634535385</v>
      </c>
      <c r="P45" s="103">
        <f t="shared" si="10"/>
        <v>3096.541532956739</v>
      </c>
      <c r="Q45" s="104">
        <f t="shared" si="11"/>
        <v>0.87154516270691118</v>
      </c>
      <c r="R45" s="116">
        <f t="shared" si="12"/>
        <v>0.99687799844617908</v>
      </c>
    </row>
    <row r="46" spans="1:18" x14ac:dyDescent="0.2">
      <c r="A46" s="17">
        <f t="shared" si="0"/>
        <v>2039</v>
      </c>
      <c r="B46" s="209">
        <f t="shared" si="13"/>
        <v>13402.786780595367</v>
      </c>
      <c r="C46" s="209">
        <f t="shared" si="14"/>
        <v>1303.1466659561236</v>
      </c>
      <c r="D46" s="209">
        <f t="shared" si="15"/>
        <v>1164.9057603440165</v>
      </c>
      <c r="F46" s="209">
        <f t="shared" si="16"/>
        <v>6975863.8379246853</v>
      </c>
      <c r="G46" s="209">
        <f t="shared" si="17"/>
        <v>1388474.6468141763</v>
      </c>
      <c r="H46" s="209">
        <f t="shared" si="18"/>
        <v>1002052.6278294829</v>
      </c>
      <c r="I46" s="102">
        <f t="shared" si="5"/>
        <v>9366391.1125683449</v>
      </c>
      <c r="K46" s="103">
        <f t="shared" si="6"/>
        <v>1694.4454930564591</v>
      </c>
      <c r="L46" s="103">
        <f t="shared" si="7"/>
        <v>3332.0015100013011</v>
      </c>
      <c r="M46" s="210">
        <f t="shared" si="19"/>
        <v>0.80980044175324029</v>
      </c>
      <c r="N46" s="210">
        <f t="shared" si="20"/>
        <v>0.9295853511881752</v>
      </c>
      <c r="O46" s="103">
        <f t="shared" si="9"/>
        <v>2698.2562947215174</v>
      </c>
      <c r="P46" s="103">
        <f t="shared" si="10"/>
        <v>3097.3797938340895</v>
      </c>
      <c r="Q46" s="104">
        <f t="shared" si="11"/>
        <v>0.86865695349107674</v>
      </c>
      <c r="R46" s="116">
        <f t="shared" si="12"/>
        <v>0.99714786203970585</v>
      </c>
    </row>
    <row r="47" spans="1:18" x14ac:dyDescent="0.2">
      <c r="A47" s="17">
        <f t="shared" si="0"/>
        <v>2040</v>
      </c>
      <c r="B47" s="209">
        <f t="shared" si="13"/>
        <v>13525.229667557938</v>
      </c>
      <c r="C47" s="209">
        <f t="shared" si="14"/>
        <v>1327.2587152841593</v>
      </c>
      <c r="D47" s="209">
        <f t="shared" si="15"/>
        <v>1175.3627240813953</v>
      </c>
      <c r="F47" s="209">
        <f t="shared" si="16"/>
        <v>7020642.778386035</v>
      </c>
      <c r="G47" s="209">
        <f t="shared" si="17"/>
        <v>1410804.783566098</v>
      </c>
      <c r="H47" s="209">
        <f t="shared" si="18"/>
        <v>1009008.0772838008</v>
      </c>
      <c r="I47" s="102">
        <f t="shared" si="5"/>
        <v>9440455.6392359342</v>
      </c>
      <c r="K47" s="103">
        <f t="shared" si="6"/>
        <v>1697.7836366614938</v>
      </c>
      <c r="L47" s="103">
        <f t="shared" si="7"/>
        <v>3336.8084367925508</v>
      </c>
      <c r="M47" s="210">
        <f t="shared" si="19"/>
        <v>0.80595182979487701</v>
      </c>
      <c r="N47" s="210">
        <f t="shared" si="20"/>
        <v>0.92849484161585016</v>
      </c>
      <c r="O47" s="103">
        <f t="shared" si="9"/>
        <v>2689.3068653079395</v>
      </c>
      <c r="P47" s="103">
        <f t="shared" si="10"/>
        <v>3098.2094210221321</v>
      </c>
      <c r="Q47" s="104">
        <f t="shared" si="11"/>
        <v>0.8657758394526921</v>
      </c>
      <c r="R47" s="116">
        <f t="shared" si="12"/>
        <v>0.99741494616626136</v>
      </c>
    </row>
    <row r="48" spans="1:18" x14ac:dyDescent="0.2">
      <c r="A48" s="17">
        <f t="shared" si="0"/>
        <v>2041</v>
      </c>
      <c r="B48" s="209">
        <f t="shared" si="13"/>
        <v>13648.791147303724</v>
      </c>
      <c r="C48" s="209">
        <f t="shared" si="14"/>
        <v>1351.8169085022007</v>
      </c>
      <c r="D48" s="209">
        <f t="shared" si="15"/>
        <v>1185.9135564340111</v>
      </c>
      <c r="F48" s="209">
        <f t="shared" si="16"/>
        <v>7065709.1604539631</v>
      </c>
      <c r="G48" s="209">
        <f t="shared" si="17"/>
        <v>1433494.0446336875</v>
      </c>
      <c r="H48" s="209">
        <f t="shared" si="18"/>
        <v>1016011.805916046</v>
      </c>
      <c r="I48" s="102">
        <f t="shared" si="5"/>
        <v>9515215.0110036973</v>
      </c>
      <c r="K48" s="103">
        <f t="shared" si="6"/>
        <v>1701.1199004458992</v>
      </c>
      <c r="L48" s="103">
        <f t="shared" si="7"/>
        <v>3341.6126566420949</v>
      </c>
      <c r="M48" s="210">
        <f t="shared" si="19"/>
        <v>0.80212150853289066</v>
      </c>
      <c r="N48" s="210">
        <f t="shared" si="20"/>
        <v>0.92740561133555122</v>
      </c>
      <c r="O48" s="103">
        <f t="shared" si="9"/>
        <v>2680.3793850783577</v>
      </c>
      <c r="P48" s="103">
        <f t="shared" si="10"/>
        <v>3099.0303286797775</v>
      </c>
      <c r="Q48" s="104">
        <f t="shared" si="11"/>
        <v>0.86290179157453051</v>
      </c>
      <c r="R48" s="116">
        <f t="shared" si="12"/>
        <v>0.99767922319079116</v>
      </c>
    </row>
    <row r="49" spans="1:18" x14ac:dyDescent="0.2">
      <c r="A49" s="17">
        <f t="shared" si="0"/>
        <v>2042</v>
      </c>
      <c r="B49" s="209">
        <f t="shared" si="13"/>
        <v>13773.481438881339</v>
      </c>
      <c r="C49" s="209">
        <f t="shared" si="14"/>
        <v>1376.8295005855045</v>
      </c>
      <c r="D49" s="209">
        <f t="shared" si="15"/>
        <v>1196.5591000285713</v>
      </c>
      <c r="F49" s="209">
        <f t="shared" si="16"/>
        <v>7111064.8292520093</v>
      </c>
      <c r="G49" s="209">
        <f t="shared" si="17"/>
        <v>1456548.2056320044</v>
      </c>
      <c r="H49" s="209">
        <f t="shared" si="18"/>
        <v>1023064.148841733</v>
      </c>
      <c r="I49" s="102">
        <f t="shared" si="5"/>
        <v>9590677.1837257463</v>
      </c>
      <c r="K49" s="103">
        <f t="shared" si="6"/>
        <v>1704.4542034251906</v>
      </c>
      <c r="L49" s="103">
        <f t="shared" si="7"/>
        <v>3346.4140529322744</v>
      </c>
      <c r="M49" s="210">
        <f t="shared" si="19"/>
        <v>0.79830939103994814</v>
      </c>
      <c r="N49" s="210">
        <f t="shared" si="20"/>
        <v>0.92631765884652295</v>
      </c>
      <c r="O49" s="103">
        <f t="shared" si="9"/>
        <v>2671.473764763889</v>
      </c>
      <c r="P49" s="103">
        <f t="shared" si="10"/>
        <v>3099.8424310433288</v>
      </c>
      <c r="Q49" s="104">
        <f t="shared" si="11"/>
        <v>0.86003478111801901</v>
      </c>
      <c r="R49" s="116">
        <f t="shared" si="12"/>
        <v>0.99794066550315608</v>
      </c>
    </row>
    <row r="50" spans="1:18" x14ac:dyDescent="0.2">
      <c r="A50" s="17">
        <f t="shared" si="0"/>
        <v>2043</v>
      </c>
      <c r="B50" s="209">
        <f t="shared" si="13"/>
        <v>13899.31085469684</v>
      </c>
      <c r="C50" s="209">
        <f t="shared" si="14"/>
        <v>1402.3048992506695</v>
      </c>
      <c r="D50" s="209">
        <f t="shared" si="15"/>
        <v>1207.3002050557577</v>
      </c>
      <c r="F50" s="209">
        <f t="shared" si="16"/>
        <v>7156711.6417477941</v>
      </c>
      <c r="G50" s="209">
        <f t="shared" si="17"/>
        <v>1479973.1350624096</v>
      </c>
      <c r="H50" s="209">
        <f t="shared" si="18"/>
        <v>1030165.4435024804</v>
      </c>
      <c r="I50" s="102">
        <f t="shared" ref="I50" si="21">(F50+G50+H50)</f>
        <v>9666850.2203126829</v>
      </c>
      <c r="K50" s="103">
        <f t="shared" ref="K50" si="22">(SUM(B50:D50)*1000000)/I50</f>
        <v>1707.7864643349437</v>
      </c>
      <c r="L50" s="103">
        <f t="shared" ref="L50" si="23">892 + 1.44*K50</f>
        <v>3351.2125086423189</v>
      </c>
      <c r="M50" s="210">
        <f t="shared" si="19"/>
        <v>0.79451539080184219</v>
      </c>
      <c r="N50" s="210">
        <f t="shared" si="20"/>
        <v>0.92523098264977066</v>
      </c>
      <c r="O50" s="103">
        <f t="shared" ref="O50" si="24">L50*M50</f>
        <v>2662.5899159639739</v>
      </c>
      <c r="P50" s="103">
        <f t="shared" ref="P50" si="25">L50*N50</f>
        <v>3100.6456424393359</v>
      </c>
      <c r="Q50" s="104">
        <f t="shared" ref="Q50" si="26">O50/$O$12</f>
        <v>0.85717477962412614</v>
      </c>
      <c r="R50" s="116">
        <f t="shared" ref="R50" si="27">P50/P$12</f>
        <v>0.99819924552227057</v>
      </c>
    </row>
  </sheetData>
  <phoneticPr fontId="14" type="noConversion"/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tabSelected="1" workbookViewId="0"/>
  </sheetViews>
  <sheetFormatPr defaultRowHeight="12.75" x14ac:dyDescent="0.2"/>
  <cols>
    <col min="1" max="14" width="8.7109375" style="1" customWidth="1"/>
  </cols>
  <sheetData>
    <row r="1" spans="1:17" x14ac:dyDescent="0.2">
      <c r="A1" s="22" t="s">
        <v>15</v>
      </c>
      <c r="B1" s="22" t="s">
        <v>18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10</v>
      </c>
      <c r="I1" s="3" t="s">
        <v>11</v>
      </c>
      <c r="J1" s="3" t="s">
        <v>12</v>
      </c>
      <c r="K1" s="3" t="s">
        <v>100</v>
      </c>
      <c r="L1" s="3" t="s">
        <v>174</v>
      </c>
      <c r="M1" s="3" t="s">
        <v>13</v>
      </c>
      <c r="N1" s="3" t="s">
        <v>14</v>
      </c>
    </row>
    <row r="2" spans="1:17" s="2" customFormat="1" x14ac:dyDescent="0.2">
      <c r="A2" s="56">
        <v>2001</v>
      </c>
      <c r="B2" s="57">
        <v>1</v>
      </c>
      <c r="C2" s="58">
        <v>0.1015625</v>
      </c>
      <c r="D2" s="58">
        <f>1/12</f>
        <v>8.3333333333333329E-2</v>
      </c>
      <c r="E2" s="58">
        <v>7.5709779179810713E-2</v>
      </c>
      <c r="F2" s="58">
        <v>7.5709779179810713E-2</v>
      </c>
      <c r="G2" s="58">
        <v>7.8171091445427721E-2</v>
      </c>
      <c r="H2" s="58">
        <f>1/12</f>
        <v>8.3333333333333329E-2</v>
      </c>
      <c r="I2" s="58">
        <f>1/12</f>
        <v>8.3333333333333329E-2</v>
      </c>
      <c r="J2" s="58">
        <f>1/12</f>
        <v>8.3333333333333329E-2</v>
      </c>
      <c r="K2" s="58">
        <f t="shared" ref="K2:K13" si="0">1/12</f>
        <v>8.3333333333333329E-2</v>
      </c>
      <c r="L2" s="58">
        <v>0.22752497225305215</v>
      </c>
      <c r="M2" s="58">
        <v>9.8182753897774241E-2</v>
      </c>
      <c r="N2" s="58">
        <f t="shared" ref="N2:N13" si="1">1/12</f>
        <v>8.3333333333333329E-2</v>
      </c>
      <c r="P2" s="123" t="e">
        <f>#REF!</f>
        <v>#REF!</v>
      </c>
      <c r="Q2" s="138" t="e">
        <f>P2/(SUM(P$2:P$13))</f>
        <v>#REF!</v>
      </c>
    </row>
    <row r="3" spans="1:17" x14ac:dyDescent="0.2">
      <c r="A3" s="56">
        <v>2001</v>
      </c>
      <c r="B3" s="57">
        <v>2</v>
      </c>
      <c r="C3" s="58">
        <v>9.765625E-2</v>
      </c>
      <c r="D3" s="58">
        <f t="shared" ref="D3:D13" si="2">1/12</f>
        <v>8.3333333333333329E-2</v>
      </c>
      <c r="E3" s="58">
        <v>7.7812828601472123E-2</v>
      </c>
      <c r="F3" s="58">
        <v>7.7812828601472123E-2</v>
      </c>
      <c r="G3" s="58">
        <v>7.8171091445427721E-2</v>
      </c>
      <c r="H3" s="58">
        <f t="shared" ref="H3:J13" si="3">1/12</f>
        <v>8.3333333333333329E-2</v>
      </c>
      <c r="I3" s="58">
        <f t="shared" si="3"/>
        <v>8.3333333333333329E-2</v>
      </c>
      <c r="J3" s="58">
        <f t="shared" si="3"/>
        <v>8.3333333333333329E-2</v>
      </c>
      <c r="K3" s="58">
        <f t="shared" si="0"/>
        <v>8.3333333333333329E-2</v>
      </c>
      <c r="L3" s="58">
        <v>0.17286348501664817</v>
      </c>
      <c r="M3" s="58">
        <v>9.4422296773449807E-2</v>
      </c>
      <c r="N3" s="58">
        <f t="shared" si="1"/>
        <v>8.3333333333333329E-2</v>
      </c>
      <c r="P3" s="123" t="e">
        <f>#REF!</f>
        <v>#REF!</v>
      </c>
      <c r="Q3" s="138" t="e">
        <f t="shared" ref="Q3:Q13" si="4">P3/(SUM(P$2:P$13))</f>
        <v>#REF!</v>
      </c>
    </row>
    <row r="4" spans="1:17" x14ac:dyDescent="0.2">
      <c r="A4" s="56">
        <v>2001</v>
      </c>
      <c r="B4" s="57">
        <v>3</v>
      </c>
      <c r="C4" s="58">
        <v>9.375E-2</v>
      </c>
      <c r="D4" s="58">
        <f t="shared" si="2"/>
        <v>8.3333333333333329E-2</v>
      </c>
      <c r="E4" s="58">
        <v>7.8864353312302821E-2</v>
      </c>
      <c r="F4" s="58">
        <v>7.8864353312302821E-2</v>
      </c>
      <c r="G4" s="58">
        <v>7.9646017699115029E-2</v>
      </c>
      <c r="H4" s="58">
        <f t="shared" si="3"/>
        <v>8.3333333333333329E-2</v>
      </c>
      <c r="I4" s="58">
        <f t="shared" si="3"/>
        <v>8.3333333333333329E-2</v>
      </c>
      <c r="J4" s="58">
        <f t="shared" si="3"/>
        <v>8.3333333333333329E-2</v>
      </c>
      <c r="K4" s="58">
        <f t="shared" si="0"/>
        <v>8.3333333333333329E-2</v>
      </c>
      <c r="L4" s="58">
        <v>0.12541620421753608</v>
      </c>
      <c r="M4" s="58">
        <v>9.0621776199670406E-2</v>
      </c>
      <c r="N4" s="58">
        <f t="shared" si="1"/>
        <v>8.3333333333333329E-2</v>
      </c>
      <c r="P4" s="123" t="e">
        <f>#REF!</f>
        <v>#REF!</v>
      </c>
      <c r="Q4" s="138" t="e">
        <f t="shared" si="4"/>
        <v>#REF!</v>
      </c>
    </row>
    <row r="5" spans="1:17" x14ac:dyDescent="0.2">
      <c r="A5" s="56">
        <v>2001</v>
      </c>
      <c r="B5" s="57">
        <v>4</v>
      </c>
      <c r="C5" s="58">
        <v>8.59375E-2</v>
      </c>
      <c r="D5" s="58">
        <f t="shared" si="2"/>
        <v>8.3333333333333329E-2</v>
      </c>
      <c r="E5" s="58">
        <v>7.9915878023133546E-2</v>
      </c>
      <c r="F5" s="58">
        <v>7.9915878023133546E-2</v>
      </c>
      <c r="G5" s="58">
        <v>8.1120943952802352E-2</v>
      </c>
      <c r="H5" s="58">
        <f t="shared" si="3"/>
        <v>8.3333333333333329E-2</v>
      </c>
      <c r="I5" s="58">
        <f t="shared" si="3"/>
        <v>8.3333333333333329E-2</v>
      </c>
      <c r="J5" s="58">
        <f t="shared" si="3"/>
        <v>8.3333333333333329E-2</v>
      </c>
      <c r="K5" s="58">
        <f t="shared" si="0"/>
        <v>8.3333333333333329E-2</v>
      </c>
      <c r="L5" s="58">
        <v>5.9933407325194227E-2</v>
      </c>
      <c r="M5" s="58">
        <v>8.5759184176289791E-2</v>
      </c>
      <c r="N5" s="58">
        <f t="shared" si="1"/>
        <v>8.3333333333333329E-2</v>
      </c>
      <c r="P5" s="123" t="e">
        <f>#REF!</f>
        <v>#REF!</v>
      </c>
      <c r="Q5" s="138" t="e">
        <f t="shared" si="4"/>
        <v>#REF!</v>
      </c>
    </row>
    <row r="6" spans="1:17" x14ac:dyDescent="0.2">
      <c r="A6" s="56">
        <v>2001</v>
      </c>
      <c r="B6" s="57">
        <v>5</v>
      </c>
      <c r="C6" s="58">
        <v>8.203125E-2</v>
      </c>
      <c r="D6" s="58">
        <f t="shared" si="2"/>
        <v>8.3333333333333329E-2</v>
      </c>
      <c r="E6" s="58">
        <v>8.4121976866456366E-2</v>
      </c>
      <c r="F6" s="58">
        <v>8.4121976866456366E-2</v>
      </c>
      <c r="G6" s="58">
        <v>8.259587020648966E-2</v>
      </c>
      <c r="H6" s="58">
        <f t="shared" si="3"/>
        <v>8.3333333333333329E-2</v>
      </c>
      <c r="I6" s="58">
        <f t="shared" si="3"/>
        <v>8.3333333333333329E-2</v>
      </c>
      <c r="J6" s="58">
        <f t="shared" si="3"/>
        <v>8.3333333333333329E-2</v>
      </c>
      <c r="K6" s="58">
        <f t="shared" si="0"/>
        <v>8.3333333333333329E-2</v>
      </c>
      <c r="L6" s="58">
        <v>2.1087680355160933E-2</v>
      </c>
      <c r="M6" s="58">
        <v>7.8758507816662299E-2</v>
      </c>
      <c r="N6" s="58">
        <f t="shared" si="1"/>
        <v>8.3333333333333329E-2</v>
      </c>
      <c r="P6" s="123" t="e">
        <f>#REF!</f>
        <v>#REF!</v>
      </c>
      <c r="Q6" s="138" t="e">
        <f t="shared" si="4"/>
        <v>#REF!</v>
      </c>
    </row>
    <row r="7" spans="1:17" x14ac:dyDescent="0.2">
      <c r="A7" s="56">
        <v>2001</v>
      </c>
      <c r="B7" s="57">
        <v>6</v>
      </c>
      <c r="C7" s="58">
        <v>7.8125E-2</v>
      </c>
      <c r="D7" s="58">
        <f t="shared" si="2"/>
        <v>8.3333333333333329E-2</v>
      </c>
      <c r="E7" s="58">
        <v>9.0431125131440568E-2</v>
      </c>
      <c r="F7" s="58">
        <v>9.0431125131440568E-2</v>
      </c>
      <c r="G7" s="58">
        <v>8.7020648967551628E-2</v>
      </c>
      <c r="H7" s="58">
        <f t="shared" si="3"/>
        <v>8.3333333333333329E-2</v>
      </c>
      <c r="I7" s="58">
        <f t="shared" si="3"/>
        <v>8.3333333333333329E-2</v>
      </c>
      <c r="J7" s="58">
        <f t="shared" si="3"/>
        <v>8.3333333333333329E-2</v>
      </c>
      <c r="K7" s="58">
        <f t="shared" si="0"/>
        <v>8.3333333333333329E-2</v>
      </c>
      <c r="L7" s="58">
        <v>1.9422863485016649E-3</v>
      </c>
      <c r="M7" s="58">
        <v>7.0474300891255795E-2</v>
      </c>
      <c r="N7" s="58">
        <f t="shared" si="1"/>
        <v>8.3333333333333329E-2</v>
      </c>
      <c r="P7" s="123" t="e">
        <f>#REF!</f>
        <v>#REF!</v>
      </c>
      <c r="Q7" s="138" t="e">
        <f t="shared" si="4"/>
        <v>#REF!</v>
      </c>
    </row>
    <row r="8" spans="1:17" x14ac:dyDescent="0.2">
      <c r="A8" s="56">
        <v>2001</v>
      </c>
      <c r="B8" s="57">
        <v>7</v>
      </c>
      <c r="C8" s="58">
        <v>6.640625E-2</v>
      </c>
      <c r="D8" s="58">
        <f t="shared" si="2"/>
        <v>8.3333333333333329E-2</v>
      </c>
      <c r="E8" s="58">
        <v>9.2534174553102019E-2</v>
      </c>
      <c r="F8" s="58">
        <v>9.2534174553102019E-2</v>
      </c>
      <c r="G8" s="58">
        <v>9.4395280235988185E-2</v>
      </c>
      <c r="H8" s="58">
        <f t="shared" si="3"/>
        <v>8.3333333333333329E-2</v>
      </c>
      <c r="I8" s="58">
        <f t="shared" si="3"/>
        <v>8.3333333333333329E-2</v>
      </c>
      <c r="J8" s="58">
        <f t="shared" si="3"/>
        <v>8.3333333333333329E-2</v>
      </c>
      <c r="K8" s="58">
        <f t="shared" si="0"/>
        <v>8.3333333333333329E-2</v>
      </c>
      <c r="L8" s="58">
        <v>0</v>
      </c>
      <c r="M8" s="58">
        <v>6.7537871687453455E-2</v>
      </c>
      <c r="N8" s="58">
        <f t="shared" si="1"/>
        <v>8.3333333333333329E-2</v>
      </c>
      <c r="P8" s="123" t="e">
        <f>#REF!</f>
        <v>#REF!</v>
      </c>
      <c r="Q8" s="138" t="e">
        <f t="shared" si="4"/>
        <v>#REF!</v>
      </c>
    </row>
    <row r="9" spans="1:17" s="2" customFormat="1" x14ac:dyDescent="0.2">
      <c r="A9" s="56">
        <v>2001</v>
      </c>
      <c r="B9" s="57">
        <v>8</v>
      </c>
      <c r="C9" s="58">
        <v>6.25E-2</v>
      </c>
      <c r="D9" s="58">
        <f t="shared" si="2"/>
        <v>8.3333333333333329E-2</v>
      </c>
      <c r="E9" s="58">
        <v>9.2534174553101992E-2</v>
      </c>
      <c r="F9" s="58">
        <v>9.2534174553101992E-2</v>
      </c>
      <c r="G9" s="58">
        <v>9.4395280235988185E-2</v>
      </c>
      <c r="H9" s="58">
        <f t="shared" si="3"/>
        <v>8.3333333333333329E-2</v>
      </c>
      <c r="I9" s="58">
        <f t="shared" si="3"/>
        <v>8.3333333333333329E-2</v>
      </c>
      <c r="J9" s="58">
        <f t="shared" si="3"/>
        <v>8.3333333333333329E-2</v>
      </c>
      <c r="K9" s="58">
        <f t="shared" si="0"/>
        <v>8.3333333333333329E-2</v>
      </c>
      <c r="L9" s="58">
        <v>2.7746947835738069E-4</v>
      </c>
      <c r="M9" s="58">
        <v>7.0007562503699813E-2</v>
      </c>
      <c r="N9" s="58">
        <f t="shared" si="1"/>
        <v>8.3333333333333329E-2</v>
      </c>
      <c r="P9" s="123" t="e">
        <f>#REF!</f>
        <v>#REF!</v>
      </c>
      <c r="Q9" s="138" t="e">
        <f t="shared" si="4"/>
        <v>#REF!</v>
      </c>
    </row>
    <row r="10" spans="1:17" x14ac:dyDescent="0.2">
      <c r="A10" s="56">
        <v>2001</v>
      </c>
      <c r="B10" s="57">
        <v>9</v>
      </c>
      <c r="C10" s="58">
        <v>7.03125E-2</v>
      </c>
      <c r="D10" s="58">
        <f t="shared" si="2"/>
        <v>8.3333333333333329E-2</v>
      </c>
      <c r="E10" s="58">
        <v>8.6225026288117762E-2</v>
      </c>
      <c r="F10" s="58">
        <v>8.6225026288117762E-2</v>
      </c>
      <c r="G10" s="58">
        <v>8.5545722713864278E-2</v>
      </c>
      <c r="H10" s="58">
        <f t="shared" si="3"/>
        <v>8.3333333333333329E-2</v>
      </c>
      <c r="I10" s="58">
        <f t="shared" si="3"/>
        <v>8.3333333333333329E-2</v>
      </c>
      <c r="J10" s="58">
        <f t="shared" si="3"/>
        <v>8.3333333333333329E-2</v>
      </c>
      <c r="K10" s="58">
        <f t="shared" si="0"/>
        <v>8.3333333333333329E-2</v>
      </c>
      <c r="L10" s="58">
        <v>8.8790233074361822E-3</v>
      </c>
      <c r="M10" s="58">
        <v>7.5335892792489145E-2</v>
      </c>
      <c r="N10" s="58">
        <f t="shared" si="1"/>
        <v>8.3333333333333329E-2</v>
      </c>
      <c r="P10" s="123" t="e">
        <f>#REF!</f>
        <v>#REF!</v>
      </c>
      <c r="Q10" s="138" t="e">
        <f t="shared" si="4"/>
        <v>#REF!</v>
      </c>
    </row>
    <row r="11" spans="1:17" x14ac:dyDescent="0.2">
      <c r="A11" s="56">
        <v>2001</v>
      </c>
      <c r="B11" s="57">
        <v>10</v>
      </c>
      <c r="C11" s="58">
        <v>7.8125E-2</v>
      </c>
      <c r="D11" s="58">
        <f t="shared" si="2"/>
        <v>8.3333333333333329E-2</v>
      </c>
      <c r="E11" s="58">
        <v>8.4121976866456352E-2</v>
      </c>
      <c r="F11" s="58">
        <v>8.4121976866456352E-2</v>
      </c>
      <c r="G11" s="58">
        <v>8.1120943952802352E-2</v>
      </c>
      <c r="H11" s="58">
        <f t="shared" si="3"/>
        <v>8.3333333333333329E-2</v>
      </c>
      <c r="I11" s="58">
        <f t="shared" si="3"/>
        <v>8.3333333333333329E-2</v>
      </c>
      <c r="J11" s="58">
        <f t="shared" si="3"/>
        <v>8.3333333333333329E-2</v>
      </c>
      <c r="K11" s="58">
        <f t="shared" si="0"/>
        <v>8.3333333333333329E-2</v>
      </c>
      <c r="L11" s="58">
        <v>5.9100998890122089E-2</v>
      </c>
      <c r="M11" s="58">
        <v>8.2900544703746845E-2</v>
      </c>
      <c r="N11" s="58">
        <f t="shared" si="1"/>
        <v>8.3333333333333329E-2</v>
      </c>
      <c r="P11" s="123" t="e">
        <f>#REF!</f>
        <v>#REF!</v>
      </c>
      <c r="Q11" s="138" t="e">
        <f t="shared" si="4"/>
        <v>#REF!</v>
      </c>
    </row>
    <row r="12" spans="1:17" s="2" customFormat="1" x14ac:dyDescent="0.2">
      <c r="A12" s="56">
        <v>2001</v>
      </c>
      <c r="B12" s="57">
        <v>11</v>
      </c>
      <c r="C12" s="58">
        <v>8.59375E-2</v>
      </c>
      <c r="D12" s="58">
        <f t="shared" si="2"/>
        <v>8.3333333333333329E-2</v>
      </c>
      <c r="E12" s="58">
        <v>7.9915878023133533E-2</v>
      </c>
      <c r="F12" s="58">
        <v>7.9915878023133533E-2</v>
      </c>
      <c r="G12" s="58">
        <v>7.9646017699115015E-2</v>
      </c>
      <c r="H12" s="58">
        <f t="shared" si="3"/>
        <v>8.3333333333333329E-2</v>
      </c>
      <c r="I12" s="58">
        <f t="shared" si="3"/>
        <v>8.3333333333333329E-2</v>
      </c>
      <c r="J12" s="58">
        <f t="shared" si="3"/>
        <v>8.3333333333333329E-2</v>
      </c>
      <c r="K12" s="58">
        <f t="shared" si="0"/>
        <v>8.3333333333333329E-2</v>
      </c>
      <c r="L12" s="58">
        <v>0.12458379578246392</v>
      </c>
      <c r="M12" s="58">
        <v>9.0621776199670406E-2</v>
      </c>
      <c r="N12" s="58">
        <f t="shared" si="1"/>
        <v>8.3333333333333329E-2</v>
      </c>
      <c r="P12" s="123" t="e">
        <f>#REF!</f>
        <v>#REF!</v>
      </c>
      <c r="Q12" s="138" t="e">
        <f t="shared" si="4"/>
        <v>#REF!</v>
      </c>
    </row>
    <row r="13" spans="1:17" x14ac:dyDescent="0.2">
      <c r="A13" s="56">
        <v>2001</v>
      </c>
      <c r="B13" s="57">
        <v>12</v>
      </c>
      <c r="C13" s="58">
        <v>9.765625E-2</v>
      </c>
      <c r="D13" s="58">
        <f t="shared" si="2"/>
        <v>8.3333333333333329E-2</v>
      </c>
      <c r="E13" s="58">
        <v>7.7812828601472123E-2</v>
      </c>
      <c r="F13" s="58">
        <v>7.7812828601472123E-2</v>
      </c>
      <c r="G13" s="58">
        <v>7.8171091445427721E-2</v>
      </c>
      <c r="H13" s="58">
        <f t="shared" si="3"/>
        <v>8.3333333333333329E-2</v>
      </c>
      <c r="I13" s="58">
        <f t="shared" si="3"/>
        <v>8.3333333333333329E-2</v>
      </c>
      <c r="J13" s="58">
        <f t="shared" si="3"/>
        <v>8.3333333333333329E-2</v>
      </c>
      <c r="K13" s="58">
        <f t="shared" si="0"/>
        <v>8.3333333333333329E-2</v>
      </c>
      <c r="L13" s="58">
        <v>0.19839067702552718</v>
      </c>
      <c r="M13" s="58">
        <v>9.5377532357837844E-2</v>
      </c>
      <c r="N13" s="58">
        <f t="shared" si="1"/>
        <v>8.3333333333333329E-2</v>
      </c>
      <c r="P13" s="123" t="e">
        <f>#REF!</f>
        <v>#REF!</v>
      </c>
      <c r="Q13" s="138" t="e">
        <f t="shared" si="4"/>
        <v>#REF!</v>
      </c>
    </row>
  </sheetData>
  <phoneticPr fontId="0" type="noConversion"/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tabSelected="1" workbookViewId="0">
      <pane xSplit="3" ySplit="1" topLeftCell="D2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" style="147" bestFit="1" customWidth="1"/>
    <col min="2" max="2" width="7.140625" style="147" bestFit="1" customWidth="1"/>
    <col min="3" max="4" width="7.140625" style="147" customWidth="1"/>
    <col min="5" max="5" width="19.5703125" style="147" customWidth="1"/>
    <col min="6" max="6" width="18.28515625" style="147" hidden="1" customWidth="1"/>
    <col min="7" max="7" width="27.42578125" style="147" bestFit="1" customWidth="1"/>
    <col min="8" max="8" width="11.42578125" style="147" customWidth="1"/>
    <col min="9" max="9" width="20.42578125" style="147" customWidth="1"/>
    <col min="10" max="10" width="12.7109375" style="147" bestFit="1" customWidth="1"/>
    <col min="11" max="13" width="7.140625" style="147" customWidth="1"/>
    <col min="14" max="14" width="5.7109375" style="170" customWidth="1"/>
    <col min="15" max="15" width="8.7109375" style="170" customWidth="1"/>
    <col min="16" max="16" width="26.5703125" style="150" bestFit="1" customWidth="1"/>
    <col min="17" max="17" width="34.28515625" style="150" bestFit="1" customWidth="1"/>
    <col min="18" max="18" width="26.5703125" style="150" customWidth="1"/>
    <col min="19" max="19" width="19.7109375" style="150" bestFit="1" customWidth="1"/>
    <col min="20" max="20" width="19.7109375" style="150" customWidth="1"/>
    <col min="21" max="21" width="20.140625" style="170" bestFit="1" customWidth="1"/>
    <col min="22" max="22" width="20.140625" style="170" customWidth="1"/>
    <col min="23" max="23" width="10.28515625" style="170" customWidth="1"/>
    <col min="24" max="16384" width="9.140625" style="170"/>
  </cols>
  <sheetData>
    <row r="1" spans="1:26" x14ac:dyDescent="0.2">
      <c r="A1" s="144" t="s">
        <v>15</v>
      </c>
      <c r="B1" s="144" t="s">
        <v>18</v>
      </c>
      <c r="C1" s="144" t="s">
        <v>188</v>
      </c>
      <c r="D1" s="144" t="s">
        <v>187</v>
      </c>
      <c r="E1" s="146" t="s">
        <v>235</v>
      </c>
      <c r="F1" s="146" t="s">
        <v>236</v>
      </c>
      <c r="G1" s="146" t="s">
        <v>186</v>
      </c>
      <c r="H1" s="146" t="s">
        <v>158</v>
      </c>
      <c r="I1" s="146" t="s">
        <v>237</v>
      </c>
      <c r="J1" s="146" t="s">
        <v>238</v>
      </c>
      <c r="K1" s="146" t="s">
        <v>199</v>
      </c>
      <c r="L1" s="146"/>
      <c r="M1" s="144" t="s">
        <v>183</v>
      </c>
      <c r="N1" s="170" t="s">
        <v>182</v>
      </c>
      <c r="O1" s="170" t="s">
        <v>181</v>
      </c>
      <c r="P1" s="146" t="s">
        <v>184</v>
      </c>
      <c r="Q1" s="146" t="s">
        <v>235</v>
      </c>
      <c r="R1" s="146" t="s">
        <v>239</v>
      </c>
      <c r="S1" s="146" t="s">
        <v>185</v>
      </c>
      <c r="T1" s="146" t="s">
        <v>237</v>
      </c>
      <c r="U1" s="146" t="s">
        <v>186</v>
      </c>
      <c r="V1" s="146"/>
      <c r="W1" s="146" t="s">
        <v>158</v>
      </c>
      <c r="Y1" s="170" t="s">
        <v>240</v>
      </c>
      <c r="Z1" s="170" t="s">
        <v>241</v>
      </c>
    </row>
    <row r="2" spans="1:26" x14ac:dyDescent="0.2">
      <c r="A2" s="147">
        <v>2001</v>
      </c>
      <c r="B2" s="147">
        <v>1</v>
      </c>
      <c r="C2" s="147" t="str">
        <f>A2&amp;B2</f>
        <v>20011</v>
      </c>
      <c r="D2" s="170" t="s">
        <v>177</v>
      </c>
      <c r="E2" s="147">
        <f t="shared" ref="E2:H21" si="0">VLOOKUP($A2&amp;$D2,$O$1:$W$189,MATCH(E$1,$O$1:$W$1,0),0)</f>
        <v>39483.908577839124</v>
      </c>
      <c r="F2" s="147" t="e">
        <f t="shared" si="0"/>
        <v>#N/A</v>
      </c>
      <c r="G2" s="147">
        <f t="shared" si="0"/>
        <v>34569.886538168648</v>
      </c>
      <c r="H2" s="147">
        <f t="shared" si="0"/>
        <v>1173.2090000000001</v>
      </c>
      <c r="I2" s="290">
        <f>VLOOKUP($A2&amp;$D2,$O$1:$W$189,MATCH(I$1,$O$1:$W$1,0),0)*1000</f>
        <v>467184.74541524117</v>
      </c>
      <c r="J2" s="172"/>
      <c r="K2" s="291">
        <f>H2/I2</f>
        <v>2.5112313951030944E-3</v>
      </c>
      <c r="M2" s="147">
        <v>2001</v>
      </c>
      <c r="N2" s="170" t="s">
        <v>177</v>
      </c>
      <c r="O2" s="170" t="str">
        <f t="shared" ref="O2:O49" si="1">M2&amp;N2</f>
        <v>2001Q1</v>
      </c>
      <c r="P2" s="175">
        <v>39483.908531599671</v>
      </c>
      <c r="Q2" s="175">
        <f>P2*(1+R2)</f>
        <v>39483.908577839124</v>
      </c>
      <c r="R2" s="175">
        <v>1.171096108976144E-9</v>
      </c>
      <c r="S2" s="175">
        <v>467.18474541524114</v>
      </c>
      <c r="T2" s="175">
        <f>S2</f>
        <v>467.18474541524114</v>
      </c>
      <c r="U2" s="180">
        <v>34569.886538168648</v>
      </c>
      <c r="V2" s="180"/>
      <c r="W2" s="180">
        <v>1173.2090000000001</v>
      </c>
      <c r="X2" s="171">
        <f>S2/W2</f>
        <v>0.39821101390736102</v>
      </c>
      <c r="Y2" s="180">
        <v>4063.346</v>
      </c>
      <c r="Z2" s="180">
        <v>1603.5920000000001</v>
      </c>
    </row>
    <row r="3" spans="1:26" x14ac:dyDescent="0.2">
      <c r="A3" s="147">
        <v>2001</v>
      </c>
      <c r="B3" s="147">
        <v>2</v>
      </c>
      <c r="C3" s="147" t="str">
        <f t="shared" ref="C3:C66" si="2">A3&amp;B3</f>
        <v>20012</v>
      </c>
      <c r="D3" s="170" t="s">
        <v>177</v>
      </c>
      <c r="E3" s="147">
        <f t="shared" si="0"/>
        <v>39483.908577839124</v>
      </c>
      <c r="F3" s="147" t="e">
        <f t="shared" si="0"/>
        <v>#N/A</v>
      </c>
      <c r="G3" s="147">
        <f t="shared" si="0"/>
        <v>34569.886538168648</v>
      </c>
      <c r="H3" s="147">
        <f t="shared" si="0"/>
        <v>1173.2090000000001</v>
      </c>
      <c r="I3" s="290">
        <f t="shared" ref="I3:I66" si="3">VLOOKUP($A3&amp;$D3,$O$1:$W$189,MATCH(I$1,$O$1:$W$1,0),0)*1000</f>
        <v>467184.74541524117</v>
      </c>
      <c r="J3" s="172"/>
      <c r="K3" s="291">
        <f t="shared" ref="K3:K66" si="4">H3/I3</f>
        <v>2.5112313951030944E-3</v>
      </c>
      <c r="M3" s="147">
        <v>2001</v>
      </c>
      <c r="N3" s="170" t="s">
        <v>178</v>
      </c>
      <c r="O3" s="170" t="str">
        <f t="shared" si="1"/>
        <v>2001Q2</v>
      </c>
      <c r="P3" s="175">
        <v>39298.039654573484</v>
      </c>
      <c r="Q3" s="175">
        <f t="shared" ref="Q3:Q66" si="5">P3*(1+R3)</f>
        <v>39298.039700595262</v>
      </c>
      <c r="R3" s="175">
        <v>1.171096108976144E-9</v>
      </c>
      <c r="S3" s="175">
        <v>468.39365839140879</v>
      </c>
      <c r="T3" s="175">
        <f t="shared" ref="T3:T39" si="6">S3</f>
        <v>468.39365839140879</v>
      </c>
      <c r="U3" s="180">
        <v>34431.916408019461</v>
      </c>
      <c r="V3" s="180"/>
      <c r="W3" s="180">
        <v>1175.5060000000001</v>
      </c>
      <c r="X3" s="171">
        <f t="shared" ref="X3:X66" si="7">S3/W3</f>
        <v>0.39846130805917518</v>
      </c>
      <c r="Y3" s="180">
        <v>4068.1320000000001</v>
      </c>
      <c r="Z3" s="180">
        <v>1606.74</v>
      </c>
    </row>
    <row r="4" spans="1:26" x14ac:dyDescent="0.2">
      <c r="A4" s="147">
        <v>2001</v>
      </c>
      <c r="B4" s="147">
        <v>3</v>
      </c>
      <c r="C4" s="147" t="str">
        <f t="shared" si="2"/>
        <v>20013</v>
      </c>
      <c r="D4" s="170" t="s">
        <v>177</v>
      </c>
      <c r="E4" s="147">
        <f t="shared" si="0"/>
        <v>39483.908577839124</v>
      </c>
      <c r="F4" s="147" t="e">
        <f t="shared" si="0"/>
        <v>#N/A</v>
      </c>
      <c r="G4" s="147">
        <f t="shared" si="0"/>
        <v>34569.886538168648</v>
      </c>
      <c r="H4" s="147">
        <f t="shared" si="0"/>
        <v>1173.2090000000001</v>
      </c>
      <c r="I4" s="290">
        <f t="shared" si="3"/>
        <v>467184.74541524117</v>
      </c>
      <c r="J4" s="172"/>
      <c r="K4" s="291">
        <f t="shared" si="4"/>
        <v>2.5112313951030944E-3</v>
      </c>
      <c r="M4" s="147">
        <v>2001</v>
      </c>
      <c r="N4" s="170" t="s">
        <v>179</v>
      </c>
      <c r="O4" s="170" t="str">
        <f t="shared" si="1"/>
        <v>2001Q3</v>
      </c>
      <c r="P4" s="175">
        <v>39277.008375261939</v>
      </c>
      <c r="Q4" s="175">
        <f t="shared" si="5"/>
        <v>39277.008421259088</v>
      </c>
      <c r="R4" s="175">
        <v>1.171096108976144E-9</v>
      </c>
      <c r="S4" s="175">
        <v>469.62508778390287</v>
      </c>
      <c r="T4" s="175">
        <f t="shared" si="6"/>
        <v>469.62508778390287</v>
      </c>
      <c r="U4" s="180">
        <v>34399.937636938055</v>
      </c>
      <c r="V4" s="180"/>
      <c r="W4" s="180">
        <v>1177.7572499999999</v>
      </c>
      <c r="X4" s="171">
        <f t="shared" si="7"/>
        <v>0.39874523190912464</v>
      </c>
      <c r="Y4" s="180">
        <v>4073.5569999999998</v>
      </c>
      <c r="Z4" s="180">
        <v>1609.894</v>
      </c>
    </row>
    <row r="5" spans="1:26" x14ac:dyDescent="0.2">
      <c r="A5" s="147">
        <v>2001</v>
      </c>
      <c r="B5" s="147">
        <v>4</v>
      </c>
      <c r="C5" s="147" t="str">
        <f t="shared" si="2"/>
        <v>20014</v>
      </c>
      <c r="D5" s="170" t="s">
        <v>178</v>
      </c>
      <c r="E5" s="147">
        <f t="shared" si="0"/>
        <v>39298.039700595262</v>
      </c>
      <c r="F5" s="147" t="e">
        <f t="shared" si="0"/>
        <v>#N/A</v>
      </c>
      <c r="G5" s="147">
        <f t="shared" si="0"/>
        <v>34431.916408019461</v>
      </c>
      <c r="H5" s="147">
        <f t="shared" si="0"/>
        <v>1175.5060000000001</v>
      </c>
      <c r="I5" s="290">
        <f t="shared" si="3"/>
        <v>468393.6583914088</v>
      </c>
      <c r="J5" s="172"/>
      <c r="K5" s="291">
        <f t="shared" si="4"/>
        <v>2.5096539608093914E-3</v>
      </c>
      <c r="M5" s="147">
        <v>2001</v>
      </c>
      <c r="N5" s="170" t="s">
        <v>180</v>
      </c>
      <c r="O5" s="170" t="str">
        <f t="shared" si="1"/>
        <v>2001Q4</v>
      </c>
      <c r="P5" s="175">
        <v>39494.717420852307</v>
      </c>
      <c r="Q5" s="175">
        <f t="shared" si="5"/>
        <v>39494.717310260203</v>
      </c>
      <c r="R5" s="175">
        <v>-2.8001746477102074E-9</v>
      </c>
      <c r="S5" s="175">
        <v>470.85939986136515</v>
      </c>
      <c r="T5" s="175">
        <f t="shared" si="6"/>
        <v>470.85939986136515</v>
      </c>
      <c r="U5" s="180">
        <v>34635.991880930669</v>
      </c>
      <c r="V5" s="180"/>
      <c r="W5" s="180">
        <v>1180.0084999999999</v>
      </c>
      <c r="X5" s="171">
        <f t="shared" si="7"/>
        <v>0.39903051534066508</v>
      </c>
      <c r="Y5" s="180">
        <v>4078.989</v>
      </c>
      <c r="Z5" s="180">
        <v>1613.0550000000001</v>
      </c>
    </row>
    <row r="6" spans="1:26" x14ac:dyDescent="0.2">
      <c r="A6" s="147">
        <v>2001</v>
      </c>
      <c r="B6" s="147">
        <v>5</v>
      </c>
      <c r="C6" s="147" t="str">
        <f t="shared" si="2"/>
        <v>20015</v>
      </c>
      <c r="D6" s="170" t="s">
        <v>178</v>
      </c>
      <c r="E6" s="147">
        <f t="shared" si="0"/>
        <v>39298.039700595262</v>
      </c>
      <c r="F6" s="147" t="e">
        <f t="shared" si="0"/>
        <v>#N/A</v>
      </c>
      <c r="G6" s="147">
        <f t="shared" si="0"/>
        <v>34431.916408019461</v>
      </c>
      <c r="H6" s="147">
        <f t="shared" si="0"/>
        <v>1175.5060000000001</v>
      </c>
      <c r="I6" s="290">
        <f t="shared" si="3"/>
        <v>468393.6583914088</v>
      </c>
      <c r="J6" s="172"/>
      <c r="K6" s="291">
        <f t="shared" si="4"/>
        <v>2.5096539608093914E-3</v>
      </c>
      <c r="M6" s="147">
        <f>M2+1</f>
        <v>2002</v>
      </c>
      <c r="N6" s="170" t="str">
        <f>N2</f>
        <v>Q1</v>
      </c>
      <c r="O6" s="170" t="str">
        <f t="shared" si="1"/>
        <v>2002Q1</v>
      </c>
      <c r="P6" s="175">
        <v>39818.735985151594</v>
      </c>
      <c r="Q6" s="175">
        <f t="shared" si="5"/>
        <v>39818.735873652178</v>
      </c>
      <c r="R6" s="175">
        <v>-2.8001746477102074E-9</v>
      </c>
      <c r="S6" s="175">
        <v>472.09660259149229</v>
      </c>
      <c r="T6" s="175">
        <f t="shared" si="6"/>
        <v>472.09660259149229</v>
      </c>
      <c r="U6" s="180">
        <v>35447.445392607326</v>
      </c>
      <c r="V6" s="180"/>
      <c r="W6" s="180">
        <v>1182.2597499999999</v>
      </c>
      <c r="X6" s="171">
        <f t="shared" si="7"/>
        <v>0.39931715732646089</v>
      </c>
      <c r="Y6" s="180">
        <v>4084.4279999999999</v>
      </c>
      <c r="Z6" s="180">
        <v>1616.222</v>
      </c>
    </row>
    <row r="7" spans="1:26" x14ac:dyDescent="0.2">
      <c r="A7" s="147">
        <v>2001</v>
      </c>
      <c r="B7" s="147">
        <v>6</v>
      </c>
      <c r="C7" s="147" t="str">
        <f t="shared" si="2"/>
        <v>20016</v>
      </c>
      <c r="D7" s="170" t="s">
        <v>178</v>
      </c>
      <c r="E7" s="147">
        <f t="shared" si="0"/>
        <v>39298.039700595262</v>
      </c>
      <c r="F7" s="147" t="e">
        <f t="shared" si="0"/>
        <v>#N/A</v>
      </c>
      <c r="G7" s="147">
        <f t="shared" si="0"/>
        <v>34431.916408019461</v>
      </c>
      <c r="H7" s="147">
        <f t="shared" si="0"/>
        <v>1175.5060000000001</v>
      </c>
      <c r="I7" s="290">
        <f t="shared" si="3"/>
        <v>468393.6583914088</v>
      </c>
      <c r="J7" s="172"/>
      <c r="K7" s="291">
        <f t="shared" si="4"/>
        <v>2.5096539608093914E-3</v>
      </c>
      <c r="M7" s="147">
        <f t="shared" ref="M7:M70" si="8">M3+1</f>
        <v>2002</v>
      </c>
      <c r="N7" s="170" t="str">
        <f t="shared" ref="N7:N70" si="9">N3</f>
        <v>Q2</v>
      </c>
      <c r="O7" s="170" t="str">
        <f t="shared" si="1"/>
        <v>2002Q2</v>
      </c>
      <c r="P7" s="175">
        <v>39982.012360451699</v>
      </c>
      <c r="Q7" s="175">
        <f t="shared" si="5"/>
        <v>39982.012248495084</v>
      </c>
      <c r="R7" s="175">
        <v>-2.8001746477102074E-9</v>
      </c>
      <c r="S7" s="175">
        <v>473.33670396275488</v>
      </c>
      <c r="T7" s="175">
        <f t="shared" si="6"/>
        <v>473.33670396275488</v>
      </c>
      <c r="U7" s="180">
        <v>35596.576099127022</v>
      </c>
      <c r="V7" s="180"/>
      <c r="W7" s="180">
        <v>1184.5110000000002</v>
      </c>
      <c r="X7" s="171">
        <f t="shared" si="7"/>
        <v>0.39960515686452452</v>
      </c>
      <c r="Y7" s="180">
        <v>4089.875</v>
      </c>
      <c r="Z7" s="180">
        <v>1619.394</v>
      </c>
    </row>
    <row r="8" spans="1:26" x14ac:dyDescent="0.2">
      <c r="A8" s="147">
        <v>2001</v>
      </c>
      <c r="B8" s="147">
        <v>7</v>
      </c>
      <c r="C8" s="147" t="str">
        <f t="shared" si="2"/>
        <v>20017</v>
      </c>
      <c r="D8" s="170" t="s">
        <v>179</v>
      </c>
      <c r="E8" s="147">
        <f t="shared" si="0"/>
        <v>39277.008421259088</v>
      </c>
      <c r="F8" s="147" t="e">
        <f t="shared" si="0"/>
        <v>#N/A</v>
      </c>
      <c r="G8" s="147">
        <f t="shared" si="0"/>
        <v>34399.937636938055</v>
      </c>
      <c r="H8" s="147">
        <f t="shared" si="0"/>
        <v>1177.7572499999999</v>
      </c>
      <c r="I8" s="290">
        <f t="shared" si="3"/>
        <v>469625.08778390288</v>
      </c>
      <c r="J8" s="172"/>
      <c r="K8" s="291">
        <f t="shared" si="4"/>
        <v>2.5078669786524326E-3</v>
      </c>
      <c r="M8" s="147">
        <f t="shared" si="8"/>
        <v>2002</v>
      </c>
      <c r="N8" s="170" t="str">
        <f t="shared" si="9"/>
        <v>Q3</v>
      </c>
      <c r="O8" s="170" t="str">
        <f t="shared" si="1"/>
        <v>2002Q3</v>
      </c>
      <c r="P8" s="175">
        <v>39908.418167125841</v>
      </c>
      <c r="Q8" s="175">
        <f t="shared" si="5"/>
        <v>39908.418028152519</v>
      </c>
      <c r="R8" s="175">
        <v>-3.4823059991140326E-9</v>
      </c>
      <c r="S8" s="175">
        <v>474.82038433068863</v>
      </c>
      <c r="T8" s="175">
        <f t="shared" si="6"/>
        <v>474.82038433068863</v>
      </c>
      <c r="U8" s="180">
        <v>35529.120654001694</v>
      </c>
      <c r="V8" s="180"/>
      <c r="W8" s="180">
        <v>1187.4692499999996</v>
      </c>
      <c r="X8" s="171">
        <f t="shared" si="7"/>
        <v>0.39985909894566851</v>
      </c>
      <c r="Y8" s="180">
        <v>4096.6819999999998</v>
      </c>
      <c r="Z8" s="180">
        <v>1622.5740000000001</v>
      </c>
    </row>
    <row r="9" spans="1:26" x14ac:dyDescent="0.2">
      <c r="A9" s="147">
        <v>2001</v>
      </c>
      <c r="B9" s="147">
        <v>8</v>
      </c>
      <c r="C9" s="147" t="str">
        <f t="shared" si="2"/>
        <v>20018</v>
      </c>
      <c r="D9" s="170" t="s">
        <v>179</v>
      </c>
      <c r="E9" s="147">
        <f t="shared" si="0"/>
        <v>39277.008421259088</v>
      </c>
      <c r="F9" s="147" t="e">
        <f t="shared" si="0"/>
        <v>#N/A</v>
      </c>
      <c r="G9" s="147">
        <f t="shared" si="0"/>
        <v>34399.937636938055</v>
      </c>
      <c r="H9" s="147">
        <f t="shared" si="0"/>
        <v>1177.7572499999999</v>
      </c>
      <c r="I9" s="290">
        <f t="shared" si="3"/>
        <v>469625.08778390288</v>
      </c>
      <c r="J9" s="172"/>
      <c r="K9" s="291">
        <f t="shared" si="4"/>
        <v>2.5078669786524326E-3</v>
      </c>
      <c r="M9" s="147">
        <f t="shared" si="8"/>
        <v>2002</v>
      </c>
      <c r="N9" s="170" t="str">
        <f t="shared" si="9"/>
        <v>Q4</v>
      </c>
      <c r="O9" s="170" t="str">
        <f t="shared" si="1"/>
        <v>2002Q4</v>
      </c>
      <c r="P9" s="175">
        <v>40011.425734852717</v>
      </c>
      <c r="Q9" s="175">
        <f t="shared" si="5"/>
        <v>40011.42559552069</v>
      </c>
      <c r="R9" s="175">
        <v>-3.4823059991140326E-9</v>
      </c>
      <c r="S9" s="175">
        <v>476.30788408565888</v>
      </c>
      <c r="T9" s="175">
        <f t="shared" si="6"/>
        <v>476.30788408565888</v>
      </c>
      <c r="U9" s="180">
        <v>35618.929902433476</v>
      </c>
      <c r="V9" s="180"/>
      <c r="W9" s="180">
        <v>1190.4275</v>
      </c>
      <c r="X9" s="171">
        <f t="shared" si="7"/>
        <v>0.40011498733493545</v>
      </c>
      <c r="Y9" s="180">
        <v>4103.5</v>
      </c>
      <c r="Z9" s="180">
        <v>1625.759</v>
      </c>
    </row>
    <row r="10" spans="1:26" x14ac:dyDescent="0.2">
      <c r="A10" s="147">
        <v>2001</v>
      </c>
      <c r="B10" s="147">
        <v>9</v>
      </c>
      <c r="C10" s="147" t="str">
        <f t="shared" si="2"/>
        <v>20019</v>
      </c>
      <c r="D10" s="170" t="s">
        <v>179</v>
      </c>
      <c r="E10" s="147">
        <f t="shared" si="0"/>
        <v>39277.008421259088</v>
      </c>
      <c r="F10" s="147" t="e">
        <f t="shared" si="0"/>
        <v>#N/A</v>
      </c>
      <c r="G10" s="147">
        <f t="shared" si="0"/>
        <v>34399.937636938055</v>
      </c>
      <c r="H10" s="147">
        <f t="shared" si="0"/>
        <v>1177.7572499999999</v>
      </c>
      <c r="I10" s="290">
        <f t="shared" si="3"/>
        <v>469625.08778390288</v>
      </c>
      <c r="J10" s="172"/>
      <c r="K10" s="291">
        <f t="shared" si="4"/>
        <v>2.5078669786524326E-3</v>
      </c>
      <c r="M10" s="147">
        <f t="shared" si="8"/>
        <v>2003</v>
      </c>
      <c r="N10" s="170" t="str">
        <f t="shared" si="9"/>
        <v>Q1</v>
      </c>
      <c r="O10" s="170" t="str">
        <f t="shared" si="1"/>
        <v>2003Q1</v>
      </c>
      <c r="P10" s="175">
        <v>39711.933821850769</v>
      </c>
      <c r="Q10" s="175">
        <f t="shared" si="5"/>
        <v>39711.933683561663</v>
      </c>
      <c r="R10" s="175">
        <v>-3.4823059991140326E-9</v>
      </c>
      <c r="S10" s="175">
        <v>477.79921559285935</v>
      </c>
      <c r="T10" s="175">
        <f t="shared" si="6"/>
        <v>477.79921559285935</v>
      </c>
      <c r="U10" s="180">
        <v>35646.967823316591</v>
      </c>
      <c r="V10" s="180"/>
      <c r="W10" s="180">
        <v>1193.3857499999999</v>
      </c>
      <c r="X10" s="171">
        <f t="shared" si="7"/>
        <v>0.40037281791982132</v>
      </c>
      <c r="Y10" s="180">
        <v>4110.3289999999997</v>
      </c>
      <c r="Z10" s="180">
        <v>1628.951</v>
      </c>
    </row>
    <row r="11" spans="1:26" x14ac:dyDescent="0.2">
      <c r="A11" s="147">
        <v>2001</v>
      </c>
      <c r="B11" s="147">
        <v>10</v>
      </c>
      <c r="C11" s="147" t="str">
        <f t="shared" si="2"/>
        <v>200110</v>
      </c>
      <c r="D11" s="170" t="s">
        <v>180</v>
      </c>
      <c r="E11" s="147">
        <f t="shared" si="0"/>
        <v>39494.717310260203</v>
      </c>
      <c r="F11" s="147" t="e">
        <f t="shared" si="0"/>
        <v>#N/A</v>
      </c>
      <c r="G11" s="147">
        <f t="shared" si="0"/>
        <v>34635.991880930669</v>
      </c>
      <c r="H11" s="147">
        <f t="shared" si="0"/>
        <v>1180.0084999999999</v>
      </c>
      <c r="I11" s="290">
        <f t="shared" si="3"/>
        <v>470859.39986136515</v>
      </c>
      <c r="J11" s="172"/>
      <c r="K11" s="291">
        <f t="shared" si="4"/>
        <v>2.5060740007472062E-3</v>
      </c>
      <c r="M11" s="147">
        <f t="shared" si="8"/>
        <v>2003</v>
      </c>
      <c r="N11" s="170" t="str">
        <f t="shared" si="9"/>
        <v>Q2</v>
      </c>
      <c r="O11" s="170" t="str">
        <f t="shared" si="1"/>
        <v>2003Q2</v>
      </c>
      <c r="P11" s="175">
        <v>39930.557677066005</v>
      </c>
      <c r="Q11" s="175">
        <f t="shared" si="5"/>
        <v>39930.557712818445</v>
      </c>
      <c r="R11" s="175">
        <v>8.9536533742773372E-10</v>
      </c>
      <c r="S11" s="175">
        <v>479.29439124818373</v>
      </c>
      <c r="T11" s="175">
        <f t="shared" si="6"/>
        <v>479.29439124818373</v>
      </c>
      <c r="U11" s="180">
        <v>35842.575547320266</v>
      </c>
      <c r="V11" s="180"/>
      <c r="W11" s="180">
        <v>1196.3440000000001</v>
      </c>
      <c r="X11" s="171">
        <f t="shared" si="7"/>
        <v>0.40063258665415941</v>
      </c>
      <c r="Y11" s="180">
        <v>4117.17</v>
      </c>
      <c r="Z11" s="180">
        <v>1632.1479999999999</v>
      </c>
    </row>
    <row r="12" spans="1:26" x14ac:dyDescent="0.2">
      <c r="A12" s="147">
        <v>2001</v>
      </c>
      <c r="B12" s="147">
        <v>11</v>
      </c>
      <c r="C12" s="147" t="str">
        <f t="shared" si="2"/>
        <v>200111</v>
      </c>
      <c r="D12" s="170" t="s">
        <v>180</v>
      </c>
      <c r="E12" s="147">
        <f t="shared" si="0"/>
        <v>39494.717310260203</v>
      </c>
      <c r="F12" s="147" t="e">
        <f t="shared" si="0"/>
        <v>#N/A</v>
      </c>
      <c r="G12" s="147">
        <f t="shared" si="0"/>
        <v>34635.991880930669</v>
      </c>
      <c r="H12" s="147">
        <f t="shared" si="0"/>
        <v>1180.0084999999999</v>
      </c>
      <c r="I12" s="290">
        <f t="shared" si="3"/>
        <v>470859.39986136515</v>
      </c>
      <c r="J12" s="172"/>
      <c r="K12" s="291">
        <f t="shared" si="4"/>
        <v>2.5060740007472062E-3</v>
      </c>
      <c r="M12" s="147">
        <f t="shared" si="8"/>
        <v>2003</v>
      </c>
      <c r="N12" s="170" t="str">
        <f t="shared" si="9"/>
        <v>Q3</v>
      </c>
      <c r="O12" s="170" t="str">
        <f t="shared" si="1"/>
        <v>2003Q3</v>
      </c>
      <c r="P12" s="175">
        <v>39963.069754307719</v>
      </c>
      <c r="Q12" s="175">
        <f t="shared" si="5"/>
        <v>39963.069790089263</v>
      </c>
      <c r="R12" s="175">
        <v>8.9536533742773372E-10</v>
      </c>
      <c r="S12" s="175">
        <v>480.78907780993734</v>
      </c>
      <c r="T12" s="175">
        <f t="shared" si="6"/>
        <v>480.78907780993734</v>
      </c>
      <c r="U12" s="180">
        <v>35879.356060081816</v>
      </c>
      <c r="V12" s="180"/>
      <c r="W12" s="180">
        <v>1199.2184999999999</v>
      </c>
      <c r="X12" s="171">
        <f t="shared" si="7"/>
        <v>0.40091866312097202</v>
      </c>
      <c r="Y12" s="180">
        <v>4124.384</v>
      </c>
      <c r="Z12" s="180">
        <v>1635.3530000000001</v>
      </c>
    </row>
    <row r="13" spans="1:26" x14ac:dyDescent="0.2">
      <c r="A13" s="147">
        <v>2001</v>
      </c>
      <c r="B13" s="147">
        <v>12</v>
      </c>
      <c r="C13" s="147" t="str">
        <f t="shared" si="2"/>
        <v>200112</v>
      </c>
      <c r="D13" s="170" t="s">
        <v>180</v>
      </c>
      <c r="E13" s="147">
        <f t="shared" si="0"/>
        <v>39494.717310260203</v>
      </c>
      <c r="F13" s="147" t="e">
        <f t="shared" si="0"/>
        <v>#N/A</v>
      </c>
      <c r="G13" s="147">
        <f t="shared" si="0"/>
        <v>34635.991880930669</v>
      </c>
      <c r="H13" s="147">
        <f t="shared" si="0"/>
        <v>1180.0084999999999</v>
      </c>
      <c r="I13" s="290">
        <f t="shared" si="3"/>
        <v>470859.39986136515</v>
      </c>
      <c r="J13" s="172"/>
      <c r="K13" s="291">
        <f t="shared" si="4"/>
        <v>2.5060740007472062E-3</v>
      </c>
      <c r="M13" s="147">
        <f t="shared" si="8"/>
        <v>2003</v>
      </c>
      <c r="N13" s="170" t="str">
        <f t="shared" si="9"/>
        <v>Q4</v>
      </c>
      <c r="O13" s="170" t="str">
        <f t="shared" si="1"/>
        <v>2003Q4</v>
      </c>
      <c r="P13" s="175">
        <v>40511.185492649864</v>
      </c>
      <c r="Q13" s="175">
        <f t="shared" si="5"/>
        <v>40511.185528922178</v>
      </c>
      <c r="R13" s="175">
        <v>8.9536533742773372E-10</v>
      </c>
      <c r="S13" s="175">
        <v>482.28779444709988</v>
      </c>
      <c r="T13" s="175">
        <f t="shared" si="6"/>
        <v>482.28779444709988</v>
      </c>
      <c r="U13" s="180">
        <v>36361.519986701038</v>
      </c>
      <c r="V13" s="180"/>
      <c r="W13" s="180">
        <v>1202.0929999999998</v>
      </c>
      <c r="X13" s="171">
        <f t="shared" si="7"/>
        <v>0.40120672397817803</v>
      </c>
      <c r="Y13" s="180">
        <v>4131.6099999999997</v>
      </c>
      <c r="Z13" s="180">
        <v>1638.5630000000001</v>
      </c>
    </row>
    <row r="14" spans="1:26" x14ac:dyDescent="0.2">
      <c r="A14" s="147">
        <v>2002</v>
      </c>
      <c r="B14" s="147">
        <v>1</v>
      </c>
      <c r="C14" s="147" t="str">
        <f t="shared" si="2"/>
        <v>20021</v>
      </c>
      <c r="D14" s="147" t="str">
        <f>D2</f>
        <v>Q1</v>
      </c>
      <c r="E14" s="147">
        <f t="shared" si="0"/>
        <v>39818.735873652178</v>
      </c>
      <c r="F14" s="147" t="e">
        <f t="shared" si="0"/>
        <v>#N/A</v>
      </c>
      <c r="G14" s="147">
        <f t="shared" si="0"/>
        <v>35447.445392607326</v>
      </c>
      <c r="H14" s="147">
        <f t="shared" si="0"/>
        <v>1182.2597499999999</v>
      </c>
      <c r="I14" s="290">
        <f t="shared" si="3"/>
        <v>472096.60259149229</v>
      </c>
      <c r="J14" s="172">
        <f t="shared" ref="J14:J77" si="10">E14/E2-1</f>
        <v>8.480095002574739E-3</v>
      </c>
      <c r="K14" s="291">
        <f t="shared" si="4"/>
        <v>2.5042750647011449E-3</v>
      </c>
      <c r="M14" s="147">
        <f t="shared" si="8"/>
        <v>2004</v>
      </c>
      <c r="N14" s="170" t="str">
        <f t="shared" si="9"/>
        <v>Q1</v>
      </c>
      <c r="O14" s="170" t="str">
        <f t="shared" si="1"/>
        <v>2004Q1</v>
      </c>
      <c r="P14" s="175">
        <v>40639.963769612514</v>
      </c>
      <c r="Q14" s="175">
        <f t="shared" si="5"/>
        <v>40639.963801491271</v>
      </c>
      <c r="R14" s="175">
        <v>7.8441897422010243E-10</v>
      </c>
      <c r="S14" s="175">
        <v>483.79055407003409</v>
      </c>
      <c r="T14" s="175">
        <f t="shared" si="6"/>
        <v>483.79055407003409</v>
      </c>
      <c r="U14" s="180">
        <v>36644.026083426186</v>
      </c>
      <c r="V14" s="180"/>
      <c r="W14" s="180">
        <v>1204.9675</v>
      </c>
      <c r="X14" s="171">
        <f t="shared" si="7"/>
        <v>0.40149676573852333</v>
      </c>
      <c r="Y14" s="180">
        <v>4138.8490000000002</v>
      </c>
      <c r="Z14" s="180">
        <v>1641.78</v>
      </c>
    </row>
    <row r="15" spans="1:26" x14ac:dyDescent="0.2">
      <c r="A15" s="147">
        <v>2002</v>
      </c>
      <c r="B15" s="147">
        <v>2</v>
      </c>
      <c r="C15" s="147" t="str">
        <f t="shared" si="2"/>
        <v>20022</v>
      </c>
      <c r="D15" s="147" t="str">
        <f t="shared" ref="D15:D78" si="11">D3</f>
        <v>Q1</v>
      </c>
      <c r="E15" s="147">
        <f t="shared" si="0"/>
        <v>39818.735873652178</v>
      </c>
      <c r="F15" s="147" t="e">
        <f t="shared" si="0"/>
        <v>#N/A</v>
      </c>
      <c r="G15" s="147">
        <f t="shared" si="0"/>
        <v>35447.445392607326</v>
      </c>
      <c r="H15" s="147">
        <f t="shared" si="0"/>
        <v>1182.2597499999999</v>
      </c>
      <c r="I15" s="290">
        <f t="shared" si="3"/>
        <v>472096.60259149229</v>
      </c>
      <c r="J15" s="172">
        <f t="shared" si="10"/>
        <v>8.480095002574739E-3</v>
      </c>
      <c r="K15" s="291">
        <f t="shared" si="4"/>
        <v>2.5042750647011449E-3</v>
      </c>
      <c r="M15" s="147">
        <f t="shared" si="8"/>
        <v>2004</v>
      </c>
      <c r="N15" s="170" t="str">
        <f t="shared" si="9"/>
        <v>Q2</v>
      </c>
      <c r="O15" s="170" t="str">
        <f t="shared" si="1"/>
        <v>2004Q2</v>
      </c>
      <c r="P15" s="175">
        <v>40767.051662822218</v>
      </c>
      <c r="Q15" s="175">
        <f t="shared" si="5"/>
        <v>40767.05169480067</v>
      </c>
      <c r="R15" s="175">
        <v>7.8441897422010243E-10</v>
      </c>
      <c r="S15" s="175">
        <v>485.29736962423021</v>
      </c>
      <c r="T15" s="175">
        <f t="shared" si="6"/>
        <v>485.29736962423021</v>
      </c>
      <c r="U15" s="180">
        <v>36771.492378685805</v>
      </c>
      <c r="V15" s="180"/>
      <c r="W15" s="180">
        <v>1207.8420000000001</v>
      </c>
      <c r="X15" s="171">
        <f t="shared" si="7"/>
        <v>0.40178878497703358</v>
      </c>
      <c r="Y15" s="180">
        <v>4146.1009999999997</v>
      </c>
      <c r="Z15" s="180">
        <v>1645.002</v>
      </c>
    </row>
    <row r="16" spans="1:26" x14ac:dyDescent="0.2">
      <c r="A16" s="147">
        <v>2002</v>
      </c>
      <c r="B16" s="147">
        <v>3</v>
      </c>
      <c r="C16" s="147" t="str">
        <f t="shared" si="2"/>
        <v>20023</v>
      </c>
      <c r="D16" s="147" t="str">
        <f t="shared" si="11"/>
        <v>Q1</v>
      </c>
      <c r="E16" s="147">
        <f t="shared" si="0"/>
        <v>39818.735873652178</v>
      </c>
      <c r="F16" s="147" t="e">
        <f t="shared" si="0"/>
        <v>#N/A</v>
      </c>
      <c r="G16" s="147">
        <f t="shared" si="0"/>
        <v>35447.445392607326</v>
      </c>
      <c r="H16" s="147">
        <f t="shared" si="0"/>
        <v>1182.2597499999999</v>
      </c>
      <c r="I16" s="290">
        <f t="shared" si="3"/>
        <v>472096.60259149229</v>
      </c>
      <c r="J16" s="172">
        <f t="shared" si="10"/>
        <v>8.480095002574739E-3</v>
      </c>
      <c r="K16" s="291">
        <f t="shared" si="4"/>
        <v>2.5042750647011449E-3</v>
      </c>
      <c r="M16" s="147">
        <f t="shared" si="8"/>
        <v>2004</v>
      </c>
      <c r="N16" s="170" t="str">
        <f t="shared" si="9"/>
        <v>Q3</v>
      </c>
      <c r="O16" s="170" t="str">
        <f t="shared" si="1"/>
        <v>2004Q3</v>
      </c>
      <c r="P16" s="175">
        <v>40994.684699950601</v>
      </c>
      <c r="Q16" s="175">
        <f t="shared" si="5"/>
        <v>40994.684732107613</v>
      </c>
      <c r="R16" s="175">
        <v>7.8441897422010243E-10</v>
      </c>
      <c r="S16" s="175">
        <v>486.74980266099078</v>
      </c>
      <c r="T16" s="175">
        <f t="shared" si="6"/>
        <v>486.74980266099078</v>
      </c>
      <c r="U16" s="180">
        <v>36973.693354213639</v>
      </c>
      <c r="V16" s="180"/>
      <c r="W16" s="180">
        <v>1210.6405</v>
      </c>
      <c r="X16" s="171">
        <f t="shared" si="7"/>
        <v>0.40205973834593406</v>
      </c>
      <c r="Y16" s="180">
        <v>4155.2309999999998</v>
      </c>
      <c r="Z16" s="180">
        <v>1648.232</v>
      </c>
    </row>
    <row r="17" spans="1:26" x14ac:dyDescent="0.2">
      <c r="A17" s="147">
        <v>2002</v>
      </c>
      <c r="B17" s="147">
        <v>4</v>
      </c>
      <c r="C17" s="147" t="str">
        <f t="shared" si="2"/>
        <v>20024</v>
      </c>
      <c r="D17" s="147" t="str">
        <f t="shared" si="11"/>
        <v>Q2</v>
      </c>
      <c r="E17" s="147">
        <f t="shared" si="0"/>
        <v>39982.012248495084</v>
      </c>
      <c r="F17" s="147" t="e">
        <f t="shared" si="0"/>
        <v>#N/A</v>
      </c>
      <c r="G17" s="147">
        <f t="shared" si="0"/>
        <v>35596.576099127022</v>
      </c>
      <c r="H17" s="147">
        <f t="shared" si="0"/>
        <v>1184.5110000000002</v>
      </c>
      <c r="I17" s="290">
        <f t="shared" si="3"/>
        <v>473336.70396275487</v>
      </c>
      <c r="J17" s="172">
        <f t="shared" si="10"/>
        <v>1.7404749781691153E-2</v>
      </c>
      <c r="K17" s="291">
        <f t="shared" si="4"/>
        <v>2.5024702079583607E-3</v>
      </c>
      <c r="M17" s="147">
        <f t="shared" si="8"/>
        <v>2004</v>
      </c>
      <c r="N17" s="170" t="str">
        <f t="shared" si="9"/>
        <v>Q4</v>
      </c>
      <c r="O17" s="170" t="str">
        <f t="shared" si="1"/>
        <v>2004Q4</v>
      </c>
      <c r="P17" s="175">
        <v>41362.573028399456</v>
      </c>
      <c r="Q17" s="175">
        <f t="shared" si="5"/>
        <v>41362.573015698887</v>
      </c>
      <c r="R17" s="175">
        <v>-3.0705460396518447E-10</v>
      </c>
      <c r="S17" s="175">
        <v>488.20669794066737</v>
      </c>
      <c r="T17" s="175">
        <f t="shared" si="6"/>
        <v>488.20669794066737</v>
      </c>
      <c r="U17" s="180">
        <v>37306.699921138053</v>
      </c>
      <c r="V17" s="180"/>
      <c r="W17" s="180">
        <v>1213.4390000000001</v>
      </c>
      <c r="X17" s="171">
        <f t="shared" si="7"/>
        <v>0.40233311929208421</v>
      </c>
      <c r="Y17" s="180">
        <v>4164.3810000000003</v>
      </c>
      <c r="Z17" s="180">
        <v>1651.4670000000001</v>
      </c>
    </row>
    <row r="18" spans="1:26" x14ac:dyDescent="0.2">
      <c r="A18" s="147">
        <v>2002</v>
      </c>
      <c r="B18" s="147">
        <v>5</v>
      </c>
      <c r="C18" s="147" t="str">
        <f t="shared" si="2"/>
        <v>20025</v>
      </c>
      <c r="D18" s="147" t="str">
        <f t="shared" si="11"/>
        <v>Q2</v>
      </c>
      <c r="E18" s="147">
        <f t="shared" si="0"/>
        <v>39982.012248495084</v>
      </c>
      <c r="F18" s="147" t="e">
        <f t="shared" si="0"/>
        <v>#N/A</v>
      </c>
      <c r="G18" s="147">
        <f t="shared" si="0"/>
        <v>35596.576099127022</v>
      </c>
      <c r="H18" s="147">
        <f t="shared" si="0"/>
        <v>1184.5110000000002</v>
      </c>
      <c r="I18" s="290">
        <f t="shared" si="3"/>
        <v>473336.70396275487</v>
      </c>
      <c r="J18" s="172">
        <f t="shared" si="10"/>
        <v>1.7404749781691153E-2</v>
      </c>
      <c r="K18" s="291">
        <f t="shared" si="4"/>
        <v>2.5024702079583607E-3</v>
      </c>
      <c r="M18" s="147">
        <f t="shared" si="8"/>
        <v>2005</v>
      </c>
      <c r="N18" s="170" t="str">
        <f t="shared" si="9"/>
        <v>Q1</v>
      </c>
      <c r="O18" s="170" t="str">
        <f t="shared" si="1"/>
        <v>2005Q1</v>
      </c>
      <c r="P18" s="175">
        <v>40750.82939644024</v>
      </c>
      <c r="Q18" s="175">
        <f t="shared" si="5"/>
        <v>40750.829383927514</v>
      </c>
      <c r="R18" s="175">
        <v>-3.0705460396518447E-10</v>
      </c>
      <c r="S18" s="175">
        <v>489.66806935047487</v>
      </c>
      <c r="T18" s="175">
        <f t="shared" si="6"/>
        <v>489.66806935047487</v>
      </c>
      <c r="U18" s="180">
        <v>36497.743140651095</v>
      </c>
      <c r="V18" s="194">
        <v>0</v>
      </c>
      <c r="W18" s="180">
        <v>1216.2375</v>
      </c>
      <c r="X18" s="171">
        <f t="shared" si="7"/>
        <v>0.40260892247646934</v>
      </c>
      <c r="Y18" s="180">
        <v>4173.5519999999997</v>
      </c>
      <c r="Z18" s="180">
        <v>1654.7090000000001</v>
      </c>
    </row>
    <row r="19" spans="1:26" x14ac:dyDescent="0.2">
      <c r="A19" s="147">
        <v>2002</v>
      </c>
      <c r="B19" s="147">
        <v>6</v>
      </c>
      <c r="C19" s="147" t="str">
        <f t="shared" si="2"/>
        <v>20026</v>
      </c>
      <c r="D19" s="147" t="str">
        <f t="shared" si="11"/>
        <v>Q2</v>
      </c>
      <c r="E19" s="147">
        <f t="shared" si="0"/>
        <v>39982.012248495084</v>
      </c>
      <c r="F19" s="147" t="e">
        <f t="shared" si="0"/>
        <v>#N/A</v>
      </c>
      <c r="G19" s="147">
        <f t="shared" si="0"/>
        <v>35596.576099127022</v>
      </c>
      <c r="H19" s="147">
        <f t="shared" si="0"/>
        <v>1184.5110000000002</v>
      </c>
      <c r="I19" s="290">
        <f t="shared" si="3"/>
        <v>473336.70396275487</v>
      </c>
      <c r="J19" s="172">
        <f t="shared" si="10"/>
        <v>1.7404749781691153E-2</v>
      </c>
      <c r="K19" s="291">
        <f t="shared" si="4"/>
        <v>2.5024702079583607E-3</v>
      </c>
      <c r="M19" s="147">
        <f t="shared" si="8"/>
        <v>2005</v>
      </c>
      <c r="N19" s="170" t="str">
        <f t="shared" si="9"/>
        <v>Q2</v>
      </c>
      <c r="O19" s="170" t="str">
        <f t="shared" si="1"/>
        <v>2005Q2</v>
      </c>
      <c r="P19" s="175">
        <v>41225.451757478448</v>
      </c>
      <c r="Q19" s="175">
        <f t="shared" si="5"/>
        <v>41225.451744819984</v>
      </c>
      <c r="R19" s="175">
        <v>-3.0705460396518447E-10</v>
      </c>
      <c r="S19" s="175">
        <v>491.13393082732341</v>
      </c>
      <c r="T19" s="175">
        <f t="shared" si="6"/>
        <v>491.13393082732341</v>
      </c>
      <c r="U19" s="180">
        <v>36925.598833112439</v>
      </c>
      <c r="V19" s="194">
        <v>0</v>
      </c>
      <c r="W19" s="180">
        <v>1219.0360000000001</v>
      </c>
      <c r="X19" s="171">
        <f t="shared" si="7"/>
        <v>0.40288714264986708</v>
      </c>
      <c r="Y19" s="180">
        <v>4182.7420000000002</v>
      </c>
      <c r="Z19" s="180">
        <v>1657.9570000000001</v>
      </c>
    </row>
    <row r="20" spans="1:26" x14ac:dyDescent="0.2">
      <c r="A20" s="147">
        <v>2002</v>
      </c>
      <c r="B20" s="147">
        <v>7</v>
      </c>
      <c r="C20" s="147" t="str">
        <f t="shared" si="2"/>
        <v>20027</v>
      </c>
      <c r="D20" s="147" t="str">
        <f t="shared" si="11"/>
        <v>Q3</v>
      </c>
      <c r="E20" s="147">
        <f t="shared" si="0"/>
        <v>39908.418028152519</v>
      </c>
      <c r="F20" s="147" t="e">
        <f t="shared" si="0"/>
        <v>#N/A</v>
      </c>
      <c r="G20" s="147">
        <f t="shared" si="0"/>
        <v>35529.120654001694</v>
      </c>
      <c r="H20" s="147">
        <f t="shared" si="0"/>
        <v>1187.4692499999996</v>
      </c>
      <c r="I20" s="290">
        <f t="shared" si="3"/>
        <v>474820.38433068863</v>
      </c>
      <c r="J20" s="172">
        <f t="shared" si="10"/>
        <v>1.6075806999386266E-2</v>
      </c>
      <c r="K20" s="291">
        <f t="shared" si="4"/>
        <v>2.5008809419036796E-3</v>
      </c>
      <c r="M20" s="147">
        <f t="shared" si="8"/>
        <v>2005</v>
      </c>
      <c r="N20" s="170" t="str">
        <f t="shared" si="9"/>
        <v>Q3</v>
      </c>
      <c r="O20" s="170" t="str">
        <f t="shared" si="1"/>
        <v>2005Q3</v>
      </c>
      <c r="P20" s="175">
        <v>41377.384679189803</v>
      </c>
      <c r="Q20" s="175">
        <f t="shared" si="5"/>
        <v>41377.384784571201</v>
      </c>
      <c r="R20" s="175">
        <v>2.5468356312785545E-9</v>
      </c>
      <c r="S20" s="175">
        <v>491.92143505393528</v>
      </c>
      <c r="T20" s="175">
        <f t="shared" si="6"/>
        <v>491.92143505393528</v>
      </c>
      <c r="U20" s="180">
        <v>37050.927192459436</v>
      </c>
      <c r="V20" s="194">
        <v>0</v>
      </c>
      <c r="W20" s="180">
        <v>1222.7842499999997</v>
      </c>
      <c r="X20" s="171">
        <f t="shared" si="7"/>
        <v>0.40229618189303257</v>
      </c>
      <c r="Y20" s="180">
        <v>4191.8370000000004</v>
      </c>
      <c r="Z20" s="180">
        <v>1657.652</v>
      </c>
    </row>
    <row r="21" spans="1:26" x14ac:dyDescent="0.2">
      <c r="A21" s="147">
        <v>2002</v>
      </c>
      <c r="B21" s="147">
        <v>8</v>
      </c>
      <c r="C21" s="147" t="str">
        <f t="shared" si="2"/>
        <v>20028</v>
      </c>
      <c r="D21" s="147" t="str">
        <f t="shared" si="11"/>
        <v>Q3</v>
      </c>
      <c r="E21" s="147">
        <f t="shared" si="0"/>
        <v>39908.418028152519</v>
      </c>
      <c r="F21" s="147" t="e">
        <f t="shared" si="0"/>
        <v>#N/A</v>
      </c>
      <c r="G21" s="147">
        <f t="shared" si="0"/>
        <v>35529.120654001694</v>
      </c>
      <c r="H21" s="147">
        <f t="shared" si="0"/>
        <v>1187.4692499999996</v>
      </c>
      <c r="I21" s="290">
        <f t="shared" si="3"/>
        <v>474820.38433068863</v>
      </c>
      <c r="J21" s="172">
        <f t="shared" si="10"/>
        <v>1.6075806999386266E-2</v>
      </c>
      <c r="K21" s="291">
        <f t="shared" si="4"/>
        <v>2.5008809419036796E-3</v>
      </c>
      <c r="M21" s="147">
        <f t="shared" si="8"/>
        <v>2005</v>
      </c>
      <c r="N21" s="170" t="str">
        <f t="shared" si="9"/>
        <v>Q4</v>
      </c>
      <c r="O21" s="170" t="str">
        <f t="shared" si="1"/>
        <v>2005Q4</v>
      </c>
      <c r="P21" s="175">
        <v>41556.193049165595</v>
      </c>
      <c r="Q21" s="175">
        <f t="shared" si="5"/>
        <v>41556.193155002387</v>
      </c>
      <c r="R21" s="175">
        <v>2.5468356312785545E-9</v>
      </c>
      <c r="S21" s="175">
        <v>492.70998243133829</v>
      </c>
      <c r="T21" s="175">
        <f t="shared" si="6"/>
        <v>492.70998243133829</v>
      </c>
      <c r="U21" s="180">
        <v>37214.08364461326</v>
      </c>
      <c r="V21" s="194">
        <v>0</v>
      </c>
      <c r="W21" s="180">
        <v>1226.5325</v>
      </c>
      <c r="X21" s="171">
        <f t="shared" si="7"/>
        <v>0.40170968354392428</v>
      </c>
      <c r="Y21" s="180">
        <v>4200.951</v>
      </c>
      <c r="Z21" s="180">
        <v>1657.348</v>
      </c>
    </row>
    <row r="22" spans="1:26" x14ac:dyDescent="0.2">
      <c r="A22" s="147">
        <v>2002</v>
      </c>
      <c r="B22" s="147">
        <v>9</v>
      </c>
      <c r="C22" s="147" t="str">
        <f t="shared" si="2"/>
        <v>20029</v>
      </c>
      <c r="D22" s="147" t="str">
        <f t="shared" si="11"/>
        <v>Q3</v>
      </c>
      <c r="E22" s="147">
        <f t="shared" ref="E22:H41" si="12">VLOOKUP($A22&amp;$D22,$O$1:$W$189,MATCH(E$1,$O$1:$W$1,0),0)</f>
        <v>39908.418028152519</v>
      </c>
      <c r="F22" s="147" t="e">
        <f t="shared" si="12"/>
        <v>#N/A</v>
      </c>
      <c r="G22" s="147">
        <f t="shared" si="12"/>
        <v>35529.120654001694</v>
      </c>
      <c r="H22" s="147">
        <f t="shared" si="12"/>
        <v>1187.4692499999996</v>
      </c>
      <c r="I22" s="290">
        <f t="shared" si="3"/>
        <v>474820.38433068863</v>
      </c>
      <c r="J22" s="172">
        <f t="shared" si="10"/>
        <v>1.6075806999386266E-2</v>
      </c>
      <c r="K22" s="291">
        <f t="shared" si="4"/>
        <v>2.5008809419036796E-3</v>
      </c>
      <c r="M22" s="147">
        <f t="shared" si="8"/>
        <v>2006</v>
      </c>
      <c r="N22" s="170" t="str">
        <f t="shared" si="9"/>
        <v>Q1</v>
      </c>
      <c r="O22" s="170" t="str">
        <f t="shared" si="1"/>
        <v>2006Q1</v>
      </c>
      <c r="P22" s="175">
        <v>42737.212603830878</v>
      </c>
      <c r="Q22" s="175">
        <f t="shared" si="5"/>
        <v>42737.212712675537</v>
      </c>
      <c r="R22" s="175">
        <v>2.5468356312785545E-9</v>
      </c>
      <c r="S22" s="175">
        <v>493.49957934292712</v>
      </c>
      <c r="T22" s="175">
        <f t="shared" si="6"/>
        <v>493.49957934292712</v>
      </c>
      <c r="U22" s="180">
        <v>38232.076121240505</v>
      </c>
      <c r="V22" s="194">
        <v>0</v>
      </c>
      <c r="W22" s="180">
        <v>1230.2807499999999</v>
      </c>
      <c r="X22" s="171">
        <f t="shared" si="7"/>
        <v>0.40112761200476166</v>
      </c>
      <c r="Y22" s="180">
        <v>4210.085</v>
      </c>
      <c r="Z22" s="180">
        <v>1657.0429999999999</v>
      </c>
    </row>
    <row r="23" spans="1:26" x14ac:dyDescent="0.2">
      <c r="A23" s="147">
        <v>2002</v>
      </c>
      <c r="B23" s="147">
        <v>10</v>
      </c>
      <c r="C23" s="147" t="str">
        <f t="shared" si="2"/>
        <v>200210</v>
      </c>
      <c r="D23" s="147" t="str">
        <f t="shared" si="11"/>
        <v>Q4</v>
      </c>
      <c r="E23" s="147">
        <f t="shared" si="12"/>
        <v>40011.42559552069</v>
      </c>
      <c r="F23" s="147" t="e">
        <f t="shared" si="12"/>
        <v>#N/A</v>
      </c>
      <c r="G23" s="147">
        <f t="shared" si="12"/>
        <v>35618.929902433476</v>
      </c>
      <c r="H23" s="147">
        <f t="shared" si="12"/>
        <v>1190.4275</v>
      </c>
      <c r="I23" s="290">
        <f t="shared" si="3"/>
        <v>476307.88408565888</v>
      </c>
      <c r="J23" s="172">
        <f t="shared" si="10"/>
        <v>1.3082972115013858E-2</v>
      </c>
      <c r="K23" s="291">
        <f t="shared" si="4"/>
        <v>2.4992815356923936E-3</v>
      </c>
      <c r="M23" s="147">
        <f t="shared" si="8"/>
        <v>2006</v>
      </c>
      <c r="N23" s="170" t="str">
        <f t="shared" si="9"/>
        <v>Q2</v>
      </c>
      <c r="O23" s="170" t="str">
        <f t="shared" si="1"/>
        <v>2006Q2</v>
      </c>
      <c r="P23" s="175">
        <v>43080.83881473777</v>
      </c>
      <c r="Q23" s="175">
        <f t="shared" si="5"/>
        <v>43080.838944551244</v>
      </c>
      <c r="R23" s="175">
        <v>3.0132532025106684E-9</v>
      </c>
      <c r="S23" s="175">
        <v>494.29023214036977</v>
      </c>
      <c r="T23" s="175">
        <f t="shared" si="6"/>
        <v>494.29023214036977</v>
      </c>
      <c r="U23" s="180">
        <v>38551.986971371545</v>
      </c>
      <c r="V23" s="194">
        <v>0</v>
      </c>
      <c r="W23" s="180">
        <v>1234.029</v>
      </c>
      <c r="X23" s="171">
        <f t="shared" si="7"/>
        <v>0.40054993208455375</v>
      </c>
      <c r="Y23" s="180">
        <v>4219.2389999999996</v>
      </c>
      <c r="Z23" s="180">
        <v>1656.7380000000001</v>
      </c>
    </row>
    <row r="24" spans="1:26" x14ac:dyDescent="0.2">
      <c r="A24" s="147">
        <v>2002</v>
      </c>
      <c r="B24" s="147">
        <v>11</v>
      </c>
      <c r="C24" s="147" t="str">
        <f t="shared" si="2"/>
        <v>200211</v>
      </c>
      <c r="D24" s="147" t="str">
        <f t="shared" si="11"/>
        <v>Q4</v>
      </c>
      <c r="E24" s="147">
        <f t="shared" si="12"/>
        <v>40011.42559552069</v>
      </c>
      <c r="F24" s="147" t="e">
        <f t="shared" si="12"/>
        <v>#N/A</v>
      </c>
      <c r="G24" s="147">
        <f t="shared" si="12"/>
        <v>35618.929902433476</v>
      </c>
      <c r="H24" s="147">
        <f t="shared" si="12"/>
        <v>1190.4275</v>
      </c>
      <c r="I24" s="290">
        <f t="shared" si="3"/>
        <v>476307.88408565888</v>
      </c>
      <c r="J24" s="172">
        <f t="shared" si="10"/>
        <v>1.3082972115013858E-2</v>
      </c>
      <c r="K24" s="291">
        <f t="shared" si="4"/>
        <v>2.4992815356923936E-3</v>
      </c>
      <c r="M24" s="147">
        <f t="shared" si="8"/>
        <v>2006</v>
      </c>
      <c r="N24" s="170" t="str">
        <f t="shared" si="9"/>
        <v>Q3</v>
      </c>
      <c r="O24" s="170" t="str">
        <f t="shared" si="1"/>
        <v>2006Q3</v>
      </c>
      <c r="P24" s="175">
        <v>43232.890931695685</v>
      </c>
      <c r="Q24" s="175">
        <f t="shared" si="5"/>
        <v>43232.891061967333</v>
      </c>
      <c r="R24" s="175">
        <v>3.0132532025106684E-9</v>
      </c>
      <c r="S24" s="175">
        <v>494.79899603239028</v>
      </c>
      <c r="T24" s="175">
        <f t="shared" si="6"/>
        <v>494.79899603239028</v>
      </c>
      <c r="U24" s="180">
        <v>38698.21171607422</v>
      </c>
      <c r="V24" s="194">
        <v>0</v>
      </c>
      <c r="W24" s="180">
        <v>1237.9495000000002</v>
      </c>
      <c r="X24" s="171">
        <f t="shared" si="7"/>
        <v>0.39969239135553608</v>
      </c>
      <c r="Y24" s="180">
        <v>4228.5659999999998</v>
      </c>
      <c r="Z24" s="180">
        <v>1657.8969999999999</v>
      </c>
    </row>
    <row r="25" spans="1:26" x14ac:dyDescent="0.2">
      <c r="A25" s="147">
        <v>2002</v>
      </c>
      <c r="B25" s="147">
        <v>12</v>
      </c>
      <c r="C25" s="147" t="str">
        <f t="shared" si="2"/>
        <v>200212</v>
      </c>
      <c r="D25" s="147" t="str">
        <f t="shared" si="11"/>
        <v>Q4</v>
      </c>
      <c r="E25" s="147">
        <f t="shared" si="12"/>
        <v>40011.42559552069</v>
      </c>
      <c r="F25" s="147" t="e">
        <f t="shared" si="12"/>
        <v>#N/A</v>
      </c>
      <c r="G25" s="147">
        <f t="shared" si="12"/>
        <v>35618.929902433476</v>
      </c>
      <c r="H25" s="147">
        <f t="shared" si="12"/>
        <v>1190.4275</v>
      </c>
      <c r="I25" s="290">
        <f t="shared" si="3"/>
        <v>476307.88408565888</v>
      </c>
      <c r="J25" s="172">
        <f t="shared" si="10"/>
        <v>1.3082972115013858E-2</v>
      </c>
      <c r="K25" s="291">
        <f t="shared" si="4"/>
        <v>2.4992815356923936E-3</v>
      </c>
      <c r="M25" s="147">
        <f t="shared" si="8"/>
        <v>2006</v>
      </c>
      <c r="N25" s="170" t="str">
        <f t="shared" si="9"/>
        <v>Q4</v>
      </c>
      <c r="O25" s="170" t="str">
        <f t="shared" si="1"/>
        <v>2006Q4</v>
      </c>
      <c r="P25" s="175">
        <v>43708.566756693821</v>
      </c>
      <c r="Q25" s="175">
        <f t="shared" si="5"/>
        <v>43708.566888398796</v>
      </c>
      <c r="R25" s="175">
        <v>3.0132532025106684E-9</v>
      </c>
      <c r="S25" s="175">
        <v>495.30873724023559</v>
      </c>
      <c r="T25" s="175">
        <f t="shared" si="6"/>
        <v>495.30873724023559</v>
      </c>
      <c r="U25" s="180">
        <v>39120.882163460956</v>
      </c>
      <c r="V25" s="194">
        <v>0</v>
      </c>
      <c r="W25" s="180">
        <v>1241.8699999999999</v>
      </c>
      <c r="X25" s="171">
        <f t="shared" si="7"/>
        <v>0.39884105199435982</v>
      </c>
      <c r="Y25" s="180">
        <v>4237.9139999999998</v>
      </c>
      <c r="Z25" s="180">
        <v>1659.057</v>
      </c>
    </row>
    <row r="26" spans="1:26" x14ac:dyDescent="0.2">
      <c r="A26" s="147">
        <v>2003</v>
      </c>
      <c r="B26" s="147">
        <v>1</v>
      </c>
      <c r="C26" s="147" t="str">
        <f t="shared" si="2"/>
        <v>20031</v>
      </c>
      <c r="D26" s="147" t="str">
        <f t="shared" si="11"/>
        <v>Q1</v>
      </c>
      <c r="E26" s="147">
        <f t="shared" si="12"/>
        <v>39711.933683561663</v>
      </c>
      <c r="F26" s="147" t="e">
        <f t="shared" si="12"/>
        <v>#N/A</v>
      </c>
      <c r="G26" s="147">
        <f t="shared" si="12"/>
        <v>35646.967823316591</v>
      </c>
      <c r="H26" s="147">
        <f t="shared" si="12"/>
        <v>1193.3857499999999</v>
      </c>
      <c r="I26" s="290">
        <f t="shared" si="3"/>
        <v>477799.21559285937</v>
      </c>
      <c r="J26" s="172">
        <f t="shared" si="10"/>
        <v>-2.6822094611291813E-3</v>
      </c>
      <c r="K26" s="291">
        <f t="shared" si="4"/>
        <v>2.4976720577475869E-3</v>
      </c>
      <c r="M26" s="147">
        <f t="shared" si="8"/>
        <v>2007</v>
      </c>
      <c r="N26" s="170" t="str">
        <f t="shared" si="9"/>
        <v>Q1</v>
      </c>
      <c r="O26" s="170" t="str">
        <f t="shared" si="1"/>
        <v>2007Q1</v>
      </c>
      <c r="P26" s="175">
        <v>44030.975504243055</v>
      </c>
      <c r="Q26" s="175">
        <f t="shared" si="5"/>
        <v>44030.975403095697</v>
      </c>
      <c r="R26" s="175">
        <v>-2.2971863300469408E-9</v>
      </c>
      <c r="S26" s="175">
        <v>495.81946182717161</v>
      </c>
      <c r="T26" s="175">
        <f t="shared" si="6"/>
        <v>495.81946182717161</v>
      </c>
      <c r="U26" s="180">
        <v>39207.939116974187</v>
      </c>
      <c r="V26" s="194">
        <v>0</v>
      </c>
      <c r="W26" s="180">
        <v>1245.7904999999998</v>
      </c>
      <c r="X26" s="171">
        <f t="shared" si="7"/>
        <v>0.39799586032095419</v>
      </c>
      <c r="Y26" s="180">
        <v>4247.2830000000004</v>
      </c>
      <c r="Z26" s="180">
        <v>1660.2180000000001</v>
      </c>
    </row>
    <row r="27" spans="1:26" x14ac:dyDescent="0.2">
      <c r="A27" s="147">
        <v>2003</v>
      </c>
      <c r="B27" s="147">
        <v>2</v>
      </c>
      <c r="C27" s="147" t="str">
        <f t="shared" si="2"/>
        <v>20032</v>
      </c>
      <c r="D27" s="147" t="str">
        <f t="shared" si="11"/>
        <v>Q1</v>
      </c>
      <c r="E27" s="147">
        <f t="shared" si="12"/>
        <v>39711.933683561663</v>
      </c>
      <c r="F27" s="147" t="e">
        <f t="shared" si="12"/>
        <v>#N/A</v>
      </c>
      <c r="G27" s="147">
        <f t="shared" si="12"/>
        <v>35646.967823316591</v>
      </c>
      <c r="H27" s="147">
        <f t="shared" si="12"/>
        <v>1193.3857499999999</v>
      </c>
      <c r="I27" s="290">
        <f t="shared" si="3"/>
        <v>477799.21559285937</v>
      </c>
      <c r="J27" s="172">
        <f t="shared" si="10"/>
        <v>-2.6822094611291813E-3</v>
      </c>
      <c r="K27" s="291">
        <f t="shared" si="4"/>
        <v>2.4976720577475869E-3</v>
      </c>
      <c r="M27" s="147">
        <f t="shared" si="8"/>
        <v>2007</v>
      </c>
      <c r="N27" s="170" t="str">
        <f t="shared" si="9"/>
        <v>Q2</v>
      </c>
      <c r="O27" s="170" t="str">
        <f t="shared" si="1"/>
        <v>2007Q2</v>
      </c>
      <c r="P27" s="175">
        <v>43976.320524817333</v>
      </c>
      <c r="Q27" s="175">
        <f t="shared" si="5"/>
        <v>43976.320423795529</v>
      </c>
      <c r="R27" s="175">
        <v>-2.2971863300469408E-9</v>
      </c>
      <c r="S27" s="175">
        <v>496.33117579403972</v>
      </c>
      <c r="T27" s="175">
        <f t="shared" si="6"/>
        <v>496.33117579403972</v>
      </c>
      <c r="U27" s="180">
        <v>39146.160290129192</v>
      </c>
      <c r="V27" s="194">
        <v>0</v>
      </c>
      <c r="W27" s="180">
        <v>1249.7109999999998</v>
      </c>
      <c r="X27" s="171">
        <f t="shared" si="7"/>
        <v>0.39715676327890193</v>
      </c>
      <c r="Y27" s="180">
        <v>4256.6719999999996</v>
      </c>
      <c r="Z27" s="180">
        <v>1661.3789999999999</v>
      </c>
    </row>
    <row r="28" spans="1:26" x14ac:dyDescent="0.2">
      <c r="A28" s="147">
        <v>2003</v>
      </c>
      <c r="B28" s="147">
        <v>3</v>
      </c>
      <c r="C28" s="147" t="str">
        <f t="shared" si="2"/>
        <v>20033</v>
      </c>
      <c r="D28" s="147" t="str">
        <f t="shared" si="11"/>
        <v>Q1</v>
      </c>
      <c r="E28" s="147">
        <f t="shared" si="12"/>
        <v>39711.933683561663</v>
      </c>
      <c r="F28" s="147" t="e">
        <f t="shared" si="12"/>
        <v>#N/A</v>
      </c>
      <c r="G28" s="147">
        <f t="shared" si="12"/>
        <v>35646.967823316591</v>
      </c>
      <c r="H28" s="147">
        <f t="shared" si="12"/>
        <v>1193.3857499999999</v>
      </c>
      <c r="I28" s="290">
        <f t="shared" si="3"/>
        <v>477799.21559285937</v>
      </c>
      <c r="J28" s="172">
        <f t="shared" si="10"/>
        <v>-2.6822094611291813E-3</v>
      </c>
      <c r="K28" s="291">
        <f t="shared" si="4"/>
        <v>2.4976720577475869E-3</v>
      </c>
      <c r="M28" s="147">
        <f t="shared" si="8"/>
        <v>2007</v>
      </c>
      <c r="N28" s="170" t="str">
        <f t="shared" si="9"/>
        <v>Q3</v>
      </c>
      <c r="O28" s="170" t="str">
        <f t="shared" si="1"/>
        <v>2007Q3</v>
      </c>
      <c r="P28" s="175">
        <v>43804.205605592666</v>
      </c>
      <c r="Q28" s="175">
        <f t="shared" si="5"/>
        <v>43804.205504966245</v>
      </c>
      <c r="R28" s="175">
        <v>-2.2971863300469408E-9</v>
      </c>
      <c r="S28" s="175">
        <v>498.32041076592549</v>
      </c>
      <c r="T28" s="175">
        <f t="shared" si="6"/>
        <v>498.32041076592549</v>
      </c>
      <c r="U28" s="180">
        <v>39001.852326761655</v>
      </c>
      <c r="V28" s="194">
        <v>0</v>
      </c>
      <c r="W28" s="180">
        <v>1253.3617500000003</v>
      </c>
      <c r="X28" s="171">
        <f t="shared" si="7"/>
        <v>0.39758705797901156</v>
      </c>
      <c r="Y28" s="180">
        <v>4264.9489999999996</v>
      </c>
      <c r="Z28" s="180">
        <v>1669.175</v>
      </c>
    </row>
    <row r="29" spans="1:26" x14ac:dyDescent="0.2">
      <c r="A29" s="147">
        <v>2003</v>
      </c>
      <c r="B29" s="147">
        <v>4</v>
      </c>
      <c r="C29" s="147" t="str">
        <f t="shared" si="2"/>
        <v>20034</v>
      </c>
      <c r="D29" s="147" t="str">
        <f t="shared" si="11"/>
        <v>Q2</v>
      </c>
      <c r="E29" s="147">
        <f t="shared" si="12"/>
        <v>39930.557712818445</v>
      </c>
      <c r="F29" s="147" t="e">
        <f t="shared" si="12"/>
        <v>#N/A</v>
      </c>
      <c r="G29" s="147">
        <f t="shared" si="12"/>
        <v>35842.575547320266</v>
      </c>
      <c r="H29" s="147">
        <f t="shared" si="12"/>
        <v>1196.3440000000001</v>
      </c>
      <c r="I29" s="290">
        <f t="shared" si="3"/>
        <v>479294.39124818373</v>
      </c>
      <c r="J29" s="172">
        <f t="shared" si="10"/>
        <v>-1.2869421217931443E-3</v>
      </c>
      <c r="K29" s="291">
        <f t="shared" si="4"/>
        <v>2.4960525761306487E-3</v>
      </c>
      <c r="M29" s="147">
        <f t="shared" si="8"/>
        <v>2007</v>
      </c>
      <c r="N29" s="170" t="str">
        <f t="shared" si="9"/>
        <v>Q4</v>
      </c>
      <c r="O29" s="170" t="str">
        <f t="shared" si="1"/>
        <v>2007Q4</v>
      </c>
      <c r="P29" s="175">
        <v>43950.038918735168</v>
      </c>
      <c r="Q29" s="175">
        <f t="shared" si="5"/>
        <v>43950.038904835856</v>
      </c>
      <c r="R29" s="175">
        <v>-3.1625257967959897E-10</v>
      </c>
      <c r="S29" s="175">
        <v>500.31645665447218</v>
      </c>
      <c r="T29" s="175">
        <f t="shared" si="6"/>
        <v>500.31645665447218</v>
      </c>
      <c r="U29" s="180">
        <v>39135.118262944496</v>
      </c>
      <c r="V29" s="194">
        <v>0</v>
      </c>
      <c r="W29" s="180">
        <v>1257.0125</v>
      </c>
      <c r="X29" s="171">
        <f t="shared" si="7"/>
        <v>0.39802027159990228</v>
      </c>
      <c r="Y29" s="180">
        <v>4273.2430000000004</v>
      </c>
      <c r="Z29" s="180">
        <v>1677.0070000000001</v>
      </c>
    </row>
    <row r="30" spans="1:26" x14ac:dyDescent="0.2">
      <c r="A30" s="147">
        <v>2003</v>
      </c>
      <c r="B30" s="147">
        <v>5</v>
      </c>
      <c r="C30" s="147" t="str">
        <f t="shared" si="2"/>
        <v>20035</v>
      </c>
      <c r="D30" s="147" t="str">
        <f t="shared" si="11"/>
        <v>Q2</v>
      </c>
      <c r="E30" s="147">
        <f t="shared" si="12"/>
        <v>39930.557712818445</v>
      </c>
      <c r="F30" s="147" t="e">
        <f t="shared" si="12"/>
        <v>#N/A</v>
      </c>
      <c r="G30" s="147">
        <f t="shared" si="12"/>
        <v>35842.575547320266</v>
      </c>
      <c r="H30" s="147">
        <f t="shared" si="12"/>
        <v>1196.3440000000001</v>
      </c>
      <c r="I30" s="290">
        <f t="shared" si="3"/>
        <v>479294.39124818373</v>
      </c>
      <c r="J30" s="172">
        <f t="shared" si="10"/>
        <v>-1.2869421217931443E-3</v>
      </c>
      <c r="K30" s="291">
        <f t="shared" si="4"/>
        <v>2.4960525761306487E-3</v>
      </c>
      <c r="M30" s="147">
        <f t="shared" si="8"/>
        <v>2008</v>
      </c>
      <c r="N30" s="170" t="str">
        <f t="shared" si="9"/>
        <v>Q1</v>
      </c>
      <c r="O30" s="170" t="str">
        <f t="shared" si="1"/>
        <v>2008Q1</v>
      </c>
      <c r="P30" s="175">
        <v>44416.108465011559</v>
      </c>
      <c r="Q30" s="175">
        <f t="shared" si="5"/>
        <v>44416.10845096485</v>
      </c>
      <c r="R30" s="175">
        <v>-3.1625257967959897E-10</v>
      </c>
      <c r="S30" s="175">
        <v>502.31934308818666</v>
      </c>
      <c r="T30" s="175">
        <f t="shared" si="6"/>
        <v>502.31934308818666</v>
      </c>
      <c r="U30" s="180">
        <v>39632.680925057175</v>
      </c>
      <c r="V30" s="194">
        <v>0</v>
      </c>
      <c r="W30" s="180">
        <v>1260.6632500000001</v>
      </c>
      <c r="X30" s="171">
        <f t="shared" si="7"/>
        <v>0.39845640228521506</v>
      </c>
      <c r="Y30" s="180">
        <v>4281.5519999999997</v>
      </c>
      <c r="Z30" s="180">
        <v>1684.875</v>
      </c>
    </row>
    <row r="31" spans="1:26" x14ac:dyDescent="0.2">
      <c r="A31" s="147">
        <v>2003</v>
      </c>
      <c r="B31" s="147">
        <v>6</v>
      </c>
      <c r="C31" s="147" t="str">
        <f t="shared" si="2"/>
        <v>20036</v>
      </c>
      <c r="D31" s="147" t="str">
        <f t="shared" si="11"/>
        <v>Q2</v>
      </c>
      <c r="E31" s="147">
        <f t="shared" si="12"/>
        <v>39930.557712818445</v>
      </c>
      <c r="F31" s="147" t="e">
        <f t="shared" si="12"/>
        <v>#N/A</v>
      </c>
      <c r="G31" s="147">
        <f t="shared" si="12"/>
        <v>35842.575547320266</v>
      </c>
      <c r="H31" s="147">
        <f t="shared" si="12"/>
        <v>1196.3440000000001</v>
      </c>
      <c r="I31" s="290">
        <f t="shared" si="3"/>
        <v>479294.39124818373</v>
      </c>
      <c r="J31" s="172">
        <f t="shared" si="10"/>
        <v>-1.2869421217931443E-3</v>
      </c>
      <c r="K31" s="291">
        <f t="shared" si="4"/>
        <v>2.4960525761306487E-3</v>
      </c>
      <c r="M31" s="147">
        <f t="shared" si="8"/>
        <v>2008</v>
      </c>
      <c r="N31" s="170" t="str">
        <f t="shared" si="9"/>
        <v>Q2</v>
      </c>
      <c r="O31" s="170" t="str">
        <f t="shared" si="1"/>
        <v>2008Q2</v>
      </c>
      <c r="P31" s="175">
        <v>44590.916353433233</v>
      </c>
      <c r="Q31" s="175">
        <f t="shared" si="5"/>
        <v>44590.916339331241</v>
      </c>
      <c r="R31" s="175">
        <v>-3.1625257967959897E-10</v>
      </c>
      <c r="S31" s="175">
        <v>504.3290998175558</v>
      </c>
      <c r="T31" s="175">
        <f t="shared" si="6"/>
        <v>504.3290998175558</v>
      </c>
      <c r="U31" s="180">
        <v>39855.727140851915</v>
      </c>
      <c r="V31" s="194">
        <v>0</v>
      </c>
      <c r="W31" s="180">
        <v>1264.3140000000001</v>
      </c>
      <c r="X31" s="171">
        <f t="shared" si="7"/>
        <v>0.39889544829651158</v>
      </c>
      <c r="Y31" s="180">
        <v>4289.8779999999997</v>
      </c>
      <c r="Z31" s="180">
        <v>1692.7809999999999</v>
      </c>
    </row>
    <row r="32" spans="1:26" x14ac:dyDescent="0.2">
      <c r="A32" s="147">
        <v>2003</v>
      </c>
      <c r="B32" s="147">
        <v>7</v>
      </c>
      <c r="C32" s="147" t="str">
        <f t="shared" si="2"/>
        <v>20037</v>
      </c>
      <c r="D32" s="147" t="str">
        <f t="shared" si="11"/>
        <v>Q3</v>
      </c>
      <c r="E32" s="147">
        <f t="shared" si="12"/>
        <v>39963.069790089263</v>
      </c>
      <c r="F32" s="147" t="e">
        <f t="shared" si="12"/>
        <v>#N/A</v>
      </c>
      <c r="G32" s="147">
        <f t="shared" si="12"/>
        <v>35879.356060081816</v>
      </c>
      <c r="H32" s="147">
        <f t="shared" si="12"/>
        <v>1199.2184999999999</v>
      </c>
      <c r="I32" s="290">
        <f t="shared" si="3"/>
        <v>480789.07780993736</v>
      </c>
      <c r="J32" s="172">
        <f t="shared" si="10"/>
        <v>1.3694294245938377E-3</v>
      </c>
      <c r="K32" s="291">
        <f t="shared" si="4"/>
        <v>2.4942715118708826E-3</v>
      </c>
      <c r="M32" s="147">
        <f t="shared" si="8"/>
        <v>2008</v>
      </c>
      <c r="N32" s="170" t="str">
        <f t="shared" si="9"/>
        <v>Q3</v>
      </c>
      <c r="O32" s="170" t="str">
        <f t="shared" si="1"/>
        <v>2008Q3</v>
      </c>
      <c r="P32" s="175">
        <v>43631.992988675534</v>
      </c>
      <c r="Q32" s="175">
        <f t="shared" si="5"/>
        <v>43631.993018171721</v>
      </c>
      <c r="R32" s="175">
        <v>6.7602190512161542E-10</v>
      </c>
      <c r="S32" s="175">
        <v>505.25256082777889</v>
      </c>
      <c r="T32" s="175">
        <f t="shared" si="6"/>
        <v>505.25256082777889</v>
      </c>
      <c r="U32" s="180">
        <v>38971.970554889042</v>
      </c>
      <c r="V32" s="194">
        <v>0</v>
      </c>
      <c r="W32" s="180">
        <v>1267.0297499999999</v>
      </c>
      <c r="X32" s="171">
        <f t="shared" si="7"/>
        <v>0.39876929553373069</v>
      </c>
      <c r="Y32" s="180">
        <v>4296.6610000000001</v>
      </c>
      <c r="Z32" s="180">
        <v>1694.962</v>
      </c>
    </row>
    <row r="33" spans="1:26" x14ac:dyDescent="0.2">
      <c r="A33" s="147">
        <v>2003</v>
      </c>
      <c r="B33" s="147">
        <v>8</v>
      </c>
      <c r="C33" s="147" t="str">
        <f t="shared" si="2"/>
        <v>20038</v>
      </c>
      <c r="D33" s="147" t="str">
        <f t="shared" si="11"/>
        <v>Q3</v>
      </c>
      <c r="E33" s="147">
        <f t="shared" si="12"/>
        <v>39963.069790089263</v>
      </c>
      <c r="F33" s="147" t="e">
        <f t="shared" si="12"/>
        <v>#N/A</v>
      </c>
      <c r="G33" s="147">
        <f t="shared" si="12"/>
        <v>35879.356060081816</v>
      </c>
      <c r="H33" s="147">
        <f t="shared" si="12"/>
        <v>1199.2184999999999</v>
      </c>
      <c r="I33" s="290">
        <f t="shared" si="3"/>
        <v>480789.07780993736</v>
      </c>
      <c r="J33" s="172">
        <f t="shared" si="10"/>
        <v>1.3694294245938377E-3</v>
      </c>
      <c r="K33" s="291">
        <f t="shared" si="4"/>
        <v>2.4942715118708826E-3</v>
      </c>
      <c r="M33" s="147">
        <f t="shared" si="8"/>
        <v>2008</v>
      </c>
      <c r="N33" s="170" t="str">
        <f t="shared" si="9"/>
        <v>Q4</v>
      </c>
      <c r="O33" s="170" t="str">
        <f t="shared" si="1"/>
        <v>2008Q4</v>
      </c>
      <c r="P33" s="175">
        <v>43911.243613059996</v>
      </c>
      <c r="Q33" s="175">
        <f t="shared" si="5"/>
        <v>43911.243642744957</v>
      </c>
      <c r="R33" s="175">
        <v>6.7602190512161542E-10</v>
      </c>
      <c r="S33" s="175">
        <v>506.17727071899566</v>
      </c>
      <c r="T33" s="175">
        <f t="shared" si="6"/>
        <v>506.17727071899566</v>
      </c>
      <c r="U33" s="180">
        <v>39250.753059038092</v>
      </c>
      <c r="V33" s="194">
        <v>0</v>
      </c>
      <c r="W33" s="180">
        <v>1269.7455</v>
      </c>
      <c r="X33" s="171">
        <f t="shared" si="7"/>
        <v>0.39864466597361098</v>
      </c>
      <c r="Y33" s="180">
        <v>4303.4549999999999</v>
      </c>
      <c r="Z33" s="180">
        <v>1697.1469999999999</v>
      </c>
    </row>
    <row r="34" spans="1:26" x14ac:dyDescent="0.2">
      <c r="A34" s="147">
        <v>2003</v>
      </c>
      <c r="B34" s="147">
        <v>9</v>
      </c>
      <c r="C34" s="147" t="str">
        <f t="shared" si="2"/>
        <v>20039</v>
      </c>
      <c r="D34" s="147" t="str">
        <f t="shared" si="11"/>
        <v>Q3</v>
      </c>
      <c r="E34" s="147">
        <f t="shared" si="12"/>
        <v>39963.069790089263</v>
      </c>
      <c r="F34" s="147" t="e">
        <f t="shared" si="12"/>
        <v>#N/A</v>
      </c>
      <c r="G34" s="147">
        <f t="shared" si="12"/>
        <v>35879.356060081816</v>
      </c>
      <c r="H34" s="147">
        <f t="shared" si="12"/>
        <v>1199.2184999999999</v>
      </c>
      <c r="I34" s="290">
        <f t="shared" si="3"/>
        <v>480789.07780993736</v>
      </c>
      <c r="J34" s="172">
        <f t="shared" si="10"/>
        <v>1.3694294245938377E-3</v>
      </c>
      <c r="K34" s="291">
        <f t="shared" si="4"/>
        <v>2.4942715118708826E-3</v>
      </c>
      <c r="M34" s="147">
        <f t="shared" si="8"/>
        <v>2009</v>
      </c>
      <c r="N34" s="170" t="str">
        <f t="shared" si="9"/>
        <v>Q1</v>
      </c>
      <c r="O34" s="170" t="str">
        <f t="shared" si="1"/>
        <v>2009Q1</v>
      </c>
      <c r="P34" s="175">
        <v>43191.27492890181</v>
      </c>
      <c r="Q34" s="175">
        <f t="shared" si="5"/>
        <v>43191.274958100061</v>
      </c>
      <c r="R34" s="175">
        <v>6.7602190512161542E-10</v>
      </c>
      <c r="S34" s="175">
        <v>507.10323204385077</v>
      </c>
      <c r="T34" s="175">
        <f t="shared" si="6"/>
        <v>507.10323204385077</v>
      </c>
      <c r="U34" s="180">
        <v>39351.75300796557</v>
      </c>
      <c r="V34" s="194">
        <v>0</v>
      </c>
      <c r="W34" s="180">
        <v>1272.4612500000003</v>
      </c>
      <c r="X34" s="171">
        <f t="shared" si="7"/>
        <v>0.39852155186953681</v>
      </c>
      <c r="Y34" s="180">
        <v>4310.259</v>
      </c>
      <c r="Z34" s="180">
        <v>1699.3340000000001</v>
      </c>
    </row>
    <row r="35" spans="1:26" x14ac:dyDescent="0.2">
      <c r="A35" s="147">
        <v>2003</v>
      </c>
      <c r="B35" s="147">
        <v>10</v>
      </c>
      <c r="C35" s="147" t="str">
        <f t="shared" si="2"/>
        <v>200310</v>
      </c>
      <c r="D35" s="147" t="str">
        <f t="shared" si="11"/>
        <v>Q4</v>
      </c>
      <c r="E35" s="147">
        <f t="shared" si="12"/>
        <v>40511.185528922178</v>
      </c>
      <c r="F35" s="147" t="e">
        <f t="shared" si="12"/>
        <v>#N/A</v>
      </c>
      <c r="G35" s="147">
        <f t="shared" si="12"/>
        <v>36361.519986701038</v>
      </c>
      <c r="H35" s="147">
        <f t="shared" si="12"/>
        <v>1202.0929999999998</v>
      </c>
      <c r="I35" s="290">
        <f t="shared" si="3"/>
        <v>482287.79444709991</v>
      </c>
      <c r="J35" s="172">
        <f t="shared" si="10"/>
        <v>1.2490430569847888E-2</v>
      </c>
      <c r="K35" s="291">
        <f t="shared" si="4"/>
        <v>2.4924806595574178E-3</v>
      </c>
      <c r="M35" s="147">
        <f t="shared" si="8"/>
        <v>2009</v>
      </c>
      <c r="N35" s="170" t="str">
        <f t="shared" si="9"/>
        <v>Q2</v>
      </c>
      <c r="O35" s="170" t="str">
        <f t="shared" si="1"/>
        <v>2009Q2</v>
      </c>
      <c r="P35" s="175">
        <v>43250.549196981534</v>
      </c>
      <c r="Q35" s="175">
        <f t="shared" si="5"/>
        <v>43250.549093982401</v>
      </c>
      <c r="R35" s="175">
        <v>-2.3814525906828976E-9</v>
      </c>
      <c r="S35" s="175">
        <v>508.03044735539709</v>
      </c>
      <c r="T35" s="175">
        <f t="shared" si="6"/>
        <v>508.03044735539709</v>
      </c>
      <c r="U35" s="180">
        <v>39473.581717535344</v>
      </c>
      <c r="V35" s="194">
        <v>0</v>
      </c>
      <c r="W35" s="180">
        <v>1275.1770000000001</v>
      </c>
      <c r="X35" s="171">
        <f t="shared" si="7"/>
        <v>0.39839994554120489</v>
      </c>
      <c r="Y35" s="180">
        <v>4317.0739999999996</v>
      </c>
      <c r="Z35" s="180">
        <v>1701.5239999999999</v>
      </c>
    </row>
    <row r="36" spans="1:26" x14ac:dyDescent="0.2">
      <c r="A36" s="147">
        <v>2003</v>
      </c>
      <c r="B36" s="147">
        <v>11</v>
      </c>
      <c r="C36" s="147" t="str">
        <f t="shared" si="2"/>
        <v>200311</v>
      </c>
      <c r="D36" s="147" t="str">
        <f t="shared" si="11"/>
        <v>Q4</v>
      </c>
      <c r="E36" s="147">
        <f t="shared" si="12"/>
        <v>40511.185528922178</v>
      </c>
      <c r="F36" s="147" t="e">
        <f t="shared" si="12"/>
        <v>#N/A</v>
      </c>
      <c r="G36" s="147">
        <f t="shared" si="12"/>
        <v>36361.519986701038</v>
      </c>
      <c r="H36" s="147">
        <f t="shared" si="12"/>
        <v>1202.0929999999998</v>
      </c>
      <c r="I36" s="290">
        <f t="shared" si="3"/>
        <v>482287.79444709991</v>
      </c>
      <c r="J36" s="172">
        <f t="shared" si="10"/>
        <v>1.2490430569847888E-2</v>
      </c>
      <c r="K36" s="291">
        <f t="shared" si="4"/>
        <v>2.4924806595574178E-3</v>
      </c>
      <c r="M36" s="147">
        <f t="shared" si="8"/>
        <v>2009</v>
      </c>
      <c r="N36" s="170" t="str">
        <f t="shared" si="9"/>
        <v>Q3</v>
      </c>
      <c r="O36" s="170" t="str">
        <f t="shared" si="1"/>
        <v>2009Q3</v>
      </c>
      <c r="P36" s="175">
        <v>42885.490304860599</v>
      </c>
      <c r="Q36" s="175">
        <f t="shared" si="5"/>
        <v>42885.490202730834</v>
      </c>
      <c r="R36" s="175">
        <v>-2.3814525906828976E-9</v>
      </c>
      <c r="S36" s="175">
        <v>509.99647779192645</v>
      </c>
      <c r="T36" s="175">
        <f t="shared" si="6"/>
        <v>509.99647779192645</v>
      </c>
      <c r="U36" s="180">
        <v>39137.875476073954</v>
      </c>
      <c r="V36" s="194">
        <v>0</v>
      </c>
      <c r="W36" s="180">
        <v>1277.9733333333331</v>
      </c>
      <c r="X36" s="171">
        <f t="shared" si="7"/>
        <v>0.39906660373084979</v>
      </c>
      <c r="Y36" s="180">
        <v>4324.5020000000004</v>
      </c>
      <c r="Z36" s="180">
        <v>1707.499</v>
      </c>
    </row>
    <row r="37" spans="1:26" x14ac:dyDescent="0.2">
      <c r="A37" s="147">
        <v>2003</v>
      </c>
      <c r="B37" s="147">
        <v>12</v>
      </c>
      <c r="C37" s="147" t="str">
        <f t="shared" si="2"/>
        <v>200312</v>
      </c>
      <c r="D37" s="147" t="str">
        <f t="shared" si="11"/>
        <v>Q4</v>
      </c>
      <c r="E37" s="147">
        <f t="shared" si="12"/>
        <v>40511.185528922178</v>
      </c>
      <c r="F37" s="147" t="e">
        <f t="shared" si="12"/>
        <v>#N/A</v>
      </c>
      <c r="G37" s="147">
        <f t="shared" si="12"/>
        <v>36361.519986701038</v>
      </c>
      <c r="H37" s="147">
        <f t="shared" si="12"/>
        <v>1202.0929999999998</v>
      </c>
      <c r="I37" s="290">
        <f t="shared" si="3"/>
        <v>482287.79444709991</v>
      </c>
      <c r="J37" s="172">
        <f t="shared" si="10"/>
        <v>1.2490430569847888E-2</v>
      </c>
      <c r="K37" s="291">
        <f t="shared" si="4"/>
        <v>2.4924806595574178E-3</v>
      </c>
      <c r="M37" s="147">
        <f t="shared" si="8"/>
        <v>2009</v>
      </c>
      <c r="N37" s="170" t="str">
        <f t="shared" si="9"/>
        <v>Q4</v>
      </c>
      <c r="O37" s="170" t="str">
        <f t="shared" si="1"/>
        <v>2009Q4</v>
      </c>
      <c r="P37" s="175">
        <v>42840.907212663566</v>
      </c>
      <c r="Q37" s="175">
        <f t="shared" si="5"/>
        <v>42840.907110639979</v>
      </c>
      <c r="R37" s="175">
        <v>-2.3814525906828976E-9</v>
      </c>
      <c r="S37" s="175">
        <v>512.09889540358517</v>
      </c>
      <c r="T37" s="175">
        <f t="shared" si="6"/>
        <v>512.09889540358517</v>
      </c>
      <c r="U37" s="180">
        <v>39094.688351422847</v>
      </c>
      <c r="V37" s="194">
        <v>0</v>
      </c>
      <c r="W37" s="180">
        <v>1280.7696666666668</v>
      </c>
      <c r="X37" s="171">
        <f t="shared" si="7"/>
        <v>0.39983683930958058</v>
      </c>
      <c r="Y37" s="180">
        <v>4331.9290000000001</v>
      </c>
      <c r="Z37" s="180">
        <v>1713.644</v>
      </c>
    </row>
    <row r="38" spans="1:26" x14ac:dyDescent="0.2">
      <c r="A38" s="147">
        <v>2004</v>
      </c>
      <c r="B38" s="147">
        <v>1</v>
      </c>
      <c r="C38" s="147" t="str">
        <f t="shared" si="2"/>
        <v>20041</v>
      </c>
      <c r="D38" s="147" t="str">
        <f t="shared" si="11"/>
        <v>Q1</v>
      </c>
      <c r="E38" s="147">
        <f t="shared" si="12"/>
        <v>40639.963801491271</v>
      </c>
      <c r="F38" s="147" t="e">
        <f t="shared" si="12"/>
        <v>#N/A</v>
      </c>
      <c r="G38" s="147">
        <f t="shared" si="12"/>
        <v>36644.026083426186</v>
      </c>
      <c r="H38" s="147">
        <f t="shared" si="12"/>
        <v>1204.9675</v>
      </c>
      <c r="I38" s="290">
        <f t="shared" si="3"/>
        <v>483790.55407003406</v>
      </c>
      <c r="J38" s="172">
        <f t="shared" si="10"/>
        <v>2.3369048843717044E-2</v>
      </c>
      <c r="K38" s="291">
        <f t="shared" si="4"/>
        <v>2.4906800884449834E-3</v>
      </c>
      <c r="M38" s="147">
        <f t="shared" si="8"/>
        <v>2010</v>
      </c>
      <c r="N38" s="170" t="str">
        <f t="shared" si="9"/>
        <v>Q1</v>
      </c>
      <c r="O38" s="170" t="str">
        <f t="shared" si="1"/>
        <v>2010Q1</v>
      </c>
      <c r="P38" s="175">
        <v>42642.930928995687</v>
      </c>
      <c r="Q38" s="175">
        <f t="shared" si="5"/>
        <v>42642.930929243783</v>
      </c>
      <c r="R38" s="175">
        <v>5.8180127382456703E-12</v>
      </c>
      <c r="S38" s="175">
        <v>514.21400000000006</v>
      </c>
      <c r="T38" s="175">
        <f t="shared" si="6"/>
        <v>514.21400000000006</v>
      </c>
      <c r="U38" s="180">
        <v>38849.752908087466</v>
      </c>
      <c r="V38" s="194">
        <v>0</v>
      </c>
      <c r="W38" s="180">
        <v>1283.5660000000005</v>
      </c>
      <c r="X38" s="171">
        <f t="shared" si="7"/>
        <v>0.40061360304027988</v>
      </c>
      <c r="Y38" s="180">
        <v>4339.357</v>
      </c>
      <c r="Z38" s="180">
        <v>1719.9649999999999</v>
      </c>
    </row>
    <row r="39" spans="1:26" x14ac:dyDescent="0.2">
      <c r="A39" s="147">
        <v>2004</v>
      </c>
      <c r="B39" s="147">
        <v>2</v>
      </c>
      <c r="C39" s="147" t="str">
        <f t="shared" si="2"/>
        <v>20042</v>
      </c>
      <c r="D39" s="147" t="str">
        <f t="shared" si="11"/>
        <v>Q1</v>
      </c>
      <c r="E39" s="147">
        <f t="shared" si="12"/>
        <v>40639.963801491271</v>
      </c>
      <c r="F39" s="147" t="e">
        <f t="shared" si="12"/>
        <v>#N/A</v>
      </c>
      <c r="G39" s="147">
        <f t="shared" si="12"/>
        <v>36644.026083426186</v>
      </c>
      <c r="H39" s="147">
        <f t="shared" si="12"/>
        <v>1204.9675</v>
      </c>
      <c r="I39" s="290">
        <f t="shared" si="3"/>
        <v>483790.55407003406</v>
      </c>
      <c r="J39" s="172">
        <f t="shared" si="10"/>
        <v>2.3369048843717044E-2</v>
      </c>
      <c r="K39" s="291">
        <f t="shared" si="4"/>
        <v>2.4906800884449834E-3</v>
      </c>
      <c r="M39" s="147">
        <f t="shared" si="8"/>
        <v>2010</v>
      </c>
      <c r="N39" s="170" t="str">
        <f t="shared" si="9"/>
        <v>Q2</v>
      </c>
      <c r="O39" s="170" t="str">
        <f t="shared" si="1"/>
        <v>2010Q2</v>
      </c>
      <c r="P39" s="175">
        <v>43211.581247465539</v>
      </c>
      <c r="Q39" s="175">
        <f t="shared" si="5"/>
        <v>43211.581247716946</v>
      </c>
      <c r="R39" s="175">
        <v>5.8180127382456703E-12</v>
      </c>
      <c r="S39" s="175">
        <v>515.32310720002329</v>
      </c>
      <c r="T39" s="175">
        <f t="shared" si="6"/>
        <v>515.32310720002329</v>
      </c>
      <c r="U39" s="180">
        <v>39352.623912366878</v>
      </c>
      <c r="V39" s="194">
        <v>-4.5736387765638042E-4</v>
      </c>
      <c r="W39" s="180">
        <v>1286.3918115642771</v>
      </c>
      <c r="X39" s="171">
        <f t="shared" si="7"/>
        <v>0.40059576139044334</v>
      </c>
      <c r="Y39" s="180">
        <v>4346.6549999999997</v>
      </c>
      <c r="Z39" s="180">
        <v>1722.1289999999999</v>
      </c>
    </row>
    <row r="40" spans="1:26" x14ac:dyDescent="0.2">
      <c r="A40" s="147">
        <v>2004</v>
      </c>
      <c r="B40" s="147">
        <v>3</v>
      </c>
      <c r="C40" s="147" t="str">
        <f t="shared" si="2"/>
        <v>20043</v>
      </c>
      <c r="D40" s="147" t="str">
        <f t="shared" si="11"/>
        <v>Q1</v>
      </c>
      <c r="E40" s="147">
        <f t="shared" si="12"/>
        <v>40639.963801491271</v>
      </c>
      <c r="F40" s="147" t="e">
        <f t="shared" si="12"/>
        <v>#N/A</v>
      </c>
      <c r="G40" s="147">
        <f t="shared" si="12"/>
        <v>36644.026083426186</v>
      </c>
      <c r="H40" s="147">
        <f t="shared" si="12"/>
        <v>1204.9675</v>
      </c>
      <c r="I40" s="290">
        <f t="shared" si="3"/>
        <v>483790.55407003406</v>
      </c>
      <c r="J40" s="172">
        <f t="shared" si="10"/>
        <v>2.3369048843717044E-2</v>
      </c>
      <c r="K40" s="291">
        <f t="shared" si="4"/>
        <v>2.4906800884449834E-3</v>
      </c>
      <c r="M40" s="147">
        <f t="shared" si="8"/>
        <v>2010</v>
      </c>
      <c r="N40" s="170" t="str">
        <f t="shared" si="9"/>
        <v>Q3</v>
      </c>
      <c r="O40" s="170" t="str">
        <f t="shared" si="1"/>
        <v>2010Q3</v>
      </c>
      <c r="P40" s="175">
        <v>43650.27856485646</v>
      </c>
      <c r="Q40" s="175">
        <f t="shared" si="5"/>
        <v>43650.27856511042</v>
      </c>
      <c r="R40" s="175">
        <v>5.8180127382456703E-12</v>
      </c>
      <c r="S40" s="175">
        <v>515.96317830861892</v>
      </c>
      <c r="T40" s="292">
        <f>S40*(1+V40)</f>
        <v>514.43281671070417</v>
      </c>
      <c r="U40" s="180">
        <v>39753.15333007311</v>
      </c>
      <c r="V40" s="194">
        <v>-2.9660287056364476E-3</v>
      </c>
      <c r="W40" s="180">
        <v>1288.6361092618649</v>
      </c>
      <c r="X40" s="171">
        <f t="shared" si="7"/>
        <v>0.40039478530844858</v>
      </c>
      <c r="Y40" s="180">
        <v>4351.6949999999997</v>
      </c>
      <c r="Z40" s="180">
        <v>1719.077</v>
      </c>
    </row>
    <row r="41" spans="1:26" x14ac:dyDescent="0.2">
      <c r="A41" s="147">
        <v>2004</v>
      </c>
      <c r="B41" s="147">
        <v>4</v>
      </c>
      <c r="C41" s="147" t="str">
        <f t="shared" si="2"/>
        <v>20044</v>
      </c>
      <c r="D41" s="147" t="str">
        <f t="shared" si="11"/>
        <v>Q2</v>
      </c>
      <c r="E41" s="147">
        <f t="shared" si="12"/>
        <v>40767.05169480067</v>
      </c>
      <c r="F41" s="147" t="e">
        <f t="shared" si="12"/>
        <v>#N/A</v>
      </c>
      <c r="G41" s="147">
        <f t="shared" si="12"/>
        <v>36771.492378685805</v>
      </c>
      <c r="H41" s="147">
        <f t="shared" si="12"/>
        <v>1207.8420000000001</v>
      </c>
      <c r="I41" s="290">
        <f t="shared" si="3"/>
        <v>485297.3696242302</v>
      </c>
      <c r="J41" s="172">
        <f t="shared" si="10"/>
        <v>2.0948717721357868E-2</v>
      </c>
      <c r="K41" s="291">
        <f t="shared" si="4"/>
        <v>2.4888698674283816E-3</v>
      </c>
      <c r="M41" s="147">
        <f t="shared" si="8"/>
        <v>2010</v>
      </c>
      <c r="N41" s="170" t="str">
        <f t="shared" si="9"/>
        <v>Q4</v>
      </c>
      <c r="O41" s="170" t="str">
        <f t="shared" si="1"/>
        <v>2010Q4</v>
      </c>
      <c r="P41" s="175">
        <v>43628.765195334854</v>
      </c>
      <c r="Q41" s="175">
        <f t="shared" si="5"/>
        <v>43628.765223791168</v>
      </c>
      <c r="R41" s="175">
        <v>6.5223737522046576E-10</v>
      </c>
      <c r="S41" s="175">
        <v>516.54545003244323</v>
      </c>
      <c r="T41" s="292">
        <f t="shared" ref="T41:T104" si="13">S41*(1+V41)</f>
        <v>513.83289345873402</v>
      </c>
      <c r="U41" s="180">
        <v>39757.383833693879</v>
      </c>
      <c r="V41" s="194">
        <v>-5.2513415296540078E-3</v>
      </c>
      <c r="W41" s="180">
        <v>1290.8602084795916</v>
      </c>
      <c r="X41" s="171">
        <f t="shared" si="7"/>
        <v>0.40015599414970249</v>
      </c>
      <c r="Y41" s="180">
        <v>4356.7349999999997</v>
      </c>
      <c r="Z41" s="180">
        <v>1716.0239999999999</v>
      </c>
    </row>
    <row r="42" spans="1:26" x14ac:dyDescent="0.2">
      <c r="A42" s="147">
        <v>2004</v>
      </c>
      <c r="B42" s="147">
        <v>5</v>
      </c>
      <c r="C42" s="147" t="str">
        <f t="shared" si="2"/>
        <v>20045</v>
      </c>
      <c r="D42" s="147" t="str">
        <f t="shared" si="11"/>
        <v>Q2</v>
      </c>
      <c r="E42" s="147">
        <f t="shared" ref="E42:H61" si="14">VLOOKUP($A42&amp;$D42,$O$1:$W$189,MATCH(E$1,$O$1:$W$1,0),0)</f>
        <v>40767.05169480067</v>
      </c>
      <c r="F42" s="147" t="e">
        <f t="shared" si="14"/>
        <v>#N/A</v>
      </c>
      <c r="G42" s="147">
        <f t="shared" si="14"/>
        <v>36771.492378685805</v>
      </c>
      <c r="H42" s="147">
        <f t="shared" si="14"/>
        <v>1207.8420000000001</v>
      </c>
      <c r="I42" s="290">
        <f t="shared" si="3"/>
        <v>485297.3696242302</v>
      </c>
      <c r="J42" s="172">
        <f t="shared" si="10"/>
        <v>2.0948717721357868E-2</v>
      </c>
      <c r="K42" s="291">
        <f t="shared" si="4"/>
        <v>2.4888698674283816E-3</v>
      </c>
      <c r="M42" s="147">
        <f t="shared" si="8"/>
        <v>2011</v>
      </c>
      <c r="N42" s="170" t="str">
        <f t="shared" si="9"/>
        <v>Q1</v>
      </c>
      <c r="O42" s="170" t="str">
        <f t="shared" si="1"/>
        <v>2011Q1</v>
      </c>
      <c r="P42" s="175">
        <v>44076.28205994812</v>
      </c>
      <c r="Q42" s="175">
        <f t="shared" si="5"/>
        <v>44076.282088696316</v>
      </c>
      <c r="R42" s="175">
        <v>6.5223737522046576E-10</v>
      </c>
      <c r="S42" s="175">
        <v>517.67568896974944</v>
      </c>
      <c r="T42" s="292">
        <f t="shared" si="13"/>
        <v>513.12667029628642</v>
      </c>
      <c r="U42" s="180">
        <v>39737.516530036453</v>
      </c>
      <c r="V42" s="194">
        <v>-8.7873909677239626E-3</v>
      </c>
      <c r="W42" s="180">
        <v>1293.0639465124377</v>
      </c>
      <c r="X42" s="171">
        <f t="shared" si="7"/>
        <v>0.40034809598240551</v>
      </c>
      <c r="Y42" s="180">
        <v>4361.7740000000003</v>
      </c>
      <c r="Z42" s="180">
        <v>1712.972</v>
      </c>
    </row>
    <row r="43" spans="1:26" x14ac:dyDescent="0.2">
      <c r="A43" s="147">
        <v>2004</v>
      </c>
      <c r="B43" s="147">
        <v>6</v>
      </c>
      <c r="C43" s="147" t="str">
        <f t="shared" si="2"/>
        <v>20046</v>
      </c>
      <c r="D43" s="147" t="str">
        <f t="shared" si="11"/>
        <v>Q2</v>
      </c>
      <c r="E43" s="147">
        <f t="shared" si="14"/>
        <v>40767.05169480067</v>
      </c>
      <c r="F43" s="147" t="e">
        <f t="shared" si="14"/>
        <v>#N/A</v>
      </c>
      <c r="G43" s="147">
        <f t="shared" si="14"/>
        <v>36771.492378685805</v>
      </c>
      <c r="H43" s="147">
        <f t="shared" si="14"/>
        <v>1207.8420000000001</v>
      </c>
      <c r="I43" s="290">
        <f t="shared" si="3"/>
        <v>485297.3696242302</v>
      </c>
      <c r="J43" s="172">
        <f t="shared" si="10"/>
        <v>2.0948717721357868E-2</v>
      </c>
      <c r="K43" s="291">
        <f t="shared" si="4"/>
        <v>2.4888698674283816E-3</v>
      </c>
      <c r="M43" s="147">
        <f t="shared" si="8"/>
        <v>2011</v>
      </c>
      <c r="N43" s="170" t="str">
        <f t="shared" si="9"/>
        <v>Q2</v>
      </c>
      <c r="O43" s="170" t="str">
        <f t="shared" si="1"/>
        <v>2011Q2</v>
      </c>
      <c r="P43" s="175">
        <v>43951.481565191236</v>
      </c>
      <c r="Q43" s="175">
        <f t="shared" si="5"/>
        <v>43951.481593858036</v>
      </c>
      <c r="R43" s="175">
        <v>6.5223737522046576E-10</v>
      </c>
      <c r="S43" s="175">
        <v>518.48502098041047</v>
      </c>
      <c r="T43" s="292">
        <f t="shared" si="13"/>
        <v>512.37785048660521</v>
      </c>
      <c r="U43" s="180">
        <v>39626.695414935333</v>
      </c>
      <c r="V43" s="194">
        <v>-1.1778875467331917E-2</v>
      </c>
      <c r="W43" s="180">
        <v>1295.2471582141143</v>
      </c>
      <c r="X43" s="171">
        <f t="shared" si="7"/>
        <v>0.40029813436942585</v>
      </c>
      <c r="Y43" s="180">
        <v>4366.8140000000003</v>
      </c>
      <c r="Z43" s="180">
        <v>1709.92</v>
      </c>
    </row>
    <row r="44" spans="1:26" x14ac:dyDescent="0.2">
      <c r="A44" s="147">
        <v>2004</v>
      </c>
      <c r="B44" s="147">
        <v>7</v>
      </c>
      <c r="C44" s="147" t="str">
        <f t="shared" si="2"/>
        <v>20047</v>
      </c>
      <c r="D44" s="147" t="str">
        <f t="shared" si="11"/>
        <v>Q3</v>
      </c>
      <c r="E44" s="147">
        <f t="shared" si="14"/>
        <v>40994.684732107613</v>
      </c>
      <c r="F44" s="147" t="e">
        <f t="shared" si="14"/>
        <v>#N/A</v>
      </c>
      <c r="G44" s="147">
        <f t="shared" si="14"/>
        <v>36973.693354213639</v>
      </c>
      <c r="H44" s="147">
        <f t="shared" si="14"/>
        <v>1210.6405</v>
      </c>
      <c r="I44" s="290">
        <f t="shared" si="3"/>
        <v>486749.8026609908</v>
      </c>
      <c r="J44" s="172">
        <f t="shared" si="10"/>
        <v>2.5814206652217342E-2</v>
      </c>
      <c r="K44" s="291">
        <f t="shared" si="4"/>
        <v>2.4871925851466265E-3</v>
      </c>
      <c r="M44" s="147">
        <f t="shared" si="8"/>
        <v>2011</v>
      </c>
      <c r="N44" s="170" t="str">
        <f t="shared" si="9"/>
        <v>Q3</v>
      </c>
      <c r="O44" s="170" t="str">
        <f t="shared" si="1"/>
        <v>2011Q3</v>
      </c>
      <c r="P44" s="175">
        <v>44013.736102153853</v>
      </c>
      <c r="Q44" s="175">
        <f t="shared" si="5"/>
        <v>44013.735990673136</v>
      </c>
      <c r="R44" s="175">
        <v>-2.5328619202014124E-9</v>
      </c>
      <c r="S44" s="175">
        <v>519.43601630689602</v>
      </c>
      <c r="T44" s="292">
        <f t="shared" si="13"/>
        <v>513.36094988205036</v>
      </c>
      <c r="U44" s="180">
        <v>39675.467395051506</v>
      </c>
      <c r="V44" s="194">
        <v>-1.1695504805458778E-2</v>
      </c>
      <c r="W44" s="180">
        <v>1297.5168166601879</v>
      </c>
      <c r="X44" s="171">
        <f t="shared" si="7"/>
        <v>0.40033085478146313</v>
      </c>
      <c r="Y44" s="180">
        <v>4370.21</v>
      </c>
      <c r="Z44" s="180">
        <v>1712.452</v>
      </c>
    </row>
    <row r="45" spans="1:26" x14ac:dyDescent="0.2">
      <c r="A45" s="147">
        <v>2004</v>
      </c>
      <c r="B45" s="147">
        <v>8</v>
      </c>
      <c r="C45" s="147" t="str">
        <f t="shared" si="2"/>
        <v>20048</v>
      </c>
      <c r="D45" s="147" t="str">
        <f t="shared" si="11"/>
        <v>Q3</v>
      </c>
      <c r="E45" s="147">
        <f t="shared" si="14"/>
        <v>40994.684732107613</v>
      </c>
      <c r="F45" s="147" t="e">
        <f t="shared" si="14"/>
        <v>#N/A</v>
      </c>
      <c r="G45" s="147">
        <f t="shared" si="14"/>
        <v>36973.693354213639</v>
      </c>
      <c r="H45" s="147">
        <f t="shared" si="14"/>
        <v>1210.6405</v>
      </c>
      <c r="I45" s="290">
        <f t="shared" si="3"/>
        <v>486749.8026609908</v>
      </c>
      <c r="J45" s="172">
        <f t="shared" si="10"/>
        <v>2.5814206652217342E-2</v>
      </c>
      <c r="K45" s="291">
        <f t="shared" si="4"/>
        <v>2.4871925851466265E-3</v>
      </c>
      <c r="M45" s="147">
        <f t="shared" si="8"/>
        <v>2011</v>
      </c>
      <c r="N45" s="170" t="str">
        <f t="shared" si="9"/>
        <v>Q4</v>
      </c>
      <c r="O45" s="170" t="str">
        <f t="shared" si="1"/>
        <v>2011Q4</v>
      </c>
      <c r="P45" s="175">
        <v>44207.369412128639</v>
      </c>
      <c r="Q45" s="175">
        <f t="shared" si="5"/>
        <v>44207.369300157479</v>
      </c>
      <c r="R45" s="175">
        <v>-2.5328619202014124E-9</v>
      </c>
      <c r="S45" s="175">
        <v>520.05141137481951</v>
      </c>
      <c r="T45" s="292">
        <f t="shared" si="13"/>
        <v>513.90400134041204</v>
      </c>
      <c r="U45" s="180">
        <v>39786.860383818384</v>
      </c>
      <c r="V45" s="194">
        <v>-1.1820773677271745E-2</v>
      </c>
      <c r="W45" s="180">
        <v>1298.9792497819678</v>
      </c>
      <c r="X45" s="171">
        <f t="shared" si="7"/>
        <v>0.40035390208281585</v>
      </c>
      <c r="Y45" s="180">
        <v>4373.6090000000004</v>
      </c>
      <c r="Z45" s="180">
        <v>1714.989</v>
      </c>
    </row>
    <row r="46" spans="1:26" x14ac:dyDescent="0.2">
      <c r="A46" s="147">
        <v>2004</v>
      </c>
      <c r="B46" s="147">
        <v>9</v>
      </c>
      <c r="C46" s="147" t="str">
        <f t="shared" si="2"/>
        <v>20049</v>
      </c>
      <c r="D46" s="147" t="str">
        <f t="shared" si="11"/>
        <v>Q3</v>
      </c>
      <c r="E46" s="147">
        <f t="shared" si="14"/>
        <v>40994.684732107613</v>
      </c>
      <c r="F46" s="147" t="e">
        <f t="shared" si="14"/>
        <v>#N/A</v>
      </c>
      <c r="G46" s="147">
        <f t="shared" si="14"/>
        <v>36973.693354213639</v>
      </c>
      <c r="H46" s="147">
        <f t="shared" si="14"/>
        <v>1210.6405</v>
      </c>
      <c r="I46" s="290">
        <f t="shared" si="3"/>
        <v>486749.8026609908</v>
      </c>
      <c r="J46" s="172">
        <f t="shared" si="10"/>
        <v>2.5814206652217342E-2</v>
      </c>
      <c r="K46" s="291">
        <f t="shared" si="4"/>
        <v>2.4871925851466265E-3</v>
      </c>
      <c r="M46" s="147">
        <f t="shared" si="8"/>
        <v>2012</v>
      </c>
      <c r="N46" s="170" t="str">
        <f t="shared" si="9"/>
        <v>Q1</v>
      </c>
      <c r="O46" s="170" t="str">
        <f t="shared" si="1"/>
        <v>2012Q1</v>
      </c>
      <c r="P46" s="175">
        <v>44318.072012361845</v>
      </c>
      <c r="Q46" s="175">
        <f t="shared" si="5"/>
        <v>44318.071900110284</v>
      </c>
      <c r="R46" s="175">
        <v>-2.5328619202014124E-9</v>
      </c>
      <c r="S46" s="175">
        <v>521.38354769033094</v>
      </c>
      <c r="T46" s="292">
        <f t="shared" si="13"/>
        <v>514.95978024996282</v>
      </c>
      <c r="U46" s="180">
        <v>39800.138297807738</v>
      </c>
      <c r="V46" s="194">
        <v>-1.2320617842324855E-2</v>
      </c>
      <c r="W46" s="180">
        <v>1301.2622358208077</v>
      </c>
      <c r="X46" s="171">
        <f t="shared" si="7"/>
        <v>0.40067523158501067</v>
      </c>
      <c r="Y46" s="180">
        <v>4377.0110000000004</v>
      </c>
      <c r="Z46" s="180">
        <v>1717.53</v>
      </c>
    </row>
    <row r="47" spans="1:26" x14ac:dyDescent="0.2">
      <c r="A47" s="147">
        <v>2004</v>
      </c>
      <c r="B47" s="147">
        <v>10</v>
      </c>
      <c r="C47" s="147" t="str">
        <f t="shared" si="2"/>
        <v>200410</v>
      </c>
      <c r="D47" s="147" t="str">
        <f t="shared" si="11"/>
        <v>Q4</v>
      </c>
      <c r="E47" s="147">
        <f t="shared" si="14"/>
        <v>41362.573015698887</v>
      </c>
      <c r="F47" s="147" t="e">
        <f t="shared" si="14"/>
        <v>#N/A</v>
      </c>
      <c r="G47" s="147">
        <f t="shared" si="14"/>
        <v>37306.699921138053</v>
      </c>
      <c r="H47" s="147">
        <f t="shared" si="14"/>
        <v>1213.4390000000001</v>
      </c>
      <c r="I47" s="290">
        <f t="shared" si="3"/>
        <v>488206.69794066739</v>
      </c>
      <c r="J47" s="172">
        <f t="shared" si="10"/>
        <v>2.1016108900808961E-2</v>
      </c>
      <c r="K47" s="291">
        <f t="shared" si="4"/>
        <v>2.4855025650374657E-3</v>
      </c>
      <c r="M47" s="147">
        <f t="shared" si="8"/>
        <v>2012</v>
      </c>
      <c r="N47" s="170" t="str">
        <f t="shared" si="9"/>
        <v>Q2</v>
      </c>
      <c r="O47" s="170" t="str">
        <f t="shared" si="1"/>
        <v>2012Q2</v>
      </c>
      <c r="P47" s="175">
        <v>44550.767626808694</v>
      </c>
      <c r="Q47" s="175">
        <f t="shared" si="5"/>
        <v>44550.767525919451</v>
      </c>
      <c r="R47" s="175">
        <v>-2.2645904040885512E-9</v>
      </c>
      <c r="S47" s="175">
        <v>522.68128010355463</v>
      </c>
      <c r="T47" s="292">
        <f t="shared" si="13"/>
        <v>516.02721924983518</v>
      </c>
      <c r="U47" s="180">
        <v>39988.352967991457</v>
      </c>
      <c r="V47" s="194">
        <v>-1.2730627835764619E-2</v>
      </c>
      <c r="W47" s="180">
        <v>1303.5421567571614</v>
      </c>
      <c r="X47" s="171">
        <f t="shared" si="7"/>
        <v>0.40096998581452525</v>
      </c>
      <c r="Y47" s="180">
        <v>4380.415</v>
      </c>
      <c r="Z47" s="180">
        <v>1720.075</v>
      </c>
    </row>
    <row r="48" spans="1:26" x14ac:dyDescent="0.2">
      <c r="A48" s="147">
        <v>2004</v>
      </c>
      <c r="B48" s="147">
        <v>11</v>
      </c>
      <c r="C48" s="147" t="str">
        <f t="shared" si="2"/>
        <v>200411</v>
      </c>
      <c r="D48" s="147" t="str">
        <f t="shared" si="11"/>
        <v>Q4</v>
      </c>
      <c r="E48" s="147">
        <f t="shared" si="14"/>
        <v>41362.573015698887</v>
      </c>
      <c r="F48" s="147" t="e">
        <f t="shared" si="14"/>
        <v>#N/A</v>
      </c>
      <c r="G48" s="147">
        <f t="shared" si="14"/>
        <v>37306.699921138053</v>
      </c>
      <c r="H48" s="147">
        <f t="shared" si="14"/>
        <v>1213.4390000000001</v>
      </c>
      <c r="I48" s="290">
        <f t="shared" si="3"/>
        <v>488206.69794066739</v>
      </c>
      <c r="J48" s="172">
        <f t="shared" si="10"/>
        <v>2.1016108900808961E-2</v>
      </c>
      <c r="K48" s="291">
        <f t="shared" si="4"/>
        <v>2.4855025650374657E-3</v>
      </c>
      <c r="M48" s="147">
        <f t="shared" si="8"/>
        <v>2012</v>
      </c>
      <c r="N48" s="170" t="str">
        <f t="shared" si="9"/>
        <v>Q3</v>
      </c>
      <c r="O48" s="170" t="str">
        <f t="shared" si="1"/>
        <v>2012Q3</v>
      </c>
      <c r="P48" s="175">
        <v>44866.258682791449</v>
      </c>
      <c r="Q48" s="175">
        <f t="shared" si="5"/>
        <v>44866.258581187751</v>
      </c>
      <c r="R48" s="175">
        <v>-2.2645904040885512E-9</v>
      </c>
      <c r="S48" s="175">
        <v>523.88455449326602</v>
      </c>
      <c r="T48" s="292">
        <f t="shared" si="13"/>
        <v>517.12337878805022</v>
      </c>
      <c r="U48" s="180">
        <v>40189.459532165798</v>
      </c>
      <c r="V48" s="194">
        <v>-1.2905850434463795E-2</v>
      </c>
      <c r="W48" s="180">
        <v>1305.7954720858047</v>
      </c>
      <c r="X48" s="171">
        <f t="shared" si="7"/>
        <v>0.40119954900474736</v>
      </c>
      <c r="Y48" s="180">
        <v>4384.09</v>
      </c>
      <c r="Z48" s="180">
        <v>1722.731</v>
      </c>
    </row>
    <row r="49" spans="1:26" x14ac:dyDescent="0.2">
      <c r="A49" s="147">
        <v>2004</v>
      </c>
      <c r="B49" s="147">
        <v>12</v>
      </c>
      <c r="C49" s="147" t="str">
        <f t="shared" si="2"/>
        <v>200412</v>
      </c>
      <c r="D49" s="147" t="str">
        <f t="shared" si="11"/>
        <v>Q4</v>
      </c>
      <c r="E49" s="147">
        <f t="shared" si="14"/>
        <v>41362.573015698887</v>
      </c>
      <c r="F49" s="147" t="e">
        <f t="shared" si="14"/>
        <v>#N/A</v>
      </c>
      <c r="G49" s="147">
        <f t="shared" si="14"/>
        <v>37306.699921138053</v>
      </c>
      <c r="H49" s="147">
        <f t="shared" si="14"/>
        <v>1213.4390000000001</v>
      </c>
      <c r="I49" s="290">
        <f t="shared" si="3"/>
        <v>488206.69794066739</v>
      </c>
      <c r="J49" s="172">
        <f t="shared" si="10"/>
        <v>2.1016108900808961E-2</v>
      </c>
      <c r="K49" s="291">
        <f t="shared" si="4"/>
        <v>2.4855025650374657E-3</v>
      </c>
      <c r="M49" s="147">
        <f t="shared" si="8"/>
        <v>2012</v>
      </c>
      <c r="N49" s="170" t="str">
        <f t="shared" si="9"/>
        <v>Q4</v>
      </c>
      <c r="O49" s="170" t="str">
        <f t="shared" si="1"/>
        <v>2012Q4</v>
      </c>
      <c r="P49" s="175">
        <v>45216.086277613547</v>
      </c>
      <c r="Q49" s="175">
        <f t="shared" si="5"/>
        <v>45216.086175217635</v>
      </c>
      <c r="R49" s="175">
        <v>-2.2645904040885512E-9</v>
      </c>
      <c r="S49" s="175">
        <v>525.08573646106072</v>
      </c>
      <c r="T49" s="292">
        <f t="shared" si="13"/>
        <v>518.1034226495758</v>
      </c>
      <c r="U49" s="180">
        <v>40421.283791564252</v>
      </c>
      <c r="V49" s="194">
        <v>-1.3297473777413638E-2</v>
      </c>
      <c r="W49" s="180">
        <v>1308.0223962775731</v>
      </c>
      <c r="X49" s="171">
        <f t="shared" si="7"/>
        <v>0.40143482095977295</v>
      </c>
      <c r="Y49" s="180">
        <v>4388.0649999999996</v>
      </c>
      <c r="Z49" s="180">
        <v>1725.0540000000001</v>
      </c>
    </row>
    <row r="50" spans="1:26" x14ac:dyDescent="0.2">
      <c r="A50" s="147">
        <v>2005</v>
      </c>
      <c r="B50" s="147">
        <v>1</v>
      </c>
      <c r="C50" s="147" t="str">
        <f t="shared" si="2"/>
        <v>20051</v>
      </c>
      <c r="D50" s="147" t="str">
        <f t="shared" si="11"/>
        <v>Q1</v>
      </c>
      <c r="E50" s="147">
        <f t="shared" si="14"/>
        <v>40750.829383927514</v>
      </c>
      <c r="F50" s="147" t="e">
        <f t="shared" si="14"/>
        <v>#N/A</v>
      </c>
      <c r="G50" s="147">
        <f t="shared" si="14"/>
        <v>36497.743140651095</v>
      </c>
      <c r="H50" s="147">
        <f t="shared" si="14"/>
        <v>1216.2375</v>
      </c>
      <c r="I50" s="290">
        <f t="shared" si="3"/>
        <v>489668.06935047486</v>
      </c>
      <c r="J50" s="172">
        <f t="shared" si="10"/>
        <v>2.7279941236604266E-3</v>
      </c>
      <c r="K50" s="291">
        <f t="shared" si="4"/>
        <v>2.48379989655705E-3</v>
      </c>
      <c r="M50" s="147">
        <f t="shared" si="8"/>
        <v>2013</v>
      </c>
      <c r="N50" s="170" t="str">
        <f t="shared" si="9"/>
        <v>Q1</v>
      </c>
      <c r="O50" s="170" t="str">
        <f>M50&amp;N50</f>
        <v>2013Q1</v>
      </c>
      <c r="P50" s="175">
        <v>45376.772191036856</v>
      </c>
      <c r="Q50" s="175">
        <f t="shared" si="5"/>
        <v>45376.772272764982</v>
      </c>
      <c r="R50" s="175">
        <v>1.8011003799500713E-9</v>
      </c>
      <c r="S50" s="175">
        <v>526.252817024004</v>
      </c>
      <c r="T50" s="292">
        <f t="shared" si="13"/>
        <v>519.29898903265575</v>
      </c>
      <c r="U50" s="180">
        <v>40466.045989246653</v>
      </c>
      <c r="V50" s="194">
        <v>-1.321385419022103E-2</v>
      </c>
      <c r="W50" s="180">
        <v>1310.232370241386</v>
      </c>
      <c r="X50" s="171">
        <f t="shared" si="7"/>
        <v>0.40164846249909986</v>
      </c>
      <c r="Y50" s="180">
        <v>4392.3379999999997</v>
      </c>
      <c r="Z50" s="180">
        <v>1728.127</v>
      </c>
    </row>
    <row r="51" spans="1:26" x14ac:dyDescent="0.2">
      <c r="A51" s="147">
        <v>2005</v>
      </c>
      <c r="B51" s="147">
        <v>2</v>
      </c>
      <c r="C51" s="147" t="str">
        <f t="shared" si="2"/>
        <v>20052</v>
      </c>
      <c r="D51" s="147" t="str">
        <f t="shared" si="11"/>
        <v>Q1</v>
      </c>
      <c r="E51" s="147">
        <f t="shared" si="14"/>
        <v>40750.829383927514</v>
      </c>
      <c r="F51" s="147" t="e">
        <f t="shared" si="14"/>
        <v>#N/A</v>
      </c>
      <c r="G51" s="147">
        <f t="shared" si="14"/>
        <v>36497.743140651095</v>
      </c>
      <c r="H51" s="147">
        <f t="shared" si="14"/>
        <v>1216.2375</v>
      </c>
      <c r="I51" s="290">
        <f t="shared" si="3"/>
        <v>489668.06935047486</v>
      </c>
      <c r="J51" s="172">
        <f t="shared" si="10"/>
        <v>2.7279941236604266E-3</v>
      </c>
      <c r="K51" s="291">
        <f t="shared" si="4"/>
        <v>2.48379989655705E-3</v>
      </c>
      <c r="M51" s="147">
        <f t="shared" si="8"/>
        <v>2013</v>
      </c>
      <c r="N51" s="170" t="str">
        <f t="shared" si="9"/>
        <v>Q2</v>
      </c>
      <c r="O51" s="170" t="str">
        <f t="shared" ref="O51:O114" si="15">M51&amp;N51</f>
        <v>2013Q2</v>
      </c>
      <c r="P51" s="175">
        <v>45714.640476036977</v>
      </c>
      <c r="Q51" s="175">
        <f t="shared" si="5"/>
        <v>45714.640558373634</v>
      </c>
      <c r="R51" s="175">
        <v>1.8011003799500713E-9</v>
      </c>
      <c r="S51" s="175">
        <v>527.46911783491646</v>
      </c>
      <c r="T51" s="292">
        <f t="shared" si="13"/>
        <v>520.6950795176873</v>
      </c>
      <c r="U51" s="180">
        <v>40674.221991986815</v>
      </c>
      <c r="V51" s="194">
        <v>-1.284253065854235E-2</v>
      </c>
      <c r="W51" s="180">
        <v>1312.4721746129399</v>
      </c>
      <c r="X51" s="171">
        <f t="shared" si="7"/>
        <v>0.40188975281740502</v>
      </c>
      <c r="Y51" s="180">
        <v>4396.8729999999996</v>
      </c>
      <c r="Z51" s="180">
        <v>1731.874</v>
      </c>
    </row>
    <row r="52" spans="1:26" x14ac:dyDescent="0.2">
      <c r="A52" s="147">
        <v>2005</v>
      </c>
      <c r="B52" s="147">
        <v>3</v>
      </c>
      <c r="C52" s="147" t="str">
        <f t="shared" si="2"/>
        <v>20053</v>
      </c>
      <c r="D52" s="147" t="str">
        <f t="shared" si="11"/>
        <v>Q1</v>
      </c>
      <c r="E52" s="147">
        <f t="shared" si="14"/>
        <v>40750.829383927514</v>
      </c>
      <c r="F52" s="147" t="e">
        <f t="shared" si="14"/>
        <v>#N/A</v>
      </c>
      <c r="G52" s="147">
        <f t="shared" si="14"/>
        <v>36497.743140651095</v>
      </c>
      <c r="H52" s="147">
        <f t="shared" si="14"/>
        <v>1216.2375</v>
      </c>
      <c r="I52" s="290">
        <f t="shared" si="3"/>
        <v>489668.06935047486</v>
      </c>
      <c r="J52" s="172">
        <f t="shared" si="10"/>
        <v>2.7279941236604266E-3</v>
      </c>
      <c r="K52" s="291">
        <f t="shared" si="4"/>
        <v>2.48379989655705E-3</v>
      </c>
      <c r="M52" s="147">
        <f t="shared" si="8"/>
        <v>2013</v>
      </c>
      <c r="N52" s="170" t="str">
        <f t="shared" si="9"/>
        <v>Q3</v>
      </c>
      <c r="O52" s="170" t="str">
        <f t="shared" si="15"/>
        <v>2013Q3</v>
      </c>
      <c r="P52" s="175">
        <v>45966.30346431151</v>
      </c>
      <c r="Q52" s="175">
        <f t="shared" si="5"/>
        <v>45966.303547101437</v>
      </c>
      <c r="R52" s="175">
        <v>1.8011003799500713E-9</v>
      </c>
      <c r="S52" s="175">
        <v>528.58111988898156</v>
      </c>
      <c r="T52" s="292">
        <f t="shared" si="13"/>
        <v>522.07845379654646</v>
      </c>
      <c r="U52" s="180">
        <v>40887.017192114734</v>
      </c>
      <c r="V52" s="194">
        <v>-1.2302115697588323E-2</v>
      </c>
      <c r="W52" s="180">
        <v>1314.6929069541804</v>
      </c>
      <c r="X52" s="171">
        <f t="shared" si="7"/>
        <v>0.40205672145411797</v>
      </c>
      <c r="Y52" s="180">
        <v>4401.67</v>
      </c>
      <c r="Z52" s="180">
        <v>1735.721</v>
      </c>
    </row>
    <row r="53" spans="1:26" x14ac:dyDescent="0.2">
      <c r="A53" s="147">
        <v>2005</v>
      </c>
      <c r="B53" s="147">
        <v>4</v>
      </c>
      <c r="C53" s="147" t="str">
        <f t="shared" si="2"/>
        <v>20054</v>
      </c>
      <c r="D53" s="147" t="str">
        <f t="shared" si="11"/>
        <v>Q2</v>
      </c>
      <c r="E53" s="147">
        <f t="shared" si="14"/>
        <v>41225.451744819984</v>
      </c>
      <c r="F53" s="147" t="e">
        <f t="shared" si="14"/>
        <v>#N/A</v>
      </c>
      <c r="G53" s="147">
        <f t="shared" si="14"/>
        <v>36925.598833112439</v>
      </c>
      <c r="H53" s="147">
        <f t="shared" si="14"/>
        <v>1219.0360000000001</v>
      </c>
      <c r="I53" s="290">
        <f t="shared" si="3"/>
        <v>491133.93082732341</v>
      </c>
      <c r="J53" s="172">
        <f t="shared" si="10"/>
        <v>1.1244375812386131E-2</v>
      </c>
      <c r="K53" s="291">
        <f t="shared" si="4"/>
        <v>2.4820846687308149E-3</v>
      </c>
      <c r="M53" s="147">
        <f t="shared" si="8"/>
        <v>2013</v>
      </c>
      <c r="N53" s="170" t="str">
        <f t="shared" si="9"/>
        <v>Q4</v>
      </c>
      <c r="O53" s="170" t="str">
        <f t="shared" si="15"/>
        <v>2013Q4</v>
      </c>
      <c r="P53" s="175">
        <v>46209.347254077751</v>
      </c>
      <c r="Q53" s="175">
        <f t="shared" si="5"/>
        <v>46209.347191698413</v>
      </c>
      <c r="R53" s="175">
        <v>-1.3499290574259248E-9</v>
      </c>
      <c r="S53" s="175">
        <v>529.78591162438261</v>
      </c>
      <c r="T53" s="292">
        <f t="shared" si="13"/>
        <v>523.47954543126946</v>
      </c>
      <c r="U53" s="180">
        <v>41128.895775846191</v>
      </c>
      <c r="V53" s="194">
        <v>-1.1903612487121795E-2</v>
      </c>
      <c r="W53" s="180">
        <v>1316.7863350402588</v>
      </c>
      <c r="X53" s="171">
        <f t="shared" si="7"/>
        <v>0.40233247986142351</v>
      </c>
      <c r="Y53" s="180">
        <v>4406.7280000000001</v>
      </c>
      <c r="Z53" s="180">
        <v>1739.7670000000001</v>
      </c>
    </row>
    <row r="54" spans="1:26" x14ac:dyDescent="0.2">
      <c r="A54" s="147">
        <v>2005</v>
      </c>
      <c r="B54" s="147">
        <v>5</v>
      </c>
      <c r="C54" s="147" t="str">
        <f t="shared" si="2"/>
        <v>20055</v>
      </c>
      <c r="D54" s="147" t="str">
        <f t="shared" si="11"/>
        <v>Q2</v>
      </c>
      <c r="E54" s="147">
        <f t="shared" si="14"/>
        <v>41225.451744819984</v>
      </c>
      <c r="F54" s="147" t="e">
        <f t="shared" si="14"/>
        <v>#N/A</v>
      </c>
      <c r="G54" s="147">
        <f t="shared" si="14"/>
        <v>36925.598833112439</v>
      </c>
      <c r="H54" s="147">
        <f t="shared" si="14"/>
        <v>1219.0360000000001</v>
      </c>
      <c r="I54" s="290">
        <f t="shared" si="3"/>
        <v>491133.93082732341</v>
      </c>
      <c r="J54" s="172">
        <f t="shared" si="10"/>
        <v>1.1244375812386131E-2</v>
      </c>
      <c r="K54" s="291">
        <f t="shared" si="4"/>
        <v>2.4820846687308149E-3</v>
      </c>
      <c r="M54" s="147">
        <f t="shared" si="8"/>
        <v>2014</v>
      </c>
      <c r="N54" s="170" t="str">
        <f t="shared" si="9"/>
        <v>Q1</v>
      </c>
      <c r="O54" s="170" t="str">
        <f t="shared" si="15"/>
        <v>2014Q1</v>
      </c>
      <c r="P54" s="175">
        <v>46705.29407392587</v>
      </c>
      <c r="Q54" s="175">
        <f t="shared" si="5"/>
        <v>46705.294010877034</v>
      </c>
      <c r="R54" s="175">
        <v>-1.3499290574259248E-9</v>
      </c>
      <c r="S54" s="175">
        <v>531.03270027044414</v>
      </c>
      <c r="T54" s="292">
        <f t="shared" si="13"/>
        <v>525.00138825465672</v>
      </c>
      <c r="U54" s="180">
        <v>41502.915812465311</v>
      </c>
      <c r="V54" s="194">
        <v>-1.135770360792443E-2</v>
      </c>
      <c r="W54" s="180">
        <v>1319.1344237950432</v>
      </c>
      <c r="X54" s="171">
        <f t="shared" si="7"/>
        <v>0.40256147568547712</v>
      </c>
      <c r="Y54" s="180">
        <v>4412.0460000000003</v>
      </c>
      <c r="Z54" s="180">
        <v>1744.0530000000001</v>
      </c>
    </row>
    <row r="55" spans="1:26" x14ac:dyDescent="0.2">
      <c r="A55" s="147">
        <v>2005</v>
      </c>
      <c r="B55" s="147">
        <v>6</v>
      </c>
      <c r="C55" s="147" t="str">
        <f t="shared" si="2"/>
        <v>20056</v>
      </c>
      <c r="D55" s="147" t="str">
        <f t="shared" si="11"/>
        <v>Q2</v>
      </c>
      <c r="E55" s="147">
        <f t="shared" si="14"/>
        <v>41225.451744819984</v>
      </c>
      <c r="F55" s="147" t="e">
        <f t="shared" si="14"/>
        <v>#N/A</v>
      </c>
      <c r="G55" s="147">
        <f t="shared" si="14"/>
        <v>36925.598833112439</v>
      </c>
      <c r="H55" s="147">
        <f t="shared" si="14"/>
        <v>1219.0360000000001</v>
      </c>
      <c r="I55" s="290">
        <f t="shared" si="3"/>
        <v>491133.93082732341</v>
      </c>
      <c r="J55" s="172">
        <f t="shared" si="10"/>
        <v>1.1244375812386131E-2</v>
      </c>
      <c r="K55" s="291">
        <f t="shared" si="4"/>
        <v>2.4820846687308149E-3</v>
      </c>
      <c r="M55" s="147">
        <f t="shared" si="8"/>
        <v>2014</v>
      </c>
      <c r="N55" s="170" t="str">
        <f t="shared" si="9"/>
        <v>Q2</v>
      </c>
      <c r="O55" s="170" t="str">
        <f t="shared" si="15"/>
        <v>2014Q2</v>
      </c>
      <c r="P55" s="175">
        <v>47013.881094000833</v>
      </c>
      <c r="Q55" s="175">
        <f t="shared" si="5"/>
        <v>47013.881030535427</v>
      </c>
      <c r="R55" s="175">
        <v>-1.3499290574259248E-9</v>
      </c>
      <c r="S55" s="175">
        <v>532.54376996015947</v>
      </c>
      <c r="T55" s="292">
        <f t="shared" si="13"/>
        <v>526.82151362526747</v>
      </c>
      <c r="U55" s="180">
        <v>41808.34126836736</v>
      </c>
      <c r="V55" s="194">
        <v>-1.0745138066904913E-2</v>
      </c>
      <c r="W55" s="180">
        <v>1322.1544157462699</v>
      </c>
      <c r="X55" s="171">
        <f t="shared" si="7"/>
        <v>0.40278485146500326</v>
      </c>
      <c r="Y55" s="180">
        <v>4417.6229999999996</v>
      </c>
      <c r="Z55" s="180">
        <v>1748.413</v>
      </c>
    </row>
    <row r="56" spans="1:26" x14ac:dyDescent="0.2">
      <c r="A56" s="147">
        <v>2005</v>
      </c>
      <c r="B56" s="147">
        <v>7</v>
      </c>
      <c r="C56" s="147" t="str">
        <f t="shared" si="2"/>
        <v>20057</v>
      </c>
      <c r="D56" s="147" t="str">
        <f t="shared" si="11"/>
        <v>Q3</v>
      </c>
      <c r="E56" s="147">
        <f t="shared" si="14"/>
        <v>41377.384784571201</v>
      </c>
      <c r="F56" s="147" t="e">
        <f t="shared" si="14"/>
        <v>#N/A</v>
      </c>
      <c r="G56" s="147">
        <f t="shared" si="14"/>
        <v>37050.927192459436</v>
      </c>
      <c r="H56" s="147">
        <f t="shared" si="14"/>
        <v>1222.7842499999997</v>
      </c>
      <c r="I56" s="290">
        <f t="shared" si="3"/>
        <v>491921.43505393527</v>
      </c>
      <c r="J56" s="172">
        <f t="shared" si="10"/>
        <v>9.335357863207383E-3</v>
      </c>
      <c r="K56" s="291">
        <f t="shared" si="4"/>
        <v>2.4857307750086781E-3</v>
      </c>
      <c r="M56" s="147">
        <f t="shared" si="8"/>
        <v>2014</v>
      </c>
      <c r="N56" s="170" t="str">
        <f t="shared" si="9"/>
        <v>Q3</v>
      </c>
      <c r="O56" s="170" t="str">
        <f t="shared" si="15"/>
        <v>2014Q3</v>
      </c>
      <c r="P56" s="175">
        <v>47346.271744160622</v>
      </c>
      <c r="Q56" s="175">
        <f t="shared" si="5"/>
        <v>47346.271788425773</v>
      </c>
      <c r="R56" s="175">
        <v>9.3492369401815267E-10</v>
      </c>
      <c r="S56" s="175">
        <v>534.10465824892049</v>
      </c>
      <c r="T56" s="292">
        <f t="shared" si="13"/>
        <v>528.65161652739107</v>
      </c>
      <c r="U56" s="180">
        <v>42112.64484379522</v>
      </c>
      <c r="V56" s="194">
        <v>-1.0209687628277564E-2</v>
      </c>
      <c r="W56" s="180">
        <v>1325.1874417068095</v>
      </c>
      <c r="X56" s="171">
        <f t="shared" si="7"/>
        <v>0.40304083893294862</v>
      </c>
      <c r="Y56" s="180">
        <v>4423.4579999999996</v>
      </c>
      <c r="Z56" s="180">
        <v>1752.981</v>
      </c>
    </row>
    <row r="57" spans="1:26" x14ac:dyDescent="0.2">
      <c r="A57" s="147">
        <v>2005</v>
      </c>
      <c r="B57" s="147">
        <v>8</v>
      </c>
      <c r="C57" s="147" t="str">
        <f t="shared" si="2"/>
        <v>20058</v>
      </c>
      <c r="D57" s="147" t="str">
        <f t="shared" si="11"/>
        <v>Q3</v>
      </c>
      <c r="E57" s="147">
        <f t="shared" si="14"/>
        <v>41377.384784571201</v>
      </c>
      <c r="F57" s="147" t="e">
        <f t="shared" si="14"/>
        <v>#N/A</v>
      </c>
      <c r="G57" s="147">
        <f t="shared" si="14"/>
        <v>37050.927192459436</v>
      </c>
      <c r="H57" s="147">
        <f t="shared" si="14"/>
        <v>1222.7842499999997</v>
      </c>
      <c r="I57" s="290">
        <f t="shared" si="3"/>
        <v>491921.43505393527</v>
      </c>
      <c r="J57" s="172">
        <f t="shared" si="10"/>
        <v>9.335357863207383E-3</v>
      </c>
      <c r="K57" s="291">
        <f t="shared" si="4"/>
        <v>2.4857307750086781E-3</v>
      </c>
      <c r="M57" s="147">
        <f t="shared" si="8"/>
        <v>2014</v>
      </c>
      <c r="N57" s="170" t="str">
        <f t="shared" si="9"/>
        <v>Q4</v>
      </c>
      <c r="O57" s="170" t="str">
        <f t="shared" si="15"/>
        <v>2014Q4</v>
      </c>
      <c r="P57" s="175">
        <v>47702.338802235281</v>
      </c>
      <c r="Q57" s="175">
        <f t="shared" si="5"/>
        <v>47702.338846833329</v>
      </c>
      <c r="R57" s="175">
        <v>9.3492369401815267E-10</v>
      </c>
      <c r="S57" s="175">
        <v>535.59836197161826</v>
      </c>
      <c r="T57" s="292">
        <f t="shared" si="13"/>
        <v>530.45752797411319</v>
      </c>
      <c r="U57" s="180">
        <v>42435.52573788313</v>
      </c>
      <c r="V57" s="194">
        <v>-9.5983004477103728E-3</v>
      </c>
      <c r="W57" s="180">
        <v>1328.117775673174</v>
      </c>
      <c r="X57" s="171">
        <f t="shared" si="7"/>
        <v>0.40327625439704934</v>
      </c>
      <c r="Y57" s="180">
        <v>4429.549</v>
      </c>
      <c r="Z57" s="180">
        <v>1757.5519999999999</v>
      </c>
    </row>
    <row r="58" spans="1:26" x14ac:dyDescent="0.2">
      <c r="A58" s="147">
        <v>2005</v>
      </c>
      <c r="B58" s="147">
        <v>9</v>
      </c>
      <c r="C58" s="147" t="str">
        <f t="shared" si="2"/>
        <v>20059</v>
      </c>
      <c r="D58" s="147" t="str">
        <f t="shared" si="11"/>
        <v>Q3</v>
      </c>
      <c r="E58" s="147">
        <f t="shared" si="14"/>
        <v>41377.384784571201</v>
      </c>
      <c r="F58" s="147" t="e">
        <f t="shared" si="14"/>
        <v>#N/A</v>
      </c>
      <c r="G58" s="147">
        <f t="shared" si="14"/>
        <v>37050.927192459436</v>
      </c>
      <c r="H58" s="147">
        <f t="shared" si="14"/>
        <v>1222.7842499999997</v>
      </c>
      <c r="I58" s="290">
        <f t="shared" si="3"/>
        <v>491921.43505393527</v>
      </c>
      <c r="J58" s="172">
        <f t="shared" si="10"/>
        <v>9.335357863207383E-3</v>
      </c>
      <c r="K58" s="291">
        <f t="shared" si="4"/>
        <v>2.4857307750086781E-3</v>
      </c>
      <c r="M58" s="147">
        <f t="shared" si="8"/>
        <v>2015</v>
      </c>
      <c r="N58" s="170" t="str">
        <f t="shared" si="9"/>
        <v>Q1</v>
      </c>
      <c r="O58" s="170" t="str">
        <f t="shared" si="15"/>
        <v>2015Q1</v>
      </c>
      <c r="P58" s="175">
        <v>48074.236249002395</v>
      </c>
      <c r="Q58" s="175">
        <f t="shared" si="5"/>
        <v>48074.236293948139</v>
      </c>
      <c r="R58" s="175">
        <v>9.3492369401815267E-10</v>
      </c>
      <c r="S58" s="175">
        <v>536.81513705564737</v>
      </c>
      <c r="T58" s="292">
        <f t="shared" si="13"/>
        <v>531.92807320136069</v>
      </c>
      <c r="U58" s="180">
        <v>42650.097953529214</v>
      </c>
      <c r="V58" s="194">
        <v>-9.1038115674075826E-3</v>
      </c>
      <c r="W58" s="180">
        <v>1330.506967929585</v>
      </c>
      <c r="X58" s="171">
        <f t="shared" si="7"/>
        <v>0.40346661084457958</v>
      </c>
      <c r="Y58" s="180">
        <v>4435.7820000000002</v>
      </c>
      <c r="Z58" s="180">
        <v>1762.1859999999999</v>
      </c>
    </row>
    <row r="59" spans="1:26" x14ac:dyDescent="0.2">
      <c r="A59" s="147">
        <v>2005</v>
      </c>
      <c r="B59" s="147">
        <v>10</v>
      </c>
      <c r="C59" s="147" t="str">
        <f t="shared" si="2"/>
        <v>200510</v>
      </c>
      <c r="D59" s="147" t="str">
        <f t="shared" si="11"/>
        <v>Q4</v>
      </c>
      <c r="E59" s="147">
        <f t="shared" si="14"/>
        <v>41556.193155002387</v>
      </c>
      <c r="F59" s="147" t="e">
        <f t="shared" si="14"/>
        <v>#N/A</v>
      </c>
      <c r="G59" s="147">
        <f t="shared" si="14"/>
        <v>37214.08364461326</v>
      </c>
      <c r="H59" s="147">
        <f t="shared" si="14"/>
        <v>1226.5325</v>
      </c>
      <c r="I59" s="290">
        <f t="shared" si="3"/>
        <v>492709.98243133829</v>
      </c>
      <c r="J59" s="172">
        <f t="shared" si="10"/>
        <v>4.6810467818336754E-3</v>
      </c>
      <c r="K59" s="291">
        <f t="shared" si="4"/>
        <v>2.4893599556224211E-3</v>
      </c>
      <c r="M59" s="147">
        <f t="shared" si="8"/>
        <v>2015</v>
      </c>
      <c r="N59" s="170" t="str">
        <f t="shared" si="9"/>
        <v>Q2</v>
      </c>
      <c r="O59" s="170" t="str">
        <f t="shared" si="15"/>
        <v>2015Q2</v>
      </c>
      <c r="P59" s="175">
        <v>48312.169389749288</v>
      </c>
      <c r="Q59" s="175">
        <f t="shared" si="5"/>
        <v>48312.169433851028</v>
      </c>
      <c r="R59" s="175">
        <v>9.1284957370874054E-10</v>
      </c>
      <c r="S59" s="175">
        <v>538.34763078032279</v>
      </c>
      <c r="T59" s="292">
        <f t="shared" si="13"/>
        <v>533.65579413802323</v>
      </c>
      <c r="U59" s="180">
        <v>42880.981284829548</v>
      </c>
      <c r="V59" s="194">
        <v>-8.7152545567978912E-3</v>
      </c>
      <c r="W59" s="180">
        <v>1333.5727376408956</v>
      </c>
      <c r="X59" s="171">
        <f t="shared" si="7"/>
        <v>0.40368823955764532</v>
      </c>
      <c r="Y59" s="180">
        <v>4442.1580000000004</v>
      </c>
      <c r="Z59" s="180">
        <v>1766.8579999999999</v>
      </c>
    </row>
    <row r="60" spans="1:26" x14ac:dyDescent="0.2">
      <c r="A60" s="147">
        <v>2005</v>
      </c>
      <c r="B60" s="147">
        <v>11</v>
      </c>
      <c r="C60" s="147" t="str">
        <f t="shared" si="2"/>
        <v>200511</v>
      </c>
      <c r="D60" s="147" t="str">
        <f t="shared" si="11"/>
        <v>Q4</v>
      </c>
      <c r="E60" s="147">
        <f t="shared" si="14"/>
        <v>41556.193155002387</v>
      </c>
      <c r="F60" s="147" t="e">
        <f t="shared" si="14"/>
        <v>#N/A</v>
      </c>
      <c r="G60" s="147">
        <f t="shared" si="14"/>
        <v>37214.08364461326</v>
      </c>
      <c r="H60" s="147">
        <f t="shared" si="14"/>
        <v>1226.5325</v>
      </c>
      <c r="I60" s="290">
        <f t="shared" si="3"/>
        <v>492709.98243133829</v>
      </c>
      <c r="J60" s="172">
        <f t="shared" si="10"/>
        <v>4.6810467818336754E-3</v>
      </c>
      <c r="K60" s="291">
        <f t="shared" si="4"/>
        <v>2.4893599556224211E-3</v>
      </c>
      <c r="M60" s="147">
        <f t="shared" si="8"/>
        <v>2015</v>
      </c>
      <c r="N60" s="170" t="str">
        <f t="shared" si="9"/>
        <v>Q3</v>
      </c>
      <c r="O60" s="170" t="str">
        <f t="shared" si="15"/>
        <v>2015Q3</v>
      </c>
      <c r="P60" s="175">
        <v>48619.69369390588</v>
      </c>
      <c r="Q60" s="175">
        <f t="shared" si="5"/>
        <v>48619.693738288348</v>
      </c>
      <c r="R60" s="175">
        <v>9.1284957370874054E-10</v>
      </c>
      <c r="S60" s="175">
        <v>539.84449205444912</v>
      </c>
      <c r="T60" s="292">
        <f t="shared" si="13"/>
        <v>535.3468432080308</v>
      </c>
      <c r="U60" s="180">
        <v>43176.797187660617</v>
      </c>
      <c r="V60" s="194">
        <v>-8.3313785962729758E-3</v>
      </c>
      <c r="W60" s="180">
        <v>1336.6816431664213</v>
      </c>
      <c r="X60" s="171">
        <f t="shared" si="7"/>
        <v>0.40386915973172882</v>
      </c>
      <c r="Y60" s="180">
        <v>4448.6779999999999</v>
      </c>
      <c r="Z60" s="180">
        <v>1771.377</v>
      </c>
    </row>
    <row r="61" spans="1:26" x14ac:dyDescent="0.2">
      <c r="A61" s="147">
        <v>2005</v>
      </c>
      <c r="B61" s="147">
        <v>12</v>
      </c>
      <c r="C61" s="147" t="str">
        <f t="shared" si="2"/>
        <v>200512</v>
      </c>
      <c r="D61" s="147" t="str">
        <f t="shared" si="11"/>
        <v>Q4</v>
      </c>
      <c r="E61" s="147">
        <f t="shared" si="14"/>
        <v>41556.193155002387</v>
      </c>
      <c r="F61" s="147" t="e">
        <f t="shared" si="14"/>
        <v>#N/A</v>
      </c>
      <c r="G61" s="147">
        <f t="shared" si="14"/>
        <v>37214.08364461326</v>
      </c>
      <c r="H61" s="147">
        <f t="shared" si="14"/>
        <v>1226.5325</v>
      </c>
      <c r="I61" s="290">
        <f t="shared" si="3"/>
        <v>492709.98243133829</v>
      </c>
      <c r="J61" s="172">
        <f t="shared" si="10"/>
        <v>4.6810467818336754E-3</v>
      </c>
      <c r="K61" s="291">
        <f t="shared" si="4"/>
        <v>2.4893599556224211E-3</v>
      </c>
      <c r="M61" s="147">
        <f t="shared" si="8"/>
        <v>2015</v>
      </c>
      <c r="N61" s="170" t="str">
        <f t="shared" si="9"/>
        <v>Q4</v>
      </c>
      <c r="O61" s="170" t="str">
        <f t="shared" si="15"/>
        <v>2015Q4</v>
      </c>
      <c r="P61" s="175">
        <v>48907.000684689374</v>
      </c>
      <c r="Q61" s="175">
        <f t="shared" si="5"/>
        <v>48907.000729334111</v>
      </c>
      <c r="R61" s="175">
        <v>9.1284957370874054E-10</v>
      </c>
      <c r="S61" s="175">
        <v>541.07507287670956</v>
      </c>
      <c r="T61" s="292">
        <f t="shared" si="13"/>
        <v>536.84812459625061</v>
      </c>
      <c r="U61" s="180">
        <v>43428.863134860279</v>
      </c>
      <c r="V61" s="194">
        <v>-7.8121290230313001E-3</v>
      </c>
      <c r="W61" s="180">
        <v>1339.1444262070083</v>
      </c>
      <c r="X61" s="171">
        <f t="shared" si="7"/>
        <v>0.404045345884947</v>
      </c>
      <c r="Y61" s="180">
        <v>4455.3419999999996</v>
      </c>
      <c r="Z61" s="180">
        <v>1776.0530000000001</v>
      </c>
    </row>
    <row r="62" spans="1:26" x14ac:dyDescent="0.2">
      <c r="A62" s="147">
        <v>2006</v>
      </c>
      <c r="B62" s="147">
        <v>1</v>
      </c>
      <c r="C62" s="147" t="str">
        <f t="shared" si="2"/>
        <v>20061</v>
      </c>
      <c r="D62" s="147" t="str">
        <f t="shared" si="11"/>
        <v>Q1</v>
      </c>
      <c r="E62" s="147">
        <f t="shared" ref="E62:H81" si="16">VLOOKUP($A62&amp;$D62,$O$1:$W$189,MATCH(E$1,$O$1:$W$1,0),0)</f>
        <v>42737.212712675537</v>
      </c>
      <c r="F62" s="147" t="e">
        <f t="shared" si="16"/>
        <v>#N/A</v>
      </c>
      <c r="G62" s="147">
        <f t="shared" si="16"/>
        <v>38232.076121240505</v>
      </c>
      <c r="H62" s="147">
        <f t="shared" si="16"/>
        <v>1230.2807499999999</v>
      </c>
      <c r="I62" s="290">
        <f t="shared" si="3"/>
        <v>493499.57934292714</v>
      </c>
      <c r="J62" s="172">
        <f t="shared" si="10"/>
        <v>4.874461106137562E-2</v>
      </c>
      <c r="K62" s="291">
        <f t="shared" si="4"/>
        <v>2.4929722364466131E-3</v>
      </c>
      <c r="M62" s="147">
        <f t="shared" si="8"/>
        <v>2016</v>
      </c>
      <c r="N62" s="170" t="str">
        <f t="shared" si="9"/>
        <v>Q1</v>
      </c>
      <c r="O62" s="170" t="str">
        <f t="shared" si="15"/>
        <v>2016Q1</v>
      </c>
      <c r="P62" s="175">
        <v>49378.354204960451</v>
      </c>
      <c r="Q62" s="175">
        <f t="shared" si="5"/>
        <v>49378.354045083113</v>
      </c>
      <c r="R62" s="175">
        <v>-3.2378020264900442E-9</v>
      </c>
      <c r="S62" s="175">
        <v>542.22201950661622</v>
      </c>
      <c r="T62" s="292">
        <f t="shared" si="13"/>
        <v>538.29858073363016</v>
      </c>
      <c r="U62" s="180">
        <v>43755.370741727726</v>
      </c>
      <c r="V62" s="194">
        <v>-7.2358529012821471E-3</v>
      </c>
      <c r="W62" s="180">
        <v>1341.4443414804639</v>
      </c>
      <c r="X62" s="171">
        <f t="shared" si="7"/>
        <v>0.40420761617899215</v>
      </c>
      <c r="Y62" s="180">
        <v>4462.1480000000001</v>
      </c>
      <c r="Z62" s="180">
        <v>1780.7280000000001</v>
      </c>
    </row>
    <row r="63" spans="1:26" x14ac:dyDescent="0.2">
      <c r="A63" s="147">
        <v>2006</v>
      </c>
      <c r="B63" s="147">
        <v>2</v>
      </c>
      <c r="C63" s="147" t="str">
        <f t="shared" si="2"/>
        <v>20062</v>
      </c>
      <c r="D63" s="147" t="str">
        <f t="shared" si="11"/>
        <v>Q1</v>
      </c>
      <c r="E63" s="147">
        <f t="shared" si="16"/>
        <v>42737.212712675537</v>
      </c>
      <c r="F63" s="147" t="e">
        <f t="shared" si="16"/>
        <v>#N/A</v>
      </c>
      <c r="G63" s="147">
        <f t="shared" si="16"/>
        <v>38232.076121240505</v>
      </c>
      <c r="H63" s="147">
        <f t="shared" si="16"/>
        <v>1230.2807499999999</v>
      </c>
      <c r="I63" s="290">
        <f t="shared" si="3"/>
        <v>493499.57934292714</v>
      </c>
      <c r="J63" s="172">
        <f t="shared" si="10"/>
        <v>4.874461106137562E-2</v>
      </c>
      <c r="K63" s="291">
        <f t="shared" si="4"/>
        <v>2.4929722364466131E-3</v>
      </c>
      <c r="M63" s="147">
        <f t="shared" si="8"/>
        <v>2016</v>
      </c>
      <c r="N63" s="170" t="str">
        <f t="shared" si="9"/>
        <v>Q2</v>
      </c>
      <c r="O63" s="170" t="str">
        <f t="shared" si="15"/>
        <v>2016Q2</v>
      </c>
      <c r="P63" s="175">
        <v>49639.207781701007</v>
      </c>
      <c r="Q63" s="175">
        <f t="shared" si="5"/>
        <v>49639.207620979076</v>
      </c>
      <c r="R63" s="175">
        <v>-3.2378020264900442E-9</v>
      </c>
      <c r="S63" s="175">
        <v>543.34997317783518</v>
      </c>
      <c r="T63" s="292">
        <f t="shared" si="13"/>
        <v>539.72985894928183</v>
      </c>
      <c r="U63" s="180">
        <v>43979.682119470162</v>
      </c>
      <c r="V63" s="194">
        <v>-6.6625828789146357E-3</v>
      </c>
      <c r="W63" s="180">
        <v>1343.8741846014057</v>
      </c>
      <c r="X63" s="171">
        <f t="shared" si="7"/>
        <v>0.40431610295348691</v>
      </c>
      <c r="Y63" s="180">
        <v>4468.982</v>
      </c>
      <c r="Z63" s="180">
        <v>1785.376</v>
      </c>
    </row>
    <row r="64" spans="1:26" x14ac:dyDescent="0.2">
      <c r="A64" s="147">
        <v>2006</v>
      </c>
      <c r="B64" s="147">
        <v>3</v>
      </c>
      <c r="C64" s="147" t="str">
        <f t="shared" si="2"/>
        <v>20063</v>
      </c>
      <c r="D64" s="147" t="str">
        <f t="shared" si="11"/>
        <v>Q1</v>
      </c>
      <c r="E64" s="147">
        <f t="shared" si="16"/>
        <v>42737.212712675537</v>
      </c>
      <c r="F64" s="147" t="e">
        <f t="shared" si="16"/>
        <v>#N/A</v>
      </c>
      <c r="G64" s="147">
        <f t="shared" si="16"/>
        <v>38232.076121240505</v>
      </c>
      <c r="H64" s="147">
        <f t="shared" si="16"/>
        <v>1230.2807499999999</v>
      </c>
      <c r="I64" s="290">
        <f t="shared" si="3"/>
        <v>493499.57934292714</v>
      </c>
      <c r="J64" s="172">
        <f t="shared" si="10"/>
        <v>4.874461106137562E-2</v>
      </c>
      <c r="K64" s="291">
        <f t="shared" si="4"/>
        <v>2.4929722364466131E-3</v>
      </c>
      <c r="M64" s="147">
        <f t="shared" si="8"/>
        <v>2016</v>
      </c>
      <c r="N64" s="170" t="str">
        <f t="shared" si="9"/>
        <v>Q3</v>
      </c>
      <c r="O64" s="170" t="str">
        <f t="shared" si="15"/>
        <v>2016Q3</v>
      </c>
      <c r="P64" s="175">
        <v>49844.700231059542</v>
      </c>
      <c r="Q64" s="175">
        <f t="shared" si="5"/>
        <v>49844.700069672268</v>
      </c>
      <c r="R64" s="175">
        <v>-3.2378020264900442E-9</v>
      </c>
      <c r="S64" s="175">
        <v>544.4596023485401</v>
      </c>
      <c r="T64" s="292">
        <f t="shared" si="13"/>
        <v>541.14477198527356</v>
      </c>
      <c r="U64" s="180">
        <v>44190.115651236883</v>
      </c>
      <c r="V64" s="194">
        <v>-6.0882944280308271E-3</v>
      </c>
      <c r="W64" s="180">
        <v>1346.2968769740344</v>
      </c>
      <c r="X64" s="171">
        <f t="shared" si="7"/>
        <v>0.40441273515562121</v>
      </c>
      <c r="Y64" s="180">
        <v>4475.848</v>
      </c>
      <c r="Z64" s="180">
        <v>1790.0319999999999</v>
      </c>
    </row>
    <row r="65" spans="1:26" x14ac:dyDescent="0.2">
      <c r="A65" s="147">
        <v>2006</v>
      </c>
      <c r="B65" s="147">
        <v>4</v>
      </c>
      <c r="C65" s="147" t="str">
        <f t="shared" si="2"/>
        <v>20064</v>
      </c>
      <c r="D65" s="147" t="str">
        <f t="shared" si="11"/>
        <v>Q2</v>
      </c>
      <c r="E65" s="147">
        <f t="shared" si="16"/>
        <v>43080.838944551244</v>
      </c>
      <c r="F65" s="147" t="e">
        <f t="shared" si="16"/>
        <v>#N/A</v>
      </c>
      <c r="G65" s="147">
        <f t="shared" si="16"/>
        <v>38551.986971371545</v>
      </c>
      <c r="H65" s="147">
        <f t="shared" si="16"/>
        <v>1234.029</v>
      </c>
      <c r="I65" s="290">
        <f t="shared" si="3"/>
        <v>494290.23214036977</v>
      </c>
      <c r="J65" s="172">
        <f t="shared" si="10"/>
        <v>4.5005867036117753E-2</v>
      </c>
      <c r="K65" s="291">
        <f t="shared" si="4"/>
        <v>2.4965676433791177E-3</v>
      </c>
      <c r="M65" s="147">
        <f t="shared" si="8"/>
        <v>2016</v>
      </c>
      <c r="N65" s="170" t="str">
        <f t="shared" si="9"/>
        <v>Q4</v>
      </c>
      <c r="O65" s="170" t="str">
        <f t="shared" si="15"/>
        <v>2016Q4</v>
      </c>
      <c r="P65" s="175">
        <v>50159.537156129816</v>
      </c>
      <c r="Q65" s="175">
        <f t="shared" si="5"/>
        <v>50159.537182867571</v>
      </c>
      <c r="R65" s="175">
        <v>5.3305426739314044E-10</v>
      </c>
      <c r="S65" s="175">
        <v>545.99926713612615</v>
      </c>
      <c r="T65" s="292">
        <f t="shared" si="13"/>
        <v>542.96682030831857</v>
      </c>
      <c r="U65" s="180">
        <v>44479.131361056192</v>
      </c>
      <c r="V65" s="194">
        <v>-5.5539393737895626E-3</v>
      </c>
      <c r="W65" s="180">
        <v>1349.8101770103867</v>
      </c>
      <c r="X65" s="171">
        <f t="shared" si="7"/>
        <v>0.40450077828382286</v>
      </c>
      <c r="Y65" s="180">
        <v>4482.6970000000001</v>
      </c>
      <c r="Z65" s="180">
        <v>1794.6420000000001</v>
      </c>
    </row>
    <row r="66" spans="1:26" x14ac:dyDescent="0.2">
      <c r="A66" s="147">
        <v>2006</v>
      </c>
      <c r="B66" s="147">
        <v>5</v>
      </c>
      <c r="C66" s="147" t="str">
        <f t="shared" si="2"/>
        <v>20065</v>
      </c>
      <c r="D66" s="147" t="str">
        <f t="shared" si="11"/>
        <v>Q2</v>
      </c>
      <c r="E66" s="147">
        <f t="shared" si="16"/>
        <v>43080.838944551244</v>
      </c>
      <c r="F66" s="147" t="e">
        <f t="shared" si="16"/>
        <v>#N/A</v>
      </c>
      <c r="G66" s="147">
        <f t="shared" si="16"/>
        <v>38551.986971371545</v>
      </c>
      <c r="H66" s="147">
        <f t="shared" si="16"/>
        <v>1234.029</v>
      </c>
      <c r="I66" s="290">
        <f t="shared" si="3"/>
        <v>494290.23214036977</v>
      </c>
      <c r="J66" s="172">
        <f t="shared" si="10"/>
        <v>4.5005867036117753E-2</v>
      </c>
      <c r="K66" s="291">
        <f t="shared" si="4"/>
        <v>2.4965676433791177E-3</v>
      </c>
      <c r="M66" s="147">
        <f t="shared" si="8"/>
        <v>2017</v>
      </c>
      <c r="N66" s="170" t="str">
        <f t="shared" si="9"/>
        <v>Q1</v>
      </c>
      <c r="O66" s="170" t="str">
        <f t="shared" si="15"/>
        <v>2017Q1</v>
      </c>
      <c r="P66" s="175">
        <v>50368.026178079468</v>
      </c>
      <c r="Q66" s="175">
        <f t="shared" si="5"/>
        <v>50368.026204928363</v>
      </c>
      <c r="R66" s="175">
        <v>5.3305426739314044E-10</v>
      </c>
      <c r="S66" s="175">
        <v>546.70379626038107</v>
      </c>
      <c r="T66" s="292">
        <f t="shared" si="13"/>
        <v>544.29127562779922</v>
      </c>
      <c r="U66" s="180">
        <v>44591.826055215206</v>
      </c>
      <c r="V66" s="194">
        <v>-4.4128477780550623E-3</v>
      </c>
      <c r="W66" s="180">
        <v>1352.2535727541979</v>
      </c>
      <c r="X66" s="171">
        <f t="shared" si="7"/>
        <v>0.40429088691323178</v>
      </c>
      <c r="Y66" s="180">
        <v>4489.5020000000004</v>
      </c>
      <c r="Z66" s="180">
        <v>1799.248</v>
      </c>
    </row>
    <row r="67" spans="1:26" x14ac:dyDescent="0.2">
      <c r="A67" s="147">
        <v>2006</v>
      </c>
      <c r="B67" s="147">
        <v>6</v>
      </c>
      <c r="C67" s="147" t="str">
        <f t="shared" ref="C67:C130" si="17">A67&amp;B67</f>
        <v>20066</v>
      </c>
      <c r="D67" s="147" t="str">
        <f t="shared" si="11"/>
        <v>Q2</v>
      </c>
      <c r="E67" s="147">
        <f t="shared" si="16"/>
        <v>43080.838944551244</v>
      </c>
      <c r="F67" s="147" t="e">
        <f t="shared" si="16"/>
        <v>#N/A</v>
      </c>
      <c r="G67" s="147">
        <f t="shared" si="16"/>
        <v>38551.986971371545</v>
      </c>
      <c r="H67" s="147">
        <f t="shared" si="16"/>
        <v>1234.029</v>
      </c>
      <c r="I67" s="290">
        <f t="shared" ref="I67:I130" si="18">VLOOKUP($A67&amp;$D67,$O$1:$W$189,MATCH(I$1,$O$1:$W$1,0),0)*1000</f>
        <v>494290.23214036977</v>
      </c>
      <c r="J67" s="172">
        <f t="shared" si="10"/>
        <v>4.5005867036117753E-2</v>
      </c>
      <c r="K67" s="291">
        <f t="shared" ref="K67:K130" si="19">H67/I67</f>
        <v>2.4965676433791177E-3</v>
      </c>
      <c r="M67" s="147">
        <f t="shared" si="8"/>
        <v>2017</v>
      </c>
      <c r="N67" s="170" t="str">
        <f t="shared" si="9"/>
        <v>Q2</v>
      </c>
      <c r="O67" s="170" t="str">
        <f t="shared" si="15"/>
        <v>2017Q2</v>
      </c>
      <c r="P67" s="175">
        <v>50719.748760711722</v>
      </c>
      <c r="Q67" s="175">
        <f t="shared" ref="Q67:Q130" si="20">P67*(1+R67)</f>
        <v>50719.748787748103</v>
      </c>
      <c r="R67" s="175">
        <v>5.3305426739314044E-10</v>
      </c>
      <c r="S67" s="175">
        <v>547.82118724552993</v>
      </c>
      <c r="T67" s="292">
        <f t="shared" si="13"/>
        <v>546.0264853111172</v>
      </c>
      <c r="U67" s="180">
        <v>44904.574224823955</v>
      </c>
      <c r="V67" s="194">
        <v>-3.2760725145307701E-3</v>
      </c>
      <c r="W67" s="180">
        <v>1355.6247603896084</v>
      </c>
      <c r="X67" s="171">
        <f t="shared" ref="X67:X130" si="21">S67/W67</f>
        <v>0.40410975312083069</v>
      </c>
      <c r="Y67" s="180">
        <v>4496.2669999999998</v>
      </c>
      <c r="Z67" s="180">
        <v>1803.86</v>
      </c>
    </row>
    <row r="68" spans="1:26" x14ac:dyDescent="0.2">
      <c r="A68" s="147">
        <v>2006</v>
      </c>
      <c r="B68" s="147">
        <v>7</v>
      </c>
      <c r="C68" s="147" t="str">
        <f t="shared" si="17"/>
        <v>20067</v>
      </c>
      <c r="D68" s="147" t="str">
        <f t="shared" si="11"/>
        <v>Q3</v>
      </c>
      <c r="E68" s="147">
        <f t="shared" si="16"/>
        <v>43232.891061967333</v>
      </c>
      <c r="F68" s="147" t="e">
        <f t="shared" si="16"/>
        <v>#N/A</v>
      </c>
      <c r="G68" s="147">
        <f t="shared" si="16"/>
        <v>38698.21171607422</v>
      </c>
      <c r="H68" s="147">
        <f t="shared" si="16"/>
        <v>1237.9495000000002</v>
      </c>
      <c r="I68" s="290">
        <f t="shared" si="18"/>
        <v>494798.99603239028</v>
      </c>
      <c r="J68" s="172">
        <f t="shared" si="10"/>
        <v>4.4843488467352755E-2</v>
      </c>
      <c r="K68" s="291">
        <f t="shared" si="19"/>
        <v>2.5019240336513582E-3</v>
      </c>
      <c r="M68" s="147">
        <f t="shared" si="8"/>
        <v>2017</v>
      </c>
      <c r="N68" s="170" t="str">
        <f t="shared" si="9"/>
        <v>Q3</v>
      </c>
      <c r="O68" s="170" t="str">
        <f t="shared" si="15"/>
        <v>2017Q3</v>
      </c>
      <c r="P68" s="175">
        <v>51038.68588553305</v>
      </c>
      <c r="Q68" s="175">
        <f t="shared" si="20"/>
        <v>51038.685726348667</v>
      </c>
      <c r="R68" s="175">
        <v>-3.1188965854411776E-9</v>
      </c>
      <c r="S68" s="175">
        <v>548.51264204130632</v>
      </c>
      <c r="T68" s="292">
        <f t="shared" si="13"/>
        <v>547.3431874464269</v>
      </c>
      <c r="U68" s="180">
        <v>45194.496478629822</v>
      </c>
      <c r="V68" s="194">
        <v>-2.1320467483252337E-3</v>
      </c>
      <c r="W68" s="180">
        <v>1358.0185639300744</v>
      </c>
      <c r="X68" s="171">
        <f t="shared" si="21"/>
        <v>0.4039065861175884</v>
      </c>
      <c r="Y68" s="180">
        <v>4502.9920000000002</v>
      </c>
      <c r="Z68" s="180">
        <v>1808.479</v>
      </c>
    </row>
    <row r="69" spans="1:26" x14ac:dyDescent="0.2">
      <c r="A69" s="147">
        <v>2006</v>
      </c>
      <c r="B69" s="147">
        <v>8</v>
      </c>
      <c r="C69" s="147" t="str">
        <f t="shared" si="17"/>
        <v>20068</v>
      </c>
      <c r="D69" s="147" t="str">
        <f t="shared" si="11"/>
        <v>Q3</v>
      </c>
      <c r="E69" s="147">
        <f t="shared" si="16"/>
        <v>43232.891061967333</v>
      </c>
      <c r="F69" s="147" t="e">
        <f t="shared" si="16"/>
        <v>#N/A</v>
      </c>
      <c r="G69" s="147">
        <f t="shared" si="16"/>
        <v>38698.21171607422</v>
      </c>
      <c r="H69" s="147">
        <f t="shared" si="16"/>
        <v>1237.9495000000002</v>
      </c>
      <c r="I69" s="290">
        <f t="shared" si="18"/>
        <v>494798.99603239028</v>
      </c>
      <c r="J69" s="172">
        <f t="shared" si="10"/>
        <v>4.4843488467352755E-2</v>
      </c>
      <c r="K69" s="291">
        <f t="shared" si="19"/>
        <v>2.5019240336513582E-3</v>
      </c>
      <c r="M69" s="147">
        <f t="shared" si="8"/>
        <v>2017</v>
      </c>
      <c r="N69" s="170" t="str">
        <f t="shared" si="9"/>
        <v>Q4</v>
      </c>
      <c r="O69" s="170" t="str">
        <f t="shared" si="15"/>
        <v>2017Q4</v>
      </c>
      <c r="P69" s="175">
        <v>51319.989249768565</v>
      </c>
      <c r="Q69" s="175">
        <f t="shared" si="20"/>
        <v>51319.989089706825</v>
      </c>
      <c r="R69" s="175">
        <v>-3.1188965854411776E-9</v>
      </c>
      <c r="S69" s="175">
        <v>549.48578309977268</v>
      </c>
      <c r="T69" s="292">
        <f t="shared" si="13"/>
        <v>548.97892962812364</v>
      </c>
      <c r="U69" s="180">
        <v>45448.674552537363</v>
      </c>
      <c r="V69" s="194">
        <v>-9.2241416836991164E-4</v>
      </c>
      <c r="W69" s="180">
        <v>1361.1067204817111</v>
      </c>
      <c r="X69" s="171">
        <f t="shared" si="21"/>
        <v>0.40370514290407988</v>
      </c>
      <c r="Y69" s="180">
        <v>4509.6660000000002</v>
      </c>
      <c r="Z69" s="180">
        <v>1813.1289999999999</v>
      </c>
    </row>
    <row r="70" spans="1:26" x14ac:dyDescent="0.2">
      <c r="A70" s="147">
        <v>2006</v>
      </c>
      <c r="B70" s="147">
        <v>9</v>
      </c>
      <c r="C70" s="147" t="str">
        <f t="shared" si="17"/>
        <v>20069</v>
      </c>
      <c r="D70" s="147" t="str">
        <f t="shared" si="11"/>
        <v>Q3</v>
      </c>
      <c r="E70" s="147">
        <f t="shared" si="16"/>
        <v>43232.891061967333</v>
      </c>
      <c r="F70" s="147" t="e">
        <f t="shared" si="16"/>
        <v>#N/A</v>
      </c>
      <c r="G70" s="147">
        <f t="shared" si="16"/>
        <v>38698.21171607422</v>
      </c>
      <c r="H70" s="147">
        <f t="shared" si="16"/>
        <v>1237.9495000000002</v>
      </c>
      <c r="I70" s="290">
        <f t="shared" si="18"/>
        <v>494798.99603239028</v>
      </c>
      <c r="J70" s="172">
        <f t="shared" si="10"/>
        <v>4.4843488467352755E-2</v>
      </c>
      <c r="K70" s="291">
        <f t="shared" si="19"/>
        <v>2.5019240336513582E-3</v>
      </c>
      <c r="M70" s="147">
        <f t="shared" si="8"/>
        <v>2018</v>
      </c>
      <c r="N70" s="170" t="str">
        <f t="shared" si="9"/>
        <v>Q1</v>
      </c>
      <c r="O70" s="170" t="str">
        <f t="shared" si="15"/>
        <v>2018Q1</v>
      </c>
      <c r="P70" s="175">
        <v>51716.257312554895</v>
      </c>
      <c r="Q70" s="175">
        <f t="shared" si="20"/>
        <v>51716.257151257239</v>
      </c>
      <c r="R70" s="175">
        <v>-3.1188965854411776E-9</v>
      </c>
      <c r="S70" s="175">
        <v>550.78242885989221</v>
      </c>
      <c r="T70" s="292">
        <f t="shared" si="13"/>
        <v>550.64308498119919</v>
      </c>
      <c r="U70" s="180">
        <v>45721.18203228699</v>
      </c>
      <c r="V70" s="194">
        <v>-2.5299259996636181E-4</v>
      </c>
      <c r="W70" s="180">
        <v>1364.3717319823133</v>
      </c>
      <c r="X70" s="171">
        <f t="shared" si="21"/>
        <v>0.40368941685683657</v>
      </c>
      <c r="Y70" s="180">
        <v>4516.3029999999999</v>
      </c>
      <c r="Z70" s="180">
        <v>1817.7750000000001</v>
      </c>
    </row>
    <row r="71" spans="1:26" x14ac:dyDescent="0.2">
      <c r="A71" s="147">
        <v>2006</v>
      </c>
      <c r="B71" s="147">
        <v>10</v>
      </c>
      <c r="C71" s="147" t="str">
        <f t="shared" si="17"/>
        <v>200610</v>
      </c>
      <c r="D71" s="147" t="str">
        <f t="shared" si="11"/>
        <v>Q4</v>
      </c>
      <c r="E71" s="147">
        <f t="shared" si="16"/>
        <v>43708.566888398796</v>
      </c>
      <c r="F71" s="147" t="e">
        <f t="shared" si="16"/>
        <v>#N/A</v>
      </c>
      <c r="G71" s="147">
        <f t="shared" si="16"/>
        <v>39120.882163460956</v>
      </c>
      <c r="H71" s="147">
        <f t="shared" si="16"/>
        <v>1241.8699999999999</v>
      </c>
      <c r="I71" s="290">
        <f t="shared" si="18"/>
        <v>495308.73724023561</v>
      </c>
      <c r="J71" s="172">
        <f t="shared" si="10"/>
        <v>5.1794295145567659E-2</v>
      </c>
      <c r="K71" s="291">
        <f t="shared" si="19"/>
        <v>2.5072644729012034E-3</v>
      </c>
      <c r="M71" s="147">
        <f t="shared" ref="M71:M134" si="22">M67+1</f>
        <v>2018</v>
      </c>
      <c r="N71" s="170" t="str">
        <f t="shared" ref="N71:N134" si="23">N67</f>
        <v>Q2</v>
      </c>
      <c r="O71" s="170" t="str">
        <f t="shared" si="15"/>
        <v>2018Q2</v>
      </c>
      <c r="P71" s="175">
        <v>51972.835608912494</v>
      </c>
      <c r="Q71" s="175">
        <f t="shared" si="20"/>
        <v>51972.835733517146</v>
      </c>
      <c r="R71" s="175">
        <v>2.397495757477941E-9</v>
      </c>
      <c r="S71" s="175">
        <v>551.69070371431644</v>
      </c>
      <c r="T71" s="292">
        <f t="shared" si="13"/>
        <v>551.93389803315495</v>
      </c>
      <c r="U71" s="180">
        <v>45952.240193290287</v>
      </c>
      <c r="V71" s="194">
        <v>4.4081641615711931E-4</v>
      </c>
      <c r="W71" s="180">
        <v>1366.8450445227297</v>
      </c>
      <c r="X71" s="171">
        <f t="shared" si="21"/>
        <v>0.40362344358277563</v>
      </c>
      <c r="Y71" s="180">
        <v>4522.9030000000002</v>
      </c>
      <c r="Z71" s="180">
        <v>1822.423</v>
      </c>
    </row>
    <row r="72" spans="1:26" x14ac:dyDescent="0.2">
      <c r="A72" s="147">
        <v>2006</v>
      </c>
      <c r="B72" s="147">
        <v>11</v>
      </c>
      <c r="C72" s="147" t="str">
        <f t="shared" si="17"/>
        <v>200611</v>
      </c>
      <c r="D72" s="147" t="str">
        <f t="shared" si="11"/>
        <v>Q4</v>
      </c>
      <c r="E72" s="147">
        <f t="shared" si="16"/>
        <v>43708.566888398796</v>
      </c>
      <c r="F72" s="147" t="e">
        <f t="shared" si="16"/>
        <v>#N/A</v>
      </c>
      <c r="G72" s="147">
        <f t="shared" si="16"/>
        <v>39120.882163460956</v>
      </c>
      <c r="H72" s="147">
        <f t="shared" si="16"/>
        <v>1241.8699999999999</v>
      </c>
      <c r="I72" s="290">
        <f t="shared" si="18"/>
        <v>495308.73724023561</v>
      </c>
      <c r="J72" s="172">
        <f t="shared" si="10"/>
        <v>5.1794295145567659E-2</v>
      </c>
      <c r="K72" s="291">
        <f t="shared" si="19"/>
        <v>2.5072644729012034E-3</v>
      </c>
      <c r="M72" s="147">
        <f t="shared" si="22"/>
        <v>2018</v>
      </c>
      <c r="N72" s="170" t="str">
        <f t="shared" si="23"/>
        <v>Q3</v>
      </c>
      <c r="O72" s="170" t="str">
        <f t="shared" si="15"/>
        <v>2018Q3</v>
      </c>
      <c r="P72" s="175">
        <v>52322.036934089345</v>
      </c>
      <c r="Q72" s="175">
        <f t="shared" si="20"/>
        <v>52322.037059531205</v>
      </c>
      <c r="R72" s="175">
        <v>2.397495757477941E-9</v>
      </c>
      <c r="S72" s="175">
        <v>552.76459498891222</v>
      </c>
      <c r="T72" s="292">
        <f t="shared" si="13"/>
        <v>553.38732288082792</v>
      </c>
      <c r="U72" s="180">
        <v>46269.534926018147</v>
      </c>
      <c r="V72" s="194">
        <v>1.1265697867790525E-3</v>
      </c>
      <c r="W72" s="180">
        <v>1369.4271187304621</v>
      </c>
      <c r="X72" s="171">
        <f t="shared" si="21"/>
        <v>0.40364659603159958</v>
      </c>
      <c r="Y72" s="180">
        <v>4529.4660000000003</v>
      </c>
      <c r="Z72" s="180">
        <v>1827.0650000000001</v>
      </c>
    </row>
    <row r="73" spans="1:26" x14ac:dyDescent="0.2">
      <c r="A73" s="147">
        <v>2006</v>
      </c>
      <c r="B73" s="147">
        <v>12</v>
      </c>
      <c r="C73" s="147" t="str">
        <f t="shared" si="17"/>
        <v>200612</v>
      </c>
      <c r="D73" s="147" t="str">
        <f t="shared" si="11"/>
        <v>Q4</v>
      </c>
      <c r="E73" s="147">
        <f t="shared" si="16"/>
        <v>43708.566888398796</v>
      </c>
      <c r="F73" s="147" t="e">
        <f t="shared" si="16"/>
        <v>#N/A</v>
      </c>
      <c r="G73" s="147">
        <f t="shared" si="16"/>
        <v>39120.882163460956</v>
      </c>
      <c r="H73" s="147">
        <f t="shared" si="16"/>
        <v>1241.8699999999999</v>
      </c>
      <c r="I73" s="290">
        <f t="shared" si="18"/>
        <v>495308.73724023561</v>
      </c>
      <c r="J73" s="172">
        <f t="shared" si="10"/>
        <v>5.1794295145567659E-2</v>
      </c>
      <c r="K73" s="291">
        <f t="shared" si="19"/>
        <v>2.5072644729012034E-3</v>
      </c>
      <c r="M73" s="147">
        <f t="shared" si="22"/>
        <v>2018</v>
      </c>
      <c r="N73" s="170" t="str">
        <f t="shared" si="23"/>
        <v>Q4</v>
      </c>
      <c r="O73" s="170" t="str">
        <f t="shared" si="15"/>
        <v>2018Q4</v>
      </c>
      <c r="P73" s="175">
        <v>52578.057709720844</v>
      </c>
      <c r="Q73" s="175">
        <f t="shared" si="20"/>
        <v>52578.057835776512</v>
      </c>
      <c r="R73" s="175">
        <v>2.397495757477941E-9</v>
      </c>
      <c r="S73" s="175">
        <v>553.7323786940874</v>
      </c>
      <c r="T73" s="292">
        <f t="shared" si="13"/>
        <v>554.74239987844226</v>
      </c>
      <c r="U73" s="180">
        <v>46499.695892915195</v>
      </c>
      <c r="V73" s="194">
        <v>1.8240240650850836E-3</v>
      </c>
      <c r="W73" s="180">
        <v>1371.9503650990048</v>
      </c>
      <c r="X73" s="171">
        <f t="shared" si="21"/>
        <v>0.40360962960502444</v>
      </c>
      <c r="Y73" s="180">
        <v>4535.991</v>
      </c>
      <c r="Z73" s="180">
        <v>1831.71</v>
      </c>
    </row>
    <row r="74" spans="1:26" x14ac:dyDescent="0.2">
      <c r="A74" s="147">
        <v>2007</v>
      </c>
      <c r="B74" s="147">
        <v>1</v>
      </c>
      <c r="C74" s="147" t="str">
        <f t="shared" si="17"/>
        <v>20071</v>
      </c>
      <c r="D74" s="147" t="str">
        <f t="shared" si="11"/>
        <v>Q1</v>
      </c>
      <c r="E74" s="147">
        <f t="shared" si="16"/>
        <v>44030.975403095697</v>
      </c>
      <c r="F74" s="147" t="e">
        <f t="shared" si="16"/>
        <v>#N/A</v>
      </c>
      <c r="G74" s="147">
        <f t="shared" si="16"/>
        <v>39207.939116974187</v>
      </c>
      <c r="H74" s="147">
        <f t="shared" si="16"/>
        <v>1245.7904999999998</v>
      </c>
      <c r="I74" s="290">
        <f t="shared" si="18"/>
        <v>495819.46182717162</v>
      </c>
      <c r="J74" s="172">
        <f t="shared" si="10"/>
        <v>3.0272509794173841E-2</v>
      </c>
      <c r="K74" s="291">
        <f t="shared" si="19"/>
        <v>2.5125889480196455E-3</v>
      </c>
      <c r="M74" s="147">
        <f t="shared" si="22"/>
        <v>2019</v>
      </c>
      <c r="N74" s="170" t="str">
        <f t="shared" si="23"/>
        <v>Q1</v>
      </c>
      <c r="O74" s="170" t="str">
        <f t="shared" si="15"/>
        <v>2019Q1</v>
      </c>
      <c r="P74" s="175">
        <v>53122.152925132141</v>
      </c>
      <c r="Q74" s="175">
        <f t="shared" si="20"/>
        <v>53122.153021982267</v>
      </c>
      <c r="R74" s="175">
        <v>1.8231589571371387E-9</v>
      </c>
      <c r="S74" s="175">
        <v>555.21347465929534</v>
      </c>
      <c r="T74" s="292">
        <f t="shared" si="13"/>
        <v>556.36921714072605</v>
      </c>
      <c r="U74" s="180">
        <v>46951.95820849367</v>
      </c>
      <c r="V74" s="194">
        <v>2.0816182138589934E-3</v>
      </c>
      <c r="W74" s="180">
        <v>1375.6943144598522</v>
      </c>
      <c r="X74" s="171">
        <f t="shared" si="21"/>
        <v>0.40358782385263575</v>
      </c>
      <c r="Y74" s="180">
        <v>4542.4780000000001</v>
      </c>
      <c r="Z74" s="180">
        <v>1835.5609999999999</v>
      </c>
    </row>
    <row r="75" spans="1:26" x14ac:dyDescent="0.2">
      <c r="A75" s="147">
        <v>2007</v>
      </c>
      <c r="B75" s="147">
        <v>2</v>
      </c>
      <c r="C75" s="147" t="str">
        <f t="shared" si="17"/>
        <v>20072</v>
      </c>
      <c r="D75" s="147" t="str">
        <f t="shared" si="11"/>
        <v>Q1</v>
      </c>
      <c r="E75" s="147">
        <f t="shared" si="16"/>
        <v>44030.975403095697</v>
      </c>
      <c r="F75" s="147" t="e">
        <f t="shared" si="16"/>
        <v>#N/A</v>
      </c>
      <c r="G75" s="147">
        <f t="shared" si="16"/>
        <v>39207.939116974187</v>
      </c>
      <c r="H75" s="147">
        <f t="shared" si="16"/>
        <v>1245.7904999999998</v>
      </c>
      <c r="I75" s="290">
        <f t="shared" si="18"/>
        <v>495819.46182717162</v>
      </c>
      <c r="J75" s="172">
        <f t="shared" si="10"/>
        <v>3.0272509794173841E-2</v>
      </c>
      <c r="K75" s="291">
        <f t="shared" si="19"/>
        <v>2.5125889480196455E-3</v>
      </c>
      <c r="M75" s="147">
        <f t="shared" si="22"/>
        <v>2019</v>
      </c>
      <c r="N75" s="170" t="str">
        <f t="shared" si="23"/>
        <v>Q2</v>
      </c>
      <c r="O75" s="170" t="str">
        <f t="shared" si="15"/>
        <v>2019Q2</v>
      </c>
      <c r="P75" s="175">
        <v>53511.558707337055</v>
      </c>
      <c r="Q75" s="175">
        <f t="shared" si="20"/>
        <v>53511.558804897133</v>
      </c>
      <c r="R75" s="175">
        <v>1.8231589571371387E-9</v>
      </c>
      <c r="S75" s="175">
        <v>556.13041423889035</v>
      </c>
      <c r="T75" s="292">
        <f t="shared" si="13"/>
        <v>557.45959667043201</v>
      </c>
      <c r="U75" s="180">
        <v>47295.046546996404</v>
      </c>
      <c r="V75" s="194">
        <v>2.3900552775211192E-3</v>
      </c>
      <c r="W75" s="180">
        <v>1378.1975182127694</v>
      </c>
      <c r="X75" s="171">
        <f t="shared" si="21"/>
        <v>0.40352011006381278</v>
      </c>
      <c r="Y75" s="180">
        <v>4548.9269999999997</v>
      </c>
      <c r="Z75" s="180">
        <v>1839.49</v>
      </c>
    </row>
    <row r="76" spans="1:26" x14ac:dyDescent="0.2">
      <c r="A76" s="147">
        <v>2007</v>
      </c>
      <c r="B76" s="147">
        <v>3</v>
      </c>
      <c r="C76" s="147" t="str">
        <f t="shared" si="17"/>
        <v>20073</v>
      </c>
      <c r="D76" s="147" t="str">
        <f t="shared" si="11"/>
        <v>Q1</v>
      </c>
      <c r="E76" s="147">
        <f t="shared" si="16"/>
        <v>44030.975403095697</v>
      </c>
      <c r="F76" s="147" t="e">
        <f t="shared" si="16"/>
        <v>#N/A</v>
      </c>
      <c r="G76" s="147">
        <f t="shared" si="16"/>
        <v>39207.939116974187</v>
      </c>
      <c r="H76" s="147">
        <f t="shared" si="16"/>
        <v>1245.7904999999998</v>
      </c>
      <c r="I76" s="290">
        <f t="shared" si="18"/>
        <v>495819.46182717162</v>
      </c>
      <c r="J76" s="172">
        <f t="shared" si="10"/>
        <v>3.0272509794173841E-2</v>
      </c>
      <c r="K76" s="291">
        <f t="shared" si="19"/>
        <v>2.5125889480196455E-3</v>
      </c>
      <c r="M76" s="147">
        <f t="shared" si="22"/>
        <v>2019</v>
      </c>
      <c r="N76" s="170" t="str">
        <f t="shared" si="23"/>
        <v>Q3</v>
      </c>
      <c r="O76" s="170" t="str">
        <f t="shared" si="15"/>
        <v>2019Q3</v>
      </c>
      <c r="P76" s="175">
        <v>53716.289497580772</v>
      </c>
      <c r="Q76" s="175">
        <f t="shared" si="20"/>
        <v>53716.289595514107</v>
      </c>
      <c r="R76" s="175">
        <v>1.8231589571371387E-9</v>
      </c>
      <c r="S76" s="175">
        <v>557.42811221819136</v>
      </c>
      <c r="T76" s="292">
        <f t="shared" si="13"/>
        <v>558.90502449798703</v>
      </c>
      <c r="U76" s="180">
        <v>47474.511791947109</v>
      </c>
      <c r="V76" s="194">
        <v>2.6495116543701069E-3</v>
      </c>
      <c r="W76" s="180">
        <v>1381.5237765878248</v>
      </c>
      <c r="X76" s="171">
        <f t="shared" si="21"/>
        <v>0.4034878889996108</v>
      </c>
      <c r="Y76" s="180">
        <v>4555.326</v>
      </c>
      <c r="Z76" s="180">
        <v>1843.3230000000001</v>
      </c>
    </row>
    <row r="77" spans="1:26" x14ac:dyDescent="0.2">
      <c r="A77" s="147">
        <v>2007</v>
      </c>
      <c r="B77" s="147">
        <v>4</v>
      </c>
      <c r="C77" s="147" t="str">
        <f t="shared" si="17"/>
        <v>20074</v>
      </c>
      <c r="D77" s="147" t="str">
        <f t="shared" si="11"/>
        <v>Q2</v>
      </c>
      <c r="E77" s="147">
        <f t="shared" si="16"/>
        <v>43976.320423795529</v>
      </c>
      <c r="F77" s="147" t="e">
        <f t="shared" si="16"/>
        <v>#N/A</v>
      </c>
      <c r="G77" s="147">
        <f t="shared" si="16"/>
        <v>39146.160290129192</v>
      </c>
      <c r="H77" s="147">
        <f t="shared" si="16"/>
        <v>1249.7109999999998</v>
      </c>
      <c r="I77" s="290">
        <f t="shared" si="18"/>
        <v>496331.17579403974</v>
      </c>
      <c r="J77" s="172">
        <f t="shared" si="10"/>
        <v>2.0786073372360381E-2</v>
      </c>
      <c r="K77" s="291">
        <f t="shared" si="19"/>
        <v>2.517897446197469E-3</v>
      </c>
      <c r="M77" s="147">
        <f t="shared" si="22"/>
        <v>2019</v>
      </c>
      <c r="N77" s="170" t="str">
        <f t="shared" si="23"/>
        <v>Q4</v>
      </c>
      <c r="O77" s="170" t="str">
        <f t="shared" si="15"/>
        <v>2019Q4</v>
      </c>
      <c r="P77" s="175">
        <v>54001.980383681868</v>
      </c>
      <c r="Q77" s="175">
        <f t="shared" si="20"/>
        <v>54001.980329679893</v>
      </c>
      <c r="R77" s="175">
        <v>-9.9999997171806854E-10</v>
      </c>
      <c r="S77" s="175">
        <v>558.86848263437037</v>
      </c>
      <c r="T77" s="292">
        <f t="shared" si="13"/>
        <v>560.49462193097008</v>
      </c>
      <c r="U77" s="180">
        <v>47726.545621421916</v>
      </c>
      <c r="V77" s="194">
        <v>2.9096994143138488E-3</v>
      </c>
      <c r="W77" s="180">
        <v>1385.1826457277234</v>
      </c>
      <c r="X77" s="171">
        <f t="shared" si="21"/>
        <v>0.4034619437068977</v>
      </c>
      <c r="Y77" s="180">
        <v>4561.6859999999997</v>
      </c>
      <c r="Z77" s="180">
        <v>1847.13</v>
      </c>
    </row>
    <row r="78" spans="1:26" x14ac:dyDescent="0.2">
      <c r="A78" s="147">
        <v>2007</v>
      </c>
      <c r="B78" s="147">
        <v>5</v>
      </c>
      <c r="C78" s="147" t="str">
        <f t="shared" si="17"/>
        <v>20075</v>
      </c>
      <c r="D78" s="147" t="str">
        <f t="shared" si="11"/>
        <v>Q2</v>
      </c>
      <c r="E78" s="147">
        <f t="shared" si="16"/>
        <v>43976.320423795529</v>
      </c>
      <c r="F78" s="147" t="e">
        <f t="shared" si="16"/>
        <v>#N/A</v>
      </c>
      <c r="G78" s="147">
        <f t="shared" si="16"/>
        <v>39146.160290129192</v>
      </c>
      <c r="H78" s="147">
        <f t="shared" si="16"/>
        <v>1249.7109999999998</v>
      </c>
      <c r="I78" s="290">
        <f t="shared" si="18"/>
        <v>496331.17579403974</v>
      </c>
      <c r="J78" s="172">
        <f t="shared" ref="J78:J133" si="24">E78/E66-1</f>
        <v>2.0786073372360381E-2</v>
      </c>
      <c r="K78" s="291">
        <f t="shared" si="19"/>
        <v>2.517897446197469E-3</v>
      </c>
      <c r="M78" s="147">
        <f t="shared" si="22"/>
        <v>2020</v>
      </c>
      <c r="N78" s="170" t="str">
        <f t="shared" si="23"/>
        <v>Q1</v>
      </c>
      <c r="O78" s="170" t="str">
        <f t="shared" si="15"/>
        <v>2020Q1</v>
      </c>
      <c r="P78" s="175">
        <v>54626.264714953155</v>
      </c>
      <c r="Q78" s="175">
        <f t="shared" si="20"/>
        <v>54626.264660326895</v>
      </c>
      <c r="R78" s="175">
        <v>-9.9999997171806854E-10</v>
      </c>
      <c r="S78" s="175">
        <v>559.82963233879548</v>
      </c>
      <c r="T78" s="292">
        <f t="shared" si="13"/>
        <v>561.59854220876696</v>
      </c>
      <c r="U78" s="180">
        <v>48243.78300199988</v>
      </c>
      <c r="V78" s="194">
        <v>3.1597289028477693E-3</v>
      </c>
      <c r="W78" s="180">
        <v>1387.7050532664844</v>
      </c>
      <c r="X78" s="171">
        <f t="shared" si="21"/>
        <v>0.40342119603948007</v>
      </c>
      <c r="Y78" s="180">
        <v>4568.0060000000003</v>
      </c>
      <c r="Z78" s="180">
        <v>1850.925</v>
      </c>
    </row>
    <row r="79" spans="1:26" x14ac:dyDescent="0.2">
      <c r="A79" s="147">
        <v>2007</v>
      </c>
      <c r="B79" s="147">
        <v>6</v>
      </c>
      <c r="C79" s="147" t="str">
        <f t="shared" si="17"/>
        <v>20076</v>
      </c>
      <c r="D79" s="147" t="str">
        <f t="shared" ref="D79:D142" si="25">D67</f>
        <v>Q2</v>
      </c>
      <c r="E79" s="147">
        <f t="shared" si="16"/>
        <v>43976.320423795529</v>
      </c>
      <c r="F79" s="147" t="e">
        <f t="shared" si="16"/>
        <v>#N/A</v>
      </c>
      <c r="G79" s="147">
        <f t="shared" si="16"/>
        <v>39146.160290129192</v>
      </c>
      <c r="H79" s="147">
        <f t="shared" si="16"/>
        <v>1249.7109999999998</v>
      </c>
      <c r="I79" s="290">
        <f t="shared" si="18"/>
        <v>496331.17579403974</v>
      </c>
      <c r="J79" s="172">
        <f t="shared" si="24"/>
        <v>2.0786073372360381E-2</v>
      </c>
      <c r="K79" s="291">
        <f t="shared" si="19"/>
        <v>2.517897446197469E-3</v>
      </c>
      <c r="M79" s="147">
        <f t="shared" si="22"/>
        <v>2020</v>
      </c>
      <c r="N79" s="170" t="str">
        <f t="shared" si="23"/>
        <v>Q2</v>
      </c>
      <c r="O79" s="170" t="str">
        <f t="shared" si="15"/>
        <v>2020Q2</v>
      </c>
      <c r="P79" s="175">
        <v>54901.944468176596</v>
      </c>
      <c r="Q79" s="175">
        <f t="shared" si="20"/>
        <v>54901.94441327465</v>
      </c>
      <c r="R79" s="175">
        <v>-9.9999997171806854E-10</v>
      </c>
      <c r="S79" s="175">
        <v>561.05956900788772</v>
      </c>
      <c r="T79" s="292">
        <f t="shared" si="13"/>
        <v>563.03796994201309</v>
      </c>
      <c r="U79" s="180">
        <v>48481.970690693073</v>
      </c>
      <c r="V79" s="194">
        <v>3.5261869566252102E-3</v>
      </c>
      <c r="W79" s="180">
        <v>1391.0391818327507</v>
      </c>
      <c r="X79" s="171">
        <f t="shared" si="21"/>
        <v>0.40333843671367253</v>
      </c>
      <c r="Y79" s="180">
        <v>4574.2870000000003</v>
      </c>
      <c r="Z79" s="180">
        <v>1854.6890000000001</v>
      </c>
    </row>
    <row r="80" spans="1:26" x14ac:dyDescent="0.2">
      <c r="A80" s="147">
        <v>2007</v>
      </c>
      <c r="B80" s="147">
        <v>7</v>
      </c>
      <c r="C80" s="147" t="str">
        <f t="shared" si="17"/>
        <v>20077</v>
      </c>
      <c r="D80" s="147" t="str">
        <f t="shared" si="25"/>
        <v>Q3</v>
      </c>
      <c r="E80" s="147">
        <f t="shared" si="16"/>
        <v>43804.205504966245</v>
      </c>
      <c r="F80" s="147" t="e">
        <f t="shared" si="16"/>
        <v>#N/A</v>
      </c>
      <c r="G80" s="147">
        <f t="shared" si="16"/>
        <v>39001.852326761655</v>
      </c>
      <c r="H80" s="147">
        <f t="shared" si="16"/>
        <v>1253.3617500000003</v>
      </c>
      <c r="I80" s="290">
        <f t="shared" si="18"/>
        <v>498320.41076592548</v>
      </c>
      <c r="J80" s="172">
        <f t="shared" si="24"/>
        <v>1.3214810043122638E-2</v>
      </c>
      <c r="K80" s="291">
        <f t="shared" si="19"/>
        <v>2.515172413013478E-3</v>
      </c>
      <c r="M80" s="147">
        <f t="shared" si="22"/>
        <v>2020</v>
      </c>
      <c r="N80" s="170" t="str">
        <f t="shared" si="23"/>
        <v>Q3</v>
      </c>
      <c r="O80" s="170" t="str">
        <f t="shared" si="15"/>
        <v>2020Q3</v>
      </c>
      <c r="P80" s="175">
        <v>55151.245520794037</v>
      </c>
      <c r="Q80" s="175">
        <f t="shared" si="20"/>
        <v>55151.245712384502</v>
      </c>
      <c r="R80" s="175">
        <v>3.4739100485126073E-9</v>
      </c>
      <c r="S80" s="175">
        <v>562.30661791393641</v>
      </c>
      <c r="T80" s="292">
        <f t="shared" si="13"/>
        <v>564.52002408060753</v>
      </c>
      <c r="U80" s="180">
        <v>48705.682421467725</v>
      </c>
      <c r="V80" s="194">
        <v>3.9362975575185644E-3</v>
      </c>
      <c r="W80" s="180">
        <v>1394.3568192945186</v>
      </c>
      <c r="X80" s="171">
        <f t="shared" si="21"/>
        <v>0.4032731149824606</v>
      </c>
      <c r="Y80" s="180">
        <v>4580.5259999999998</v>
      </c>
      <c r="Z80" s="180">
        <v>1858.519</v>
      </c>
    </row>
    <row r="81" spans="1:26" x14ac:dyDescent="0.2">
      <c r="A81" s="147">
        <v>2007</v>
      </c>
      <c r="B81" s="147">
        <v>8</v>
      </c>
      <c r="C81" s="147" t="str">
        <f t="shared" si="17"/>
        <v>20078</v>
      </c>
      <c r="D81" s="147" t="str">
        <f t="shared" si="25"/>
        <v>Q3</v>
      </c>
      <c r="E81" s="147">
        <f t="shared" si="16"/>
        <v>43804.205504966245</v>
      </c>
      <c r="F81" s="147" t="e">
        <f t="shared" si="16"/>
        <v>#N/A</v>
      </c>
      <c r="G81" s="147">
        <f t="shared" si="16"/>
        <v>39001.852326761655</v>
      </c>
      <c r="H81" s="147">
        <f t="shared" si="16"/>
        <v>1253.3617500000003</v>
      </c>
      <c r="I81" s="290">
        <f t="shared" si="18"/>
        <v>498320.41076592548</v>
      </c>
      <c r="J81" s="172">
        <f t="shared" si="24"/>
        <v>1.3214810043122638E-2</v>
      </c>
      <c r="K81" s="291">
        <f t="shared" si="19"/>
        <v>2.515172413013478E-3</v>
      </c>
      <c r="M81" s="147">
        <f t="shared" si="22"/>
        <v>2020</v>
      </c>
      <c r="N81" s="170" t="str">
        <f t="shared" si="23"/>
        <v>Q4</v>
      </c>
      <c r="O81" s="170" t="str">
        <f t="shared" si="15"/>
        <v>2020Q4</v>
      </c>
      <c r="P81" s="175">
        <v>55287.553752981294</v>
      </c>
      <c r="Q81" s="175">
        <f t="shared" si="20"/>
        <v>55287.553945045285</v>
      </c>
      <c r="R81" s="175">
        <v>3.4739100485126073E-9</v>
      </c>
      <c r="S81" s="175">
        <v>563.52723044376762</v>
      </c>
      <c r="T81" s="292">
        <f t="shared" si="13"/>
        <v>565.94966302491468</v>
      </c>
      <c r="U81" s="180">
        <v>48829.591308895542</v>
      </c>
      <c r="V81" s="194">
        <v>4.2986965851490311E-3</v>
      </c>
      <c r="W81" s="180">
        <v>1397.6699795618463</v>
      </c>
      <c r="X81" s="171">
        <f t="shared" si="21"/>
        <v>0.40319048035962468</v>
      </c>
      <c r="Y81" s="180">
        <v>4586.7250000000004</v>
      </c>
      <c r="Z81" s="180">
        <v>1862.2539999999999</v>
      </c>
    </row>
    <row r="82" spans="1:26" x14ac:dyDescent="0.2">
      <c r="A82" s="147">
        <v>2007</v>
      </c>
      <c r="B82" s="147">
        <v>9</v>
      </c>
      <c r="C82" s="147" t="str">
        <f t="shared" si="17"/>
        <v>20079</v>
      </c>
      <c r="D82" s="147" t="str">
        <f t="shared" si="25"/>
        <v>Q3</v>
      </c>
      <c r="E82" s="147">
        <f t="shared" ref="E82:H101" si="26">VLOOKUP($A82&amp;$D82,$O$1:$W$189,MATCH(E$1,$O$1:$W$1,0),0)</f>
        <v>43804.205504966245</v>
      </c>
      <c r="F82" s="147" t="e">
        <f t="shared" si="26"/>
        <v>#N/A</v>
      </c>
      <c r="G82" s="147">
        <f t="shared" si="26"/>
        <v>39001.852326761655</v>
      </c>
      <c r="H82" s="147">
        <f t="shared" si="26"/>
        <v>1253.3617500000003</v>
      </c>
      <c r="I82" s="290">
        <f t="shared" si="18"/>
        <v>498320.41076592548</v>
      </c>
      <c r="J82" s="172">
        <f t="shared" si="24"/>
        <v>1.3214810043122638E-2</v>
      </c>
      <c r="K82" s="291">
        <f t="shared" si="19"/>
        <v>2.515172413013478E-3</v>
      </c>
      <c r="M82" s="147">
        <f t="shared" si="22"/>
        <v>2021</v>
      </c>
      <c r="N82" s="170" t="str">
        <f t="shared" si="23"/>
        <v>Q1</v>
      </c>
      <c r="O82" s="170" t="str">
        <f t="shared" si="15"/>
        <v>2021Q1</v>
      </c>
      <c r="P82" s="175">
        <v>55760.41731013696</v>
      </c>
      <c r="Q82" s="175">
        <f t="shared" si="20"/>
        <v>55760.417503843637</v>
      </c>
      <c r="R82" s="175">
        <v>3.4739100485126073E-9</v>
      </c>
      <c r="S82" s="175">
        <v>564.49955793077152</v>
      </c>
      <c r="T82" s="292">
        <f t="shared" si="13"/>
        <v>567.18477354044433</v>
      </c>
      <c r="U82" s="180">
        <v>49203.757964168057</v>
      </c>
      <c r="V82" s="194">
        <v>4.7568072852275378E-3</v>
      </c>
      <c r="W82" s="180">
        <v>1400.3042071178606</v>
      </c>
      <c r="X82" s="171">
        <f t="shared" si="21"/>
        <v>0.40312637429879461</v>
      </c>
      <c r="Y82" s="180">
        <v>4592.8829999999998</v>
      </c>
      <c r="Z82" s="180">
        <v>1865.962</v>
      </c>
    </row>
    <row r="83" spans="1:26" x14ac:dyDescent="0.2">
      <c r="A83" s="147">
        <v>2007</v>
      </c>
      <c r="B83" s="147">
        <v>10</v>
      </c>
      <c r="C83" s="147" t="str">
        <f t="shared" si="17"/>
        <v>200710</v>
      </c>
      <c r="D83" s="147" t="str">
        <f t="shared" si="25"/>
        <v>Q4</v>
      </c>
      <c r="E83" s="147">
        <f t="shared" si="26"/>
        <v>43950.038904835856</v>
      </c>
      <c r="F83" s="147" t="e">
        <f t="shared" si="26"/>
        <v>#N/A</v>
      </c>
      <c r="G83" s="147">
        <f t="shared" si="26"/>
        <v>39135.118262944496</v>
      </c>
      <c r="H83" s="147">
        <f t="shared" si="26"/>
        <v>1257.0125</v>
      </c>
      <c r="I83" s="290">
        <f t="shared" si="18"/>
        <v>500316.45665447216</v>
      </c>
      <c r="J83" s="172">
        <f t="shared" si="24"/>
        <v>5.5245923997830904E-3</v>
      </c>
      <c r="K83" s="291">
        <f t="shared" si="19"/>
        <v>2.5124348465477646E-3</v>
      </c>
      <c r="M83" s="147">
        <f t="shared" si="22"/>
        <v>2021</v>
      </c>
      <c r="N83" s="170" t="str">
        <f t="shared" si="23"/>
        <v>Q2</v>
      </c>
      <c r="O83" s="170" t="str">
        <f t="shared" si="15"/>
        <v>2021Q2</v>
      </c>
      <c r="P83" s="175">
        <v>55997.725734529384</v>
      </c>
      <c r="Q83" s="175">
        <f t="shared" si="20"/>
        <v>55997.72567069441</v>
      </c>
      <c r="R83" s="175">
        <v>-1.1399565735814576E-9</v>
      </c>
      <c r="S83" s="175">
        <v>565.70148400639437</v>
      </c>
      <c r="T83" s="292">
        <f t="shared" si="13"/>
        <v>568.61962347149756</v>
      </c>
      <c r="U83" s="180">
        <v>49409.045195684346</v>
      </c>
      <c r="V83" s="194">
        <v>5.1584440691871958E-3</v>
      </c>
      <c r="W83" s="180">
        <v>1403.5946446527612</v>
      </c>
      <c r="X83" s="171">
        <f t="shared" si="21"/>
        <v>0.40303764777212064</v>
      </c>
      <c r="Y83" s="180">
        <v>4598.9870000000001</v>
      </c>
      <c r="Z83" s="180">
        <v>1869.652</v>
      </c>
    </row>
    <row r="84" spans="1:26" x14ac:dyDescent="0.2">
      <c r="A84" s="147">
        <v>2007</v>
      </c>
      <c r="B84" s="147">
        <v>11</v>
      </c>
      <c r="C84" s="147" t="str">
        <f t="shared" si="17"/>
        <v>200711</v>
      </c>
      <c r="D84" s="147" t="str">
        <f t="shared" si="25"/>
        <v>Q4</v>
      </c>
      <c r="E84" s="147">
        <f t="shared" si="26"/>
        <v>43950.038904835856</v>
      </c>
      <c r="F84" s="147" t="e">
        <f t="shared" si="26"/>
        <v>#N/A</v>
      </c>
      <c r="G84" s="147">
        <f t="shared" si="26"/>
        <v>39135.118262944496</v>
      </c>
      <c r="H84" s="147">
        <f t="shared" si="26"/>
        <v>1257.0125</v>
      </c>
      <c r="I84" s="290">
        <f t="shared" si="18"/>
        <v>500316.45665447216</v>
      </c>
      <c r="J84" s="172">
        <f t="shared" si="24"/>
        <v>5.5245923997830904E-3</v>
      </c>
      <c r="K84" s="291">
        <f t="shared" si="19"/>
        <v>2.5124348465477646E-3</v>
      </c>
      <c r="M84" s="147">
        <f t="shared" si="22"/>
        <v>2021</v>
      </c>
      <c r="N84" s="170" t="str">
        <f t="shared" si="23"/>
        <v>Q3</v>
      </c>
      <c r="O84" s="170" t="str">
        <f t="shared" si="15"/>
        <v>2021Q3</v>
      </c>
      <c r="P84" s="175">
        <v>56175.191028983718</v>
      </c>
      <c r="Q84" s="175">
        <f t="shared" si="20"/>
        <v>56175.190964946436</v>
      </c>
      <c r="R84" s="175">
        <v>-1.1399565735814576E-9</v>
      </c>
      <c r="S84" s="175">
        <v>567.02473947974204</v>
      </c>
      <c r="T84" s="292">
        <f t="shared" si="13"/>
        <v>570.17923449111277</v>
      </c>
      <c r="U84" s="180">
        <v>49571.67892035051</v>
      </c>
      <c r="V84" s="194">
        <v>5.5632405285614972E-3</v>
      </c>
      <c r="W84" s="180">
        <v>1407.3368286541725</v>
      </c>
      <c r="X84" s="171">
        <f t="shared" si="21"/>
        <v>0.40290620406913125</v>
      </c>
      <c r="Y84" s="180">
        <v>4605.05</v>
      </c>
      <c r="Z84" s="180">
        <v>1873.307</v>
      </c>
    </row>
    <row r="85" spans="1:26" x14ac:dyDescent="0.2">
      <c r="A85" s="147">
        <v>2007</v>
      </c>
      <c r="B85" s="147">
        <v>12</v>
      </c>
      <c r="C85" s="147" t="str">
        <f t="shared" si="17"/>
        <v>200712</v>
      </c>
      <c r="D85" s="147" t="str">
        <f t="shared" si="25"/>
        <v>Q4</v>
      </c>
      <c r="E85" s="147">
        <f t="shared" si="26"/>
        <v>43950.038904835856</v>
      </c>
      <c r="F85" s="147" t="e">
        <f t="shared" si="26"/>
        <v>#N/A</v>
      </c>
      <c r="G85" s="147">
        <f t="shared" si="26"/>
        <v>39135.118262944496</v>
      </c>
      <c r="H85" s="147">
        <f t="shared" si="26"/>
        <v>1257.0125</v>
      </c>
      <c r="I85" s="290">
        <f t="shared" si="18"/>
        <v>500316.45665447216</v>
      </c>
      <c r="J85" s="172">
        <f t="shared" si="24"/>
        <v>5.5245923997830904E-3</v>
      </c>
      <c r="K85" s="291">
        <f t="shared" si="19"/>
        <v>2.5124348465477646E-3</v>
      </c>
      <c r="M85" s="147">
        <f t="shared" si="22"/>
        <v>2021</v>
      </c>
      <c r="N85" s="170" t="str">
        <f t="shared" si="23"/>
        <v>Q4</v>
      </c>
      <c r="O85" s="170" t="str">
        <f t="shared" si="15"/>
        <v>2021Q4</v>
      </c>
      <c r="P85" s="175">
        <v>56554.773746635416</v>
      </c>
      <c r="Q85" s="175">
        <f t="shared" si="20"/>
        <v>56554.773682165433</v>
      </c>
      <c r="R85" s="175">
        <v>-1.1399565735814576E-9</v>
      </c>
      <c r="S85" s="175">
        <v>568.47731185423572</v>
      </c>
      <c r="T85" s="292">
        <f t="shared" si="13"/>
        <v>571.48754631005261</v>
      </c>
      <c r="U85" s="180">
        <v>49908.568796165404</v>
      </c>
      <c r="V85" s="194">
        <v>5.2952587430414866E-3</v>
      </c>
      <c r="W85" s="180">
        <v>1410.5414388105048</v>
      </c>
      <c r="X85" s="171">
        <f t="shared" si="21"/>
        <v>0.40302063889284023</v>
      </c>
      <c r="Y85" s="180">
        <v>4611.0690000000004</v>
      </c>
      <c r="Z85" s="180">
        <v>1877.029</v>
      </c>
    </row>
    <row r="86" spans="1:26" x14ac:dyDescent="0.2">
      <c r="A86" s="147">
        <v>2008</v>
      </c>
      <c r="B86" s="147">
        <v>1</v>
      </c>
      <c r="C86" s="147" t="str">
        <f t="shared" si="17"/>
        <v>20081</v>
      </c>
      <c r="D86" s="147" t="str">
        <f t="shared" si="25"/>
        <v>Q1</v>
      </c>
      <c r="E86" s="147">
        <f t="shared" si="26"/>
        <v>44416.10845096485</v>
      </c>
      <c r="F86" s="147" t="e">
        <f t="shared" si="26"/>
        <v>#N/A</v>
      </c>
      <c r="G86" s="147">
        <f t="shared" si="26"/>
        <v>39632.680925057175</v>
      </c>
      <c r="H86" s="147">
        <f t="shared" si="26"/>
        <v>1260.6632500000001</v>
      </c>
      <c r="I86" s="290">
        <f t="shared" si="18"/>
        <v>502319.34308818664</v>
      </c>
      <c r="J86" s="172">
        <f t="shared" si="24"/>
        <v>8.746866140105336E-3</v>
      </c>
      <c r="K86" s="291">
        <f t="shared" si="19"/>
        <v>2.5096848595350216E-3</v>
      </c>
      <c r="M86" s="147">
        <f t="shared" si="22"/>
        <v>2022</v>
      </c>
      <c r="N86" s="170" t="str">
        <f t="shared" si="23"/>
        <v>Q1</v>
      </c>
      <c r="O86" s="170" t="str">
        <f t="shared" si="15"/>
        <v>2022Q1</v>
      </c>
      <c r="P86" s="175">
        <v>56950.059670394607</v>
      </c>
      <c r="Q86" s="175">
        <f t="shared" si="20"/>
        <v>56954.584699121246</v>
      </c>
      <c r="R86" s="175">
        <v>7.9456084029150276E-5</v>
      </c>
      <c r="S86" s="175">
        <v>569.39691159972006</v>
      </c>
      <c r="T86" s="292">
        <f t="shared" si="13"/>
        <v>572.72088941049935</v>
      </c>
      <c r="U86" s="180">
        <v>50229.384400300703</v>
      </c>
      <c r="V86" s="194">
        <v>5.8377166139531589E-3</v>
      </c>
      <c r="W86" s="180">
        <v>1413.6614308768339</v>
      </c>
      <c r="X86" s="171">
        <f t="shared" si="21"/>
        <v>0.40278166975705593</v>
      </c>
      <c r="Y86" s="180">
        <v>4617.0460000000003</v>
      </c>
      <c r="Z86" s="180">
        <v>1880.136</v>
      </c>
    </row>
    <row r="87" spans="1:26" x14ac:dyDescent="0.2">
      <c r="A87" s="147">
        <v>2008</v>
      </c>
      <c r="B87" s="147">
        <v>2</v>
      </c>
      <c r="C87" s="147" t="str">
        <f t="shared" si="17"/>
        <v>20082</v>
      </c>
      <c r="D87" s="147" t="str">
        <f t="shared" si="25"/>
        <v>Q1</v>
      </c>
      <c r="E87" s="147">
        <f t="shared" si="26"/>
        <v>44416.10845096485</v>
      </c>
      <c r="F87" s="147" t="e">
        <f t="shared" si="26"/>
        <v>#N/A</v>
      </c>
      <c r="G87" s="147">
        <f t="shared" si="26"/>
        <v>39632.680925057175</v>
      </c>
      <c r="H87" s="147">
        <f t="shared" si="26"/>
        <v>1260.6632500000001</v>
      </c>
      <c r="I87" s="290">
        <f t="shared" si="18"/>
        <v>502319.34308818664</v>
      </c>
      <c r="J87" s="172">
        <f t="shared" si="24"/>
        <v>8.746866140105336E-3</v>
      </c>
      <c r="K87" s="291">
        <f t="shared" si="19"/>
        <v>2.5096848595350216E-3</v>
      </c>
      <c r="M87" s="147">
        <f t="shared" si="22"/>
        <v>2022</v>
      </c>
      <c r="N87" s="170" t="str">
        <f t="shared" si="23"/>
        <v>Q2</v>
      </c>
      <c r="O87" s="170" t="str">
        <f t="shared" si="15"/>
        <v>2022Q2</v>
      </c>
      <c r="P87" s="175">
        <v>57216.40069030234</v>
      </c>
      <c r="Q87" s="175">
        <f t="shared" si="20"/>
        <v>57220.946881443437</v>
      </c>
      <c r="R87" s="175">
        <v>7.9456084029150276E-5</v>
      </c>
      <c r="S87" s="175">
        <v>570.63249671426991</v>
      </c>
      <c r="T87" s="292">
        <f t="shared" si="13"/>
        <v>573.94232922392882</v>
      </c>
      <c r="U87" s="180">
        <v>50462.244962799821</v>
      </c>
      <c r="V87" s="194">
        <v>5.8002874507097069E-3</v>
      </c>
      <c r="W87" s="180">
        <v>1416.9364853411676</v>
      </c>
      <c r="X87" s="171">
        <f t="shared" si="21"/>
        <v>0.40272270678164801</v>
      </c>
      <c r="Y87" s="180">
        <v>4622.9769999999999</v>
      </c>
      <c r="Z87" s="180">
        <v>1883.181</v>
      </c>
    </row>
    <row r="88" spans="1:26" x14ac:dyDescent="0.2">
      <c r="A88" s="147">
        <v>2008</v>
      </c>
      <c r="B88" s="147">
        <v>3</v>
      </c>
      <c r="C88" s="147" t="str">
        <f t="shared" si="17"/>
        <v>20083</v>
      </c>
      <c r="D88" s="147" t="str">
        <f t="shared" si="25"/>
        <v>Q1</v>
      </c>
      <c r="E88" s="147">
        <f t="shared" si="26"/>
        <v>44416.10845096485</v>
      </c>
      <c r="F88" s="147" t="e">
        <f t="shared" si="26"/>
        <v>#N/A</v>
      </c>
      <c r="G88" s="147">
        <f t="shared" si="26"/>
        <v>39632.680925057175</v>
      </c>
      <c r="H88" s="147">
        <f t="shared" si="26"/>
        <v>1260.6632500000001</v>
      </c>
      <c r="I88" s="290">
        <f t="shared" si="18"/>
        <v>502319.34308818664</v>
      </c>
      <c r="J88" s="172">
        <f t="shared" si="24"/>
        <v>8.746866140105336E-3</v>
      </c>
      <c r="K88" s="291">
        <f t="shared" si="19"/>
        <v>2.5096848595350216E-3</v>
      </c>
      <c r="M88" s="147">
        <f t="shared" si="22"/>
        <v>2022</v>
      </c>
      <c r="N88" s="170" t="str">
        <f t="shared" si="23"/>
        <v>Q3</v>
      </c>
      <c r="O88" s="170" t="str">
        <f t="shared" si="15"/>
        <v>2022Q3</v>
      </c>
      <c r="P88" s="175">
        <v>57662.849784557417</v>
      </c>
      <c r="Q88" s="175">
        <f t="shared" si="20"/>
        <v>57667.431448795258</v>
      </c>
      <c r="R88" s="175">
        <v>7.9456084029150276E-5</v>
      </c>
      <c r="S88" s="175">
        <v>571.48618687233204</v>
      </c>
      <c r="T88" s="292">
        <f t="shared" si="13"/>
        <v>574.77452370851699</v>
      </c>
      <c r="U88" s="180">
        <v>50848.241817321788</v>
      </c>
      <c r="V88" s="194">
        <v>5.7540093036747564E-3</v>
      </c>
      <c r="W88" s="180">
        <v>1419.3355879434562</v>
      </c>
      <c r="X88" s="171">
        <f t="shared" si="21"/>
        <v>0.40264345636565485</v>
      </c>
      <c r="Y88" s="180">
        <v>4628.8519999999999</v>
      </c>
      <c r="Z88" s="180">
        <v>1886.1790000000001</v>
      </c>
    </row>
    <row r="89" spans="1:26" x14ac:dyDescent="0.2">
      <c r="A89" s="152">
        <v>2008</v>
      </c>
      <c r="B89" s="152">
        <v>4</v>
      </c>
      <c r="C89" s="147" t="str">
        <f t="shared" si="17"/>
        <v>20084</v>
      </c>
      <c r="D89" s="147" t="str">
        <f t="shared" si="25"/>
        <v>Q2</v>
      </c>
      <c r="E89" s="147">
        <f t="shared" si="26"/>
        <v>44590.916339331241</v>
      </c>
      <c r="F89" s="147" t="e">
        <f t="shared" si="26"/>
        <v>#N/A</v>
      </c>
      <c r="G89" s="147">
        <f t="shared" si="26"/>
        <v>39855.727140851915</v>
      </c>
      <c r="H89" s="147">
        <f t="shared" si="26"/>
        <v>1264.3140000000001</v>
      </c>
      <c r="I89" s="290">
        <f t="shared" si="18"/>
        <v>504329.09981755581</v>
      </c>
      <c r="J89" s="172">
        <f t="shared" si="24"/>
        <v>1.3975610274186367E-2</v>
      </c>
      <c r="K89" s="291">
        <f t="shared" si="19"/>
        <v>2.50692256397137E-3</v>
      </c>
      <c r="L89" s="152"/>
      <c r="M89" s="147">
        <f t="shared" si="22"/>
        <v>2022</v>
      </c>
      <c r="N89" s="170" t="str">
        <f t="shared" si="23"/>
        <v>Q4</v>
      </c>
      <c r="O89" s="170" t="str">
        <f t="shared" si="15"/>
        <v>2022Q4</v>
      </c>
      <c r="P89" s="175">
        <v>57947.834035717176</v>
      </c>
      <c r="Q89" s="175">
        <f t="shared" si="20"/>
        <v>57924.427032180763</v>
      </c>
      <c r="R89" s="175">
        <v>-4.0393232854885053E-4</v>
      </c>
      <c r="S89" s="175">
        <v>572.91207387827751</v>
      </c>
      <c r="T89" s="292">
        <f t="shared" si="13"/>
        <v>576.10640961266301</v>
      </c>
      <c r="U89" s="180">
        <v>51088.93854491684</v>
      </c>
      <c r="V89" s="194">
        <v>5.5756125242076848E-3</v>
      </c>
      <c r="W89" s="180">
        <v>1423.0527256474459</v>
      </c>
      <c r="X89" s="171">
        <f t="shared" si="21"/>
        <v>0.40259370826728846</v>
      </c>
      <c r="Y89" s="180">
        <v>4634.6809999999996</v>
      </c>
      <c r="Z89" s="180">
        <v>1889.0119999999999</v>
      </c>
    </row>
    <row r="90" spans="1:26" x14ac:dyDescent="0.2">
      <c r="A90" s="147">
        <v>2008</v>
      </c>
      <c r="B90" s="147">
        <v>5</v>
      </c>
      <c r="C90" s="147" t="str">
        <f t="shared" si="17"/>
        <v>20085</v>
      </c>
      <c r="D90" s="147" t="str">
        <f t="shared" si="25"/>
        <v>Q2</v>
      </c>
      <c r="E90" s="147">
        <f t="shared" si="26"/>
        <v>44590.916339331241</v>
      </c>
      <c r="F90" s="147" t="e">
        <f t="shared" si="26"/>
        <v>#N/A</v>
      </c>
      <c r="G90" s="147">
        <f t="shared" si="26"/>
        <v>39855.727140851915</v>
      </c>
      <c r="H90" s="147">
        <f t="shared" si="26"/>
        <v>1264.3140000000001</v>
      </c>
      <c r="I90" s="290">
        <f t="shared" si="18"/>
        <v>504329.09981755581</v>
      </c>
      <c r="J90" s="172">
        <f t="shared" si="24"/>
        <v>1.3975610274186367E-2</v>
      </c>
      <c r="K90" s="291">
        <f t="shared" si="19"/>
        <v>2.50692256397137E-3</v>
      </c>
      <c r="M90" s="147">
        <f t="shared" si="22"/>
        <v>2023</v>
      </c>
      <c r="N90" s="170" t="str">
        <f t="shared" si="23"/>
        <v>Q1</v>
      </c>
      <c r="O90" s="170" t="str">
        <f t="shared" si="15"/>
        <v>2023Q1</v>
      </c>
      <c r="P90" s="175">
        <v>58454.370125439615</v>
      </c>
      <c r="Q90" s="175">
        <f t="shared" si="20"/>
        <v>58430.758515600988</v>
      </c>
      <c r="R90" s="175">
        <v>-4.0393232854885053E-4</v>
      </c>
      <c r="S90" s="175">
        <v>573.93057831627425</v>
      </c>
      <c r="T90" s="292">
        <f t="shared" si="13"/>
        <v>577.04451843794948</v>
      </c>
      <c r="U90" s="180">
        <v>51474.30535634797</v>
      </c>
      <c r="V90" s="194">
        <v>5.425638987228254E-3</v>
      </c>
      <c r="W90" s="180">
        <v>1425.5416288180704</v>
      </c>
      <c r="X90" s="171">
        <f t="shared" si="21"/>
        <v>0.40260527417366643</v>
      </c>
      <c r="Y90" s="180">
        <v>4640.4660000000003</v>
      </c>
      <c r="Z90" s="180">
        <v>1892.0160000000001</v>
      </c>
    </row>
    <row r="91" spans="1:26" x14ac:dyDescent="0.2">
      <c r="A91" s="147">
        <v>2008</v>
      </c>
      <c r="B91" s="147">
        <v>6</v>
      </c>
      <c r="C91" s="147" t="str">
        <f t="shared" si="17"/>
        <v>20086</v>
      </c>
      <c r="D91" s="147" t="str">
        <f t="shared" si="25"/>
        <v>Q2</v>
      </c>
      <c r="E91" s="147">
        <f t="shared" si="26"/>
        <v>44590.916339331241</v>
      </c>
      <c r="F91" s="147" t="e">
        <f t="shared" si="26"/>
        <v>#N/A</v>
      </c>
      <c r="G91" s="147">
        <f t="shared" si="26"/>
        <v>39855.727140851915</v>
      </c>
      <c r="H91" s="147">
        <f t="shared" si="26"/>
        <v>1264.3140000000001</v>
      </c>
      <c r="I91" s="290">
        <f t="shared" si="18"/>
        <v>504329.09981755581</v>
      </c>
      <c r="J91" s="172">
        <f t="shared" si="24"/>
        <v>1.3975610274186367E-2</v>
      </c>
      <c r="K91" s="291">
        <f t="shared" si="19"/>
        <v>2.50692256397137E-3</v>
      </c>
      <c r="M91" s="147">
        <f t="shared" si="22"/>
        <v>2023</v>
      </c>
      <c r="N91" s="170" t="str">
        <f t="shared" si="23"/>
        <v>Q2</v>
      </c>
      <c r="O91" s="170" t="str">
        <f t="shared" si="15"/>
        <v>2023Q2</v>
      </c>
      <c r="P91" s="175">
        <v>58867.328808954277</v>
      </c>
      <c r="Q91" s="175">
        <f t="shared" si="20"/>
        <v>58843.550391753022</v>
      </c>
      <c r="R91" s="175">
        <v>-4.0393232854885053E-4</v>
      </c>
      <c r="S91" s="175">
        <v>575.16698820090585</v>
      </c>
      <c r="T91" s="292">
        <f t="shared" si="13"/>
        <v>578.16463754272115</v>
      </c>
      <c r="U91" s="180">
        <v>51828.21608039493</v>
      </c>
      <c r="V91" s="194">
        <v>5.2117896251171469E-3</v>
      </c>
      <c r="W91" s="180">
        <v>1428.6576286441741</v>
      </c>
      <c r="X91" s="171">
        <f t="shared" si="21"/>
        <v>0.40259259928269259</v>
      </c>
      <c r="Y91" s="180">
        <v>4646.2020000000002</v>
      </c>
      <c r="Z91" s="180">
        <v>1894.9739999999999</v>
      </c>
    </row>
    <row r="92" spans="1:26" x14ac:dyDescent="0.2">
      <c r="A92" s="147">
        <v>2008</v>
      </c>
      <c r="B92" s="147">
        <v>7</v>
      </c>
      <c r="C92" s="147" t="str">
        <f t="shared" si="17"/>
        <v>20087</v>
      </c>
      <c r="D92" s="147" t="str">
        <f t="shared" si="25"/>
        <v>Q3</v>
      </c>
      <c r="E92" s="147">
        <f t="shared" si="26"/>
        <v>43631.993018171721</v>
      </c>
      <c r="F92" s="147" t="e">
        <f t="shared" si="26"/>
        <v>#N/A</v>
      </c>
      <c r="G92" s="147">
        <f t="shared" si="26"/>
        <v>38971.970554889042</v>
      </c>
      <c r="H92" s="147">
        <f t="shared" si="26"/>
        <v>1267.0297499999999</v>
      </c>
      <c r="I92" s="290">
        <f t="shared" si="18"/>
        <v>505252.56082777889</v>
      </c>
      <c r="J92" s="172">
        <f t="shared" si="24"/>
        <v>-3.9314144568836085E-3</v>
      </c>
      <c r="K92" s="291">
        <f t="shared" si="19"/>
        <v>2.5077156421021716E-3</v>
      </c>
      <c r="M92" s="147">
        <f t="shared" si="22"/>
        <v>2023</v>
      </c>
      <c r="N92" s="170" t="str">
        <f t="shared" si="23"/>
        <v>Q3</v>
      </c>
      <c r="O92" s="170" t="str">
        <f t="shared" si="15"/>
        <v>2023Q3</v>
      </c>
      <c r="P92" s="175">
        <v>59256.698157791659</v>
      </c>
      <c r="Q92" s="175">
        <f t="shared" si="20"/>
        <v>59224.463020901843</v>
      </c>
      <c r="R92" s="175">
        <v>-5.4399144555739021E-4</v>
      </c>
      <c r="S92" s="175">
        <v>576.44593176762419</v>
      </c>
      <c r="T92" s="292">
        <f t="shared" si="13"/>
        <v>579.32991965786016</v>
      </c>
      <c r="U92" s="180">
        <v>52161.614922601206</v>
      </c>
      <c r="V92" s="194">
        <v>5.0030501236992819E-3</v>
      </c>
      <c r="W92" s="180">
        <v>1431.9179997949623</v>
      </c>
      <c r="X92" s="171">
        <f t="shared" si="21"/>
        <v>0.40256909393566254</v>
      </c>
      <c r="Y92" s="180">
        <v>4651.88</v>
      </c>
      <c r="Z92" s="180">
        <v>1897.896</v>
      </c>
    </row>
    <row r="93" spans="1:26" x14ac:dyDescent="0.2">
      <c r="A93" s="147">
        <v>2008</v>
      </c>
      <c r="B93" s="147">
        <v>8</v>
      </c>
      <c r="C93" s="147" t="str">
        <f t="shared" si="17"/>
        <v>20088</v>
      </c>
      <c r="D93" s="147" t="str">
        <f t="shared" si="25"/>
        <v>Q3</v>
      </c>
      <c r="E93" s="147">
        <f t="shared" si="26"/>
        <v>43631.993018171721</v>
      </c>
      <c r="F93" s="147" t="e">
        <f t="shared" si="26"/>
        <v>#N/A</v>
      </c>
      <c r="G93" s="147">
        <f t="shared" si="26"/>
        <v>38971.970554889042</v>
      </c>
      <c r="H93" s="147">
        <f t="shared" si="26"/>
        <v>1267.0297499999999</v>
      </c>
      <c r="I93" s="290">
        <f t="shared" si="18"/>
        <v>505252.56082777889</v>
      </c>
      <c r="J93" s="172">
        <f t="shared" si="24"/>
        <v>-3.9314144568836085E-3</v>
      </c>
      <c r="K93" s="291">
        <f t="shared" si="19"/>
        <v>2.5077156421021716E-3</v>
      </c>
      <c r="M93" s="147">
        <f t="shared" si="22"/>
        <v>2023</v>
      </c>
      <c r="N93" s="170" t="str">
        <f t="shared" si="23"/>
        <v>Q4</v>
      </c>
      <c r="O93" s="170" t="str">
        <f t="shared" si="15"/>
        <v>2023Q4</v>
      </c>
      <c r="P93" s="175">
        <v>59586.150319153225</v>
      </c>
      <c r="Q93" s="175">
        <f t="shared" si="20"/>
        <v>59553.735963105908</v>
      </c>
      <c r="R93" s="175">
        <v>-5.4399144555739021E-4</v>
      </c>
      <c r="S93" s="175">
        <v>578.40056670692786</v>
      </c>
      <c r="T93" s="292">
        <f t="shared" si="13"/>
        <v>580.56870286053822</v>
      </c>
      <c r="U93" s="180">
        <v>52372.236748881944</v>
      </c>
      <c r="V93" s="194">
        <v>3.7485028169221835E-3</v>
      </c>
      <c r="W93" s="180">
        <v>1435.6807229889657</v>
      </c>
      <c r="X93" s="171">
        <f t="shared" si="21"/>
        <v>0.40287548439234239</v>
      </c>
      <c r="Y93" s="180">
        <v>4657.4979999999996</v>
      </c>
      <c r="Z93" s="180">
        <v>1900.654</v>
      </c>
    </row>
    <row r="94" spans="1:26" x14ac:dyDescent="0.2">
      <c r="A94" s="147">
        <v>2008</v>
      </c>
      <c r="B94" s="147">
        <v>9</v>
      </c>
      <c r="C94" s="147" t="str">
        <f t="shared" si="17"/>
        <v>20089</v>
      </c>
      <c r="D94" s="147" t="str">
        <f t="shared" si="25"/>
        <v>Q3</v>
      </c>
      <c r="E94" s="147">
        <f t="shared" si="26"/>
        <v>43631.993018171721</v>
      </c>
      <c r="F94" s="147" t="e">
        <f t="shared" si="26"/>
        <v>#N/A</v>
      </c>
      <c r="G94" s="147">
        <f t="shared" si="26"/>
        <v>38971.970554889042</v>
      </c>
      <c r="H94" s="147">
        <f t="shared" si="26"/>
        <v>1267.0297499999999</v>
      </c>
      <c r="I94" s="290">
        <f t="shared" si="18"/>
        <v>505252.56082777889</v>
      </c>
      <c r="J94" s="172">
        <f t="shared" si="24"/>
        <v>-3.9314144568836085E-3</v>
      </c>
      <c r="K94" s="291">
        <f t="shared" si="19"/>
        <v>2.5077156421021716E-3</v>
      </c>
      <c r="M94" s="147">
        <f t="shared" si="22"/>
        <v>2024</v>
      </c>
      <c r="N94" s="170" t="str">
        <f t="shared" si="23"/>
        <v>Q1</v>
      </c>
      <c r="O94" s="170" t="str">
        <f t="shared" si="15"/>
        <v>2024Q1</v>
      </c>
      <c r="P94" s="175">
        <v>60235.601873516185</v>
      </c>
      <c r="Q94" s="175">
        <f t="shared" si="20"/>
        <v>60202.834221378995</v>
      </c>
      <c r="R94" s="175">
        <v>-5.4399144555739021E-4</v>
      </c>
      <c r="S94" s="175">
        <v>579.12899336216219</v>
      </c>
      <c r="T94" s="292">
        <f t="shared" si="13"/>
        <v>581.29986002514158</v>
      </c>
      <c r="U94" s="180">
        <v>52955.358119127079</v>
      </c>
      <c r="V94" s="293">
        <f>V93</f>
        <v>3.7485028169221835E-3</v>
      </c>
      <c r="W94" s="180">
        <v>1438.0164946277355</v>
      </c>
      <c r="X94" s="171">
        <f t="shared" si="21"/>
        <v>0.40272764292045438</v>
      </c>
      <c r="Y94" s="180">
        <v>4663.0690000000004</v>
      </c>
      <c r="Z94" s="180">
        <v>1904.0350000000001</v>
      </c>
    </row>
    <row r="95" spans="1:26" x14ac:dyDescent="0.2">
      <c r="A95" s="147">
        <v>2008</v>
      </c>
      <c r="B95" s="147">
        <v>10</v>
      </c>
      <c r="C95" s="147" t="str">
        <f t="shared" si="17"/>
        <v>200810</v>
      </c>
      <c r="D95" s="147" t="str">
        <f t="shared" si="25"/>
        <v>Q4</v>
      </c>
      <c r="E95" s="147">
        <f t="shared" si="26"/>
        <v>43911.243642744957</v>
      </c>
      <c r="F95" s="147" t="e">
        <f t="shared" si="26"/>
        <v>#N/A</v>
      </c>
      <c r="G95" s="147">
        <f t="shared" si="26"/>
        <v>39250.753059038092</v>
      </c>
      <c r="H95" s="147">
        <f t="shared" si="26"/>
        <v>1269.7455</v>
      </c>
      <c r="I95" s="290">
        <f t="shared" si="18"/>
        <v>506177.27071899566</v>
      </c>
      <c r="J95" s="172">
        <f t="shared" si="24"/>
        <v>-8.8271280430263221E-4</v>
      </c>
      <c r="K95" s="291">
        <f t="shared" si="19"/>
        <v>2.5084996372839886E-3</v>
      </c>
      <c r="M95" s="147">
        <f t="shared" si="22"/>
        <v>2024</v>
      </c>
      <c r="N95" s="170" t="str">
        <f t="shared" si="23"/>
        <v>Q2</v>
      </c>
      <c r="O95" s="170" t="str">
        <f t="shared" si="15"/>
        <v>2024Q2</v>
      </c>
      <c r="P95" s="175">
        <v>60490.660968421878</v>
      </c>
      <c r="Q95" s="175">
        <f t="shared" si="20"/>
        <v>60478.898314996564</v>
      </c>
      <c r="R95" s="175">
        <v>-1.9445404029316826E-4</v>
      </c>
      <c r="S95" s="175">
        <v>580.43655654475936</v>
      </c>
      <c r="T95" s="292">
        <f t="shared" si="13"/>
        <v>582.612324612012</v>
      </c>
      <c r="U95" s="180">
        <v>53167.209134536846</v>
      </c>
      <c r="V95" s="293">
        <f t="shared" ref="V95:V158" si="27">V94</f>
        <v>3.7485028169221835E-3</v>
      </c>
      <c r="W95" s="180">
        <v>1441.6924171035907</v>
      </c>
      <c r="X95" s="171">
        <f t="shared" si="21"/>
        <v>0.40260776130797454</v>
      </c>
      <c r="Y95" s="180">
        <v>4668.5910000000003</v>
      </c>
      <c r="Z95" s="180">
        <v>1907.376</v>
      </c>
    </row>
    <row r="96" spans="1:26" x14ac:dyDescent="0.2">
      <c r="A96" s="147">
        <v>2008</v>
      </c>
      <c r="B96" s="147">
        <v>11</v>
      </c>
      <c r="C96" s="147" t="str">
        <f t="shared" si="17"/>
        <v>200811</v>
      </c>
      <c r="D96" s="147" t="str">
        <f t="shared" si="25"/>
        <v>Q4</v>
      </c>
      <c r="E96" s="147">
        <f t="shared" si="26"/>
        <v>43911.243642744957</v>
      </c>
      <c r="F96" s="147" t="e">
        <f t="shared" si="26"/>
        <v>#N/A</v>
      </c>
      <c r="G96" s="147">
        <f t="shared" si="26"/>
        <v>39250.753059038092</v>
      </c>
      <c r="H96" s="147">
        <f t="shared" si="26"/>
        <v>1269.7455</v>
      </c>
      <c r="I96" s="290">
        <f t="shared" si="18"/>
        <v>506177.27071899566</v>
      </c>
      <c r="J96" s="172">
        <f t="shared" si="24"/>
        <v>-8.8271280430263221E-4</v>
      </c>
      <c r="K96" s="291">
        <f t="shared" si="19"/>
        <v>2.5084996372839886E-3</v>
      </c>
      <c r="M96" s="147">
        <f t="shared" si="22"/>
        <v>2024</v>
      </c>
      <c r="N96" s="170" t="str">
        <f t="shared" si="23"/>
        <v>Q3</v>
      </c>
      <c r="O96" s="170" t="str">
        <f t="shared" si="15"/>
        <v>2024Q3</v>
      </c>
      <c r="P96" s="175">
        <v>60845.642043313623</v>
      </c>
      <c r="Q96" s="175">
        <f t="shared" si="20"/>
        <v>60833.810362384065</v>
      </c>
      <c r="R96" s="175">
        <v>-1.9445404029316826E-4</v>
      </c>
      <c r="S96" s="175">
        <v>581.56845771979124</v>
      </c>
      <c r="T96" s="292">
        <f t="shared" si="13"/>
        <v>583.74846872178694</v>
      </c>
      <c r="U96" s="180">
        <v>53462.846369802268</v>
      </c>
      <c r="V96" s="293">
        <f t="shared" si="27"/>
        <v>3.7485028169221835E-3</v>
      </c>
      <c r="W96" s="180">
        <v>1444.9534456805739</v>
      </c>
      <c r="X96" s="171">
        <f t="shared" si="21"/>
        <v>0.40248248790179686</v>
      </c>
      <c r="Y96" s="180">
        <v>4674.0529999999999</v>
      </c>
      <c r="Z96" s="180">
        <v>1910.7170000000001</v>
      </c>
    </row>
    <row r="97" spans="1:26" x14ac:dyDescent="0.2">
      <c r="A97" s="147">
        <v>2008</v>
      </c>
      <c r="B97" s="147">
        <v>12</v>
      </c>
      <c r="C97" s="147" t="str">
        <f t="shared" si="17"/>
        <v>200812</v>
      </c>
      <c r="D97" s="147" t="str">
        <f t="shared" si="25"/>
        <v>Q4</v>
      </c>
      <c r="E97" s="147">
        <f t="shared" si="26"/>
        <v>43911.243642744957</v>
      </c>
      <c r="F97" s="147" t="e">
        <f t="shared" si="26"/>
        <v>#N/A</v>
      </c>
      <c r="G97" s="147">
        <f t="shared" si="26"/>
        <v>39250.753059038092</v>
      </c>
      <c r="H97" s="147">
        <f t="shared" si="26"/>
        <v>1269.7455</v>
      </c>
      <c r="I97" s="290">
        <f t="shared" si="18"/>
        <v>506177.27071899566</v>
      </c>
      <c r="J97" s="172">
        <f t="shared" si="24"/>
        <v>-8.8271280430263221E-4</v>
      </c>
      <c r="K97" s="291">
        <f t="shared" si="19"/>
        <v>2.5084996372839886E-3</v>
      </c>
      <c r="M97" s="147">
        <f t="shared" si="22"/>
        <v>2024</v>
      </c>
      <c r="N97" s="170" t="str">
        <f t="shared" si="23"/>
        <v>Q4</v>
      </c>
      <c r="O97" s="170" t="str">
        <f t="shared" si="15"/>
        <v>2024Q4</v>
      </c>
      <c r="P97" s="175">
        <v>61233.666574043193</v>
      </c>
      <c r="Q97" s="175">
        <f t="shared" si="20"/>
        <v>61221.759440175905</v>
      </c>
      <c r="R97" s="175">
        <v>-1.9445404029316826E-4</v>
      </c>
      <c r="S97" s="175">
        <v>582.66620952961773</v>
      </c>
      <c r="T97" s="292">
        <f t="shared" si="13"/>
        <v>584.85033545736485</v>
      </c>
      <c r="U97" s="180">
        <v>53789.882915045469</v>
      </c>
      <c r="V97" s="293">
        <f t="shared" si="27"/>
        <v>3.7485028169221835E-3</v>
      </c>
      <c r="W97" s="180">
        <v>1448.203316689802</v>
      </c>
      <c r="X97" s="171">
        <f t="shared" si="21"/>
        <v>0.40233729809529356</v>
      </c>
      <c r="Y97" s="180">
        <v>4679.4669999999996</v>
      </c>
      <c r="Z97" s="180">
        <v>1913.933</v>
      </c>
    </row>
    <row r="98" spans="1:26" x14ac:dyDescent="0.2">
      <c r="A98" s="147">
        <v>2009</v>
      </c>
      <c r="B98" s="147">
        <v>1</v>
      </c>
      <c r="C98" s="147" t="str">
        <f t="shared" si="17"/>
        <v>20091</v>
      </c>
      <c r="D98" s="147" t="str">
        <f t="shared" si="25"/>
        <v>Q1</v>
      </c>
      <c r="E98" s="147">
        <f t="shared" si="26"/>
        <v>43191.274958100061</v>
      </c>
      <c r="F98" s="147" t="e">
        <f t="shared" si="26"/>
        <v>#N/A</v>
      </c>
      <c r="G98" s="147">
        <f t="shared" si="26"/>
        <v>39351.75300796557</v>
      </c>
      <c r="H98" s="147">
        <f t="shared" si="26"/>
        <v>1272.4612500000003</v>
      </c>
      <c r="I98" s="290">
        <f t="shared" si="18"/>
        <v>507103.23204385076</v>
      </c>
      <c r="J98" s="172">
        <f t="shared" si="24"/>
        <v>-2.7576335153652654E-2</v>
      </c>
      <c r="K98" s="291">
        <f t="shared" si="19"/>
        <v>2.5092745807819396E-3</v>
      </c>
      <c r="M98" s="147">
        <f t="shared" si="22"/>
        <v>2025</v>
      </c>
      <c r="N98" s="170" t="str">
        <f t="shared" si="23"/>
        <v>Q1</v>
      </c>
      <c r="O98" s="170" t="str">
        <f t="shared" si="15"/>
        <v>2025Q1</v>
      </c>
      <c r="P98" s="175">
        <v>61713.647735811843</v>
      </c>
      <c r="Q98" s="175">
        <f t="shared" si="20"/>
        <v>61579.488824100219</v>
      </c>
      <c r="R98" s="175">
        <v>-2.1738937274610182E-3</v>
      </c>
      <c r="S98" s="175">
        <v>583.84434500018779</v>
      </c>
      <c r="T98" s="292">
        <f t="shared" si="13"/>
        <v>586.0328871720651</v>
      </c>
      <c r="U98" s="180">
        <v>54223.677742674183</v>
      </c>
      <c r="V98" s="293">
        <f t="shared" si="27"/>
        <v>3.7485028169221835E-3</v>
      </c>
      <c r="W98" s="180">
        <v>1450.7011352829402</v>
      </c>
      <c r="X98" s="171">
        <f t="shared" si="21"/>
        <v>0.40245666788308992</v>
      </c>
      <c r="Y98" s="180">
        <v>4684.8329999999996</v>
      </c>
      <c r="Z98" s="180">
        <v>1917.356</v>
      </c>
    </row>
    <row r="99" spans="1:26" x14ac:dyDescent="0.2">
      <c r="A99" s="147">
        <v>2009</v>
      </c>
      <c r="B99" s="147">
        <v>2</v>
      </c>
      <c r="C99" s="147" t="str">
        <f t="shared" si="17"/>
        <v>20092</v>
      </c>
      <c r="D99" s="147" t="str">
        <f t="shared" si="25"/>
        <v>Q1</v>
      </c>
      <c r="E99" s="147">
        <f t="shared" si="26"/>
        <v>43191.274958100061</v>
      </c>
      <c r="F99" s="147" t="e">
        <f t="shared" si="26"/>
        <v>#N/A</v>
      </c>
      <c r="G99" s="147">
        <f t="shared" si="26"/>
        <v>39351.75300796557</v>
      </c>
      <c r="H99" s="147">
        <f t="shared" si="26"/>
        <v>1272.4612500000003</v>
      </c>
      <c r="I99" s="290">
        <f t="shared" si="18"/>
        <v>507103.23204385076</v>
      </c>
      <c r="J99" s="172">
        <f t="shared" si="24"/>
        <v>-2.7576335153652654E-2</v>
      </c>
      <c r="K99" s="291">
        <f t="shared" si="19"/>
        <v>2.5092745807819396E-3</v>
      </c>
      <c r="M99" s="147">
        <f t="shared" si="22"/>
        <v>2025</v>
      </c>
      <c r="N99" s="170" t="str">
        <f t="shared" si="23"/>
        <v>Q2</v>
      </c>
      <c r="O99" s="170" t="str">
        <f t="shared" si="15"/>
        <v>2025Q2</v>
      </c>
      <c r="P99" s="175">
        <v>62050.319664052222</v>
      </c>
      <c r="Q99" s="175">
        <f t="shared" si="20"/>
        <v>61915.428863347588</v>
      </c>
      <c r="R99" s="175">
        <v>-2.1738937274610182E-3</v>
      </c>
      <c r="S99" s="175">
        <v>585.28412774609001</v>
      </c>
      <c r="T99" s="292">
        <f t="shared" si="13"/>
        <v>587.47806694764608</v>
      </c>
      <c r="U99" s="180">
        <v>54510.190519624688</v>
      </c>
      <c r="V99" s="293">
        <f t="shared" si="27"/>
        <v>3.7485028169221835E-3</v>
      </c>
      <c r="W99" s="180">
        <v>1453.9471250160732</v>
      </c>
      <c r="X99" s="171">
        <f t="shared" si="21"/>
        <v>0.40254842674531222</v>
      </c>
      <c r="Y99" s="180">
        <v>4690.1750000000002</v>
      </c>
      <c r="Z99" s="180">
        <v>1920.7639999999999</v>
      </c>
    </row>
    <row r="100" spans="1:26" x14ac:dyDescent="0.2">
      <c r="A100" s="152">
        <v>2009</v>
      </c>
      <c r="B100" s="152">
        <v>3</v>
      </c>
      <c r="C100" s="147" t="str">
        <f t="shared" si="17"/>
        <v>20093</v>
      </c>
      <c r="D100" s="147" t="str">
        <f t="shared" si="25"/>
        <v>Q1</v>
      </c>
      <c r="E100" s="147">
        <f t="shared" si="26"/>
        <v>43191.274958100061</v>
      </c>
      <c r="F100" s="147" t="e">
        <f t="shared" si="26"/>
        <v>#N/A</v>
      </c>
      <c r="G100" s="147">
        <f t="shared" si="26"/>
        <v>39351.75300796557</v>
      </c>
      <c r="H100" s="147">
        <f t="shared" si="26"/>
        <v>1272.4612500000003</v>
      </c>
      <c r="I100" s="290">
        <f t="shared" si="18"/>
        <v>507103.23204385076</v>
      </c>
      <c r="J100" s="172">
        <f t="shared" si="24"/>
        <v>-2.7576335153652654E-2</v>
      </c>
      <c r="K100" s="291">
        <f t="shared" si="19"/>
        <v>2.5092745807819396E-3</v>
      </c>
      <c r="L100" s="152"/>
      <c r="M100" s="147">
        <f t="shared" si="22"/>
        <v>2025</v>
      </c>
      <c r="N100" s="170" t="str">
        <f t="shared" si="23"/>
        <v>Q3</v>
      </c>
      <c r="O100" s="170" t="str">
        <f t="shared" si="15"/>
        <v>2025Q3</v>
      </c>
      <c r="P100" s="175">
        <v>62409.50600756405</v>
      </c>
      <c r="Q100" s="175">
        <f t="shared" si="20"/>
        <v>62273.834373920268</v>
      </c>
      <c r="R100" s="175">
        <v>-2.1738937274610182E-3</v>
      </c>
      <c r="S100" s="175">
        <v>586.71769037746685</v>
      </c>
      <c r="T100" s="292">
        <f t="shared" si="13"/>
        <v>588.91700329258481</v>
      </c>
      <c r="U100" s="180">
        <v>54815.658019537463</v>
      </c>
      <c r="V100" s="293">
        <f t="shared" si="27"/>
        <v>3.7485028169221835E-3</v>
      </c>
      <c r="W100" s="180">
        <v>1457.1942335058652</v>
      </c>
      <c r="X100" s="171">
        <f t="shared" si="21"/>
        <v>0.40263519912913881</v>
      </c>
      <c r="Y100" s="180">
        <v>4695.482</v>
      </c>
      <c r="Z100" s="180">
        <v>1924.183</v>
      </c>
    </row>
    <row r="101" spans="1:26" x14ac:dyDescent="0.2">
      <c r="A101" s="147">
        <v>2009</v>
      </c>
      <c r="B101" s="147">
        <v>4</v>
      </c>
      <c r="C101" s="147" t="str">
        <f t="shared" si="17"/>
        <v>20094</v>
      </c>
      <c r="D101" s="147" t="str">
        <f t="shared" si="25"/>
        <v>Q2</v>
      </c>
      <c r="E101" s="147">
        <f t="shared" si="26"/>
        <v>43250.549093982401</v>
      </c>
      <c r="F101" s="147" t="e">
        <f t="shared" si="26"/>
        <v>#N/A</v>
      </c>
      <c r="G101" s="147">
        <f t="shared" si="26"/>
        <v>39473.581717535344</v>
      </c>
      <c r="H101" s="147">
        <f t="shared" si="26"/>
        <v>1275.1770000000001</v>
      </c>
      <c r="I101" s="290">
        <f t="shared" si="18"/>
        <v>508030.4473553971</v>
      </c>
      <c r="J101" s="172">
        <f t="shared" si="24"/>
        <v>-3.0059199392737601E-2</v>
      </c>
      <c r="K101" s="291">
        <f t="shared" si="19"/>
        <v>2.5100405037494513E-3</v>
      </c>
      <c r="M101" s="147">
        <f t="shared" si="22"/>
        <v>2025</v>
      </c>
      <c r="N101" s="170" t="str">
        <f t="shared" si="23"/>
        <v>Q4</v>
      </c>
      <c r="O101" s="170" t="str">
        <f t="shared" si="15"/>
        <v>2025Q4</v>
      </c>
      <c r="P101" s="175">
        <v>62742.181406358097</v>
      </c>
      <c r="Q101" s="175">
        <f t="shared" si="20"/>
        <v>62495.104166418343</v>
      </c>
      <c r="R101" s="175">
        <v>-3.9379765637972408E-3</v>
      </c>
      <c r="S101" s="175">
        <v>588.28258891207736</v>
      </c>
      <c r="T101" s="292">
        <f t="shared" si="13"/>
        <v>590.4877678537606</v>
      </c>
      <c r="U101" s="180">
        <v>55097.083363484009</v>
      </c>
      <c r="V101" s="293">
        <f t="shared" si="27"/>
        <v>3.7485028169221835E-3</v>
      </c>
      <c r="W101" s="180">
        <v>1460.8211194182309</v>
      </c>
      <c r="X101" s="171">
        <f t="shared" si="21"/>
        <v>0.40270679352333005</v>
      </c>
      <c r="Y101" s="180">
        <v>4700.7749999999996</v>
      </c>
      <c r="Z101" s="180">
        <v>1927.49</v>
      </c>
    </row>
    <row r="102" spans="1:26" x14ac:dyDescent="0.2">
      <c r="A102" s="147">
        <v>2009</v>
      </c>
      <c r="B102" s="147">
        <v>5</v>
      </c>
      <c r="C102" s="147" t="str">
        <f t="shared" si="17"/>
        <v>20095</v>
      </c>
      <c r="D102" s="147" t="str">
        <f t="shared" si="25"/>
        <v>Q2</v>
      </c>
      <c r="E102" s="147">
        <f t="shared" ref="E102:H121" si="28">VLOOKUP($A102&amp;$D102,$O$1:$W$189,MATCH(E$1,$O$1:$W$1,0),0)</f>
        <v>43250.549093982401</v>
      </c>
      <c r="F102" s="147" t="e">
        <f t="shared" si="28"/>
        <v>#N/A</v>
      </c>
      <c r="G102" s="147">
        <f t="shared" si="28"/>
        <v>39473.581717535344</v>
      </c>
      <c r="H102" s="147">
        <f t="shared" si="28"/>
        <v>1275.1770000000001</v>
      </c>
      <c r="I102" s="290">
        <f t="shared" si="18"/>
        <v>508030.4473553971</v>
      </c>
      <c r="J102" s="172">
        <f t="shared" si="24"/>
        <v>-3.0059199392737601E-2</v>
      </c>
      <c r="K102" s="291">
        <f t="shared" si="19"/>
        <v>2.5100405037494513E-3</v>
      </c>
      <c r="M102" s="147">
        <f t="shared" si="22"/>
        <v>2026</v>
      </c>
      <c r="N102" s="170" t="str">
        <f t="shared" si="23"/>
        <v>Q1</v>
      </c>
      <c r="O102" s="170" t="str">
        <f t="shared" si="15"/>
        <v>2026Q1</v>
      </c>
      <c r="P102" s="175">
        <v>63362.688751551832</v>
      </c>
      <c r="Q102" s="175">
        <f t="shared" si="20"/>
        <v>63113.167968229041</v>
      </c>
      <c r="R102" s="175">
        <v>-3.9379765637972408E-3</v>
      </c>
      <c r="S102" s="175">
        <v>589.37830105097646</v>
      </c>
      <c r="T102" s="292">
        <f t="shared" si="13"/>
        <v>591.5875872726989</v>
      </c>
      <c r="U102" s="180">
        <v>55569.291010852481</v>
      </c>
      <c r="V102" s="293">
        <f t="shared" si="27"/>
        <v>3.7485028169221835E-3</v>
      </c>
      <c r="W102" s="180">
        <v>1463.215955317683</v>
      </c>
      <c r="X102" s="171">
        <f t="shared" si="21"/>
        <v>0.40279652426494683</v>
      </c>
      <c r="Y102" s="180">
        <v>4706.0460000000003</v>
      </c>
      <c r="Z102" s="180">
        <v>1931.021</v>
      </c>
    </row>
    <row r="103" spans="1:26" x14ac:dyDescent="0.2">
      <c r="A103" s="147">
        <v>2009</v>
      </c>
      <c r="B103" s="147">
        <v>6</v>
      </c>
      <c r="C103" s="147" t="str">
        <f t="shared" si="17"/>
        <v>20096</v>
      </c>
      <c r="D103" s="147" t="str">
        <f t="shared" si="25"/>
        <v>Q2</v>
      </c>
      <c r="E103" s="147">
        <f t="shared" si="28"/>
        <v>43250.549093982401</v>
      </c>
      <c r="F103" s="147" t="e">
        <f t="shared" si="28"/>
        <v>#N/A</v>
      </c>
      <c r="G103" s="147">
        <f t="shared" si="28"/>
        <v>39473.581717535344</v>
      </c>
      <c r="H103" s="147">
        <f t="shared" si="28"/>
        <v>1275.1770000000001</v>
      </c>
      <c r="I103" s="290">
        <f t="shared" si="18"/>
        <v>508030.4473553971</v>
      </c>
      <c r="J103" s="172">
        <f t="shared" si="24"/>
        <v>-3.0059199392737601E-2</v>
      </c>
      <c r="K103" s="291">
        <f t="shared" si="19"/>
        <v>2.5100405037494513E-3</v>
      </c>
      <c r="M103" s="147">
        <f t="shared" si="22"/>
        <v>2026</v>
      </c>
      <c r="N103" s="170" t="str">
        <f t="shared" si="23"/>
        <v>Q2</v>
      </c>
      <c r="O103" s="170" t="str">
        <f t="shared" si="15"/>
        <v>2026Q2</v>
      </c>
      <c r="P103" s="175">
        <v>63629.396308887401</v>
      </c>
      <c r="Q103" s="175">
        <f t="shared" si="20"/>
        <v>63378.825237454439</v>
      </c>
      <c r="R103" s="175">
        <v>-3.9379765637972408E-3</v>
      </c>
      <c r="S103" s="175">
        <v>590.83563704066819</v>
      </c>
      <c r="T103" s="292">
        <f t="shared" si="13"/>
        <v>593.05038609045312</v>
      </c>
      <c r="U103" s="180">
        <v>55793.331632268848</v>
      </c>
      <c r="V103" s="293">
        <f t="shared" si="27"/>
        <v>3.7485028169221835E-3</v>
      </c>
      <c r="W103" s="180">
        <v>1466.4564562701637</v>
      </c>
      <c r="X103" s="171">
        <f t="shared" si="21"/>
        <v>0.40290022558420868</v>
      </c>
      <c r="Y103" s="180">
        <v>4711.2950000000001</v>
      </c>
      <c r="Z103" s="180">
        <v>1934.539</v>
      </c>
    </row>
    <row r="104" spans="1:26" x14ac:dyDescent="0.2">
      <c r="A104" s="147">
        <v>2009</v>
      </c>
      <c r="B104" s="147">
        <v>7</v>
      </c>
      <c r="C104" s="147" t="str">
        <f t="shared" si="17"/>
        <v>20097</v>
      </c>
      <c r="D104" s="147" t="str">
        <f t="shared" si="25"/>
        <v>Q3</v>
      </c>
      <c r="E104" s="147">
        <f t="shared" si="28"/>
        <v>42885.490202730834</v>
      </c>
      <c r="F104" s="147" t="e">
        <f t="shared" si="28"/>
        <v>#N/A</v>
      </c>
      <c r="G104" s="147">
        <f t="shared" si="28"/>
        <v>39137.875476073954</v>
      </c>
      <c r="H104" s="147">
        <f t="shared" si="28"/>
        <v>1277.9733333333331</v>
      </c>
      <c r="I104" s="290">
        <f t="shared" si="18"/>
        <v>509996.47779192647</v>
      </c>
      <c r="J104" s="172">
        <f t="shared" si="24"/>
        <v>-1.7109069831625301E-2</v>
      </c>
      <c r="K104" s="291">
        <f t="shared" si="19"/>
        <v>2.5058473714689726E-3</v>
      </c>
      <c r="M104" s="147">
        <f t="shared" si="22"/>
        <v>2026</v>
      </c>
      <c r="N104" s="170" t="str">
        <f t="shared" si="23"/>
        <v>Q3</v>
      </c>
      <c r="O104" s="170" t="str">
        <f t="shared" si="15"/>
        <v>2026Q3</v>
      </c>
      <c r="P104" s="175">
        <v>64004.846484140224</v>
      </c>
      <c r="Q104" s="175">
        <f t="shared" si="20"/>
        <v>63564.328898661748</v>
      </c>
      <c r="R104" s="175">
        <v>-6.8825660817362078E-3</v>
      </c>
      <c r="S104" s="175">
        <v>592.037050251849</v>
      </c>
      <c r="T104" s="292">
        <f t="shared" si="13"/>
        <v>594.25630280244036</v>
      </c>
      <c r="U104" s="180">
        <v>56112.35191472694</v>
      </c>
      <c r="V104" s="293">
        <f t="shared" si="27"/>
        <v>3.7485028169221835E-3</v>
      </c>
      <c r="W104" s="180">
        <v>1468.9613247427073</v>
      </c>
      <c r="X104" s="171">
        <f t="shared" si="21"/>
        <v>0.40303106710828207</v>
      </c>
      <c r="Y104" s="180">
        <v>4716.4970000000003</v>
      </c>
      <c r="Z104" s="180">
        <v>1938.0730000000001</v>
      </c>
    </row>
    <row r="105" spans="1:26" x14ac:dyDescent="0.2">
      <c r="A105" s="147">
        <v>2009</v>
      </c>
      <c r="B105" s="147">
        <v>8</v>
      </c>
      <c r="C105" s="147" t="str">
        <f t="shared" si="17"/>
        <v>20098</v>
      </c>
      <c r="D105" s="147" t="str">
        <f t="shared" si="25"/>
        <v>Q3</v>
      </c>
      <c r="E105" s="147">
        <f t="shared" si="28"/>
        <v>42885.490202730834</v>
      </c>
      <c r="F105" s="147" t="e">
        <f t="shared" si="28"/>
        <v>#N/A</v>
      </c>
      <c r="G105" s="147">
        <f t="shared" si="28"/>
        <v>39137.875476073954</v>
      </c>
      <c r="H105" s="147">
        <f t="shared" si="28"/>
        <v>1277.9733333333331</v>
      </c>
      <c r="I105" s="290">
        <f t="shared" si="18"/>
        <v>509996.47779192647</v>
      </c>
      <c r="J105" s="172">
        <f t="shared" si="24"/>
        <v>-1.7109069831625301E-2</v>
      </c>
      <c r="K105" s="291">
        <f t="shared" si="19"/>
        <v>2.5058473714689726E-3</v>
      </c>
      <c r="M105" s="147">
        <f t="shared" si="22"/>
        <v>2026</v>
      </c>
      <c r="N105" s="170" t="str">
        <f t="shared" si="23"/>
        <v>Q4</v>
      </c>
      <c r="O105" s="170" t="str">
        <f t="shared" si="15"/>
        <v>2026Q4</v>
      </c>
      <c r="P105" s="175">
        <v>64412.030044891799</v>
      </c>
      <c r="Q105" s="175">
        <f t="shared" si="20"/>
        <v>63968.709991649055</v>
      </c>
      <c r="R105" s="175">
        <v>-6.8825660817362078E-3</v>
      </c>
      <c r="S105" s="175">
        <v>593.44700159440708</v>
      </c>
      <c r="T105" s="292">
        <f t="shared" ref="T105:T168" si="29">S105*(1+V105)</f>
        <v>595.67153935157774</v>
      </c>
      <c r="U105" s="180">
        <v>56458.331396926224</v>
      </c>
      <c r="V105" s="293">
        <f t="shared" si="27"/>
        <v>3.7485028169221835E-3</v>
      </c>
      <c r="W105" s="180">
        <v>1472.189134430844</v>
      </c>
      <c r="X105" s="171">
        <f t="shared" si="21"/>
        <v>0.40310513623226596</v>
      </c>
      <c r="Y105" s="180">
        <v>4721.6760000000004</v>
      </c>
      <c r="Z105" s="180">
        <v>1941.453</v>
      </c>
    </row>
    <row r="106" spans="1:26" x14ac:dyDescent="0.2">
      <c r="A106" s="147">
        <v>2009</v>
      </c>
      <c r="B106" s="147">
        <v>9</v>
      </c>
      <c r="C106" s="147" t="str">
        <f t="shared" si="17"/>
        <v>20099</v>
      </c>
      <c r="D106" s="147" t="str">
        <f t="shared" si="25"/>
        <v>Q3</v>
      </c>
      <c r="E106" s="147">
        <f t="shared" si="28"/>
        <v>42885.490202730834</v>
      </c>
      <c r="F106" s="147" t="e">
        <f t="shared" si="28"/>
        <v>#N/A</v>
      </c>
      <c r="G106" s="147">
        <f t="shared" si="28"/>
        <v>39137.875476073954</v>
      </c>
      <c r="H106" s="147">
        <f t="shared" si="28"/>
        <v>1277.9733333333331</v>
      </c>
      <c r="I106" s="290">
        <f t="shared" si="18"/>
        <v>509996.47779192647</v>
      </c>
      <c r="J106" s="172">
        <f t="shared" si="24"/>
        <v>-1.7109069831625301E-2</v>
      </c>
      <c r="K106" s="291">
        <f t="shared" si="19"/>
        <v>2.5058473714689726E-3</v>
      </c>
      <c r="M106" s="147">
        <f t="shared" si="22"/>
        <v>2027</v>
      </c>
      <c r="N106" s="170" t="str">
        <f t="shared" si="23"/>
        <v>Q1</v>
      </c>
      <c r="O106" s="170" t="str">
        <f t="shared" si="15"/>
        <v>2027Q1</v>
      </c>
      <c r="P106" s="175">
        <v>64974.999834221002</v>
      </c>
      <c r="Q106" s="175">
        <f t="shared" si="20"/>
        <v>64527.805104201179</v>
      </c>
      <c r="R106" s="175">
        <v>-6.8825660817362078E-3</v>
      </c>
      <c r="S106" s="175">
        <v>594.82095610078215</v>
      </c>
      <c r="T106" s="292">
        <f t="shared" si="29"/>
        <v>597.05064413029027</v>
      </c>
      <c r="U106" s="180">
        <v>56964.713161103646</v>
      </c>
      <c r="V106" s="293">
        <f t="shared" si="27"/>
        <v>3.7485028169221835E-3</v>
      </c>
      <c r="W106" s="180">
        <v>1475.2980818535743</v>
      </c>
      <c r="X106" s="171">
        <f t="shared" si="21"/>
        <v>0.40318696500536699</v>
      </c>
      <c r="Y106" s="180">
        <v>4726.8329999999996</v>
      </c>
      <c r="Z106" s="180">
        <v>1945.152</v>
      </c>
    </row>
    <row r="107" spans="1:26" x14ac:dyDescent="0.2">
      <c r="A107" s="147">
        <v>2009</v>
      </c>
      <c r="B107" s="147">
        <v>10</v>
      </c>
      <c r="C107" s="147" t="str">
        <f t="shared" si="17"/>
        <v>200910</v>
      </c>
      <c r="D107" s="147" t="str">
        <f t="shared" si="25"/>
        <v>Q4</v>
      </c>
      <c r="E107" s="147">
        <f t="shared" si="28"/>
        <v>42840.907110639979</v>
      </c>
      <c r="F107" s="147" t="e">
        <f t="shared" si="28"/>
        <v>#N/A</v>
      </c>
      <c r="G107" s="147">
        <f t="shared" si="28"/>
        <v>39094.688351422847</v>
      </c>
      <c r="H107" s="147">
        <f t="shared" si="28"/>
        <v>1280.7696666666668</v>
      </c>
      <c r="I107" s="290">
        <f t="shared" si="18"/>
        <v>512098.89540358516</v>
      </c>
      <c r="J107" s="172">
        <f t="shared" si="24"/>
        <v>-2.4374999278386822E-2</v>
      </c>
      <c r="K107" s="291">
        <f t="shared" si="19"/>
        <v>2.5010201704444065E-3</v>
      </c>
      <c r="M107" s="147">
        <f t="shared" si="22"/>
        <v>2027</v>
      </c>
      <c r="N107" s="170" t="str">
        <f t="shared" si="23"/>
        <v>Q2</v>
      </c>
      <c r="O107" s="170" t="str">
        <f t="shared" si="15"/>
        <v>2027Q2</v>
      </c>
      <c r="P107" s="175">
        <v>65318.514519129116</v>
      </c>
      <c r="Q107" s="175">
        <f t="shared" si="20"/>
        <v>64907.283381312103</v>
      </c>
      <c r="R107" s="175">
        <v>-6.2957821506577361E-3</v>
      </c>
      <c r="S107" s="175">
        <v>596.17989665720165</v>
      </c>
      <c r="T107" s="292">
        <f t="shared" si="29"/>
        <v>598.41467867921358</v>
      </c>
      <c r="U107" s="180">
        <v>57254.533685953822</v>
      </c>
      <c r="V107" s="293">
        <f t="shared" si="27"/>
        <v>3.7485028169221835E-3</v>
      </c>
      <c r="W107" s="180">
        <v>1478.3078936440054</v>
      </c>
      <c r="X107" s="171">
        <f t="shared" si="21"/>
        <v>0.40328533671536293</v>
      </c>
      <c r="Y107" s="180">
        <v>4731.9660000000003</v>
      </c>
      <c r="Z107" s="180">
        <v>1948.8119999999999</v>
      </c>
    </row>
    <row r="108" spans="1:26" x14ac:dyDescent="0.2">
      <c r="A108" s="147">
        <v>2009</v>
      </c>
      <c r="B108" s="147">
        <v>11</v>
      </c>
      <c r="C108" s="147" t="str">
        <f t="shared" si="17"/>
        <v>200911</v>
      </c>
      <c r="D108" s="147" t="str">
        <f t="shared" si="25"/>
        <v>Q4</v>
      </c>
      <c r="E108" s="147">
        <f t="shared" si="28"/>
        <v>42840.907110639979</v>
      </c>
      <c r="F108" s="147" t="e">
        <f t="shared" si="28"/>
        <v>#N/A</v>
      </c>
      <c r="G108" s="147">
        <f t="shared" si="28"/>
        <v>39094.688351422847</v>
      </c>
      <c r="H108" s="147">
        <f t="shared" si="28"/>
        <v>1280.7696666666668</v>
      </c>
      <c r="I108" s="290">
        <f t="shared" si="18"/>
        <v>512098.89540358516</v>
      </c>
      <c r="J108" s="172">
        <f t="shared" si="24"/>
        <v>-2.4374999278386822E-2</v>
      </c>
      <c r="K108" s="291">
        <f t="shared" si="19"/>
        <v>2.5010201704444065E-3</v>
      </c>
      <c r="M108" s="147">
        <f t="shared" si="22"/>
        <v>2027</v>
      </c>
      <c r="N108" s="170" t="str">
        <f t="shared" si="23"/>
        <v>Q3</v>
      </c>
      <c r="O108" s="170" t="str">
        <f t="shared" si="15"/>
        <v>2027Q3</v>
      </c>
      <c r="P108" s="175">
        <v>65709.04695624017</v>
      </c>
      <c r="Q108" s="175">
        <f t="shared" si="20"/>
        <v>65295.357111276346</v>
      </c>
      <c r="R108" s="175">
        <v>-6.2957821506577361E-3</v>
      </c>
      <c r="S108" s="175">
        <v>598.22216419318227</v>
      </c>
      <c r="T108" s="292">
        <f t="shared" si="29"/>
        <v>600.46460166080567</v>
      </c>
      <c r="U108" s="180">
        <v>57588.191423894845</v>
      </c>
      <c r="V108" s="293">
        <f t="shared" si="27"/>
        <v>3.7485028169221835E-3</v>
      </c>
      <c r="W108" s="180">
        <v>1481.4953488555889</v>
      </c>
      <c r="X108" s="171">
        <f t="shared" si="21"/>
        <v>0.40379618110532112</v>
      </c>
      <c r="Y108" s="180">
        <v>4737.0640000000003</v>
      </c>
      <c r="Z108" s="180">
        <v>1952.454</v>
      </c>
    </row>
    <row r="109" spans="1:26" x14ac:dyDescent="0.2">
      <c r="A109" s="147">
        <v>2009</v>
      </c>
      <c r="B109" s="147">
        <v>12</v>
      </c>
      <c r="C109" s="147" t="str">
        <f t="shared" si="17"/>
        <v>200912</v>
      </c>
      <c r="D109" s="147" t="str">
        <f t="shared" si="25"/>
        <v>Q4</v>
      </c>
      <c r="E109" s="147">
        <f t="shared" si="28"/>
        <v>42840.907110639979</v>
      </c>
      <c r="F109" s="147" t="e">
        <f t="shared" si="28"/>
        <v>#N/A</v>
      </c>
      <c r="G109" s="147">
        <f t="shared" si="28"/>
        <v>39094.688351422847</v>
      </c>
      <c r="H109" s="147">
        <f t="shared" si="28"/>
        <v>1280.7696666666668</v>
      </c>
      <c r="I109" s="290">
        <f t="shared" si="18"/>
        <v>512098.89540358516</v>
      </c>
      <c r="J109" s="172">
        <f t="shared" si="24"/>
        <v>-2.4374999278386822E-2</v>
      </c>
      <c r="K109" s="291">
        <f t="shared" si="19"/>
        <v>2.5010201704444065E-3</v>
      </c>
      <c r="M109" s="147">
        <f t="shared" si="22"/>
        <v>2027</v>
      </c>
      <c r="N109" s="170" t="str">
        <f t="shared" si="23"/>
        <v>Q4</v>
      </c>
      <c r="O109" s="170" t="str">
        <f t="shared" si="15"/>
        <v>2027Q4</v>
      </c>
      <c r="P109" s="175">
        <v>66048.973536911202</v>
      </c>
      <c r="Q109" s="175">
        <f t="shared" si="20"/>
        <v>65633.143588248247</v>
      </c>
      <c r="R109" s="175">
        <v>-6.2957821506577361E-3</v>
      </c>
      <c r="S109" s="175">
        <v>599.12721202533294</v>
      </c>
      <c r="T109" s="292">
        <f t="shared" si="29"/>
        <v>601.3730420673046</v>
      </c>
      <c r="U109" s="180">
        <v>57876.059941927051</v>
      </c>
      <c r="V109" s="293">
        <f t="shared" si="27"/>
        <v>3.7485028169221835E-3</v>
      </c>
      <c r="W109" s="180">
        <v>1483.9849116873886</v>
      </c>
      <c r="X109" s="171">
        <f t="shared" si="21"/>
        <v>0.40372864124614705</v>
      </c>
      <c r="Y109" s="180">
        <v>4742.1390000000001</v>
      </c>
      <c r="Z109" s="180">
        <v>1955.9590000000001</v>
      </c>
    </row>
    <row r="110" spans="1:26" x14ac:dyDescent="0.2">
      <c r="A110" s="147">
        <v>2010</v>
      </c>
      <c r="B110" s="147">
        <v>1</v>
      </c>
      <c r="C110" s="147" t="str">
        <f t="shared" si="17"/>
        <v>20101</v>
      </c>
      <c r="D110" s="147" t="str">
        <f t="shared" si="25"/>
        <v>Q1</v>
      </c>
      <c r="E110" s="147">
        <f t="shared" si="28"/>
        <v>42642.930929243783</v>
      </c>
      <c r="F110" s="147" t="e">
        <f t="shared" si="28"/>
        <v>#N/A</v>
      </c>
      <c r="G110" s="147">
        <f t="shared" si="28"/>
        <v>38849.752908087466</v>
      </c>
      <c r="H110" s="147">
        <f t="shared" si="28"/>
        <v>1283.5660000000005</v>
      </c>
      <c r="I110" s="290">
        <f t="shared" si="18"/>
        <v>514214.00000000006</v>
      </c>
      <c r="J110" s="172">
        <f t="shared" si="24"/>
        <v>-1.2695712951012128E-2</v>
      </c>
      <c r="K110" s="291">
        <f t="shared" si="19"/>
        <v>2.4961708549358832E-3</v>
      </c>
      <c r="M110" s="147">
        <f t="shared" si="22"/>
        <v>2028</v>
      </c>
      <c r="N110" s="170" t="str">
        <f t="shared" si="23"/>
        <v>Q1</v>
      </c>
      <c r="O110" s="170" t="str">
        <f t="shared" si="15"/>
        <v>2028Q1</v>
      </c>
      <c r="P110" s="175">
        <v>66653.670602091181</v>
      </c>
      <c r="Q110" s="175">
        <f t="shared" si="20"/>
        <v>67188.919810586201</v>
      </c>
      <c r="R110" s="175">
        <v>8.0303035625801655E-3</v>
      </c>
      <c r="S110" s="175">
        <v>600.21601911545486</v>
      </c>
      <c r="T110" s="292">
        <f t="shared" si="29"/>
        <v>602.46593055387098</v>
      </c>
      <c r="U110" s="180">
        <v>58418.654423987813</v>
      </c>
      <c r="V110" s="293">
        <f t="shared" si="27"/>
        <v>3.7485028169221835E-3</v>
      </c>
      <c r="W110" s="180">
        <v>1487.1113560323031</v>
      </c>
      <c r="X110" s="171">
        <f t="shared" si="21"/>
        <v>0.40361202049916761</v>
      </c>
      <c r="Y110" s="180">
        <v>4747.2110000000002</v>
      </c>
      <c r="Z110" s="180">
        <v>1959.6690000000001</v>
      </c>
    </row>
    <row r="111" spans="1:26" x14ac:dyDescent="0.2">
      <c r="A111" s="147">
        <v>2010</v>
      </c>
      <c r="B111" s="147">
        <v>2</v>
      </c>
      <c r="C111" s="147" t="str">
        <f t="shared" si="17"/>
        <v>20102</v>
      </c>
      <c r="D111" s="147" t="str">
        <f t="shared" si="25"/>
        <v>Q1</v>
      </c>
      <c r="E111" s="147">
        <f t="shared" si="28"/>
        <v>42642.930929243783</v>
      </c>
      <c r="F111" s="147" t="e">
        <f t="shared" si="28"/>
        <v>#N/A</v>
      </c>
      <c r="G111" s="147">
        <f t="shared" si="28"/>
        <v>38849.752908087466</v>
      </c>
      <c r="H111" s="147">
        <f t="shared" si="28"/>
        <v>1283.5660000000005</v>
      </c>
      <c r="I111" s="290">
        <f t="shared" si="18"/>
        <v>514214.00000000006</v>
      </c>
      <c r="J111" s="172">
        <f t="shared" si="24"/>
        <v>-1.2695712951012128E-2</v>
      </c>
      <c r="K111" s="291">
        <f t="shared" si="19"/>
        <v>2.4961708549358832E-3</v>
      </c>
      <c r="M111" s="147">
        <f t="shared" si="22"/>
        <v>2028</v>
      </c>
      <c r="N111" s="170" t="str">
        <f t="shared" si="23"/>
        <v>Q2</v>
      </c>
      <c r="O111" s="170" t="str">
        <f t="shared" si="15"/>
        <v>2028Q2</v>
      </c>
      <c r="P111" s="175">
        <v>67003.277918885957</v>
      </c>
      <c r="Q111" s="175">
        <f t="shared" si="20"/>
        <v>67541.334580262541</v>
      </c>
      <c r="R111" s="175">
        <v>8.0303035625801655E-3</v>
      </c>
      <c r="S111" s="175">
        <v>601.32505611233148</v>
      </c>
      <c r="T111" s="292">
        <f t="shared" si="29"/>
        <v>603.5791247790545</v>
      </c>
      <c r="U111" s="180">
        <v>58713.8376022312</v>
      </c>
      <c r="V111" s="293">
        <f t="shared" si="27"/>
        <v>3.7485028169221835E-3</v>
      </c>
      <c r="W111" s="180">
        <v>1490.2081646802681</v>
      </c>
      <c r="X111" s="171">
        <f t="shared" si="21"/>
        <v>0.40351748860626391</v>
      </c>
      <c r="Y111" s="180">
        <v>4752.2449999999999</v>
      </c>
      <c r="Z111" s="180">
        <v>1963.346</v>
      </c>
    </row>
    <row r="112" spans="1:26" x14ac:dyDescent="0.2">
      <c r="A112" s="147">
        <v>2010</v>
      </c>
      <c r="B112" s="147">
        <v>3</v>
      </c>
      <c r="C112" s="147" t="str">
        <f t="shared" si="17"/>
        <v>20103</v>
      </c>
      <c r="D112" s="147" t="str">
        <f t="shared" si="25"/>
        <v>Q1</v>
      </c>
      <c r="E112" s="147">
        <f t="shared" si="28"/>
        <v>42642.930929243783</v>
      </c>
      <c r="F112" s="147" t="e">
        <f t="shared" si="28"/>
        <v>#N/A</v>
      </c>
      <c r="G112" s="147">
        <f t="shared" si="28"/>
        <v>38849.752908087466</v>
      </c>
      <c r="H112" s="147">
        <f t="shared" si="28"/>
        <v>1283.5660000000005</v>
      </c>
      <c r="I112" s="290">
        <f t="shared" si="18"/>
        <v>514214.00000000006</v>
      </c>
      <c r="J112" s="172">
        <f t="shared" si="24"/>
        <v>-1.2695712951012128E-2</v>
      </c>
      <c r="K112" s="291">
        <f t="shared" si="19"/>
        <v>2.4961708549358832E-3</v>
      </c>
      <c r="M112" s="147">
        <f t="shared" si="22"/>
        <v>2028</v>
      </c>
      <c r="N112" s="170" t="str">
        <f t="shared" si="23"/>
        <v>Q3</v>
      </c>
      <c r="O112" s="170" t="str">
        <f t="shared" si="15"/>
        <v>2028Q3</v>
      </c>
      <c r="P112" s="175">
        <v>67377.306269378489</v>
      </c>
      <c r="Q112" s="175">
        <f t="shared" si="20"/>
        <v>67918.366491950539</v>
      </c>
      <c r="R112" s="175">
        <v>8.0303035625801655E-3</v>
      </c>
      <c r="S112" s="175">
        <v>602.42908481717632</v>
      </c>
      <c r="T112" s="292">
        <f t="shared" si="29"/>
        <v>604.68729193860941</v>
      </c>
      <c r="U112" s="180">
        <v>59006.505698010005</v>
      </c>
      <c r="V112" s="293">
        <f t="shared" si="27"/>
        <v>3.7485028169221835E-3</v>
      </c>
      <c r="W112" s="180">
        <v>1493.2999206794384</v>
      </c>
      <c r="X112" s="171">
        <f t="shared" si="21"/>
        <v>0.40342135995231043</v>
      </c>
      <c r="Y112" s="180">
        <v>4757.232</v>
      </c>
      <c r="Z112" s="180">
        <v>1966.865</v>
      </c>
    </row>
    <row r="113" spans="1:26" x14ac:dyDescent="0.2">
      <c r="A113" s="147">
        <v>2010</v>
      </c>
      <c r="B113" s="147">
        <v>4</v>
      </c>
      <c r="C113" s="147" t="str">
        <f t="shared" si="17"/>
        <v>20104</v>
      </c>
      <c r="D113" s="147" t="str">
        <f t="shared" si="25"/>
        <v>Q2</v>
      </c>
      <c r="E113" s="147">
        <f t="shared" si="28"/>
        <v>43211.581247716946</v>
      </c>
      <c r="F113" s="147" t="e">
        <f t="shared" si="28"/>
        <v>#N/A</v>
      </c>
      <c r="G113" s="147">
        <f t="shared" si="28"/>
        <v>39352.623912366878</v>
      </c>
      <c r="H113" s="147">
        <f t="shared" si="28"/>
        <v>1286.3918115642771</v>
      </c>
      <c r="I113" s="290">
        <f t="shared" si="18"/>
        <v>515323.10720002331</v>
      </c>
      <c r="J113" s="172">
        <f t="shared" si="24"/>
        <v>-9.0097922643195272E-4</v>
      </c>
      <c r="K113" s="291">
        <f t="shared" si="19"/>
        <v>2.4962820288688559E-3</v>
      </c>
      <c r="M113" s="147">
        <f t="shared" si="22"/>
        <v>2028</v>
      </c>
      <c r="N113" s="170" t="str">
        <f t="shared" si="23"/>
        <v>Q4</v>
      </c>
      <c r="O113" s="170" t="str">
        <f t="shared" si="15"/>
        <v>2028Q4</v>
      </c>
      <c r="P113" s="175">
        <v>67715.029238597548</v>
      </c>
      <c r="Q113" s="175">
        <f t="shared" si="20"/>
        <v>68129.102217055843</v>
      </c>
      <c r="R113" s="175">
        <v>6.1149346476583322E-3</v>
      </c>
      <c r="S113" s="175">
        <v>603.77402706422311</v>
      </c>
      <c r="T113" s="292">
        <f t="shared" si="29"/>
        <v>606.03727570545777</v>
      </c>
      <c r="U113" s="180">
        <v>59266.994694104913</v>
      </c>
      <c r="V113" s="293">
        <f t="shared" si="27"/>
        <v>3.7485028169221835E-3</v>
      </c>
      <c r="W113" s="180">
        <v>1496.411470119825</v>
      </c>
      <c r="X113" s="171">
        <f t="shared" si="21"/>
        <v>0.40348128781442444</v>
      </c>
      <c r="Y113" s="180">
        <v>4762.1819999999998</v>
      </c>
      <c r="Z113" s="180">
        <v>1970.585</v>
      </c>
    </row>
    <row r="114" spans="1:26" x14ac:dyDescent="0.2">
      <c r="A114" s="147">
        <v>2010</v>
      </c>
      <c r="B114" s="147">
        <v>5</v>
      </c>
      <c r="C114" s="147" t="str">
        <f t="shared" si="17"/>
        <v>20105</v>
      </c>
      <c r="D114" s="147" t="str">
        <f t="shared" si="25"/>
        <v>Q2</v>
      </c>
      <c r="E114" s="147">
        <f t="shared" si="28"/>
        <v>43211.581247716946</v>
      </c>
      <c r="F114" s="147" t="e">
        <f t="shared" si="28"/>
        <v>#N/A</v>
      </c>
      <c r="G114" s="147">
        <f t="shared" si="28"/>
        <v>39352.623912366878</v>
      </c>
      <c r="H114" s="147">
        <f t="shared" si="28"/>
        <v>1286.3918115642771</v>
      </c>
      <c r="I114" s="290">
        <f t="shared" si="18"/>
        <v>515323.10720002331</v>
      </c>
      <c r="J114" s="172">
        <f t="shared" si="24"/>
        <v>-9.0097922643195272E-4</v>
      </c>
      <c r="K114" s="291">
        <f t="shared" si="19"/>
        <v>2.4962820288688559E-3</v>
      </c>
      <c r="M114" s="147">
        <f t="shared" si="22"/>
        <v>2029</v>
      </c>
      <c r="N114" s="170" t="str">
        <f t="shared" si="23"/>
        <v>Q1</v>
      </c>
      <c r="O114" s="170" t="str">
        <f t="shared" si="15"/>
        <v>2029Q1</v>
      </c>
      <c r="P114" s="175">
        <v>68427.096185706236</v>
      </c>
      <c r="Q114" s="175">
        <f t="shared" si="20"/>
        <v>68845.523407010856</v>
      </c>
      <c r="R114" s="175">
        <v>6.1149346476583322E-3</v>
      </c>
      <c r="S114" s="175">
        <v>604.87579551826514</v>
      </c>
      <c r="T114" s="292">
        <f t="shared" si="29"/>
        <v>607.14317414165339</v>
      </c>
      <c r="U114" s="180">
        <v>59877.087698330462</v>
      </c>
      <c r="V114" s="293">
        <f t="shared" si="27"/>
        <v>3.7485028169221835E-3</v>
      </c>
      <c r="W114" s="180">
        <v>1498.8940832056842</v>
      </c>
      <c r="X114" s="171">
        <f t="shared" si="21"/>
        <v>0.4035480573948344</v>
      </c>
      <c r="Y114" s="180">
        <v>4767.0959999999995</v>
      </c>
      <c r="Z114" s="180">
        <v>1974.136</v>
      </c>
    </row>
    <row r="115" spans="1:26" x14ac:dyDescent="0.2">
      <c r="A115" s="147">
        <v>2010</v>
      </c>
      <c r="B115" s="147">
        <v>6</v>
      </c>
      <c r="C115" s="147" t="str">
        <f t="shared" si="17"/>
        <v>20106</v>
      </c>
      <c r="D115" s="147" t="str">
        <f t="shared" si="25"/>
        <v>Q2</v>
      </c>
      <c r="E115" s="147">
        <f t="shared" si="28"/>
        <v>43211.581247716946</v>
      </c>
      <c r="F115" s="147" t="e">
        <f t="shared" si="28"/>
        <v>#N/A</v>
      </c>
      <c r="G115" s="147">
        <f t="shared" si="28"/>
        <v>39352.623912366878</v>
      </c>
      <c r="H115" s="147">
        <f t="shared" si="28"/>
        <v>1286.3918115642771</v>
      </c>
      <c r="I115" s="290">
        <f t="shared" si="18"/>
        <v>515323.10720002331</v>
      </c>
      <c r="J115" s="172">
        <f t="shared" si="24"/>
        <v>-9.0097922643195272E-4</v>
      </c>
      <c r="K115" s="291">
        <f t="shared" si="19"/>
        <v>2.4962820288688559E-3</v>
      </c>
      <c r="M115" s="147">
        <f t="shared" si="22"/>
        <v>2029</v>
      </c>
      <c r="N115" s="170" t="str">
        <f t="shared" si="23"/>
        <v>Q2</v>
      </c>
      <c r="O115" s="170" t="str">
        <f t="shared" ref="O115:O174" si="30">M115&amp;N115</f>
        <v>2029Q2</v>
      </c>
      <c r="P115" s="175">
        <v>68896.049265940164</v>
      </c>
      <c r="Q115" s="175">
        <f t="shared" si="20"/>
        <v>69317.34410468323</v>
      </c>
      <c r="R115" s="175">
        <v>6.1149346476583322E-3</v>
      </c>
      <c r="S115" s="175">
        <v>606.2176949165962</v>
      </c>
      <c r="T115" s="292">
        <f t="shared" si="29"/>
        <v>608.49010365365916</v>
      </c>
      <c r="U115" s="180">
        <v>60277.737576157888</v>
      </c>
      <c r="V115" s="293">
        <f t="shared" si="27"/>
        <v>3.7485028169221835E-3</v>
      </c>
      <c r="W115" s="180">
        <v>1501.9716137818423</v>
      </c>
      <c r="X115" s="171">
        <f t="shared" si="21"/>
        <v>0.40361461518582858</v>
      </c>
      <c r="Y115" s="180">
        <v>4771.973</v>
      </c>
      <c r="Z115" s="180">
        <v>1977.6769999999999</v>
      </c>
    </row>
    <row r="116" spans="1:26" x14ac:dyDescent="0.2">
      <c r="A116" s="147">
        <v>2010</v>
      </c>
      <c r="B116" s="147">
        <v>7</v>
      </c>
      <c r="C116" s="147" t="str">
        <f t="shared" si="17"/>
        <v>20107</v>
      </c>
      <c r="D116" s="147" t="str">
        <f t="shared" si="25"/>
        <v>Q3</v>
      </c>
      <c r="E116" s="147">
        <f t="shared" si="28"/>
        <v>43650.27856511042</v>
      </c>
      <c r="F116" s="147" t="e">
        <f t="shared" si="28"/>
        <v>#N/A</v>
      </c>
      <c r="G116" s="147">
        <f t="shared" si="28"/>
        <v>39753.15333007311</v>
      </c>
      <c r="H116" s="147">
        <f t="shared" si="28"/>
        <v>1288.6361092618649</v>
      </c>
      <c r="I116" s="290">
        <f t="shared" si="18"/>
        <v>514432.81671070418</v>
      </c>
      <c r="J116" s="172">
        <f t="shared" si="24"/>
        <v>1.7833266187800012E-2</v>
      </c>
      <c r="K116" s="291">
        <f t="shared" si="19"/>
        <v>2.504964822231667E-3</v>
      </c>
      <c r="M116" s="147">
        <f t="shared" si="22"/>
        <v>2029</v>
      </c>
      <c r="N116" s="170" t="str">
        <f t="shared" si="23"/>
        <v>Q3</v>
      </c>
      <c r="O116" s="170" t="str">
        <f t="shared" si="30"/>
        <v>2029Q3</v>
      </c>
      <c r="P116" s="175">
        <v>69267.679663533185</v>
      </c>
      <c r="Q116" s="175">
        <f t="shared" si="20"/>
        <v>69398.523782313874</v>
      </c>
      <c r="R116" s="175">
        <v>1.8889635024048612E-3</v>
      </c>
      <c r="S116" s="175">
        <v>607.55440562869467</v>
      </c>
      <c r="T116" s="292">
        <f t="shared" si="29"/>
        <v>609.83182502962734</v>
      </c>
      <c r="U116" s="180">
        <v>60511.781745148182</v>
      </c>
      <c r="V116" s="293">
        <f t="shared" si="27"/>
        <v>3.7485028169221835E-3</v>
      </c>
      <c r="W116" s="180">
        <v>1505.0383744277997</v>
      </c>
      <c r="X116" s="171">
        <f t="shared" si="21"/>
        <v>0.40368034194455721</v>
      </c>
      <c r="Y116" s="180">
        <v>4776.8149999999996</v>
      </c>
      <c r="Z116" s="180">
        <v>1981.048</v>
      </c>
    </row>
    <row r="117" spans="1:26" x14ac:dyDescent="0.2">
      <c r="A117" s="147">
        <v>2010</v>
      </c>
      <c r="B117" s="147">
        <v>8</v>
      </c>
      <c r="C117" s="147" t="str">
        <f t="shared" si="17"/>
        <v>20108</v>
      </c>
      <c r="D117" s="147" t="str">
        <f t="shared" si="25"/>
        <v>Q3</v>
      </c>
      <c r="E117" s="147">
        <f t="shared" si="28"/>
        <v>43650.27856511042</v>
      </c>
      <c r="F117" s="147" t="e">
        <f t="shared" si="28"/>
        <v>#N/A</v>
      </c>
      <c r="G117" s="147">
        <f t="shared" si="28"/>
        <v>39753.15333007311</v>
      </c>
      <c r="H117" s="147">
        <f t="shared" si="28"/>
        <v>1288.6361092618649</v>
      </c>
      <c r="I117" s="290">
        <f t="shared" si="18"/>
        <v>514432.81671070418</v>
      </c>
      <c r="J117" s="172">
        <f t="shared" si="24"/>
        <v>1.7833266187800012E-2</v>
      </c>
      <c r="K117" s="291">
        <f t="shared" si="19"/>
        <v>2.504964822231667E-3</v>
      </c>
      <c r="M117" s="147">
        <f t="shared" si="22"/>
        <v>2029</v>
      </c>
      <c r="N117" s="170" t="str">
        <f t="shared" si="23"/>
        <v>Q4</v>
      </c>
      <c r="O117" s="170" t="str">
        <f t="shared" si="30"/>
        <v>2029Q4</v>
      </c>
      <c r="P117" s="175">
        <v>69616.872443598026</v>
      </c>
      <c r="Q117" s="175">
        <f t="shared" si="20"/>
        <v>69748.376174795558</v>
      </c>
      <c r="R117" s="175">
        <v>1.8889635024048612E-3</v>
      </c>
      <c r="S117" s="175">
        <v>608.86789054647124</v>
      </c>
      <c r="T117" s="292">
        <f t="shared" si="29"/>
        <v>611.15023354931816</v>
      </c>
      <c r="U117" s="180">
        <v>60805.872480766535</v>
      </c>
      <c r="V117" s="293">
        <f t="shared" si="27"/>
        <v>3.7485028169221835E-3</v>
      </c>
      <c r="W117" s="180">
        <v>1508.0969329650397</v>
      </c>
      <c r="X117" s="171">
        <f t="shared" si="21"/>
        <v>0.40373259651777693</v>
      </c>
      <c r="Y117" s="180">
        <v>4781.6080000000002</v>
      </c>
      <c r="Z117" s="180">
        <v>1984.5840000000001</v>
      </c>
    </row>
    <row r="118" spans="1:26" x14ac:dyDescent="0.2">
      <c r="A118" s="147">
        <v>2010</v>
      </c>
      <c r="B118" s="147">
        <v>9</v>
      </c>
      <c r="C118" s="147" t="str">
        <f t="shared" si="17"/>
        <v>20109</v>
      </c>
      <c r="D118" s="147" t="str">
        <f t="shared" si="25"/>
        <v>Q3</v>
      </c>
      <c r="E118" s="147">
        <f t="shared" si="28"/>
        <v>43650.27856511042</v>
      </c>
      <c r="F118" s="147" t="e">
        <f t="shared" si="28"/>
        <v>#N/A</v>
      </c>
      <c r="G118" s="147">
        <f t="shared" si="28"/>
        <v>39753.15333007311</v>
      </c>
      <c r="H118" s="147">
        <f t="shared" si="28"/>
        <v>1288.6361092618649</v>
      </c>
      <c r="I118" s="290">
        <f t="shared" si="18"/>
        <v>514432.81671070418</v>
      </c>
      <c r="J118" s="172">
        <f t="shared" si="24"/>
        <v>1.7833266187800012E-2</v>
      </c>
      <c r="K118" s="291">
        <f t="shared" si="19"/>
        <v>2.504964822231667E-3</v>
      </c>
      <c r="M118" s="147">
        <f t="shared" si="22"/>
        <v>2030</v>
      </c>
      <c r="N118" s="170" t="str">
        <f t="shared" si="23"/>
        <v>Q1</v>
      </c>
      <c r="O118" s="170" t="str">
        <f t="shared" si="30"/>
        <v>2030Q1</v>
      </c>
      <c r="P118" s="175">
        <v>70364.867792941979</v>
      </c>
      <c r="Q118" s="175">
        <f t="shared" si="20"/>
        <v>70497.78446005439</v>
      </c>
      <c r="R118" s="175">
        <v>1.8889635024048612E-3</v>
      </c>
      <c r="S118" s="175">
        <v>610.18524311972146</v>
      </c>
      <c r="T118" s="292">
        <f t="shared" si="29"/>
        <v>612.47252422240012</v>
      </c>
      <c r="U118" s="180">
        <v>61466.666126746961</v>
      </c>
      <c r="V118" s="293">
        <f t="shared" si="27"/>
        <v>3.7485028169221835E-3</v>
      </c>
      <c r="W118" s="180">
        <v>1511.1514067649505</v>
      </c>
      <c r="X118" s="171">
        <f t="shared" si="21"/>
        <v>0.40378829043080244</v>
      </c>
      <c r="Y118" s="180">
        <v>4786.366</v>
      </c>
      <c r="Z118" s="180">
        <v>1987.894</v>
      </c>
    </row>
    <row r="119" spans="1:26" x14ac:dyDescent="0.2">
      <c r="A119" s="147">
        <v>2010</v>
      </c>
      <c r="B119" s="147">
        <v>10</v>
      </c>
      <c r="C119" s="147" t="str">
        <f t="shared" si="17"/>
        <v>201010</v>
      </c>
      <c r="D119" s="147" t="str">
        <f t="shared" si="25"/>
        <v>Q4</v>
      </c>
      <c r="E119" s="147">
        <f t="shared" si="28"/>
        <v>43628.765223791168</v>
      </c>
      <c r="F119" s="147" t="e">
        <f t="shared" si="28"/>
        <v>#N/A</v>
      </c>
      <c r="G119" s="147">
        <f t="shared" si="28"/>
        <v>39757.383833693879</v>
      </c>
      <c r="H119" s="147">
        <f t="shared" si="28"/>
        <v>1290.8602084795916</v>
      </c>
      <c r="I119" s="290">
        <f t="shared" si="18"/>
        <v>513832.89345873403</v>
      </c>
      <c r="J119" s="172">
        <f t="shared" si="24"/>
        <v>1.8390322854660468E-2</v>
      </c>
      <c r="K119" s="291">
        <f t="shared" si="19"/>
        <v>2.5122179309901667E-3</v>
      </c>
      <c r="M119" s="147">
        <f t="shared" si="22"/>
        <v>2030</v>
      </c>
      <c r="N119" s="170" t="str">
        <f t="shared" si="23"/>
        <v>Q2</v>
      </c>
      <c r="O119" s="170" t="str">
        <f t="shared" si="30"/>
        <v>2030Q2</v>
      </c>
      <c r="P119" s="175">
        <v>70777.855287694008</v>
      </c>
      <c r="Q119" s="175">
        <f t="shared" si="20"/>
        <v>70899.826789461629</v>
      </c>
      <c r="R119" s="175">
        <v>1.7233003355616727E-3</v>
      </c>
      <c r="S119" s="175">
        <v>611.3547516287606</v>
      </c>
      <c r="T119" s="292">
        <f t="shared" si="29"/>
        <v>613.64641663737973</v>
      </c>
      <c r="U119" s="180">
        <v>61814.830377760452</v>
      </c>
      <c r="V119" s="293">
        <f t="shared" si="27"/>
        <v>3.7485028169221835E-3</v>
      </c>
      <c r="W119" s="180">
        <v>1513.6282170670941</v>
      </c>
      <c r="X119" s="171">
        <f t="shared" si="21"/>
        <v>0.40390020794760417</v>
      </c>
      <c r="Y119" s="180">
        <v>4791.0889999999999</v>
      </c>
      <c r="Z119" s="180">
        <v>1991.1020000000001</v>
      </c>
    </row>
    <row r="120" spans="1:26" x14ac:dyDescent="0.2">
      <c r="A120" s="147">
        <v>2010</v>
      </c>
      <c r="B120" s="147">
        <v>11</v>
      </c>
      <c r="C120" s="147" t="str">
        <f t="shared" si="17"/>
        <v>201011</v>
      </c>
      <c r="D120" s="147" t="str">
        <f t="shared" si="25"/>
        <v>Q4</v>
      </c>
      <c r="E120" s="147">
        <f t="shared" si="28"/>
        <v>43628.765223791168</v>
      </c>
      <c r="F120" s="147" t="e">
        <f t="shared" si="28"/>
        <v>#N/A</v>
      </c>
      <c r="G120" s="147">
        <f t="shared" si="28"/>
        <v>39757.383833693879</v>
      </c>
      <c r="H120" s="147">
        <f t="shared" si="28"/>
        <v>1290.8602084795916</v>
      </c>
      <c r="I120" s="290">
        <f t="shared" si="18"/>
        <v>513832.89345873403</v>
      </c>
      <c r="J120" s="172">
        <f t="shared" si="24"/>
        <v>1.8390322854660468E-2</v>
      </c>
      <c r="K120" s="291">
        <f t="shared" si="19"/>
        <v>2.5122179309901667E-3</v>
      </c>
      <c r="M120" s="147">
        <f t="shared" si="22"/>
        <v>2030</v>
      </c>
      <c r="N120" s="170" t="str">
        <f t="shared" si="23"/>
        <v>Q3</v>
      </c>
      <c r="O120" s="170" t="str">
        <f t="shared" si="30"/>
        <v>2030Q3</v>
      </c>
      <c r="P120" s="175">
        <v>71131.464015764475</v>
      </c>
      <c r="Q120" s="175">
        <f t="shared" si="20"/>
        <v>71254.04489157183</v>
      </c>
      <c r="R120" s="175">
        <v>1.7233003355616727E-3</v>
      </c>
      <c r="S120" s="175">
        <v>612.70205142698967</v>
      </c>
      <c r="T120" s="292">
        <f t="shared" si="29"/>
        <v>614.99876679269778</v>
      </c>
      <c r="U120" s="180">
        <v>62118.659604022723</v>
      </c>
      <c r="V120" s="293">
        <f t="shared" si="27"/>
        <v>3.7485028169221835E-3</v>
      </c>
      <c r="W120" s="180">
        <v>1516.6646655985724</v>
      </c>
      <c r="X120" s="171">
        <f t="shared" si="21"/>
        <v>0.40397990757250118</v>
      </c>
      <c r="Y120" s="180">
        <v>4795.7759999999998</v>
      </c>
      <c r="Z120" s="180">
        <v>1994.0640000000001</v>
      </c>
    </row>
    <row r="121" spans="1:26" x14ac:dyDescent="0.2">
      <c r="A121" s="147">
        <v>2010</v>
      </c>
      <c r="B121" s="147">
        <v>12</v>
      </c>
      <c r="C121" s="147" t="str">
        <f t="shared" si="17"/>
        <v>201012</v>
      </c>
      <c r="D121" s="147" t="str">
        <f t="shared" si="25"/>
        <v>Q4</v>
      </c>
      <c r="E121" s="147">
        <f t="shared" si="28"/>
        <v>43628.765223791168</v>
      </c>
      <c r="F121" s="147" t="e">
        <f t="shared" si="28"/>
        <v>#N/A</v>
      </c>
      <c r="G121" s="147">
        <f t="shared" si="28"/>
        <v>39757.383833693879</v>
      </c>
      <c r="H121" s="147">
        <f t="shared" si="28"/>
        <v>1290.8602084795916</v>
      </c>
      <c r="I121" s="290">
        <f t="shared" si="18"/>
        <v>513832.89345873403</v>
      </c>
      <c r="J121" s="172">
        <f t="shared" si="24"/>
        <v>1.8390322854660468E-2</v>
      </c>
      <c r="K121" s="291">
        <f t="shared" si="19"/>
        <v>2.5122179309901667E-3</v>
      </c>
      <c r="M121" s="147">
        <f t="shared" si="22"/>
        <v>2030</v>
      </c>
      <c r="N121" s="170" t="str">
        <f t="shared" si="23"/>
        <v>Q4</v>
      </c>
      <c r="O121" s="170" t="str">
        <f t="shared" si="30"/>
        <v>2030Q4</v>
      </c>
      <c r="P121" s="175">
        <v>71490.912054701315</v>
      </c>
      <c r="Q121" s="175">
        <f t="shared" si="20"/>
        <v>71614.112367434791</v>
      </c>
      <c r="R121" s="175">
        <v>1.7233003355616727E-3</v>
      </c>
      <c r="S121" s="175">
        <v>614.03698657838606</v>
      </c>
      <c r="T121" s="292">
        <f t="shared" si="29"/>
        <v>616.33870595226961</v>
      </c>
      <c r="U121" s="180">
        <v>62422.456993532964</v>
      </c>
      <c r="V121" s="293">
        <f t="shared" si="27"/>
        <v>3.7485028169221835E-3</v>
      </c>
      <c r="W121" s="180">
        <v>1519.6893055405494</v>
      </c>
      <c r="X121" s="171">
        <f t="shared" si="21"/>
        <v>0.40405429211069877</v>
      </c>
      <c r="Y121" s="180">
        <v>4800.4160000000002</v>
      </c>
      <c r="Z121" s="180">
        <v>1997.1389999999999</v>
      </c>
    </row>
    <row r="122" spans="1:26" x14ac:dyDescent="0.2">
      <c r="A122" s="147">
        <v>2011</v>
      </c>
      <c r="B122" s="147">
        <v>1</v>
      </c>
      <c r="C122" s="147" t="str">
        <f t="shared" si="17"/>
        <v>20111</v>
      </c>
      <c r="D122" s="147" t="str">
        <f t="shared" si="25"/>
        <v>Q1</v>
      </c>
      <c r="E122" s="147">
        <f t="shared" ref="E122:H141" si="31">VLOOKUP($A122&amp;$D122,$O$1:$W$189,MATCH(E$1,$O$1:$W$1,0),0)</f>
        <v>44076.282088696316</v>
      </c>
      <c r="F122" s="147" t="e">
        <f t="shared" si="31"/>
        <v>#N/A</v>
      </c>
      <c r="G122" s="147">
        <f t="shared" si="31"/>
        <v>39737.516530036453</v>
      </c>
      <c r="H122" s="147">
        <f t="shared" si="31"/>
        <v>1293.0639465124377</v>
      </c>
      <c r="I122" s="290">
        <f t="shared" si="18"/>
        <v>513126.67029628641</v>
      </c>
      <c r="J122" s="172">
        <f t="shared" si="24"/>
        <v>3.3612866850800005E-2</v>
      </c>
      <c r="K122" s="291">
        <f t="shared" si="19"/>
        <v>2.5199702556209071E-3</v>
      </c>
      <c r="L122" s="170"/>
      <c r="M122" s="147">
        <f t="shared" si="22"/>
        <v>2031</v>
      </c>
      <c r="N122" s="170" t="str">
        <f t="shared" si="23"/>
        <v>Q1</v>
      </c>
      <c r="O122" s="170" t="str">
        <f t="shared" si="30"/>
        <v>2031Q1</v>
      </c>
      <c r="P122" s="175">
        <v>72154.452838788478</v>
      </c>
      <c r="Q122" s="175">
        <f t="shared" si="20"/>
        <v>73121.042039881897</v>
      </c>
      <c r="R122" s="175">
        <v>1.3396112964130236E-2</v>
      </c>
      <c r="S122" s="175">
        <v>615.33249350408596</v>
      </c>
      <c r="T122" s="292">
        <f t="shared" si="29"/>
        <v>617.63906908932972</v>
      </c>
      <c r="U122" s="180">
        <v>63011.686044511735</v>
      </c>
      <c r="V122" s="293">
        <f t="shared" si="27"/>
        <v>3.7485028169221835E-3</v>
      </c>
      <c r="W122" s="180">
        <v>1522.7063615677707</v>
      </c>
      <c r="X122" s="171">
        <f t="shared" si="21"/>
        <v>0.40410450040449214</v>
      </c>
      <c r="Y122" s="180">
        <v>4805.0209999999997</v>
      </c>
      <c r="Z122" s="180">
        <v>2000.124</v>
      </c>
    </row>
    <row r="123" spans="1:26" x14ac:dyDescent="0.2">
      <c r="A123" s="147">
        <v>2011</v>
      </c>
      <c r="B123" s="147">
        <v>2</v>
      </c>
      <c r="C123" s="147" t="str">
        <f t="shared" si="17"/>
        <v>20112</v>
      </c>
      <c r="D123" s="147" t="str">
        <f t="shared" si="25"/>
        <v>Q1</v>
      </c>
      <c r="E123" s="147">
        <f t="shared" si="31"/>
        <v>44076.282088696316</v>
      </c>
      <c r="F123" s="147" t="e">
        <f t="shared" si="31"/>
        <v>#N/A</v>
      </c>
      <c r="G123" s="147">
        <f t="shared" si="31"/>
        <v>39737.516530036453</v>
      </c>
      <c r="H123" s="147">
        <f t="shared" si="31"/>
        <v>1293.0639465124377</v>
      </c>
      <c r="I123" s="290">
        <f t="shared" si="18"/>
        <v>513126.67029628641</v>
      </c>
      <c r="J123" s="172">
        <f t="shared" si="24"/>
        <v>3.3612866850800005E-2</v>
      </c>
      <c r="K123" s="291">
        <f t="shared" si="19"/>
        <v>2.5199702556209071E-3</v>
      </c>
      <c r="L123" s="170"/>
      <c r="M123" s="147">
        <f t="shared" si="22"/>
        <v>2031</v>
      </c>
      <c r="N123" s="170" t="str">
        <f t="shared" si="23"/>
        <v>Q2</v>
      </c>
      <c r="O123" s="170" t="str">
        <f t="shared" si="30"/>
        <v>2031Q2</v>
      </c>
      <c r="P123" s="175">
        <v>72559.902554295157</v>
      </c>
      <c r="Q123" s="175">
        <f t="shared" si="20"/>
        <v>73531.923205578772</v>
      </c>
      <c r="R123" s="175">
        <v>1.3396112964130236E-2</v>
      </c>
      <c r="S123" s="175">
        <v>616.63853988313849</v>
      </c>
      <c r="T123" s="292">
        <f t="shared" si="29"/>
        <v>618.95001118691323</v>
      </c>
      <c r="U123" s="180">
        <v>63354.072173494787</v>
      </c>
      <c r="V123" s="293">
        <f t="shared" si="27"/>
        <v>3.7485028169221835E-3</v>
      </c>
      <c r="W123" s="180">
        <v>1525.7175629361911</v>
      </c>
      <c r="X123" s="171">
        <f t="shared" si="21"/>
        <v>0.40416296886327951</v>
      </c>
      <c r="Y123" s="180">
        <v>4809.5910000000003</v>
      </c>
      <c r="Z123" s="180">
        <v>2002.932</v>
      </c>
    </row>
    <row r="124" spans="1:26" x14ac:dyDescent="0.2">
      <c r="A124" s="147">
        <v>2011</v>
      </c>
      <c r="B124" s="147">
        <v>3</v>
      </c>
      <c r="C124" s="147" t="str">
        <f t="shared" si="17"/>
        <v>20113</v>
      </c>
      <c r="D124" s="147" t="str">
        <f t="shared" si="25"/>
        <v>Q1</v>
      </c>
      <c r="E124" s="147">
        <f t="shared" si="31"/>
        <v>44076.282088696316</v>
      </c>
      <c r="F124" s="147" t="e">
        <f t="shared" si="31"/>
        <v>#N/A</v>
      </c>
      <c r="G124" s="147">
        <f t="shared" si="31"/>
        <v>39737.516530036453</v>
      </c>
      <c r="H124" s="147">
        <f t="shared" si="31"/>
        <v>1293.0639465124377</v>
      </c>
      <c r="I124" s="290">
        <f t="shared" si="18"/>
        <v>513126.67029628641</v>
      </c>
      <c r="J124" s="172">
        <f t="shared" si="24"/>
        <v>3.3612866850800005E-2</v>
      </c>
      <c r="K124" s="291">
        <f t="shared" si="19"/>
        <v>2.5199702556209071E-3</v>
      </c>
      <c r="L124" s="170"/>
      <c r="M124" s="147">
        <f t="shared" si="22"/>
        <v>2031</v>
      </c>
      <c r="N124" s="170" t="str">
        <f t="shared" si="23"/>
        <v>Q3</v>
      </c>
      <c r="O124" s="170" t="str">
        <f t="shared" si="30"/>
        <v>2031Q3</v>
      </c>
      <c r="P124" s="175">
        <v>72947.17829110453</v>
      </c>
      <c r="Q124" s="175">
        <f t="shared" si="20"/>
        <v>73924.386931906716</v>
      </c>
      <c r="R124" s="175">
        <v>1.3396112964130236E-2</v>
      </c>
      <c r="S124" s="175">
        <v>617.73989758699781</v>
      </c>
      <c r="T124" s="292">
        <f t="shared" si="29"/>
        <v>620.05549733322789</v>
      </c>
      <c r="U124" s="180">
        <v>63686.068810866331</v>
      </c>
      <c r="V124" s="293">
        <f t="shared" si="27"/>
        <v>3.7485028169221835E-3</v>
      </c>
      <c r="W124" s="180">
        <v>1528.1911768049849</v>
      </c>
      <c r="X124" s="171">
        <f t="shared" si="21"/>
        <v>0.40422946223162798</v>
      </c>
      <c r="Y124" s="180">
        <v>4814.1390000000001</v>
      </c>
      <c r="Z124" s="180">
        <v>2005.9649999999999</v>
      </c>
    </row>
    <row r="125" spans="1:26" x14ac:dyDescent="0.2">
      <c r="A125" s="147">
        <v>2011</v>
      </c>
      <c r="B125" s="147">
        <v>4</v>
      </c>
      <c r="C125" s="147" t="str">
        <f t="shared" si="17"/>
        <v>20114</v>
      </c>
      <c r="D125" s="147" t="str">
        <f t="shared" si="25"/>
        <v>Q2</v>
      </c>
      <c r="E125" s="147">
        <f t="shared" si="31"/>
        <v>43951.481593858036</v>
      </c>
      <c r="F125" s="147" t="e">
        <f t="shared" si="31"/>
        <v>#N/A</v>
      </c>
      <c r="G125" s="147">
        <f t="shared" si="31"/>
        <v>39626.695414935333</v>
      </c>
      <c r="H125" s="147">
        <f t="shared" si="31"/>
        <v>1295.2471582141143</v>
      </c>
      <c r="I125" s="290">
        <f t="shared" si="18"/>
        <v>512377.8504866052</v>
      </c>
      <c r="J125" s="172">
        <f t="shared" si="24"/>
        <v>1.7122732489225578E-2</v>
      </c>
      <c r="K125" s="291">
        <f t="shared" si="19"/>
        <v>2.5279140325523792E-3</v>
      </c>
      <c r="L125" s="170"/>
      <c r="M125" s="147">
        <f t="shared" si="22"/>
        <v>2031</v>
      </c>
      <c r="N125" s="170" t="str">
        <f t="shared" si="23"/>
        <v>Q4</v>
      </c>
      <c r="O125" s="170" t="str">
        <f t="shared" si="30"/>
        <v>2031Q4</v>
      </c>
      <c r="P125" s="175">
        <v>73302.889715014593</v>
      </c>
      <c r="Q125" s="175">
        <f t="shared" si="20"/>
        <v>74141.051477448287</v>
      </c>
      <c r="R125" s="175">
        <v>1.143422538582417E-2</v>
      </c>
      <c r="S125" s="175">
        <v>619.04503095209066</v>
      </c>
      <c r="T125" s="292">
        <f t="shared" si="29"/>
        <v>621.36552299441621</v>
      </c>
      <c r="U125" s="180">
        <v>63983.702106726494</v>
      </c>
      <c r="V125" s="293">
        <f t="shared" si="27"/>
        <v>3.7485028169221835E-3</v>
      </c>
      <c r="W125" s="180">
        <v>1531.1846149018745</v>
      </c>
      <c r="X125" s="171">
        <f t="shared" si="21"/>
        <v>0.40429156936883276</v>
      </c>
      <c r="Y125" s="180">
        <v>4818.6409999999996</v>
      </c>
      <c r="Z125" s="180">
        <v>2008.96</v>
      </c>
    </row>
    <row r="126" spans="1:26" x14ac:dyDescent="0.2">
      <c r="A126" s="147">
        <v>2011</v>
      </c>
      <c r="B126" s="147">
        <v>5</v>
      </c>
      <c r="C126" s="147" t="str">
        <f t="shared" si="17"/>
        <v>20115</v>
      </c>
      <c r="D126" s="147" t="str">
        <f t="shared" si="25"/>
        <v>Q2</v>
      </c>
      <c r="E126" s="147">
        <f t="shared" si="31"/>
        <v>43951.481593858036</v>
      </c>
      <c r="F126" s="147" t="e">
        <f t="shared" si="31"/>
        <v>#N/A</v>
      </c>
      <c r="G126" s="147">
        <f t="shared" si="31"/>
        <v>39626.695414935333</v>
      </c>
      <c r="H126" s="147">
        <f t="shared" si="31"/>
        <v>1295.2471582141143</v>
      </c>
      <c r="I126" s="290">
        <f t="shared" si="18"/>
        <v>512377.8504866052</v>
      </c>
      <c r="J126" s="172">
        <f t="shared" si="24"/>
        <v>1.7122732489225578E-2</v>
      </c>
      <c r="K126" s="291">
        <f t="shared" si="19"/>
        <v>2.5279140325523792E-3</v>
      </c>
      <c r="L126" s="170"/>
      <c r="M126" s="147">
        <f t="shared" si="22"/>
        <v>2032</v>
      </c>
      <c r="N126" s="170" t="str">
        <f t="shared" si="23"/>
        <v>Q1</v>
      </c>
      <c r="O126" s="170" t="str">
        <f t="shared" si="30"/>
        <v>2032Q1</v>
      </c>
      <c r="P126" s="175">
        <v>73892.882474920116</v>
      </c>
      <c r="Q126" s="175">
        <f t="shared" si="20"/>
        <v>74737.790347546572</v>
      </c>
      <c r="R126" s="175">
        <v>1.143422538582417E-2</v>
      </c>
      <c r="S126" s="175">
        <v>620.33944280688956</v>
      </c>
      <c r="T126" s="292">
        <f t="shared" si="29"/>
        <v>622.66478695569913</v>
      </c>
      <c r="U126" s="180">
        <v>64517.895684862429</v>
      </c>
      <c r="V126" s="293">
        <f t="shared" si="27"/>
        <v>3.7485028169221835E-3</v>
      </c>
      <c r="W126" s="180">
        <v>1534.1732396647717</v>
      </c>
      <c r="X126" s="171">
        <f t="shared" si="21"/>
        <v>0.40434771430535338</v>
      </c>
      <c r="Y126" s="180">
        <v>4823.1090000000004</v>
      </c>
      <c r="Z126" s="180">
        <v>2012.056</v>
      </c>
    </row>
    <row r="127" spans="1:26" x14ac:dyDescent="0.2">
      <c r="A127" s="147">
        <v>2011</v>
      </c>
      <c r="B127" s="147">
        <v>6</v>
      </c>
      <c r="C127" s="147" t="str">
        <f t="shared" si="17"/>
        <v>20116</v>
      </c>
      <c r="D127" s="147" t="str">
        <f t="shared" si="25"/>
        <v>Q2</v>
      </c>
      <c r="E127" s="147">
        <f t="shared" si="31"/>
        <v>43951.481593858036</v>
      </c>
      <c r="F127" s="147" t="e">
        <f t="shared" si="31"/>
        <v>#N/A</v>
      </c>
      <c r="G127" s="147">
        <f t="shared" si="31"/>
        <v>39626.695414935333</v>
      </c>
      <c r="H127" s="147">
        <f t="shared" si="31"/>
        <v>1295.2471582141143</v>
      </c>
      <c r="I127" s="290">
        <f t="shared" si="18"/>
        <v>512377.8504866052</v>
      </c>
      <c r="J127" s="172">
        <f t="shared" si="24"/>
        <v>1.7122732489225578E-2</v>
      </c>
      <c r="K127" s="291">
        <f t="shared" si="19"/>
        <v>2.5279140325523792E-3</v>
      </c>
      <c r="L127" s="170"/>
      <c r="M127" s="147">
        <f t="shared" si="22"/>
        <v>2032</v>
      </c>
      <c r="N127" s="170" t="str">
        <f t="shared" si="23"/>
        <v>Q2</v>
      </c>
      <c r="O127" s="170" t="str">
        <f t="shared" si="30"/>
        <v>2032Q2</v>
      </c>
      <c r="P127" s="175">
        <v>74286.54715287275</v>
      </c>
      <c r="Q127" s="175">
        <f t="shared" si="20"/>
        <v>75135.956276153345</v>
      </c>
      <c r="R127" s="175">
        <v>1.143422538582417E-2</v>
      </c>
      <c r="S127" s="175">
        <v>621.62665257890262</v>
      </c>
      <c r="T127" s="292">
        <f t="shared" si="29"/>
        <v>623.95682183716849</v>
      </c>
      <c r="U127" s="180">
        <v>64852.902436758101</v>
      </c>
      <c r="V127" s="293">
        <f t="shared" si="27"/>
        <v>3.7485028169221835E-3</v>
      </c>
      <c r="W127" s="180">
        <v>1537.1533655279743</v>
      </c>
      <c r="X127" s="171">
        <f t="shared" si="21"/>
        <v>0.4044011915267734</v>
      </c>
      <c r="Y127" s="180">
        <v>4827.5429999999997</v>
      </c>
      <c r="Z127" s="180">
        <v>2014.9739999999999</v>
      </c>
    </row>
    <row r="128" spans="1:26" x14ac:dyDescent="0.2">
      <c r="A128" s="147">
        <v>2011</v>
      </c>
      <c r="B128" s="147">
        <v>7</v>
      </c>
      <c r="C128" s="147" t="str">
        <f t="shared" si="17"/>
        <v>20117</v>
      </c>
      <c r="D128" s="147" t="str">
        <f t="shared" si="25"/>
        <v>Q3</v>
      </c>
      <c r="E128" s="147">
        <f t="shared" si="31"/>
        <v>44013.735990673136</v>
      </c>
      <c r="F128" s="147" t="e">
        <f t="shared" si="31"/>
        <v>#N/A</v>
      </c>
      <c r="G128" s="147">
        <f t="shared" si="31"/>
        <v>39675.467395051506</v>
      </c>
      <c r="H128" s="147">
        <f t="shared" si="31"/>
        <v>1297.5168166601879</v>
      </c>
      <c r="I128" s="290">
        <f t="shared" si="18"/>
        <v>513360.94988205034</v>
      </c>
      <c r="J128" s="172">
        <f t="shared" si="24"/>
        <v>8.3265774586196439E-3</v>
      </c>
      <c r="K128" s="291">
        <f t="shared" si="19"/>
        <v>2.5274941870009884E-3</v>
      </c>
      <c r="L128" s="170"/>
      <c r="M128" s="147">
        <f t="shared" si="22"/>
        <v>2032</v>
      </c>
      <c r="N128" s="170" t="str">
        <f t="shared" si="23"/>
        <v>Q3</v>
      </c>
      <c r="O128" s="170" t="str">
        <f t="shared" si="30"/>
        <v>2032Q3</v>
      </c>
      <c r="P128" s="175">
        <v>74677.701351413183</v>
      </c>
      <c r="Q128" s="175">
        <f t="shared" si="20"/>
        <v>75548.544068933435</v>
      </c>
      <c r="R128" s="175">
        <v>1.1661348726071497E-2</v>
      </c>
      <c r="S128" s="175">
        <v>623.37824065720486</v>
      </c>
      <c r="T128" s="292">
        <f t="shared" si="29"/>
        <v>625.71497574831642</v>
      </c>
      <c r="U128" s="180">
        <v>65092.663837385568</v>
      </c>
      <c r="V128" s="293">
        <f t="shared" si="27"/>
        <v>3.7485028169221835E-3</v>
      </c>
      <c r="W128" s="180">
        <v>1540.1256757532456</v>
      </c>
      <c r="X128" s="171">
        <f t="shared" si="21"/>
        <v>0.40475803401714128</v>
      </c>
      <c r="Y128" s="180">
        <v>4831.9440000000004</v>
      </c>
      <c r="Z128" s="180">
        <v>2018.0830000000001</v>
      </c>
    </row>
    <row r="129" spans="1:26" x14ac:dyDescent="0.2">
      <c r="A129" s="147">
        <v>2011</v>
      </c>
      <c r="B129" s="147">
        <v>8</v>
      </c>
      <c r="C129" s="147" t="str">
        <f t="shared" si="17"/>
        <v>20118</v>
      </c>
      <c r="D129" s="147" t="str">
        <f t="shared" si="25"/>
        <v>Q3</v>
      </c>
      <c r="E129" s="147">
        <f t="shared" si="31"/>
        <v>44013.735990673136</v>
      </c>
      <c r="F129" s="147" t="e">
        <f t="shared" si="31"/>
        <v>#N/A</v>
      </c>
      <c r="G129" s="147">
        <f t="shared" si="31"/>
        <v>39675.467395051506</v>
      </c>
      <c r="H129" s="147">
        <f t="shared" si="31"/>
        <v>1297.5168166601879</v>
      </c>
      <c r="I129" s="290">
        <f t="shared" si="18"/>
        <v>513360.94988205034</v>
      </c>
      <c r="J129" s="172">
        <f t="shared" si="24"/>
        <v>8.3265774586196439E-3</v>
      </c>
      <c r="K129" s="291">
        <f t="shared" si="19"/>
        <v>2.5274941870009884E-3</v>
      </c>
      <c r="L129" s="170"/>
      <c r="M129" s="147">
        <f t="shared" si="22"/>
        <v>2032</v>
      </c>
      <c r="N129" s="170" t="str">
        <f t="shared" si="23"/>
        <v>Q4</v>
      </c>
      <c r="O129" s="170" t="str">
        <f t="shared" si="30"/>
        <v>2032Q4</v>
      </c>
      <c r="P129" s="175">
        <v>75018.839637433368</v>
      </c>
      <c r="Q129" s="175">
        <f t="shared" si="20"/>
        <v>75893.660487470712</v>
      </c>
      <c r="R129" s="175">
        <v>1.1661348726071497E-2</v>
      </c>
      <c r="S129" s="175">
        <v>624.45561954078835</v>
      </c>
      <c r="T129" s="292">
        <f t="shared" si="29"/>
        <v>626.79639318967986</v>
      </c>
      <c r="U129" s="180">
        <v>65379.712563198897</v>
      </c>
      <c r="V129" s="293">
        <f t="shared" si="27"/>
        <v>3.7485028169221835E-3</v>
      </c>
      <c r="W129" s="180">
        <v>1543.0902552909947</v>
      </c>
      <c r="X129" s="171">
        <f t="shared" si="21"/>
        <v>0.40467860995145033</v>
      </c>
      <c r="Y129" s="180">
        <v>4836.3</v>
      </c>
      <c r="Z129" s="180">
        <v>2021.1469999999999</v>
      </c>
    </row>
    <row r="130" spans="1:26" x14ac:dyDescent="0.2">
      <c r="A130" s="147">
        <v>2011</v>
      </c>
      <c r="B130" s="147">
        <v>9</v>
      </c>
      <c r="C130" s="147" t="str">
        <f t="shared" si="17"/>
        <v>20119</v>
      </c>
      <c r="D130" s="147" t="str">
        <f t="shared" si="25"/>
        <v>Q3</v>
      </c>
      <c r="E130" s="147">
        <f t="shared" si="31"/>
        <v>44013.735990673136</v>
      </c>
      <c r="F130" s="147" t="e">
        <f t="shared" si="31"/>
        <v>#N/A</v>
      </c>
      <c r="G130" s="147">
        <f t="shared" si="31"/>
        <v>39675.467395051506</v>
      </c>
      <c r="H130" s="147">
        <f t="shared" si="31"/>
        <v>1297.5168166601879</v>
      </c>
      <c r="I130" s="290">
        <f t="shared" si="18"/>
        <v>513360.94988205034</v>
      </c>
      <c r="J130" s="172">
        <f t="shared" si="24"/>
        <v>8.3265774586196439E-3</v>
      </c>
      <c r="K130" s="291">
        <f t="shared" si="19"/>
        <v>2.5274941870009884E-3</v>
      </c>
      <c r="L130" s="170"/>
      <c r="M130" s="147">
        <f t="shared" si="22"/>
        <v>2033</v>
      </c>
      <c r="N130" s="170" t="str">
        <f t="shared" si="23"/>
        <v>Q1</v>
      </c>
      <c r="O130" s="170" t="str">
        <f t="shared" si="30"/>
        <v>2033Q1</v>
      </c>
      <c r="P130" s="175">
        <v>75622.511547575166</v>
      </c>
      <c r="Q130" s="175">
        <f t="shared" si="20"/>
        <v>76504.372026272802</v>
      </c>
      <c r="R130" s="175">
        <v>1.1661348726071497E-2</v>
      </c>
      <c r="S130" s="175">
        <v>625.62452554154856</v>
      </c>
      <c r="T130" s="292">
        <f t="shared" si="29"/>
        <v>627.96968083787669</v>
      </c>
      <c r="U130" s="180">
        <v>65915.343848067831</v>
      </c>
      <c r="V130" s="293">
        <f t="shared" si="27"/>
        <v>3.7485028169221835E-3</v>
      </c>
      <c r="W130" s="180">
        <v>1545.5577487173284</v>
      </c>
      <c r="X130" s="171">
        <f t="shared" si="21"/>
        <v>0.40478883824351414</v>
      </c>
      <c r="Y130" s="180">
        <v>4840.6229999999996</v>
      </c>
      <c r="Z130" s="180">
        <v>2024.24</v>
      </c>
    </row>
    <row r="131" spans="1:26" x14ac:dyDescent="0.2">
      <c r="A131" s="147">
        <v>2011</v>
      </c>
      <c r="B131" s="147">
        <v>10</v>
      </c>
      <c r="C131" s="147" t="str">
        <f t="shared" ref="C131:C194" si="32">A131&amp;B131</f>
        <v>201110</v>
      </c>
      <c r="D131" s="147" t="str">
        <f t="shared" si="25"/>
        <v>Q4</v>
      </c>
      <c r="E131" s="147">
        <f t="shared" si="31"/>
        <v>44207.369300157479</v>
      </c>
      <c r="F131" s="147" t="e">
        <f t="shared" si="31"/>
        <v>#N/A</v>
      </c>
      <c r="G131" s="147">
        <f t="shared" si="31"/>
        <v>39786.860383818384</v>
      </c>
      <c r="H131" s="147">
        <f t="shared" si="31"/>
        <v>1298.9792497819678</v>
      </c>
      <c r="I131" s="290">
        <f t="shared" ref="I131:I194" si="33">VLOOKUP($A131&amp;$D131,$O$1:$W$189,MATCH(I$1,$O$1:$W$1,0),0)*1000</f>
        <v>513904.00134041201</v>
      </c>
      <c r="J131" s="172">
        <f t="shared" si="24"/>
        <v>1.3261986063515474E-2</v>
      </c>
      <c r="K131" s="291">
        <f t="shared" ref="K131:K194" si="34">H131/I131</f>
        <v>2.5276690712542614E-3</v>
      </c>
      <c r="L131" s="170"/>
      <c r="M131" s="147">
        <f t="shared" si="22"/>
        <v>2033</v>
      </c>
      <c r="N131" s="170" t="str">
        <f t="shared" si="23"/>
        <v>Q2</v>
      </c>
      <c r="O131" s="170" t="str">
        <f t="shared" si="30"/>
        <v>2033Q2</v>
      </c>
      <c r="P131" s="175">
        <v>76044.102609842666</v>
      </c>
      <c r="Q131" s="175">
        <f t="shared" ref="Q131:Q174" si="35">P131*(1+R131)</f>
        <v>76840.901393494714</v>
      </c>
      <c r="R131" s="175">
        <v>1.0478114098343205E-2</v>
      </c>
      <c r="S131" s="175">
        <v>626.92111190625531</v>
      </c>
      <c r="T131" s="292">
        <f t="shared" si="29"/>
        <v>629.27112746022385</v>
      </c>
      <c r="U131" s="180">
        <v>66272.860998632343</v>
      </c>
      <c r="V131" s="293">
        <f t="shared" si="27"/>
        <v>3.7485028169221835E-3</v>
      </c>
      <c r="W131" s="180">
        <v>1548.506319874994</v>
      </c>
      <c r="X131" s="171">
        <f t="shared" ref="X131:X173" si="36">S131/W131</f>
        <v>0.40485537828277296</v>
      </c>
      <c r="Y131" s="180">
        <v>4844.915</v>
      </c>
      <c r="Z131" s="180">
        <v>2027.2639999999999</v>
      </c>
    </row>
    <row r="132" spans="1:26" x14ac:dyDescent="0.2">
      <c r="A132" s="147">
        <v>2011</v>
      </c>
      <c r="B132" s="147">
        <v>11</v>
      </c>
      <c r="C132" s="147" t="str">
        <f t="shared" si="32"/>
        <v>201111</v>
      </c>
      <c r="D132" s="147" t="str">
        <f t="shared" si="25"/>
        <v>Q4</v>
      </c>
      <c r="E132" s="147">
        <f t="shared" si="31"/>
        <v>44207.369300157479</v>
      </c>
      <c r="F132" s="147" t="e">
        <f t="shared" si="31"/>
        <v>#N/A</v>
      </c>
      <c r="G132" s="147">
        <f t="shared" si="31"/>
        <v>39786.860383818384</v>
      </c>
      <c r="H132" s="147">
        <f t="shared" si="31"/>
        <v>1298.9792497819678</v>
      </c>
      <c r="I132" s="290">
        <f t="shared" si="33"/>
        <v>513904.00134041201</v>
      </c>
      <c r="J132" s="172">
        <f t="shared" si="24"/>
        <v>1.3261986063515474E-2</v>
      </c>
      <c r="K132" s="291">
        <f t="shared" si="34"/>
        <v>2.5276690712542614E-3</v>
      </c>
      <c r="L132" s="170"/>
      <c r="M132" s="147">
        <f t="shared" si="22"/>
        <v>2033</v>
      </c>
      <c r="N132" s="170" t="str">
        <f t="shared" si="23"/>
        <v>Q3</v>
      </c>
      <c r="O132" s="170" t="str">
        <f t="shared" si="30"/>
        <v>2033Q3</v>
      </c>
      <c r="P132" s="175">
        <v>76401.237009678138</v>
      </c>
      <c r="Q132" s="175">
        <f t="shared" si="35"/>
        <v>77201.77788832011</v>
      </c>
      <c r="R132" s="175">
        <v>1.0478114098343205E-2</v>
      </c>
      <c r="S132" s="175">
        <v>628.22467281158686</v>
      </c>
      <c r="T132" s="292">
        <f t="shared" si="29"/>
        <v>630.57957476728109</v>
      </c>
      <c r="U132" s="180">
        <v>66575.69117880259</v>
      </c>
      <c r="V132" s="293">
        <f t="shared" si="27"/>
        <v>3.7485028169221835E-3</v>
      </c>
      <c r="W132" s="180">
        <v>1551.4503927163839</v>
      </c>
      <c r="X132" s="171">
        <f t="shared" si="36"/>
        <v>0.40492733493827587</v>
      </c>
      <c r="Y132" s="180">
        <v>4849.174</v>
      </c>
      <c r="Z132" s="180">
        <v>2030.61</v>
      </c>
    </row>
    <row r="133" spans="1:26" x14ac:dyDescent="0.2">
      <c r="A133" s="147">
        <v>2011</v>
      </c>
      <c r="B133" s="147">
        <v>12</v>
      </c>
      <c r="C133" s="147" t="str">
        <f t="shared" si="32"/>
        <v>201112</v>
      </c>
      <c r="D133" s="147" t="str">
        <f t="shared" si="25"/>
        <v>Q4</v>
      </c>
      <c r="E133" s="147">
        <f t="shared" si="31"/>
        <v>44207.369300157479</v>
      </c>
      <c r="F133" s="147" t="e">
        <f t="shared" si="31"/>
        <v>#N/A</v>
      </c>
      <c r="G133" s="147">
        <f t="shared" si="31"/>
        <v>39786.860383818384</v>
      </c>
      <c r="H133" s="147">
        <f t="shared" si="31"/>
        <v>1298.9792497819678</v>
      </c>
      <c r="I133" s="290">
        <f t="shared" si="33"/>
        <v>513904.00134041201</v>
      </c>
      <c r="J133" s="172">
        <f t="shared" si="24"/>
        <v>1.3261986063515474E-2</v>
      </c>
      <c r="K133" s="291">
        <f t="shared" si="34"/>
        <v>2.5276690712542614E-3</v>
      </c>
      <c r="L133" s="170"/>
      <c r="M133" s="147">
        <f t="shared" si="22"/>
        <v>2033</v>
      </c>
      <c r="N133" s="170" t="str">
        <f t="shared" si="23"/>
        <v>Q4</v>
      </c>
      <c r="O133" s="170" t="str">
        <f t="shared" si="30"/>
        <v>2033Q4</v>
      </c>
      <c r="P133" s="175">
        <v>76724.367272314863</v>
      </c>
      <c r="Q133" s="175">
        <f t="shared" si="35"/>
        <v>77528.293946717371</v>
      </c>
      <c r="R133" s="175">
        <v>1.0478114098343205E-2</v>
      </c>
      <c r="S133" s="175">
        <v>629.55095525810873</v>
      </c>
      <c r="T133" s="292">
        <f t="shared" si="29"/>
        <v>631.9108287872898</v>
      </c>
      <c r="U133" s="180">
        <v>66846.031778371878</v>
      </c>
      <c r="V133" s="293">
        <f t="shared" si="27"/>
        <v>3.7485028169221835E-3</v>
      </c>
      <c r="W133" s="180">
        <v>1554.3843935328114</v>
      </c>
      <c r="X133" s="171">
        <f t="shared" si="36"/>
        <v>0.40501626102103527</v>
      </c>
      <c r="Y133" s="180">
        <v>4853.3900000000003</v>
      </c>
      <c r="Z133" s="180">
        <v>2034.0029999999999</v>
      </c>
    </row>
    <row r="134" spans="1:26" x14ac:dyDescent="0.2">
      <c r="A134" s="147">
        <v>2012</v>
      </c>
      <c r="B134" s="147">
        <v>1</v>
      </c>
      <c r="C134" s="147" t="str">
        <f t="shared" si="32"/>
        <v>20121</v>
      </c>
      <c r="D134" s="147" t="str">
        <f t="shared" si="25"/>
        <v>Q1</v>
      </c>
      <c r="E134" s="147">
        <f t="shared" si="31"/>
        <v>44318.071900110284</v>
      </c>
      <c r="F134" s="147" t="e">
        <f t="shared" si="31"/>
        <v>#N/A</v>
      </c>
      <c r="G134" s="147">
        <f t="shared" si="31"/>
        <v>39800.138297807738</v>
      </c>
      <c r="H134" s="147">
        <f t="shared" si="31"/>
        <v>1301.2622358208077</v>
      </c>
      <c r="I134" s="290">
        <f t="shared" si="33"/>
        <v>514959.78024996282</v>
      </c>
      <c r="J134" s="172">
        <f>E134/E122-1</f>
        <v>5.4857124956093628E-3</v>
      </c>
      <c r="K134" s="291">
        <f t="shared" si="34"/>
        <v>2.5269201318774289E-3</v>
      </c>
      <c r="M134" s="147">
        <f t="shared" si="22"/>
        <v>2034</v>
      </c>
      <c r="N134" s="170" t="str">
        <f t="shared" si="23"/>
        <v>Q1</v>
      </c>
      <c r="O134" s="170" t="str">
        <f t="shared" si="30"/>
        <v>2034Q1</v>
      </c>
      <c r="P134" s="175">
        <v>77361.600414525266</v>
      </c>
      <c r="Q134" s="175">
        <f t="shared" si="35"/>
        <v>78782.560386714991</v>
      </c>
      <c r="R134" s="175">
        <v>1.8367768564453435E-2</v>
      </c>
      <c r="S134" s="175">
        <v>630.6911643598304</v>
      </c>
      <c r="T134" s="292">
        <f t="shared" si="29"/>
        <v>633.05531196604113</v>
      </c>
      <c r="U134" s="180">
        <v>67408.698459790423</v>
      </c>
      <c r="V134" s="293">
        <f t="shared" si="27"/>
        <v>3.7485028169221835E-3</v>
      </c>
      <c r="W134" s="180">
        <v>1556.8511776228941</v>
      </c>
      <c r="X134" s="171">
        <f t="shared" si="36"/>
        <v>0.40510690644356412</v>
      </c>
      <c r="Y134" s="180">
        <v>4857.5749999999998</v>
      </c>
      <c r="Z134" s="180">
        <v>2037.278</v>
      </c>
    </row>
    <row r="135" spans="1:26" x14ac:dyDescent="0.2">
      <c r="A135" s="147">
        <v>2012</v>
      </c>
      <c r="B135" s="147">
        <v>2</v>
      </c>
      <c r="C135" s="147" t="str">
        <f t="shared" si="32"/>
        <v>20122</v>
      </c>
      <c r="D135" s="147" t="str">
        <f t="shared" si="25"/>
        <v>Q1</v>
      </c>
      <c r="E135" s="147">
        <f t="shared" si="31"/>
        <v>44318.071900110284</v>
      </c>
      <c r="F135" s="147" t="e">
        <f t="shared" si="31"/>
        <v>#N/A</v>
      </c>
      <c r="G135" s="147">
        <f t="shared" si="31"/>
        <v>39800.138297807738</v>
      </c>
      <c r="H135" s="147">
        <f t="shared" si="31"/>
        <v>1301.2622358208077</v>
      </c>
      <c r="I135" s="290">
        <f t="shared" si="33"/>
        <v>514959.78024996282</v>
      </c>
      <c r="J135" s="172">
        <f t="shared" ref="J135:J198" si="37">E135/E123-1</f>
        <v>5.4857124956093628E-3</v>
      </c>
      <c r="K135" s="291">
        <f t="shared" si="34"/>
        <v>2.5269201318774289E-3</v>
      </c>
      <c r="M135" s="147">
        <f t="shared" ref="M135:M173" si="38">M131+1</f>
        <v>2034</v>
      </c>
      <c r="N135" s="170" t="str">
        <f t="shared" ref="N135:N173" si="39">N131</f>
        <v>Q2</v>
      </c>
      <c r="O135" s="170" t="str">
        <f t="shared" si="30"/>
        <v>2034Q2</v>
      </c>
      <c r="P135" s="175">
        <v>77804.088767413923</v>
      </c>
      <c r="Q135" s="175">
        <f t="shared" si="35"/>
        <v>79233.176263261979</v>
      </c>
      <c r="R135" s="175">
        <v>1.8367768564453435E-2</v>
      </c>
      <c r="S135" s="175">
        <v>632.01744040657491</v>
      </c>
      <c r="T135" s="292">
        <f t="shared" si="29"/>
        <v>634.38655956228286</v>
      </c>
      <c r="U135" s="180">
        <v>67784.731090709829</v>
      </c>
      <c r="V135" s="293">
        <f t="shared" si="27"/>
        <v>3.7485028169221835E-3</v>
      </c>
      <c r="W135" s="180">
        <v>1559.7722494363395</v>
      </c>
      <c r="X135" s="171">
        <f t="shared" si="36"/>
        <v>0.40519854141203582</v>
      </c>
      <c r="Y135" s="180">
        <v>4861.7299999999996</v>
      </c>
      <c r="Z135" s="180">
        <v>2040.769</v>
      </c>
    </row>
    <row r="136" spans="1:26" x14ac:dyDescent="0.2">
      <c r="A136" s="147">
        <v>2012</v>
      </c>
      <c r="B136" s="147">
        <v>3</v>
      </c>
      <c r="C136" s="147" t="str">
        <f t="shared" si="32"/>
        <v>20123</v>
      </c>
      <c r="D136" s="147" t="str">
        <f t="shared" si="25"/>
        <v>Q1</v>
      </c>
      <c r="E136" s="147">
        <f t="shared" si="31"/>
        <v>44318.071900110284</v>
      </c>
      <c r="F136" s="147" t="e">
        <f t="shared" si="31"/>
        <v>#N/A</v>
      </c>
      <c r="G136" s="147">
        <f t="shared" si="31"/>
        <v>39800.138297807738</v>
      </c>
      <c r="H136" s="147">
        <f t="shared" si="31"/>
        <v>1301.2622358208077</v>
      </c>
      <c r="I136" s="290">
        <f t="shared" si="33"/>
        <v>514959.78024996282</v>
      </c>
      <c r="J136" s="172">
        <f t="shared" si="37"/>
        <v>5.4857124956093628E-3</v>
      </c>
      <c r="K136" s="291">
        <f t="shared" si="34"/>
        <v>2.5269201318774289E-3</v>
      </c>
      <c r="M136" s="147">
        <f t="shared" si="38"/>
        <v>2034</v>
      </c>
      <c r="N136" s="170" t="str">
        <f t="shared" si="39"/>
        <v>Q3</v>
      </c>
      <c r="O136" s="170" t="str">
        <f t="shared" si="30"/>
        <v>2034Q3</v>
      </c>
      <c r="P136" s="175">
        <v>78194.983351449133</v>
      </c>
      <c r="Q136" s="175">
        <f t="shared" si="35"/>
        <v>79631.250708549836</v>
      </c>
      <c r="R136" s="175">
        <v>1.8367768564453435E-2</v>
      </c>
      <c r="S136" s="175">
        <v>633.78713931451284</v>
      </c>
      <c r="T136" s="292">
        <f t="shared" si="29"/>
        <v>636.16289219156238</v>
      </c>
      <c r="U136" s="180">
        <v>68112.672404732177</v>
      </c>
      <c r="V136" s="293">
        <f t="shared" si="27"/>
        <v>3.7485028169221835E-3</v>
      </c>
      <c r="W136" s="180">
        <v>1562.6933220055346</v>
      </c>
      <c r="X136" s="171">
        <f t="shared" si="36"/>
        <v>0.40557358912951708</v>
      </c>
      <c r="Y136" s="180">
        <v>4865.8649999999998</v>
      </c>
      <c r="Z136" s="180">
        <v>2044.1780000000001</v>
      </c>
    </row>
    <row r="137" spans="1:26" x14ac:dyDescent="0.2">
      <c r="A137" s="147">
        <v>2012</v>
      </c>
      <c r="B137" s="147">
        <v>4</v>
      </c>
      <c r="C137" s="147" t="str">
        <f t="shared" si="32"/>
        <v>20124</v>
      </c>
      <c r="D137" s="147" t="str">
        <f t="shared" si="25"/>
        <v>Q2</v>
      </c>
      <c r="E137" s="147">
        <f t="shared" si="31"/>
        <v>44550.767525919451</v>
      </c>
      <c r="F137" s="147" t="e">
        <f t="shared" si="31"/>
        <v>#N/A</v>
      </c>
      <c r="G137" s="147">
        <f t="shared" si="31"/>
        <v>39988.352967991457</v>
      </c>
      <c r="H137" s="147">
        <f t="shared" si="31"/>
        <v>1303.5421567571614</v>
      </c>
      <c r="I137" s="290">
        <f t="shared" si="33"/>
        <v>516027.21924983518</v>
      </c>
      <c r="J137" s="172">
        <f t="shared" si="37"/>
        <v>1.3635170199704172E-2</v>
      </c>
      <c r="K137" s="291">
        <f t="shared" si="34"/>
        <v>2.5261112362486636E-3</v>
      </c>
      <c r="M137" s="147">
        <f t="shared" si="38"/>
        <v>2034</v>
      </c>
      <c r="N137" s="170" t="str">
        <f t="shared" si="39"/>
        <v>Q4</v>
      </c>
      <c r="O137" s="170" t="str">
        <f t="shared" si="30"/>
        <v>2034Q4</v>
      </c>
      <c r="P137" s="175">
        <v>78569.842100381633</v>
      </c>
      <c r="Q137" s="175">
        <f t="shared" si="35"/>
        <v>79820.192043943127</v>
      </c>
      <c r="R137" s="175">
        <v>1.5913866060263127E-2</v>
      </c>
      <c r="S137" s="175">
        <v>634.82440651003947</v>
      </c>
      <c r="T137" s="292">
        <f t="shared" si="29"/>
        <v>637.20404758609334</v>
      </c>
      <c r="U137" s="180">
        <v>68426.110254572006</v>
      </c>
      <c r="V137" s="293">
        <f t="shared" si="27"/>
        <v>3.7485028169221835E-3</v>
      </c>
      <c r="W137" s="180">
        <v>1565.6045764336034</v>
      </c>
      <c r="X137" s="171">
        <f t="shared" si="36"/>
        <v>0.4054819563418427</v>
      </c>
      <c r="Y137" s="180">
        <v>4869.96</v>
      </c>
      <c r="Z137" s="180">
        <v>2047.549</v>
      </c>
    </row>
    <row r="138" spans="1:26" x14ac:dyDescent="0.2">
      <c r="A138" s="147">
        <v>2012</v>
      </c>
      <c r="B138" s="147">
        <v>5</v>
      </c>
      <c r="C138" s="147" t="str">
        <f t="shared" si="32"/>
        <v>20125</v>
      </c>
      <c r="D138" s="147" t="str">
        <f t="shared" si="25"/>
        <v>Q2</v>
      </c>
      <c r="E138" s="147">
        <f t="shared" si="31"/>
        <v>44550.767525919451</v>
      </c>
      <c r="F138" s="147" t="e">
        <f t="shared" si="31"/>
        <v>#N/A</v>
      </c>
      <c r="G138" s="147">
        <f t="shared" si="31"/>
        <v>39988.352967991457</v>
      </c>
      <c r="H138" s="147">
        <f t="shared" si="31"/>
        <v>1303.5421567571614</v>
      </c>
      <c r="I138" s="290">
        <f t="shared" si="33"/>
        <v>516027.21924983518</v>
      </c>
      <c r="J138" s="172">
        <f t="shared" si="37"/>
        <v>1.3635170199704172E-2</v>
      </c>
      <c r="K138" s="291">
        <f t="shared" si="34"/>
        <v>2.5261112362486636E-3</v>
      </c>
      <c r="M138" s="147">
        <f t="shared" si="38"/>
        <v>2035</v>
      </c>
      <c r="N138" s="170" t="str">
        <f t="shared" si="39"/>
        <v>Q1</v>
      </c>
      <c r="O138" s="170" t="str">
        <f t="shared" si="30"/>
        <v>2035Q1</v>
      </c>
      <c r="P138" s="175">
        <v>79327.065111957607</v>
      </c>
      <c r="Q138" s="175">
        <f t="shared" si="35"/>
        <v>80589.465401103065</v>
      </c>
      <c r="R138" s="175">
        <v>1.5913866060263127E-2</v>
      </c>
      <c r="S138" s="175">
        <v>636.10270657365675</v>
      </c>
      <c r="T138" s="292">
        <f t="shared" si="29"/>
        <v>638.48713936109993</v>
      </c>
      <c r="U138" s="180">
        <v>69089.969321900251</v>
      </c>
      <c r="V138" s="293">
        <f t="shared" si="27"/>
        <v>3.7485028169221835E-3</v>
      </c>
      <c r="W138" s="180">
        <v>1568.508372448882</v>
      </c>
      <c r="X138" s="171">
        <f t="shared" si="36"/>
        <v>0.40554626149717121</v>
      </c>
      <c r="Y138" s="180">
        <v>4874.0230000000001</v>
      </c>
      <c r="Z138" s="180">
        <v>2050.752</v>
      </c>
    </row>
    <row r="139" spans="1:26" x14ac:dyDescent="0.2">
      <c r="A139" s="147">
        <v>2012</v>
      </c>
      <c r="B139" s="147">
        <v>6</v>
      </c>
      <c r="C139" s="147" t="str">
        <f t="shared" si="32"/>
        <v>20126</v>
      </c>
      <c r="D139" s="147" t="str">
        <f t="shared" si="25"/>
        <v>Q2</v>
      </c>
      <c r="E139" s="147">
        <f t="shared" si="31"/>
        <v>44550.767525919451</v>
      </c>
      <c r="F139" s="147" t="e">
        <f t="shared" si="31"/>
        <v>#N/A</v>
      </c>
      <c r="G139" s="147">
        <f t="shared" si="31"/>
        <v>39988.352967991457</v>
      </c>
      <c r="H139" s="147">
        <f t="shared" si="31"/>
        <v>1303.5421567571614</v>
      </c>
      <c r="I139" s="290">
        <f t="shared" si="33"/>
        <v>516027.21924983518</v>
      </c>
      <c r="J139" s="172">
        <f t="shared" si="37"/>
        <v>1.3635170199704172E-2</v>
      </c>
      <c r="K139" s="291">
        <f t="shared" si="34"/>
        <v>2.5261112362486636E-3</v>
      </c>
      <c r="M139" s="147">
        <f t="shared" si="38"/>
        <v>2035</v>
      </c>
      <c r="N139" s="170" t="str">
        <f t="shared" si="39"/>
        <v>Q2</v>
      </c>
      <c r="O139" s="170" t="str">
        <f t="shared" si="30"/>
        <v>2035Q2</v>
      </c>
      <c r="P139" s="175">
        <v>79775.866750003304</v>
      </c>
      <c r="Q139" s="175">
        <f t="shared" si="35"/>
        <v>81045.409208304249</v>
      </c>
      <c r="R139" s="175">
        <v>1.5913866060263127E-2</v>
      </c>
      <c r="S139" s="175">
        <v>637.2332381420423</v>
      </c>
      <c r="T139" s="292">
        <f t="shared" si="29"/>
        <v>639.62190873025418</v>
      </c>
      <c r="U139" s="180">
        <v>69470.238709459431</v>
      </c>
      <c r="V139" s="293">
        <f t="shared" si="27"/>
        <v>3.7485028169221835E-3</v>
      </c>
      <c r="W139" s="180">
        <v>1570.9755130853168</v>
      </c>
      <c r="X139" s="171">
        <f t="shared" si="36"/>
        <v>0.40562900747609254</v>
      </c>
      <c r="Y139" s="180">
        <v>4878.0569999999998</v>
      </c>
      <c r="Z139" s="180">
        <v>2054.154</v>
      </c>
    </row>
    <row r="140" spans="1:26" x14ac:dyDescent="0.2">
      <c r="A140" s="147">
        <v>2012</v>
      </c>
      <c r="B140" s="147">
        <v>7</v>
      </c>
      <c r="C140" s="147" t="str">
        <f t="shared" si="32"/>
        <v>20127</v>
      </c>
      <c r="D140" s="147" t="str">
        <f t="shared" si="25"/>
        <v>Q3</v>
      </c>
      <c r="E140" s="147">
        <f t="shared" si="31"/>
        <v>44866.258581187751</v>
      </c>
      <c r="F140" s="147" t="e">
        <f t="shared" si="31"/>
        <v>#N/A</v>
      </c>
      <c r="G140" s="147">
        <f t="shared" si="31"/>
        <v>40189.459532165798</v>
      </c>
      <c r="H140" s="147">
        <f t="shared" si="31"/>
        <v>1305.7954720858047</v>
      </c>
      <c r="I140" s="290">
        <f t="shared" si="33"/>
        <v>517123.37878805021</v>
      </c>
      <c r="J140" s="172">
        <f t="shared" si="37"/>
        <v>1.9369466629582943E-2</v>
      </c>
      <c r="K140" s="291">
        <f t="shared" si="34"/>
        <v>2.5251139779178347E-3</v>
      </c>
      <c r="M140" s="147">
        <f t="shared" si="38"/>
        <v>2035</v>
      </c>
      <c r="N140" s="170" t="str">
        <f t="shared" si="39"/>
        <v>Q3</v>
      </c>
      <c r="O140" s="170" t="str">
        <f t="shared" si="30"/>
        <v>2035Q3</v>
      </c>
      <c r="P140" s="175">
        <v>80188.833797223924</v>
      </c>
      <c r="Q140" s="175">
        <f t="shared" si="35"/>
        <v>80807.495048752942</v>
      </c>
      <c r="R140" s="175">
        <v>7.7150548553113207E-3</v>
      </c>
      <c r="S140" s="175">
        <v>638.46766289449954</v>
      </c>
      <c r="T140" s="292">
        <f t="shared" si="29"/>
        <v>640.86096072737325</v>
      </c>
      <c r="U140" s="180">
        <v>69817.684773173722</v>
      </c>
      <c r="V140" s="293">
        <f t="shared" si="27"/>
        <v>3.7485028169221835E-3</v>
      </c>
      <c r="W140" s="180">
        <v>1573.8678014536194</v>
      </c>
      <c r="X140" s="171">
        <f t="shared" si="36"/>
        <v>0.40566791080217335</v>
      </c>
      <c r="Y140" s="180">
        <v>4882.0609999999997</v>
      </c>
      <c r="Z140" s="180">
        <v>2057.52</v>
      </c>
    </row>
    <row r="141" spans="1:26" x14ac:dyDescent="0.2">
      <c r="A141" s="147">
        <v>2012</v>
      </c>
      <c r="B141" s="147">
        <v>8</v>
      </c>
      <c r="C141" s="147" t="str">
        <f t="shared" si="32"/>
        <v>20128</v>
      </c>
      <c r="D141" s="147" t="str">
        <f t="shared" si="25"/>
        <v>Q3</v>
      </c>
      <c r="E141" s="147">
        <f t="shared" si="31"/>
        <v>44866.258581187751</v>
      </c>
      <c r="F141" s="147" t="e">
        <f t="shared" si="31"/>
        <v>#N/A</v>
      </c>
      <c r="G141" s="147">
        <f t="shared" si="31"/>
        <v>40189.459532165798</v>
      </c>
      <c r="H141" s="147">
        <f t="shared" si="31"/>
        <v>1305.7954720858047</v>
      </c>
      <c r="I141" s="290">
        <f t="shared" si="33"/>
        <v>517123.37878805021</v>
      </c>
      <c r="J141" s="172">
        <f t="shared" si="37"/>
        <v>1.9369466629582943E-2</v>
      </c>
      <c r="K141" s="291">
        <f t="shared" si="34"/>
        <v>2.5251139779178347E-3</v>
      </c>
      <c r="M141" s="147">
        <f t="shared" si="38"/>
        <v>2035</v>
      </c>
      <c r="N141" s="170" t="str">
        <f t="shared" si="39"/>
        <v>Q4</v>
      </c>
      <c r="O141" s="170" t="str">
        <f t="shared" si="30"/>
        <v>2035Q4</v>
      </c>
      <c r="P141" s="175">
        <v>80608.182294844941</v>
      </c>
      <c r="Q141" s="175">
        <f t="shared" si="35"/>
        <v>81230.078843036608</v>
      </c>
      <c r="R141" s="175">
        <v>7.7150548553113207E-3</v>
      </c>
      <c r="S141" s="175">
        <v>639.73205991686507</v>
      </c>
      <c r="T141" s="292">
        <f t="shared" si="29"/>
        <v>642.13009734553884</v>
      </c>
      <c r="U141" s="180">
        <v>70167.400418664678</v>
      </c>
      <c r="V141" s="293">
        <f t="shared" si="27"/>
        <v>3.7485028169221835E-3</v>
      </c>
      <c r="W141" s="180">
        <v>1576.7503003609072</v>
      </c>
      <c r="X141" s="171">
        <f t="shared" si="36"/>
        <v>0.40572819917677189</v>
      </c>
      <c r="Y141" s="180">
        <v>4886.0249999999996</v>
      </c>
      <c r="Z141" s="180">
        <v>2060.8620000000001</v>
      </c>
    </row>
    <row r="142" spans="1:26" x14ac:dyDescent="0.2">
      <c r="A142" s="147">
        <v>2012</v>
      </c>
      <c r="B142" s="147">
        <v>9</v>
      </c>
      <c r="C142" s="147" t="str">
        <f t="shared" si="32"/>
        <v>20129</v>
      </c>
      <c r="D142" s="147" t="str">
        <f t="shared" si="25"/>
        <v>Q3</v>
      </c>
      <c r="E142" s="147">
        <f t="shared" ref="E142:H161" si="40">VLOOKUP($A142&amp;$D142,$O$1:$W$189,MATCH(E$1,$O$1:$W$1,0),0)</f>
        <v>44866.258581187751</v>
      </c>
      <c r="F142" s="147" t="e">
        <f t="shared" si="40"/>
        <v>#N/A</v>
      </c>
      <c r="G142" s="147">
        <f t="shared" si="40"/>
        <v>40189.459532165798</v>
      </c>
      <c r="H142" s="147">
        <f t="shared" si="40"/>
        <v>1305.7954720858047</v>
      </c>
      <c r="I142" s="290">
        <f t="shared" si="33"/>
        <v>517123.37878805021</v>
      </c>
      <c r="J142" s="172">
        <f t="shared" si="37"/>
        <v>1.9369466629582943E-2</v>
      </c>
      <c r="K142" s="291">
        <f t="shared" si="34"/>
        <v>2.5251139779178347E-3</v>
      </c>
      <c r="M142" s="147">
        <f t="shared" si="38"/>
        <v>2036</v>
      </c>
      <c r="N142" s="170" t="str">
        <f t="shared" si="39"/>
        <v>Q1</v>
      </c>
      <c r="O142" s="170" t="str">
        <f t="shared" si="30"/>
        <v>2036Q1</v>
      </c>
      <c r="P142" s="175">
        <v>81396.531904044168</v>
      </c>
      <c r="Q142" s="175">
        <f t="shared" si="35"/>
        <v>82024.510612715967</v>
      </c>
      <c r="R142" s="175">
        <v>7.7150548553113207E-3</v>
      </c>
      <c r="S142" s="175">
        <v>640.87129782675129</v>
      </c>
      <c r="T142" s="292">
        <f t="shared" si="29"/>
        <v>643.27360569193945</v>
      </c>
      <c r="U142" s="180">
        <v>70857.293052576584</v>
      </c>
      <c r="V142" s="293">
        <f t="shared" si="27"/>
        <v>3.7485028169221835E-3</v>
      </c>
      <c r="W142" s="180">
        <v>1579.2169398459446</v>
      </c>
      <c r="X142" s="171">
        <f t="shared" si="36"/>
        <v>0.40581587092731503</v>
      </c>
      <c r="Y142" s="180">
        <v>4889.9740000000002</v>
      </c>
      <c r="Z142" s="180">
        <v>2064.0509999999999</v>
      </c>
    </row>
    <row r="143" spans="1:26" x14ac:dyDescent="0.2">
      <c r="A143" s="147">
        <v>2012</v>
      </c>
      <c r="B143" s="147">
        <v>10</v>
      </c>
      <c r="C143" s="147" t="str">
        <f t="shared" si="32"/>
        <v>201210</v>
      </c>
      <c r="D143" s="147" t="str">
        <f t="shared" ref="D143:D206" si="41">D131</f>
        <v>Q4</v>
      </c>
      <c r="E143" s="147">
        <f t="shared" si="40"/>
        <v>45216.086175217635</v>
      </c>
      <c r="F143" s="147" t="e">
        <f t="shared" si="40"/>
        <v>#N/A</v>
      </c>
      <c r="G143" s="147">
        <f t="shared" si="40"/>
        <v>40421.283791564252</v>
      </c>
      <c r="H143" s="147">
        <f t="shared" si="40"/>
        <v>1308.0223962775731</v>
      </c>
      <c r="I143" s="290">
        <f t="shared" si="33"/>
        <v>518103.4226495758</v>
      </c>
      <c r="J143" s="172">
        <f t="shared" si="37"/>
        <v>2.2817844423431044E-2</v>
      </c>
      <c r="K143" s="291">
        <f t="shared" si="34"/>
        <v>2.524635698386935E-3</v>
      </c>
      <c r="M143" s="147">
        <f t="shared" si="38"/>
        <v>2036</v>
      </c>
      <c r="N143" s="170" t="str">
        <f t="shared" si="39"/>
        <v>Q2</v>
      </c>
      <c r="O143" s="170" t="str">
        <f t="shared" si="30"/>
        <v>2036Q2</v>
      </c>
      <c r="P143" s="175">
        <v>81730.269000960645</v>
      </c>
      <c r="Q143" s="175">
        <f t="shared" si="35"/>
        <v>82717.499565313352</v>
      </c>
      <c r="R143" s="175">
        <v>1.2079130246605452E-2</v>
      </c>
      <c r="S143" s="175">
        <v>642.14218493052499</v>
      </c>
      <c r="T143" s="292">
        <f t="shared" si="29"/>
        <v>644.54925671960166</v>
      </c>
      <c r="U143" s="180">
        <v>71135.634899548866</v>
      </c>
      <c r="V143" s="293">
        <f t="shared" si="27"/>
        <v>3.7485028169221835E-3</v>
      </c>
      <c r="W143" s="180">
        <v>1582.1005232058155</v>
      </c>
      <c r="X143" s="171">
        <f t="shared" si="36"/>
        <v>0.405879509874221</v>
      </c>
      <c r="Y143" s="180">
        <v>4893.9210000000003</v>
      </c>
      <c r="Z143" s="180">
        <v>2067.4560000000001</v>
      </c>
    </row>
    <row r="144" spans="1:26" x14ac:dyDescent="0.2">
      <c r="A144" s="147">
        <v>2012</v>
      </c>
      <c r="B144" s="147">
        <v>11</v>
      </c>
      <c r="C144" s="147" t="str">
        <f t="shared" si="32"/>
        <v>201211</v>
      </c>
      <c r="D144" s="147" t="str">
        <f t="shared" si="41"/>
        <v>Q4</v>
      </c>
      <c r="E144" s="147">
        <f t="shared" si="40"/>
        <v>45216.086175217635</v>
      </c>
      <c r="F144" s="147" t="e">
        <f t="shared" si="40"/>
        <v>#N/A</v>
      </c>
      <c r="G144" s="147">
        <f t="shared" si="40"/>
        <v>40421.283791564252</v>
      </c>
      <c r="H144" s="147">
        <f t="shared" si="40"/>
        <v>1308.0223962775731</v>
      </c>
      <c r="I144" s="290">
        <f t="shared" si="33"/>
        <v>518103.4226495758</v>
      </c>
      <c r="J144" s="172">
        <f t="shared" si="37"/>
        <v>2.2817844423431044E-2</v>
      </c>
      <c r="K144" s="291">
        <f t="shared" si="34"/>
        <v>2.524635698386935E-3</v>
      </c>
      <c r="M144" s="147">
        <f t="shared" si="38"/>
        <v>2036</v>
      </c>
      <c r="N144" s="170" t="str">
        <f t="shared" si="39"/>
        <v>Q3</v>
      </c>
      <c r="O144" s="170" t="str">
        <f t="shared" si="30"/>
        <v>2036Q3</v>
      </c>
      <c r="P144" s="175">
        <v>82112.846174416991</v>
      </c>
      <c r="Q144" s="175">
        <f t="shared" si="35"/>
        <v>83104.697938277255</v>
      </c>
      <c r="R144" s="175">
        <v>1.2079130246605452E-2</v>
      </c>
      <c r="S144" s="175">
        <v>643.41766149123566</v>
      </c>
      <c r="T144" s="292">
        <f t="shared" si="29"/>
        <v>645.829514407793</v>
      </c>
      <c r="U144" s="180">
        <v>71458.151592626236</v>
      </c>
      <c r="V144" s="293">
        <f t="shared" si="27"/>
        <v>3.7485028169221835E-3</v>
      </c>
      <c r="W144" s="180">
        <v>1584.9823031928072</v>
      </c>
      <c r="X144" s="171">
        <f t="shared" si="36"/>
        <v>0.40594627472819567</v>
      </c>
      <c r="Y144" s="180">
        <v>4897.8549999999996</v>
      </c>
      <c r="Z144" s="180">
        <v>2070.819</v>
      </c>
    </row>
    <row r="145" spans="1:26" x14ac:dyDescent="0.2">
      <c r="A145" s="147">
        <v>2012</v>
      </c>
      <c r="B145" s="147">
        <v>12</v>
      </c>
      <c r="C145" s="147" t="str">
        <f t="shared" si="32"/>
        <v>201212</v>
      </c>
      <c r="D145" s="147" t="str">
        <f t="shared" si="41"/>
        <v>Q4</v>
      </c>
      <c r="E145" s="147">
        <f t="shared" si="40"/>
        <v>45216.086175217635</v>
      </c>
      <c r="F145" s="147" t="e">
        <f t="shared" si="40"/>
        <v>#N/A</v>
      </c>
      <c r="G145" s="147">
        <f t="shared" si="40"/>
        <v>40421.283791564252</v>
      </c>
      <c r="H145" s="147">
        <f t="shared" si="40"/>
        <v>1308.0223962775731</v>
      </c>
      <c r="I145" s="290">
        <f t="shared" si="33"/>
        <v>518103.4226495758</v>
      </c>
      <c r="J145" s="172">
        <f t="shared" si="37"/>
        <v>2.2817844423431044E-2</v>
      </c>
      <c r="K145" s="291">
        <f t="shared" si="34"/>
        <v>2.524635698386935E-3</v>
      </c>
      <c r="M145" s="147">
        <f t="shared" si="38"/>
        <v>2036</v>
      </c>
      <c r="N145" s="170" t="str">
        <f t="shared" si="39"/>
        <v>Q4</v>
      </c>
      <c r="O145" s="170" t="str">
        <f t="shared" si="30"/>
        <v>2036Q4</v>
      </c>
      <c r="P145" s="175">
        <v>82547.572967280867</v>
      </c>
      <c r="Q145" s="175">
        <f t="shared" si="35"/>
        <v>83544.675852693821</v>
      </c>
      <c r="R145" s="175">
        <v>1.2079130246605452E-2</v>
      </c>
      <c r="S145" s="175">
        <v>644.64642834154051</v>
      </c>
      <c r="T145" s="292">
        <f t="shared" si="29"/>
        <v>647.06288729409755</v>
      </c>
      <c r="U145" s="180">
        <v>71824.680357699355</v>
      </c>
      <c r="V145" s="293">
        <f t="shared" si="27"/>
        <v>3.7485028169221835E-3</v>
      </c>
      <c r="W145" s="180">
        <v>1587.8631187716624</v>
      </c>
      <c r="X145" s="171">
        <f t="shared" si="36"/>
        <v>0.40598362712790098</v>
      </c>
      <c r="Y145" s="180">
        <v>4901.7659999999996</v>
      </c>
      <c r="Z145" s="180">
        <v>2074.0059999999999</v>
      </c>
    </row>
    <row r="146" spans="1:26" x14ac:dyDescent="0.2">
      <c r="A146" s="147">
        <v>2013</v>
      </c>
      <c r="B146" s="147">
        <v>1</v>
      </c>
      <c r="C146" s="147" t="str">
        <f t="shared" si="32"/>
        <v>20131</v>
      </c>
      <c r="D146" s="147" t="str">
        <f t="shared" si="41"/>
        <v>Q1</v>
      </c>
      <c r="E146" s="147">
        <f t="shared" si="40"/>
        <v>45376.772272764982</v>
      </c>
      <c r="F146" s="147" t="e">
        <f t="shared" si="40"/>
        <v>#N/A</v>
      </c>
      <c r="G146" s="147">
        <f t="shared" si="40"/>
        <v>40466.045989246653</v>
      </c>
      <c r="H146" s="147">
        <f t="shared" si="40"/>
        <v>1310.232370241386</v>
      </c>
      <c r="I146" s="290">
        <f t="shared" si="33"/>
        <v>519298.98903265578</v>
      </c>
      <c r="J146" s="172">
        <f t="shared" si="37"/>
        <v>2.3888683042008863E-2</v>
      </c>
      <c r="K146" s="291">
        <f t="shared" si="34"/>
        <v>2.5230789928593388E-3</v>
      </c>
      <c r="M146" s="147">
        <f t="shared" si="38"/>
        <v>2037</v>
      </c>
      <c r="N146" s="170" t="str">
        <f t="shared" si="39"/>
        <v>Q1</v>
      </c>
      <c r="O146" s="170" t="str">
        <f t="shared" si="30"/>
        <v>2037Q1</v>
      </c>
      <c r="P146" s="175">
        <v>83259.389468784066</v>
      </c>
      <c r="Q146" s="175">
        <f t="shared" si="35"/>
        <v>83199.431490098679</v>
      </c>
      <c r="R146" s="175">
        <v>-7.2013473877163836E-4</v>
      </c>
      <c r="S146" s="175">
        <v>646.17868991644832</v>
      </c>
      <c r="T146" s="292">
        <f t="shared" si="29"/>
        <v>648.60089255583523</v>
      </c>
      <c r="U146" s="180">
        <v>72447.763150773302</v>
      </c>
      <c r="V146" s="293">
        <f t="shared" si="27"/>
        <v>3.7485028169221835E-3</v>
      </c>
      <c r="W146" s="180">
        <v>1590.3371175079371</v>
      </c>
      <c r="X146" s="171">
        <f t="shared" si="36"/>
        <v>0.40631554329123137</v>
      </c>
      <c r="Y146" s="180">
        <v>4905.6639999999998</v>
      </c>
      <c r="Z146" s="180">
        <v>2077.4059999999999</v>
      </c>
    </row>
    <row r="147" spans="1:26" x14ac:dyDescent="0.2">
      <c r="A147" s="147">
        <v>2013</v>
      </c>
      <c r="B147" s="147">
        <v>2</v>
      </c>
      <c r="C147" s="147" t="str">
        <f t="shared" si="32"/>
        <v>20132</v>
      </c>
      <c r="D147" s="147" t="str">
        <f t="shared" si="41"/>
        <v>Q1</v>
      </c>
      <c r="E147" s="147">
        <f t="shared" si="40"/>
        <v>45376.772272764982</v>
      </c>
      <c r="F147" s="147" t="e">
        <f t="shared" si="40"/>
        <v>#N/A</v>
      </c>
      <c r="G147" s="147">
        <f t="shared" si="40"/>
        <v>40466.045989246653</v>
      </c>
      <c r="H147" s="147">
        <f t="shared" si="40"/>
        <v>1310.232370241386</v>
      </c>
      <c r="I147" s="290">
        <f t="shared" si="33"/>
        <v>519298.98903265578</v>
      </c>
      <c r="J147" s="172">
        <f t="shared" si="37"/>
        <v>2.3888683042008863E-2</v>
      </c>
      <c r="K147" s="291">
        <f t="shared" si="34"/>
        <v>2.5230789928593388E-3</v>
      </c>
      <c r="M147" s="147">
        <f t="shared" si="38"/>
        <v>2037</v>
      </c>
      <c r="N147" s="170" t="str">
        <f t="shared" si="39"/>
        <v>Q2</v>
      </c>
      <c r="O147" s="170" t="str">
        <f t="shared" si="30"/>
        <v>2037Q2</v>
      </c>
      <c r="P147" s="175">
        <v>83608.441309339018</v>
      </c>
      <c r="Q147" s="175">
        <f t="shared" si="35"/>
        <v>83548.231966297608</v>
      </c>
      <c r="R147" s="175">
        <v>-7.2013473877163836E-4</v>
      </c>
      <c r="S147" s="175">
        <v>647.24235365531092</v>
      </c>
      <c r="T147" s="292">
        <f t="shared" si="29"/>
        <v>649.66854344121919</v>
      </c>
      <c r="U147" s="180">
        <v>72741.245498345263</v>
      </c>
      <c r="V147" s="293">
        <f t="shared" si="27"/>
        <v>3.7485028169221835E-3</v>
      </c>
      <c r="W147" s="180">
        <v>1593.2153142308298</v>
      </c>
      <c r="X147" s="171">
        <f t="shared" si="36"/>
        <v>0.40624914151530461</v>
      </c>
      <c r="Y147" s="180">
        <v>4909.5519999999997</v>
      </c>
      <c r="Z147" s="180">
        <v>2080.7649999999999</v>
      </c>
    </row>
    <row r="148" spans="1:26" x14ac:dyDescent="0.2">
      <c r="A148" s="147">
        <v>2013</v>
      </c>
      <c r="B148" s="147">
        <v>3</v>
      </c>
      <c r="C148" s="147" t="str">
        <f t="shared" si="32"/>
        <v>20133</v>
      </c>
      <c r="D148" s="147" t="str">
        <f t="shared" si="41"/>
        <v>Q1</v>
      </c>
      <c r="E148" s="147">
        <f t="shared" si="40"/>
        <v>45376.772272764982</v>
      </c>
      <c r="F148" s="147" t="e">
        <f t="shared" si="40"/>
        <v>#N/A</v>
      </c>
      <c r="G148" s="147">
        <f t="shared" si="40"/>
        <v>40466.045989246653</v>
      </c>
      <c r="H148" s="147">
        <f t="shared" si="40"/>
        <v>1310.232370241386</v>
      </c>
      <c r="I148" s="290">
        <f t="shared" si="33"/>
        <v>519298.98903265578</v>
      </c>
      <c r="J148" s="172">
        <f t="shared" si="37"/>
        <v>2.3888683042008863E-2</v>
      </c>
      <c r="K148" s="291">
        <f t="shared" si="34"/>
        <v>2.5230789928593388E-3</v>
      </c>
      <c r="M148" s="147">
        <f t="shared" si="38"/>
        <v>2037</v>
      </c>
      <c r="N148" s="170" t="str">
        <f t="shared" si="39"/>
        <v>Q3</v>
      </c>
      <c r="O148" s="170" t="str">
        <f t="shared" si="30"/>
        <v>2037Q3</v>
      </c>
      <c r="P148" s="175">
        <v>84037.020618810551</v>
      </c>
      <c r="Q148" s="175">
        <f t="shared" si="35"/>
        <v>83976.50264092008</v>
      </c>
      <c r="R148" s="175">
        <v>-7.2013473877163836E-4</v>
      </c>
      <c r="S148" s="175">
        <v>648.42676799107232</v>
      </c>
      <c r="T148" s="292">
        <f t="shared" si="29"/>
        <v>650.85739755745465</v>
      </c>
      <c r="U148" s="180">
        <v>73102.722593319864</v>
      </c>
      <c r="V148" s="293">
        <f t="shared" si="27"/>
        <v>3.7485028169221835E-3</v>
      </c>
      <c r="W148" s="180">
        <v>1596.0959356728197</v>
      </c>
      <c r="X148" s="171">
        <f t="shared" si="36"/>
        <v>0.40625801588657884</v>
      </c>
      <c r="Y148" s="180">
        <v>4913.4409999999998</v>
      </c>
      <c r="Z148" s="180">
        <v>2084.1149999999998</v>
      </c>
    </row>
    <row r="149" spans="1:26" x14ac:dyDescent="0.2">
      <c r="A149" s="147">
        <v>2013</v>
      </c>
      <c r="B149" s="147">
        <v>4</v>
      </c>
      <c r="C149" s="147" t="str">
        <f t="shared" si="32"/>
        <v>20134</v>
      </c>
      <c r="D149" s="147" t="str">
        <f t="shared" si="41"/>
        <v>Q2</v>
      </c>
      <c r="E149" s="147">
        <f t="shared" si="40"/>
        <v>45714.640558373634</v>
      </c>
      <c r="F149" s="147" t="e">
        <f t="shared" si="40"/>
        <v>#N/A</v>
      </c>
      <c r="G149" s="147">
        <f t="shared" si="40"/>
        <v>40674.221991986815</v>
      </c>
      <c r="H149" s="147">
        <f t="shared" si="40"/>
        <v>1312.4721746129399</v>
      </c>
      <c r="I149" s="290">
        <f t="shared" si="33"/>
        <v>520695.07951768732</v>
      </c>
      <c r="J149" s="172">
        <f t="shared" si="37"/>
        <v>2.6124646040655675E-2</v>
      </c>
      <c r="K149" s="291">
        <f t="shared" si="34"/>
        <v>2.5206156659453452E-3</v>
      </c>
      <c r="M149" s="147">
        <f t="shared" si="38"/>
        <v>2037</v>
      </c>
      <c r="N149" s="170" t="str">
        <f t="shared" si="39"/>
        <v>Q4</v>
      </c>
      <c r="O149" s="170" t="str">
        <f t="shared" si="30"/>
        <v>2037Q4</v>
      </c>
      <c r="P149" s="175">
        <v>84396.478154365919</v>
      </c>
      <c r="Q149" s="175">
        <f t="shared" si="35"/>
        <v>84447.650084376844</v>
      </c>
      <c r="R149" s="175">
        <v>6.0632778914460062E-4</v>
      </c>
      <c r="S149" s="175">
        <v>649.58191279176742</v>
      </c>
      <c r="T149" s="292">
        <f t="shared" si="29"/>
        <v>652.01687242168907</v>
      </c>
      <c r="U149" s="180">
        <v>73402.360419798119</v>
      </c>
      <c r="V149" s="293">
        <f t="shared" si="27"/>
        <v>3.7485028169221835E-3</v>
      </c>
      <c r="W149" s="180">
        <v>1598.9764503681336</v>
      </c>
      <c r="X149" s="171">
        <f t="shared" si="36"/>
        <v>0.40624858023532096</v>
      </c>
      <c r="Y149" s="180">
        <v>4917.3090000000002</v>
      </c>
      <c r="Z149" s="180">
        <v>2087.3009999999999</v>
      </c>
    </row>
    <row r="150" spans="1:26" x14ac:dyDescent="0.2">
      <c r="A150" s="147">
        <v>2013</v>
      </c>
      <c r="B150" s="147">
        <v>5</v>
      </c>
      <c r="C150" s="147" t="str">
        <f t="shared" si="32"/>
        <v>20135</v>
      </c>
      <c r="D150" s="147" t="str">
        <f t="shared" si="41"/>
        <v>Q2</v>
      </c>
      <c r="E150" s="147">
        <f t="shared" si="40"/>
        <v>45714.640558373634</v>
      </c>
      <c r="F150" s="147" t="e">
        <f t="shared" si="40"/>
        <v>#N/A</v>
      </c>
      <c r="G150" s="147">
        <f t="shared" si="40"/>
        <v>40674.221991986815</v>
      </c>
      <c r="H150" s="147">
        <f t="shared" si="40"/>
        <v>1312.4721746129399</v>
      </c>
      <c r="I150" s="290">
        <f t="shared" si="33"/>
        <v>520695.07951768732</v>
      </c>
      <c r="J150" s="172">
        <f t="shared" si="37"/>
        <v>2.6124646040655675E-2</v>
      </c>
      <c r="K150" s="291">
        <f t="shared" si="34"/>
        <v>2.5206156659453452E-3</v>
      </c>
      <c r="M150" s="147">
        <f t="shared" si="38"/>
        <v>2038</v>
      </c>
      <c r="N150" s="170" t="str">
        <f t="shared" si="39"/>
        <v>Q1</v>
      </c>
      <c r="O150" s="170" t="str">
        <f t="shared" si="30"/>
        <v>2038Q1</v>
      </c>
      <c r="P150" s="175">
        <v>85274.037022342149</v>
      </c>
      <c r="Q150" s="175">
        <f t="shared" si="35"/>
        <v>85325.741040681343</v>
      </c>
      <c r="R150" s="175">
        <v>6.0632778914460062E-4</v>
      </c>
      <c r="S150" s="175">
        <v>650.64643651730421</v>
      </c>
      <c r="T150" s="292">
        <f t="shared" si="29"/>
        <v>653.08538651740969</v>
      </c>
      <c r="U150" s="180">
        <v>74168.296997856392</v>
      </c>
      <c r="V150" s="293">
        <f t="shared" si="27"/>
        <v>3.7485028169221835E-3</v>
      </c>
      <c r="W150" s="180">
        <v>1601.4611143230209</v>
      </c>
      <c r="X150" s="171">
        <f t="shared" si="36"/>
        <v>0.40628300662320443</v>
      </c>
      <c r="Y150" s="180">
        <v>4921.1719999999996</v>
      </c>
      <c r="Z150" s="180">
        <v>2090.703</v>
      </c>
    </row>
    <row r="151" spans="1:26" x14ac:dyDescent="0.2">
      <c r="A151" s="147">
        <v>2013</v>
      </c>
      <c r="B151" s="147">
        <v>6</v>
      </c>
      <c r="C151" s="147" t="str">
        <f t="shared" si="32"/>
        <v>20136</v>
      </c>
      <c r="D151" s="147" t="str">
        <f t="shared" si="41"/>
        <v>Q2</v>
      </c>
      <c r="E151" s="147">
        <f t="shared" si="40"/>
        <v>45714.640558373634</v>
      </c>
      <c r="F151" s="147" t="e">
        <f t="shared" si="40"/>
        <v>#N/A</v>
      </c>
      <c r="G151" s="147">
        <f t="shared" si="40"/>
        <v>40674.221991986815</v>
      </c>
      <c r="H151" s="147">
        <f t="shared" si="40"/>
        <v>1312.4721746129399</v>
      </c>
      <c r="I151" s="290">
        <f t="shared" si="33"/>
        <v>520695.07951768732</v>
      </c>
      <c r="J151" s="172">
        <f t="shared" si="37"/>
        <v>2.6124646040655675E-2</v>
      </c>
      <c r="K151" s="291">
        <f t="shared" si="34"/>
        <v>2.5206156659453452E-3</v>
      </c>
      <c r="M151" s="147">
        <f t="shared" si="38"/>
        <v>2038</v>
      </c>
      <c r="N151" s="170" t="str">
        <f t="shared" si="39"/>
        <v>Q2</v>
      </c>
      <c r="O151" s="170" t="str">
        <f t="shared" si="30"/>
        <v>2038Q2</v>
      </c>
      <c r="P151" s="175">
        <v>85614.016958018779</v>
      </c>
      <c r="Q151" s="175">
        <f t="shared" si="35"/>
        <v>85665.927115640719</v>
      </c>
      <c r="R151" s="175">
        <v>6.0632778914460062E-4</v>
      </c>
      <c r="S151" s="175">
        <v>651.85894634814315</v>
      </c>
      <c r="T151" s="292">
        <f t="shared" si="29"/>
        <v>654.30244144476512</v>
      </c>
      <c r="U151" s="180">
        <v>74450.486243109015</v>
      </c>
      <c r="V151" s="293">
        <f t="shared" si="27"/>
        <v>3.7485028169221835E-3</v>
      </c>
      <c r="W151" s="180">
        <v>1604.3431943766236</v>
      </c>
      <c r="X151" s="171">
        <f t="shared" si="36"/>
        <v>0.40630891733948893</v>
      </c>
      <c r="Y151" s="180">
        <v>4925.0309999999999</v>
      </c>
      <c r="Z151" s="180">
        <v>2094.067</v>
      </c>
    </row>
    <row r="152" spans="1:26" x14ac:dyDescent="0.2">
      <c r="A152" s="147">
        <v>2013</v>
      </c>
      <c r="B152" s="147">
        <v>7</v>
      </c>
      <c r="C152" s="147" t="str">
        <f t="shared" si="32"/>
        <v>20137</v>
      </c>
      <c r="D152" s="147" t="str">
        <f t="shared" si="41"/>
        <v>Q3</v>
      </c>
      <c r="E152" s="147">
        <f t="shared" si="40"/>
        <v>45966.303547101437</v>
      </c>
      <c r="F152" s="147" t="e">
        <f t="shared" si="40"/>
        <v>#N/A</v>
      </c>
      <c r="G152" s="147">
        <f t="shared" si="40"/>
        <v>40887.017192114734</v>
      </c>
      <c r="H152" s="147">
        <f t="shared" si="40"/>
        <v>1314.6929069541804</v>
      </c>
      <c r="I152" s="290">
        <f t="shared" si="33"/>
        <v>522078.45379654644</v>
      </c>
      <c r="J152" s="172">
        <f t="shared" si="37"/>
        <v>2.4518312885909666E-2</v>
      </c>
      <c r="K152" s="291">
        <f t="shared" si="34"/>
        <v>2.5181903167881261E-3</v>
      </c>
      <c r="M152" s="147">
        <f t="shared" si="38"/>
        <v>2038</v>
      </c>
      <c r="N152" s="170" t="str">
        <f t="shared" si="39"/>
        <v>Q3</v>
      </c>
      <c r="O152" s="170" t="str">
        <f t="shared" si="30"/>
        <v>2038Q3</v>
      </c>
      <c r="P152" s="175">
        <v>86051.450056753849</v>
      </c>
      <c r="Q152" s="175">
        <f t="shared" si="35"/>
        <v>86261.533666774703</v>
      </c>
      <c r="R152" s="175">
        <v>2.4413721079923345E-3</v>
      </c>
      <c r="S152" s="175">
        <v>652.90882450601555</v>
      </c>
      <c r="T152" s="292">
        <f t="shared" si="29"/>
        <v>655.35625507386965</v>
      </c>
      <c r="U152" s="180">
        <v>74816.632055130074</v>
      </c>
      <c r="V152" s="293">
        <f t="shared" si="27"/>
        <v>3.7485028169221835E-3</v>
      </c>
      <c r="W152" s="180">
        <v>1606.83089746121</v>
      </c>
      <c r="X152" s="171">
        <f t="shared" si="36"/>
        <v>0.40633325232767825</v>
      </c>
      <c r="Y152" s="180">
        <v>4928.8869999999997</v>
      </c>
      <c r="Z152" s="180">
        <v>2097.4160000000002</v>
      </c>
    </row>
    <row r="153" spans="1:26" x14ac:dyDescent="0.2">
      <c r="A153" s="147">
        <v>2013</v>
      </c>
      <c r="B153" s="147">
        <v>8</v>
      </c>
      <c r="C153" s="147" t="str">
        <f t="shared" si="32"/>
        <v>20138</v>
      </c>
      <c r="D153" s="147" t="str">
        <f t="shared" si="41"/>
        <v>Q3</v>
      </c>
      <c r="E153" s="147">
        <f t="shared" si="40"/>
        <v>45966.303547101437</v>
      </c>
      <c r="F153" s="147" t="e">
        <f t="shared" si="40"/>
        <v>#N/A</v>
      </c>
      <c r="G153" s="147">
        <f t="shared" si="40"/>
        <v>40887.017192114734</v>
      </c>
      <c r="H153" s="147">
        <f t="shared" si="40"/>
        <v>1314.6929069541804</v>
      </c>
      <c r="I153" s="290">
        <f t="shared" si="33"/>
        <v>522078.45379654644</v>
      </c>
      <c r="J153" s="172">
        <f t="shared" si="37"/>
        <v>2.4518312885909666E-2</v>
      </c>
      <c r="K153" s="291">
        <f t="shared" si="34"/>
        <v>2.5181903167881261E-3</v>
      </c>
      <c r="M153" s="147">
        <f t="shared" si="38"/>
        <v>2038</v>
      </c>
      <c r="N153" s="170" t="str">
        <f t="shared" si="39"/>
        <v>Q4</v>
      </c>
      <c r="O153" s="170" t="str">
        <f t="shared" si="30"/>
        <v>2038Q4</v>
      </c>
      <c r="P153" s="175">
        <v>86351.651557606034</v>
      </c>
      <c r="Q153" s="175">
        <f t="shared" si="35"/>
        <v>86562.468071197844</v>
      </c>
      <c r="R153" s="175">
        <v>2.4413721079923345E-3</v>
      </c>
      <c r="S153" s="175">
        <v>654.04624818355182</v>
      </c>
      <c r="T153" s="292">
        <f t="shared" si="29"/>
        <v>656.4979423872652</v>
      </c>
      <c r="U153" s="180">
        <v>75064.067244100908</v>
      </c>
      <c r="V153" s="293">
        <f t="shared" si="27"/>
        <v>3.7485028169221835E-3</v>
      </c>
      <c r="W153" s="180">
        <v>1609.7258733013837</v>
      </c>
      <c r="X153" s="171">
        <f t="shared" si="36"/>
        <v>0.40630908593285492</v>
      </c>
      <c r="Y153" s="180">
        <v>4932.7629999999999</v>
      </c>
      <c r="Z153" s="180">
        <v>2100.62</v>
      </c>
    </row>
    <row r="154" spans="1:26" x14ac:dyDescent="0.2">
      <c r="A154" s="147">
        <v>2013</v>
      </c>
      <c r="B154" s="147">
        <v>9</v>
      </c>
      <c r="C154" s="147" t="str">
        <f t="shared" si="32"/>
        <v>20139</v>
      </c>
      <c r="D154" s="147" t="str">
        <f t="shared" si="41"/>
        <v>Q3</v>
      </c>
      <c r="E154" s="147">
        <f t="shared" si="40"/>
        <v>45966.303547101437</v>
      </c>
      <c r="F154" s="147" t="e">
        <f t="shared" si="40"/>
        <v>#N/A</v>
      </c>
      <c r="G154" s="147">
        <f t="shared" si="40"/>
        <v>40887.017192114734</v>
      </c>
      <c r="H154" s="147">
        <f t="shared" si="40"/>
        <v>1314.6929069541804</v>
      </c>
      <c r="I154" s="290">
        <f t="shared" si="33"/>
        <v>522078.45379654644</v>
      </c>
      <c r="J154" s="172">
        <f t="shared" si="37"/>
        <v>2.4518312885909666E-2</v>
      </c>
      <c r="K154" s="291">
        <f t="shared" si="34"/>
        <v>2.5181903167881261E-3</v>
      </c>
      <c r="M154" s="147">
        <f t="shared" si="38"/>
        <v>2039</v>
      </c>
      <c r="N154" s="170" t="str">
        <f t="shared" si="39"/>
        <v>Q1</v>
      </c>
      <c r="O154" s="170" t="str">
        <f t="shared" si="30"/>
        <v>2039Q1</v>
      </c>
      <c r="P154" s="175">
        <v>87243.584430366842</v>
      </c>
      <c r="Q154" s="175">
        <f t="shared" si="35"/>
        <v>87456.578483996418</v>
      </c>
      <c r="R154" s="175">
        <v>2.4413721079923345E-3</v>
      </c>
      <c r="S154" s="175">
        <v>655.30018451505816</v>
      </c>
      <c r="T154" s="292">
        <f t="shared" si="29"/>
        <v>657.75657910264249</v>
      </c>
      <c r="U154" s="180">
        <v>75840.568404815305</v>
      </c>
      <c r="V154" s="293">
        <f t="shared" si="27"/>
        <v>3.7485028169221835E-3</v>
      </c>
      <c r="W154" s="180">
        <v>1612.6175504805458</v>
      </c>
      <c r="X154" s="171">
        <f t="shared" si="36"/>
        <v>0.40635808801645779</v>
      </c>
      <c r="Y154" s="180">
        <v>4936.625</v>
      </c>
      <c r="Z154" s="180">
        <v>2104.0360000000001</v>
      </c>
    </row>
    <row r="155" spans="1:26" x14ac:dyDescent="0.2">
      <c r="A155" s="147">
        <v>2013</v>
      </c>
      <c r="B155" s="147">
        <v>10</v>
      </c>
      <c r="C155" s="147" t="str">
        <f t="shared" si="32"/>
        <v>201310</v>
      </c>
      <c r="D155" s="147" t="str">
        <f t="shared" si="41"/>
        <v>Q4</v>
      </c>
      <c r="E155" s="147">
        <f t="shared" si="40"/>
        <v>46209.347191698413</v>
      </c>
      <c r="F155" s="147" t="e">
        <f t="shared" si="40"/>
        <v>#N/A</v>
      </c>
      <c r="G155" s="147">
        <f t="shared" si="40"/>
        <v>41128.895775846191</v>
      </c>
      <c r="H155" s="147">
        <f t="shared" si="40"/>
        <v>1316.7863350402588</v>
      </c>
      <c r="I155" s="290">
        <f t="shared" si="33"/>
        <v>523479.54543126945</v>
      </c>
      <c r="J155" s="172">
        <f t="shared" si="37"/>
        <v>2.1966983445488308E-2</v>
      </c>
      <c r="K155" s="291">
        <f t="shared" si="34"/>
        <v>2.5154494507620587E-3</v>
      </c>
      <c r="M155" s="147">
        <f t="shared" si="38"/>
        <v>2039</v>
      </c>
      <c r="N155" s="170" t="str">
        <f t="shared" si="39"/>
        <v>Q2</v>
      </c>
      <c r="O155" s="170" t="str">
        <f t="shared" si="30"/>
        <v>2039Q2</v>
      </c>
      <c r="P155" s="175">
        <v>87603.701543726274</v>
      </c>
      <c r="Q155" s="175">
        <f t="shared" si="35"/>
        <v>88206.735149317159</v>
      </c>
      <c r="R155" s="175">
        <v>6.8836544000356881E-3</v>
      </c>
      <c r="S155" s="175">
        <v>656.52817840494413</v>
      </c>
      <c r="T155" s="292">
        <f t="shared" si="29"/>
        <v>658.98917613108381</v>
      </c>
      <c r="U155" s="180">
        <v>76141.322355622717</v>
      </c>
      <c r="V155" s="293">
        <f t="shared" si="27"/>
        <v>3.7485028169221835E-3</v>
      </c>
      <c r="W155" s="180">
        <v>1615.5089503416345</v>
      </c>
      <c r="X155" s="171">
        <f t="shared" si="36"/>
        <v>0.4063909260707636</v>
      </c>
      <c r="Y155" s="180">
        <v>4940.4740000000002</v>
      </c>
      <c r="Z155" s="180">
        <v>2107.4079999999999</v>
      </c>
    </row>
    <row r="156" spans="1:26" x14ac:dyDescent="0.2">
      <c r="A156" s="147">
        <v>2013</v>
      </c>
      <c r="B156" s="147">
        <v>11</v>
      </c>
      <c r="C156" s="147" t="str">
        <f t="shared" si="32"/>
        <v>201311</v>
      </c>
      <c r="D156" s="147" t="str">
        <f t="shared" si="41"/>
        <v>Q4</v>
      </c>
      <c r="E156" s="147">
        <f t="shared" si="40"/>
        <v>46209.347191698413</v>
      </c>
      <c r="F156" s="147" t="e">
        <f t="shared" si="40"/>
        <v>#N/A</v>
      </c>
      <c r="G156" s="147">
        <f t="shared" si="40"/>
        <v>41128.895775846191</v>
      </c>
      <c r="H156" s="147">
        <f t="shared" si="40"/>
        <v>1316.7863350402588</v>
      </c>
      <c r="I156" s="290">
        <f t="shared" si="33"/>
        <v>523479.54543126945</v>
      </c>
      <c r="J156" s="172">
        <f t="shared" si="37"/>
        <v>2.1966983445488308E-2</v>
      </c>
      <c r="K156" s="291">
        <f t="shared" si="34"/>
        <v>2.5154494507620587E-3</v>
      </c>
      <c r="M156" s="147">
        <f t="shared" si="38"/>
        <v>2039</v>
      </c>
      <c r="N156" s="170" t="str">
        <f t="shared" si="39"/>
        <v>Q3</v>
      </c>
      <c r="O156" s="170" t="str">
        <f t="shared" si="30"/>
        <v>2039Q3</v>
      </c>
      <c r="P156" s="175">
        <v>88028.085690623164</v>
      </c>
      <c r="Q156" s="175">
        <f t="shared" si="35"/>
        <v>88634.040610014141</v>
      </c>
      <c r="R156" s="175">
        <v>6.8836544000356881E-3</v>
      </c>
      <c r="S156" s="175">
        <v>657.46191608893332</v>
      </c>
      <c r="T156" s="292">
        <f t="shared" si="29"/>
        <v>659.92641393341171</v>
      </c>
      <c r="U156" s="180">
        <v>76492.965770602008</v>
      </c>
      <c r="V156" s="293">
        <f t="shared" si="27"/>
        <v>3.7485028169221835E-3</v>
      </c>
      <c r="W156" s="180">
        <v>1617.6029197345481</v>
      </c>
      <c r="X156" s="171">
        <f t="shared" si="36"/>
        <v>0.40644209284490174</v>
      </c>
      <c r="Y156" s="180">
        <v>4944.3090000000002</v>
      </c>
      <c r="Z156" s="180">
        <v>2110.6</v>
      </c>
    </row>
    <row r="157" spans="1:26" x14ac:dyDescent="0.2">
      <c r="A157" s="147">
        <v>2013</v>
      </c>
      <c r="B157" s="147">
        <v>12</v>
      </c>
      <c r="C157" s="147" t="str">
        <f t="shared" si="32"/>
        <v>201312</v>
      </c>
      <c r="D157" s="147" t="str">
        <f t="shared" si="41"/>
        <v>Q4</v>
      </c>
      <c r="E157" s="147">
        <f t="shared" si="40"/>
        <v>46209.347191698413</v>
      </c>
      <c r="F157" s="147" t="e">
        <f t="shared" si="40"/>
        <v>#N/A</v>
      </c>
      <c r="G157" s="147">
        <f t="shared" si="40"/>
        <v>41128.895775846191</v>
      </c>
      <c r="H157" s="147">
        <f t="shared" si="40"/>
        <v>1316.7863350402588</v>
      </c>
      <c r="I157" s="290">
        <f t="shared" si="33"/>
        <v>523479.54543126945</v>
      </c>
      <c r="J157" s="172">
        <f t="shared" si="37"/>
        <v>2.1966983445488308E-2</v>
      </c>
      <c r="K157" s="291">
        <f t="shared" si="34"/>
        <v>2.5154494507620587E-3</v>
      </c>
      <c r="M157" s="147">
        <f t="shared" si="38"/>
        <v>2039</v>
      </c>
      <c r="N157" s="170" t="str">
        <f t="shared" si="39"/>
        <v>Q4</v>
      </c>
      <c r="O157" s="170" t="str">
        <f t="shared" si="30"/>
        <v>2039Q4</v>
      </c>
      <c r="P157" s="175">
        <v>88279.848276366916</v>
      </c>
      <c r="Q157" s="175">
        <f t="shared" si="35"/>
        <v>88887.536242389018</v>
      </c>
      <c r="R157" s="175">
        <v>6.8836544000356881E-3</v>
      </c>
      <c r="S157" s="175">
        <v>658.56291460396233</v>
      </c>
      <c r="T157" s="292">
        <f t="shared" si="29"/>
        <v>661.03153954447578</v>
      </c>
      <c r="U157" s="180">
        <v>76695.004703515413</v>
      </c>
      <c r="V157" s="293">
        <f t="shared" si="27"/>
        <v>3.7485028169221835E-3</v>
      </c>
      <c r="W157" s="180">
        <v>1620.4951949773053</v>
      </c>
      <c r="X157" s="171">
        <f t="shared" si="36"/>
        <v>0.40639609216069617</v>
      </c>
      <c r="Y157" s="180">
        <v>4948.1319999999996</v>
      </c>
      <c r="Z157" s="180">
        <v>2114.0059999999999</v>
      </c>
    </row>
    <row r="158" spans="1:26" x14ac:dyDescent="0.2">
      <c r="A158" s="147">
        <v>2014</v>
      </c>
      <c r="B158" s="147">
        <v>1</v>
      </c>
      <c r="C158" s="147" t="str">
        <f t="shared" si="32"/>
        <v>20141</v>
      </c>
      <c r="D158" s="147" t="str">
        <f t="shared" si="41"/>
        <v>Q1</v>
      </c>
      <c r="E158" s="147">
        <f t="shared" si="40"/>
        <v>46705.294010877034</v>
      </c>
      <c r="F158" s="147" t="e">
        <f t="shared" si="40"/>
        <v>#N/A</v>
      </c>
      <c r="G158" s="147">
        <f t="shared" si="40"/>
        <v>41502.915812465311</v>
      </c>
      <c r="H158" s="147">
        <f t="shared" si="40"/>
        <v>1319.1344237950432</v>
      </c>
      <c r="I158" s="290">
        <f t="shared" si="33"/>
        <v>525001.38825465669</v>
      </c>
      <c r="J158" s="172">
        <f t="shared" si="37"/>
        <v>2.9277572457691692E-2</v>
      </c>
      <c r="K158" s="291">
        <f t="shared" si="34"/>
        <v>2.512630353570008E-3</v>
      </c>
      <c r="M158" s="147">
        <f t="shared" si="38"/>
        <v>2040</v>
      </c>
      <c r="N158" s="170" t="str">
        <f t="shared" si="39"/>
        <v>Q1</v>
      </c>
      <c r="O158" s="170" t="str">
        <f t="shared" si="30"/>
        <v>2040Q1</v>
      </c>
      <c r="P158" s="175">
        <v>89222.179179600847</v>
      </c>
      <c r="Q158" s="175">
        <f t="shared" si="35"/>
        <v>89929.271494689019</v>
      </c>
      <c r="R158" s="175">
        <v>7.9250733572067134E-3</v>
      </c>
      <c r="S158" s="175">
        <v>660.01880586217703</v>
      </c>
      <c r="T158" s="292">
        <f t="shared" si="29"/>
        <v>662.49288821517302</v>
      </c>
      <c r="U158" s="180">
        <v>77513.638711835636</v>
      </c>
      <c r="V158" s="293">
        <f t="shared" si="27"/>
        <v>3.7485028169221835E-3</v>
      </c>
      <c r="W158" s="180">
        <v>1623.7853490545465</v>
      </c>
      <c r="X158" s="171">
        <f t="shared" si="36"/>
        <v>0.40646924560963354</v>
      </c>
      <c r="Y158" s="180">
        <v>4951.9440000000004</v>
      </c>
      <c r="Z158" s="180">
        <v>2117.37</v>
      </c>
    </row>
    <row r="159" spans="1:26" x14ac:dyDescent="0.2">
      <c r="A159" s="147">
        <v>2014</v>
      </c>
      <c r="B159" s="147">
        <v>2</v>
      </c>
      <c r="C159" s="147" t="str">
        <f t="shared" si="32"/>
        <v>20142</v>
      </c>
      <c r="D159" s="147" t="str">
        <f t="shared" si="41"/>
        <v>Q1</v>
      </c>
      <c r="E159" s="147">
        <f t="shared" si="40"/>
        <v>46705.294010877034</v>
      </c>
      <c r="F159" s="147" t="e">
        <f t="shared" si="40"/>
        <v>#N/A</v>
      </c>
      <c r="G159" s="147">
        <f t="shared" si="40"/>
        <v>41502.915812465311</v>
      </c>
      <c r="H159" s="147">
        <f t="shared" si="40"/>
        <v>1319.1344237950432</v>
      </c>
      <c r="I159" s="290">
        <f t="shared" si="33"/>
        <v>525001.38825465669</v>
      </c>
      <c r="J159" s="172">
        <f t="shared" si="37"/>
        <v>2.9277572457691692E-2</v>
      </c>
      <c r="K159" s="291">
        <f t="shared" si="34"/>
        <v>2.512630353570008E-3</v>
      </c>
      <c r="M159" s="147">
        <f t="shared" si="38"/>
        <v>2040</v>
      </c>
      <c r="N159" s="170" t="str">
        <f t="shared" si="39"/>
        <v>Q2</v>
      </c>
      <c r="O159" s="170" t="str">
        <f t="shared" si="30"/>
        <v>2040Q2</v>
      </c>
      <c r="P159" s="175">
        <v>89619.451080955274</v>
      </c>
      <c r="Q159" s="175">
        <f t="shared" si="35"/>
        <v>90329.691805004448</v>
      </c>
      <c r="R159" s="175">
        <v>7.9250733572067134E-3</v>
      </c>
      <c r="S159" s="175">
        <v>661.22040958897628</v>
      </c>
      <c r="T159" s="292">
        <f t="shared" si="29"/>
        <v>663.69899615692702</v>
      </c>
      <c r="U159" s="180">
        <v>77841.976074505961</v>
      </c>
      <c r="V159" s="293">
        <f t="shared" ref="V159:V174" si="42">V158</f>
        <v>3.7485028169221835E-3</v>
      </c>
      <c r="W159" s="180">
        <v>1626.6764251669936</v>
      </c>
      <c r="X159" s="171">
        <f t="shared" si="36"/>
        <v>0.40648551817617679</v>
      </c>
      <c r="Y159" s="180">
        <v>4955.7439999999997</v>
      </c>
      <c r="Z159" s="180">
        <v>2120.7190000000001</v>
      </c>
    </row>
    <row r="160" spans="1:26" x14ac:dyDescent="0.2">
      <c r="A160" s="147">
        <v>2014</v>
      </c>
      <c r="B160" s="147">
        <v>3</v>
      </c>
      <c r="C160" s="147" t="str">
        <f t="shared" si="32"/>
        <v>20143</v>
      </c>
      <c r="D160" s="147" t="str">
        <f t="shared" si="41"/>
        <v>Q1</v>
      </c>
      <c r="E160" s="147">
        <f t="shared" si="40"/>
        <v>46705.294010877034</v>
      </c>
      <c r="F160" s="147" t="e">
        <f t="shared" si="40"/>
        <v>#N/A</v>
      </c>
      <c r="G160" s="147">
        <f t="shared" si="40"/>
        <v>41502.915812465311</v>
      </c>
      <c r="H160" s="147">
        <f t="shared" si="40"/>
        <v>1319.1344237950432</v>
      </c>
      <c r="I160" s="290">
        <f t="shared" si="33"/>
        <v>525001.38825465669</v>
      </c>
      <c r="J160" s="172">
        <f t="shared" si="37"/>
        <v>2.9277572457691692E-2</v>
      </c>
      <c r="K160" s="291">
        <f t="shared" si="34"/>
        <v>2.512630353570008E-3</v>
      </c>
      <c r="M160" s="147">
        <f t="shared" si="38"/>
        <v>2040</v>
      </c>
      <c r="N160" s="170" t="str">
        <f t="shared" si="39"/>
        <v>Q3</v>
      </c>
      <c r="O160" s="170" t="str">
        <f t="shared" si="30"/>
        <v>2040Q3</v>
      </c>
      <c r="P160" s="175">
        <v>90050.816772518796</v>
      </c>
      <c r="Q160" s="175">
        <f t="shared" si="35"/>
        <v>90764.476101317385</v>
      </c>
      <c r="R160" s="175">
        <v>7.9250733572067134E-3</v>
      </c>
      <c r="S160" s="175">
        <v>662.00450475364175</v>
      </c>
      <c r="T160" s="292">
        <f t="shared" si="29"/>
        <v>664.48603050452596</v>
      </c>
      <c r="U160" s="180">
        <v>78204.146715535113</v>
      </c>
      <c r="V160" s="293">
        <f t="shared" si="42"/>
        <v>3.7485028169221835E-3</v>
      </c>
      <c r="W160" s="180">
        <v>1628.3660504644736</v>
      </c>
      <c r="X160" s="171">
        <f t="shared" si="36"/>
        <v>0.40654526331153379</v>
      </c>
      <c r="Y160" s="180">
        <v>4959.5339999999997</v>
      </c>
      <c r="Z160" s="180">
        <v>2123.8980000000001</v>
      </c>
    </row>
    <row r="161" spans="1:26" x14ac:dyDescent="0.2">
      <c r="A161" s="147">
        <v>2014</v>
      </c>
      <c r="B161" s="147">
        <v>4</v>
      </c>
      <c r="C161" s="147" t="str">
        <f t="shared" si="32"/>
        <v>20144</v>
      </c>
      <c r="D161" s="147" t="str">
        <f t="shared" si="41"/>
        <v>Q2</v>
      </c>
      <c r="E161" s="147">
        <f t="shared" si="40"/>
        <v>47013.881030535427</v>
      </c>
      <c r="F161" s="147" t="e">
        <f t="shared" si="40"/>
        <v>#N/A</v>
      </c>
      <c r="G161" s="147">
        <f t="shared" si="40"/>
        <v>41808.34126836736</v>
      </c>
      <c r="H161" s="147">
        <f t="shared" si="40"/>
        <v>1322.1544157462699</v>
      </c>
      <c r="I161" s="290">
        <f t="shared" si="33"/>
        <v>526821.51362526743</v>
      </c>
      <c r="J161" s="172">
        <f t="shared" si="37"/>
        <v>2.8420664721245714E-2</v>
      </c>
      <c r="K161" s="291">
        <f t="shared" si="34"/>
        <v>2.5096818970964225E-3</v>
      </c>
      <c r="M161" s="147">
        <f t="shared" si="38"/>
        <v>2040</v>
      </c>
      <c r="N161" s="170" t="str">
        <f t="shared" si="39"/>
        <v>Q4</v>
      </c>
      <c r="O161" s="170" t="str">
        <f t="shared" si="30"/>
        <v>2040Q4</v>
      </c>
      <c r="P161" s="175">
        <v>90234.561150025693</v>
      </c>
      <c r="Q161" s="175">
        <f t="shared" si="35"/>
        <v>90903.90560777206</v>
      </c>
      <c r="R161" s="175">
        <v>7.4178280385661655E-3</v>
      </c>
      <c r="S161" s="175">
        <v>663.00775377696857</v>
      </c>
      <c r="T161" s="292">
        <f t="shared" si="29"/>
        <v>665.4930402096428</v>
      </c>
      <c r="U161" s="180">
        <v>78353.210632927832</v>
      </c>
      <c r="V161" s="293">
        <f t="shared" si="42"/>
        <v>3.7485028169221835E-3</v>
      </c>
      <c r="W161" s="180">
        <v>1631.2593703972593</v>
      </c>
      <c r="X161" s="171">
        <f t="shared" si="36"/>
        <v>0.40643920017177088</v>
      </c>
      <c r="Y161" s="180">
        <v>4963.3140000000003</v>
      </c>
      <c r="Z161" s="180">
        <v>2127.299</v>
      </c>
    </row>
    <row r="162" spans="1:26" x14ac:dyDescent="0.2">
      <c r="A162" s="147">
        <v>2014</v>
      </c>
      <c r="B162" s="147">
        <v>5</v>
      </c>
      <c r="C162" s="147" t="str">
        <f t="shared" si="32"/>
        <v>20145</v>
      </c>
      <c r="D162" s="147" t="str">
        <f t="shared" si="41"/>
        <v>Q2</v>
      </c>
      <c r="E162" s="147">
        <f t="shared" ref="E162:H181" si="43">VLOOKUP($A162&amp;$D162,$O$1:$W$189,MATCH(E$1,$O$1:$W$1,0),0)</f>
        <v>47013.881030535427</v>
      </c>
      <c r="F162" s="147" t="e">
        <f t="shared" si="43"/>
        <v>#N/A</v>
      </c>
      <c r="G162" s="147">
        <f t="shared" si="43"/>
        <v>41808.34126836736</v>
      </c>
      <c r="H162" s="147">
        <f t="shared" si="43"/>
        <v>1322.1544157462699</v>
      </c>
      <c r="I162" s="290">
        <f t="shared" si="33"/>
        <v>526821.51362526743</v>
      </c>
      <c r="J162" s="172">
        <f t="shared" si="37"/>
        <v>2.8420664721245714E-2</v>
      </c>
      <c r="K162" s="291">
        <f t="shared" si="34"/>
        <v>2.5096818970964225E-3</v>
      </c>
      <c r="M162" s="147">
        <f t="shared" si="38"/>
        <v>2041</v>
      </c>
      <c r="N162" s="170" t="str">
        <f t="shared" si="39"/>
        <v>Q1</v>
      </c>
      <c r="O162" s="170" t="str">
        <f t="shared" si="30"/>
        <v>2041Q1</v>
      </c>
      <c r="P162" s="175">
        <v>91245.805271292542</v>
      </c>
      <c r="Q162" s="175">
        <f t="shared" si="35"/>
        <v>91922.650964035478</v>
      </c>
      <c r="R162" s="175">
        <v>7.4178280385661655E-3</v>
      </c>
      <c r="S162" s="179">
        <v>664.90680433900059</v>
      </c>
      <c r="T162" s="292">
        <f t="shared" si="29"/>
        <v>667.39920936805606</v>
      </c>
      <c r="U162" s="180">
        <v>79359.287038077135</v>
      </c>
      <c r="V162" s="293">
        <f t="shared" si="42"/>
        <v>3.7485028169221835E-3</v>
      </c>
      <c r="W162" s="180">
        <v>1634.9550126437005</v>
      </c>
      <c r="X162" s="171">
        <f t="shared" si="36"/>
        <v>0.4066820182800352</v>
      </c>
      <c r="Y162" s="180">
        <v>4967.0870000000004</v>
      </c>
      <c r="Z162" s="180">
        <v>2130.652</v>
      </c>
    </row>
    <row r="163" spans="1:26" x14ac:dyDescent="0.2">
      <c r="A163" s="147">
        <v>2014</v>
      </c>
      <c r="B163" s="147">
        <v>6</v>
      </c>
      <c r="C163" s="147" t="str">
        <f t="shared" si="32"/>
        <v>20146</v>
      </c>
      <c r="D163" s="147" t="str">
        <f t="shared" si="41"/>
        <v>Q2</v>
      </c>
      <c r="E163" s="147">
        <f t="shared" si="43"/>
        <v>47013.881030535427</v>
      </c>
      <c r="F163" s="147" t="e">
        <f t="shared" si="43"/>
        <v>#N/A</v>
      </c>
      <c r="G163" s="147">
        <f t="shared" si="43"/>
        <v>41808.34126836736</v>
      </c>
      <c r="H163" s="147">
        <f t="shared" si="43"/>
        <v>1322.1544157462699</v>
      </c>
      <c r="I163" s="290">
        <f t="shared" si="33"/>
        <v>526821.51362526743</v>
      </c>
      <c r="J163" s="172">
        <f t="shared" si="37"/>
        <v>2.8420664721245714E-2</v>
      </c>
      <c r="K163" s="291">
        <f t="shared" si="34"/>
        <v>2.5096818970964225E-3</v>
      </c>
      <c r="M163" s="147">
        <f t="shared" si="38"/>
        <v>2041</v>
      </c>
      <c r="N163" s="170" t="str">
        <f t="shared" si="39"/>
        <v>Q2</v>
      </c>
      <c r="O163" s="170" t="str">
        <f t="shared" si="30"/>
        <v>2041Q2</v>
      </c>
      <c r="P163" s="175">
        <v>91611.850716431407</v>
      </c>
      <c r="Q163" s="175">
        <f t="shared" si="35"/>
        <v>92291.411671340684</v>
      </c>
      <c r="R163" s="175">
        <v>7.4178280385661655E-3</v>
      </c>
      <c r="S163" s="179">
        <v>666.1970095576562</v>
      </c>
      <c r="T163" s="292">
        <f t="shared" si="29"/>
        <v>668.69425092460824</v>
      </c>
      <c r="U163" s="180">
        <v>79663.055240366433</v>
      </c>
      <c r="V163" s="293">
        <f t="shared" si="42"/>
        <v>3.7485028169221835E-3</v>
      </c>
      <c r="W163" s="180">
        <v>1637.8500459704619</v>
      </c>
      <c r="X163" s="171">
        <f t="shared" si="36"/>
        <v>0.40675091788572132</v>
      </c>
      <c r="Y163" s="180">
        <v>4970.8530000000001</v>
      </c>
      <c r="Z163" s="180">
        <v>2133.9929999999999</v>
      </c>
    </row>
    <row r="164" spans="1:26" x14ac:dyDescent="0.2">
      <c r="A164" s="147">
        <v>2014</v>
      </c>
      <c r="B164" s="147">
        <v>7</v>
      </c>
      <c r="C164" s="147" t="str">
        <f t="shared" si="32"/>
        <v>20147</v>
      </c>
      <c r="D164" s="147" t="str">
        <f t="shared" si="41"/>
        <v>Q3</v>
      </c>
      <c r="E164" s="147">
        <f t="shared" si="43"/>
        <v>47346.271788425773</v>
      </c>
      <c r="F164" s="147" t="e">
        <f t="shared" si="43"/>
        <v>#N/A</v>
      </c>
      <c r="G164" s="147">
        <f t="shared" si="43"/>
        <v>42112.64484379522</v>
      </c>
      <c r="H164" s="147">
        <f t="shared" si="43"/>
        <v>1325.1874417068095</v>
      </c>
      <c r="I164" s="290">
        <f t="shared" si="33"/>
        <v>528651.61652739102</v>
      </c>
      <c r="J164" s="172">
        <f t="shared" si="37"/>
        <v>3.0021301145311652E-2</v>
      </c>
      <c r="K164" s="291">
        <f t="shared" si="34"/>
        <v>2.5067310876900491E-3</v>
      </c>
      <c r="M164" s="147">
        <f t="shared" si="38"/>
        <v>2041</v>
      </c>
      <c r="N164" s="170" t="str">
        <f t="shared" si="39"/>
        <v>Q3</v>
      </c>
      <c r="O164" s="170" t="str">
        <f t="shared" si="30"/>
        <v>2041Q3</v>
      </c>
      <c r="P164" s="175">
        <v>92113.478341051625</v>
      </c>
      <c r="Q164" s="175">
        <f t="shared" si="35"/>
        <v>92778.190601653056</v>
      </c>
      <c r="R164" s="175">
        <v>7.2162323318236687E-3</v>
      </c>
      <c r="S164" s="179">
        <v>666.95155045085892</v>
      </c>
      <c r="T164" s="292">
        <f t="shared" si="29"/>
        <v>669.45162021647457</v>
      </c>
      <c r="U164" s="180">
        <v>80091.173605845252</v>
      </c>
      <c r="V164" s="293">
        <f t="shared" si="42"/>
        <v>3.7485028169221835E-3</v>
      </c>
      <c r="W164" s="180">
        <v>1639.1353340251969</v>
      </c>
      <c r="X164" s="171">
        <f t="shared" si="36"/>
        <v>0.40689230267096815</v>
      </c>
      <c r="Y164" s="180">
        <v>4974.6130000000003</v>
      </c>
      <c r="Z164" s="180">
        <v>2137.165</v>
      </c>
    </row>
    <row r="165" spans="1:26" x14ac:dyDescent="0.2">
      <c r="A165" s="147">
        <v>2014</v>
      </c>
      <c r="B165" s="147">
        <v>8</v>
      </c>
      <c r="C165" s="147" t="str">
        <f t="shared" si="32"/>
        <v>20148</v>
      </c>
      <c r="D165" s="147" t="str">
        <f t="shared" si="41"/>
        <v>Q3</v>
      </c>
      <c r="E165" s="147">
        <f t="shared" si="43"/>
        <v>47346.271788425773</v>
      </c>
      <c r="F165" s="147" t="e">
        <f t="shared" si="43"/>
        <v>#N/A</v>
      </c>
      <c r="G165" s="147">
        <f t="shared" si="43"/>
        <v>42112.64484379522</v>
      </c>
      <c r="H165" s="147">
        <f t="shared" si="43"/>
        <v>1325.1874417068095</v>
      </c>
      <c r="I165" s="290">
        <f t="shared" si="33"/>
        <v>528651.61652739102</v>
      </c>
      <c r="J165" s="172">
        <f t="shared" si="37"/>
        <v>3.0021301145311652E-2</v>
      </c>
      <c r="K165" s="291">
        <f t="shared" si="34"/>
        <v>2.5067310876900491E-3</v>
      </c>
      <c r="M165" s="147">
        <f t="shared" si="38"/>
        <v>2041</v>
      </c>
      <c r="N165" s="170" t="str">
        <f t="shared" si="39"/>
        <v>Q4</v>
      </c>
      <c r="O165" s="170" t="str">
        <f t="shared" si="30"/>
        <v>2041Q4</v>
      </c>
      <c r="P165" s="175">
        <v>92295.52681991538</v>
      </c>
      <c r="Q165" s="175">
        <f t="shared" si="35"/>
        <v>92961.552784635947</v>
      </c>
      <c r="R165" s="175">
        <v>7.2162323318236687E-3</v>
      </c>
      <c r="S165" s="179">
        <v>667.96599328001332</v>
      </c>
      <c r="T165" s="292">
        <f t="shared" si="29"/>
        <v>670.46986568743171</v>
      </c>
      <c r="U165" s="180">
        <v>80240.833138693764</v>
      </c>
      <c r="V165" s="293">
        <f t="shared" si="42"/>
        <v>3.7485028169221835E-3</v>
      </c>
      <c r="W165" s="180">
        <v>1642.0358310005879</v>
      </c>
      <c r="X165" s="171">
        <f t="shared" si="36"/>
        <v>0.40679136269089988</v>
      </c>
      <c r="Y165" s="180">
        <v>4978.3670000000002</v>
      </c>
      <c r="Z165" s="180">
        <v>2140.556</v>
      </c>
    </row>
    <row r="166" spans="1:26" x14ac:dyDescent="0.2">
      <c r="A166" s="147">
        <v>2014</v>
      </c>
      <c r="B166" s="147">
        <v>9</v>
      </c>
      <c r="C166" s="147" t="str">
        <f t="shared" si="32"/>
        <v>20149</v>
      </c>
      <c r="D166" s="147" t="str">
        <f t="shared" si="41"/>
        <v>Q3</v>
      </c>
      <c r="E166" s="147">
        <f t="shared" si="43"/>
        <v>47346.271788425773</v>
      </c>
      <c r="F166" s="147" t="e">
        <f t="shared" si="43"/>
        <v>#N/A</v>
      </c>
      <c r="G166" s="147">
        <f t="shared" si="43"/>
        <v>42112.64484379522</v>
      </c>
      <c r="H166" s="147">
        <f t="shared" si="43"/>
        <v>1325.1874417068095</v>
      </c>
      <c r="I166" s="290">
        <f t="shared" si="33"/>
        <v>528651.61652739102</v>
      </c>
      <c r="J166" s="172">
        <f t="shared" si="37"/>
        <v>3.0021301145311652E-2</v>
      </c>
      <c r="K166" s="291">
        <f t="shared" si="34"/>
        <v>2.5067310876900491E-3</v>
      </c>
      <c r="M166" s="147">
        <f t="shared" si="38"/>
        <v>2042</v>
      </c>
      <c r="N166" s="170" t="str">
        <f t="shared" si="39"/>
        <v>Q1</v>
      </c>
      <c r="O166" s="170" t="str">
        <f t="shared" si="30"/>
        <v>2042Q1</v>
      </c>
      <c r="P166" s="175">
        <f>P165+P178</f>
        <v>93007.225051412359</v>
      </c>
      <c r="Q166" s="175">
        <f t="shared" si="35"/>
        <v>93678.386795921557</v>
      </c>
      <c r="R166" s="175">
        <v>7.2162323318236687E-3</v>
      </c>
      <c r="S166" s="178">
        <f>S161*(1.0075)</f>
        <v>667.9803119302959</v>
      </c>
      <c r="T166" s="292">
        <f t="shared" si="29"/>
        <v>670.48423801121521</v>
      </c>
      <c r="U166" s="178">
        <f>U162*(1.024)</f>
        <v>81263.909926990993</v>
      </c>
      <c r="V166" s="293">
        <f t="shared" si="42"/>
        <v>3.7485028169221835E-3</v>
      </c>
      <c r="W166" s="178">
        <f>W161*(1.0066)</f>
        <v>1642.0256822418812</v>
      </c>
      <c r="X166" s="171">
        <f t="shared" si="36"/>
        <v>0.40680259703264371</v>
      </c>
      <c r="Y166" s="180">
        <v>4982.116</v>
      </c>
      <c r="Z166" s="180">
        <v>2143.9070000000002</v>
      </c>
    </row>
    <row r="167" spans="1:26" x14ac:dyDescent="0.2">
      <c r="A167" s="147">
        <v>2014</v>
      </c>
      <c r="B167" s="147">
        <v>10</v>
      </c>
      <c r="C167" s="147" t="str">
        <f t="shared" si="32"/>
        <v>201410</v>
      </c>
      <c r="D167" s="147" t="str">
        <f t="shared" si="41"/>
        <v>Q4</v>
      </c>
      <c r="E167" s="147">
        <f t="shared" si="43"/>
        <v>47702.338846833329</v>
      </c>
      <c r="F167" s="147" t="e">
        <f t="shared" si="43"/>
        <v>#N/A</v>
      </c>
      <c r="G167" s="147">
        <f t="shared" si="43"/>
        <v>42435.52573788313</v>
      </c>
      <c r="H167" s="147">
        <f t="shared" si="43"/>
        <v>1328.117775673174</v>
      </c>
      <c r="I167" s="290">
        <f t="shared" si="33"/>
        <v>530457.52797411324</v>
      </c>
      <c r="J167" s="172">
        <f t="shared" si="37"/>
        <v>3.230929986829878E-2</v>
      </c>
      <c r="K167" s="291">
        <f t="shared" si="34"/>
        <v>2.5037212323961726E-3</v>
      </c>
      <c r="M167" s="147">
        <f t="shared" si="38"/>
        <v>2042</v>
      </c>
      <c r="N167" s="170" t="str">
        <f t="shared" si="39"/>
        <v>Q2</v>
      </c>
      <c r="O167" s="170" t="str">
        <f t="shared" si="30"/>
        <v>2042Q2</v>
      </c>
      <c r="P167" s="178">
        <f t="shared" ref="P167:P173" si="44">P163*(1.023)</f>
        <v>93718.923282909323</v>
      </c>
      <c r="Q167" s="175">
        <f t="shared" si="35"/>
        <v>94451.024769586162</v>
      </c>
      <c r="R167" s="175">
        <v>7.8116719764997899E-3</v>
      </c>
      <c r="S167" s="178">
        <f>S162*(1.0075)</f>
        <v>669.89360537154312</v>
      </c>
      <c r="T167" s="292">
        <f t="shared" si="29"/>
        <v>672.40470343831646</v>
      </c>
      <c r="U167" s="178">
        <f t="shared" ref="U167:U173" si="45">U163*(1.024)</f>
        <v>81574.968566135227</v>
      </c>
      <c r="V167" s="293">
        <f t="shared" si="42"/>
        <v>3.7485028169221835E-3</v>
      </c>
      <c r="W167" s="178">
        <f t="shared" ref="W167:Z173" si="46">W162*(1.0066)</f>
        <v>1645.7457157271488</v>
      </c>
      <c r="X167" s="171">
        <f t="shared" si="36"/>
        <v>0.407045632244323</v>
      </c>
      <c r="Y167" s="180">
        <v>4985.8609999999999</v>
      </c>
      <c r="Z167" s="180">
        <v>2147.0749999999998</v>
      </c>
    </row>
    <row r="168" spans="1:26" x14ac:dyDescent="0.2">
      <c r="A168" s="147">
        <v>2014</v>
      </c>
      <c r="B168" s="147">
        <v>11</v>
      </c>
      <c r="C168" s="147" t="str">
        <f t="shared" si="32"/>
        <v>201411</v>
      </c>
      <c r="D168" s="147" t="str">
        <f t="shared" si="41"/>
        <v>Q4</v>
      </c>
      <c r="E168" s="147">
        <f t="shared" si="43"/>
        <v>47702.338846833329</v>
      </c>
      <c r="F168" s="147" t="e">
        <f t="shared" si="43"/>
        <v>#N/A</v>
      </c>
      <c r="G168" s="147">
        <f t="shared" si="43"/>
        <v>42435.52573788313</v>
      </c>
      <c r="H168" s="147">
        <f t="shared" si="43"/>
        <v>1328.117775673174</v>
      </c>
      <c r="I168" s="290">
        <f t="shared" si="33"/>
        <v>530457.52797411324</v>
      </c>
      <c r="J168" s="172">
        <f t="shared" si="37"/>
        <v>3.230929986829878E-2</v>
      </c>
      <c r="K168" s="291">
        <f t="shared" si="34"/>
        <v>2.5037212323961726E-3</v>
      </c>
      <c r="M168" s="147">
        <f t="shared" si="38"/>
        <v>2042</v>
      </c>
      <c r="N168" s="170" t="str">
        <f t="shared" si="39"/>
        <v>Q3</v>
      </c>
      <c r="O168" s="170" t="str">
        <f t="shared" si="30"/>
        <v>2042Q3</v>
      </c>
      <c r="P168" s="178">
        <f t="shared" si="44"/>
        <v>94232.088342895804</v>
      </c>
      <c r="Q168" s="175">
        <f t="shared" si="35"/>
        <v>94968.198506691057</v>
      </c>
      <c r="R168" s="175">
        <v>7.8116719764997899E-3</v>
      </c>
      <c r="S168" s="178">
        <f t="shared" ref="S168:S173" si="47">S163*(1.0075)</f>
        <v>671.19348712933868</v>
      </c>
      <c r="T168" s="292">
        <f t="shared" si="29"/>
        <v>673.70945780654279</v>
      </c>
      <c r="U168" s="178">
        <f t="shared" si="45"/>
        <v>82013.361772385542</v>
      </c>
      <c r="V168" s="293">
        <f t="shared" si="42"/>
        <v>3.7485028169221835E-3</v>
      </c>
      <c r="W168" s="178">
        <f t="shared" si="46"/>
        <v>1648.6598562738668</v>
      </c>
      <c r="X168" s="171">
        <f t="shared" si="36"/>
        <v>0.40711459345307399</v>
      </c>
      <c r="Y168" s="180">
        <v>4989.6009999999997</v>
      </c>
      <c r="Z168" s="180">
        <v>2150.2379999999998</v>
      </c>
    </row>
    <row r="169" spans="1:26" x14ac:dyDescent="0.2">
      <c r="A169" s="147">
        <v>2014</v>
      </c>
      <c r="B169" s="147">
        <v>12</v>
      </c>
      <c r="C169" s="147" t="str">
        <f t="shared" si="32"/>
        <v>201412</v>
      </c>
      <c r="D169" s="147" t="str">
        <f t="shared" si="41"/>
        <v>Q4</v>
      </c>
      <c r="E169" s="147">
        <f t="shared" si="43"/>
        <v>47702.338846833329</v>
      </c>
      <c r="F169" s="147" t="e">
        <f t="shared" si="43"/>
        <v>#N/A</v>
      </c>
      <c r="G169" s="147">
        <f t="shared" si="43"/>
        <v>42435.52573788313</v>
      </c>
      <c r="H169" s="147">
        <f t="shared" si="43"/>
        <v>1328.117775673174</v>
      </c>
      <c r="I169" s="290">
        <f t="shared" si="33"/>
        <v>530457.52797411324</v>
      </c>
      <c r="J169" s="172">
        <f t="shared" si="37"/>
        <v>3.230929986829878E-2</v>
      </c>
      <c r="K169" s="291">
        <f t="shared" si="34"/>
        <v>2.5037212323961726E-3</v>
      </c>
      <c r="M169" s="147">
        <f t="shared" si="38"/>
        <v>2042</v>
      </c>
      <c r="N169" s="170" t="str">
        <f t="shared" si="39"/>
        <v>Q4</v>
      </c>
      <c r="O169" s="170" t="str">
        <f t="shared" si="30"/>
        <v>2042Q4</v>
      </c>
      <c r="P169" s="178">
        <f t="shared" si="44"/>
        <v>94418.32393677342</v>
      </c>
      <c r="Q169" s="175">
        <f t="shared" si="35"/>
        <v>95155.888911938397</v>
      </c>
      <c r="R169" s="175">
        <v>7.8116719764997899E-3</v>
      </c>
      <c r="S169" s="178">
        <f t="shared" si="47"/>
        <v>671.95368707924035</v>
      </c>
      <c r="T169" s="292">
        <f t="shared" ref="T169:T173" si="48">S169*(1+V169)</f>
        <v>674.47250736809815</v>
      </c>
      <c r="U169" s="178">
        <f t="shared" si="45"/>
        <v>82166.613134022409</v>
      </c>
      <c r="V169" s="293">
        <f t="shared" si="42"/>
        <v>3.7485028169221835E-3</v>
      </c>
      <c r="W169" s="178">
        <f t="shared" si="46"/>
        <v>1649.953627229763</v>
      </c>
      <c r="X169" s="171">
        <f t="shared" si="36"/>
        <v>0.40725610465030843</v>
      </c>
      <c r="Y169" s="180">
        <v>4993.3379999999997</v>
      </c>
      <c r="Z169" s="180">
        <v>2153.4</v>
      </c>
    </row>
    <row r="170" spans="1:26" x14ac:dyDescent="0.2">
      <c r="A170" s="147">
        <v>2015</v>
      </c>
      <c r="B170" s="147">
        <v>1</v>
      </c>
      <c r="C170" s="147" t="str">
        <f t="shared" si="32"/>
        <v>20151</v>
      </c>
      <c r="D170" s="147" t="str">
        <f t="shared" si="41"/>
        <v>Q1</v>
      </c>
      <c r="E170" s="147">
        <f t="shared" si="43"/>
        <v>48074.236293948139</v>
      </c>
      <c r="F170" s="147" t="e">
        <f t="shared" si="43"/>
        <v>#N/A</v>
      </c>
      <c r="G170" s="147">
        <f t="shared" si="43"/>
        <v>42650.097953529214</v>
      </c>
      <c r="H170" s="147">
        <f t="shared" si="43"/>
        <v>1330.506967929585</v>
      </c>
      <c r="I170" s="290">
        <f t="shared" si="33"/>
        <v>531928.07320136065</v>
      </c>
      <c r="J170" s="172">
        <f t="shared" si="37"/>
        <v>2.9310216583847915E-2</v>
      </c>
      <c r="K170" s="291">
        <f t="shared" si="34"/>
        <v>2.5012911236702551E-3</v>
      </c>
      <c r="M170" s="147">
        <f t="shared" si="38"/>
        <v>2043</v>
      </c>
      <c r="N170" s="170" t="str">
        <f t="shared" si="39"/>
        <v>Q1</v>
      </c>
      <c r="O170" s="170" t="str">
        <f t="shared" si="30"/>
        <v>2043Q1</v>
      </c>
      <c r="P170" s="178">
        <f t="shared" si="44"/>
        <v>95146.391227594839</v>
      </c>
      <c r="Q170" s="175">
        <f t="shared" si="35"/>
        <v>96233.826179893134</v>
      </c>
      <c r="R170" s="175">
        <v>1.1429071962352211E-2</v>
      </c>
      <c r="S170" s="178">
        <f t="shared" si="47"/>
        <v>672.97573822961351</v>
      </c>
      <c r="T170" s="292">
        <f t="shared" si="48"/>
        <v>675.49838968008748</v>
      </c>
      <c r="U170" s="178">
        <f t="shared" si="45"/>
        <v>83214.243765238774</v>
      </c>
      <c r="V170" s="293">
        <f t="shared" si="42"/>
        <v>3.7485028169221835E-3</v>
      </c>
      <c r="W170" s="178">
        <f t="shared" si="46"/>
        <v>1652.8732674851917</v>
      </c>
      <c r="X170" s="171">
        <f t="shared" si="36"/>
        <v>0.40715507441991028</v>
      </c>
      <c r="Y170" s="178">
        <f t="shared" si="46"/>
        <v>5011.2242221999995</v>
      </c>
      <c r="Z170" s="178">
        <f t="shared" si="46"/>
        <v>2154.6836696</v>
      </c>
    </row>
    <row r="171" spans="1:26" x14ac:dyDescent="0.2">
      <c r="A171" s="147">
        <v>2015</v>
      </c>
      <c r="B171" s="147">
        <v>2</v>
      </c>
      <c r="C171" s="147" t="str">
        <f t="shared" si="32"/>
        <v>20152</v>
      </c>
      <c r="D171" s="147" t="str">
        <f t="shared" si="41"/>
        <v>Q1</v>
      </c>
      <c r="E171" s="147">
        <f t="shared" si="43"/>
        <v>48074.236293948139</v>
      </c>
      <c r="F171" s="147" t="e">
        <f t="shared" si="43"/>
        <v>#N/A</v>
      </c>
      <c r="G171" s="147">
        <f t="shared" si="43"/>
        <v>42650.097953529214</v>
      </c>
      <c r="H171" s="147">
        <f t="shared" si="43"/>
        <v>1330.506967929585</v>
      </c>
      <c r="I171" s="290">
        <f t="shared" si="33"/>
        <v>531928.07320136065</v>
      </c>
      <c r="J171" s="172">
        <f t="shared" si="37"/>
        <v>2.9310216583847915E-2</v>
      </c>
      <c r="K171" s="291">
        <f t="shared" si="34"/>
        <v>2.5012911236702551E-3</v>
      </c>
      <c r="M171" s="147">
        <f t="shared" si="38"/>
        <v>2043</v>
      </c>
      <c r="N171" s="170" t="str">
        <f t="shared" si="39"/>
        <v>Q2</v>
      </c>
      <c r="O171" s="170" t="str">
        <f t="shared" si="30"/>
        <v>2043Q2</v>
      </c>
      <c r="P171" s="178">
        <f t="shared" si="44"/>
        <v>95874.458518416228</v>
      </c>
      <c r="Q171" s="175">
        <f t="shared" si="35"/>
        <v>96970.214604174762</v>
      </c>
      <c r="R171" s="175">
        <v>1.1429071962352211E-2</v>
      </c>
      <c r="S171" s="178">
        <f t="shared" si="47"/>
        <v>672.99016426977312</v>
      </c>
      <c r="T171" s="292">
        <f t="shared" si="48"/>
        <v>675.51286979629924</v>
      </c>
      <c r="U171" s="178">
        <f t="shared" si="45"/>
        <v>83532.767811722471</v>
      </c>
      <c r="V171" s="293">
        <f t="shared" si="42"/>
        <v>3.7485028169221835E-3</v>
      </c>
      <c r="W171" s="178">
        <f t="shared" si="46"/>
        <v>1652.8630517446775</v>
      </c>
      <c r="X171" s="171">
        <f t="shared" si="36"/>
        <v>0.40716631880626725</v>
      </c>
      <c r="Y171" s="178">
        <f t="shared" si="46"/>
        <v>5014.9979655999996</v>
      </c>
      <c r="Z171" s="178">
        <f t="shared" si="46"/>
        <v>2158.0567861999998</v>
      </c>
    </row>
    <row r="172" spans="1:26" x14ac:dyDescent="0.2">
      <c r="A172" s="147">
        <v>2015</v>
      </c>
      <c r="B172" s="147">
        <v>3</v>
      </c>
      <c r="C172" s="147" t="str">
        <f t="shared" si="32"/>
        <v>20153</v>
      </c>
      <c r="D172" s="147" t="str">
        <f t="shared" si="41"/>
        <v>Q1</v>
      </c>
      <c r="E172" s="147">
        <f t="shared" si="43"/>
        <v>48074.236293948139</v>
      </c>
      <c r="F172" s="147" t="e">
        <f t="shared" si="43"/>
        <v>#N/A</v>
      </c>
      <c r="G172" s="147">
        <f t="shared" si="43"/>
        <v>42650.097953529214</v>
      </c>
      <c r="H172" s="147">
        <f t="shared" si="43"/>
        <v>1330.506967929585</v>
      </c>
      <c r="I172" s="290">
        <f t="shared" si="33"/>
        <v>531928.07320136065</v>
      </c>
      <c r="J172" s="172">
        <f t="shared" si="37"/>
        <v>2.9310216583847915E-2</v>
      </c>
      <c r="K172" s="291">
        <f t="shared" si="34"/>
        <v>2.5012911236702551E-3</v>
      </c>
      <c r="M172" s="147">
        <f t="shared" si="38"/>
        <v>2043</v>
      </c>
      <c r="N172" s="170" t="str">
        <f t="shared" si="39"/>
        <v>Q3</v>
      </c>
      <c r="O172" s="170" t="str">
        <f t="shared" si="30"/>
        <v>2043Q3</v>
      </c>
      <c r="P172" s="178">
        <f t="shared" si="44"/>
        <v>96399.426374782401</v>
      </c>
      <c r="Q172" s="175">
        <f t="shared" si="35"/>
        <v>97501.182355949262</v>
      </c>
      <c r="R172" s="175">
        <v>1.1429071962352211E-2</v>
      </c>
      <c r="S172" s="178">
        <f t="shared" si="47"/>
        <v>674.9178074118297</v>
      </c>
      <c r="T172" s="292">
        <f t="shared" si="48"/>
        <v>677.44773871410393</v>
      </c>
      <c r="U172" s="178">
        <f t="shared" si="45"/>
        <v>83981.682454922804</v>
      </c>
      <c r="V172" s="293">
        <f t="shared" si="42"/>
        <v>3.7485028169221835E-3</v>
      </c>
      <c r="W172" s="178">
        <f t="shared" si="46"/>
        <v>1656.6076374509478</v>
      </c>
      <c r="X172" s="171">
        <f t="shared" si="36"/>
        <v>0.40740957131547334</v>
      </c>
      <c r="Y172" s="178">
        <f t="shared" si="46"/>
        <v>5018.7676825999997</v>
      </c>
      <c r="Z172" s="178">
        <f t="shared" si="46"/>
        <v>2161.2456949999996</v>
      </c>
    </row>
    <row r="173" spans="1:26" x14ac:dyDescent="0.2">
      <c r="A173" s="147">
        <v>2015</v>
      </c>
      <c r="B173" s="147">
        <v>4</v>
      </c>
      <c r="C173" s="147" t="str">
        <f t="shared" si="32"/>
        <v>20154</v>
      </c>
      <c r="D173" s="147" t="str">
        <f t="shared" si="41"/>
        <v>Q2</v>
      </c>
      <c r="E173" s="147">
        <f t="shared" si="43"/>
        <v>48312.169433851028</v>
      </c>
      <c r="F173" s="147" t="e">
        <f t="shared" si="43"/>
        <v>#N/A</v>
      </c>
      <c r="G173" s="147">
        <f t="shared" si="43"/>
        <v>42880.981284829548</v>
      </c>
      <c r="H173" s="147">
        <f t="shared" si="43"/>
        <v>1333.5727376408956</v>
      </c>
      <c r="I173" s="290">
        <f t="shared" si="33"/>
        <v>533655.79413802328</v>
      </c>
      <c r="J173" s="172">
        <f t="shared" si="37"/>
        <v>2.7615001673066741E-2</v>
      </c>
      <c r="K173" s="291">
        <f t="shared" si="34"/>
        <v>2.4989379901607213E-3</v>
      </c>
      <c r="M173" s="147">
        <f t="shared" si="38"/>
        <v>2043</v>
      </c>
      <c r="N173" s="170" t="str">
        <f t="shared" si="39"/>
        <v>Q4</v>
      </c>
      <c r="O173" s="170" t="str">
        <f t="shared" si="30"/>
        <v>2043Q4</v>
      </c>
      <c r="P173" s="178">
        <f t="shared" si="44"/>
        <v>96589.945387319196</v>
      </c>
      <c r="Q173" s="175">
        <f t="shared" si="35"/>
        <v>97780.72742814252</v>
      </c>
      <c r="R173" s="175">
        <v>1.2328219423340281E-2</v>
      </c>
      <c r="S173" s="178">
        <f t="shared" si="47"/>
        <v>676.22743828280875</v>
      </c>
      <c r="T173" s="292">
        <f t="shared" si="48"/>
        <v>678.76227874009192</v>
      </c>
      <c r="U173" s="178">
        <f t="shared" si="45"/>
        <v>84138.611849238951</v>
      </c>
      <c r="V173" s="293">
        <f t="shared" si="42"/>
        <v>3.7485028169221835E-3</v>
      </c>
      <c r="W173" s="178">
        <f t="shared" si="46"/>
        <v>1659.5410113252742</v>
      </c>
      <c r="X173" s="171">
        <f t="shared" si="36"/>
        <v>0.40747859418236848</v>
      </c>
      <c r="Y173" s="178">
        <f t="shared" si="46"/>
        <v>5022.5323665999995</v>
      </c>
      <c r="Z173" s="178">
        <f t="shared" si="46"/>
        <v>2164.4295707999995</v>
      </c>
    </row>
    <row r="174" spans="1:26" x14ac:dyDescent="0.2">
      <c r="A174" s="147">
        <v>2015</v>
      </c>
      <c r="B174" s="147">
        <v>5</v>
      </c>
      <c r="C174" s="147" t="str">
        <f t="shared" si="32"/>
        <v>20155</v>
      </c>
      <c r="D174" s="147" t="str">
        <f t="shared" si="41"/>
        <v>Q2</v>
      </c>
      <c r="E174" s="147">
        <f t="shared" si="43"/>
        <v>48312.169433851028</v>
      </c>
      <c r="F174" s="147" t="e">
        <f t="shared" si="43"/>
        <v>#N/A</v>
      </c>
      <c r="G174" s="147">
        <f t="shared" si="43"/>
        <v>42880.981284829548</v>
      </c>
      <c r="H174" s="147">
        <f t="shared" si="43"/>
        <v>1333.5727376408956</v>
      </c>
      <c r="I174" s="290">
        <f t="shared" si="33"/>
        <v>533655.79413802328</v>
      </c>
      <c r="J174" s="172">
        <f t="shared" si="37"/>
        <v>2.7615001673066741E-2</v>
      </c>
      <c r="K174" s="291">
        <f t="shared" si="34"/>
        <v>2.4989379901607213E-3</v>
      </c>
      <c r="O174" s="170" t="str">
        <f t="shared" si="30"/>
        <v/>
      </c>
      <c r="P174" s="178"/>
      <c r="Q174" s="175">
        <f t="shared" si="35"/>
        <v>0</v>
      </c>
      <c r="R174" s="175">
        <v>1.2328219423340281E-2</v>
      </c>
      <c r="S174" s="176"/>
      <c r="T174" s="292"/>
      <c r="U174" s="174"/>
      <c r="V174" s="293">
        <f t="shared" si="42"/>
        <v>3.7485028169221835E-3</v>
      </c>
    </row>
    <row r="175" spans="1:26" x14ac:dyDescent="0.2">
      <c r="A175" s="147">
        <v>2015</v>
      </c>
      <c r="B175" s="147">
        <v>6</v>
      </c>
      <c r="C175" s="147" t="str">
        <f t="shared" si="32"/>
        <v>20156</v>
      </c>
      <c r="D175" s="147" t="str">
        <f t="shared" si="41"/>
        <v>Q2</v>
      </c>
      <c r="E175" s="147">
        <f t="shared" si="43"/>
        <v>48312.169433851028</v>
      </c>
      <c r="F175" s="147" t="e">
        <f t="shared" si="43"/>
        <v>#N/A</v>
      </c>
      <c r="G175" s="147">
        <f t="shared" si="43"/>
        <v>42880.981284829548</v>
      </c>
      <c r="H175" s="147">
        <f t="shared" si="43"/>
        <v>1333.5727376408956</v>
      </c>
      <c r="I175" s="290">
        <f t="shared" si="33"/>
        <v>533655.79413802328</v>
      </c>
      <c r="J175" s="172">
        <f t="shared" si="37"/>
        <v>2.7615001673066741E-2</v>
      </c>
      <c r="K175" s="291">
        <f t="shared" si="34"/>
        <v>2.4989379901607213E-3</v>
      </c>
      <c r="P175" s="177"/>
      <c r="Q175" s="177"/>
      <c r="R175" s="177"/>
      <c r="S175" s="177"/>
      <c r="T175" s="177"/>
      <c r="U175" s="174"/>
      <c r="V175" s="180"/>
    </row>
    <row r="176" spans="1:26" x14ac:dyDescent="0.2">
      <c r="A176" s="147">
        <v>2015</v>
      </c>
      <c r="B176" s="147">
        <v>7</v>
      </c>
      <c r="C176" s="147" t="str">
        <f t="shared" si="32"/>
        <v>20157</v>
      </c>
      <c r="D176" s="147" t="str">
        <f t="shared" si="41"/>
        <v>Q3</v>
      </c>
      <c r="E176" s="147">
        <f t="shared" si="43"/>
        <v>48619.693738288348</v>
      </c>
      <c r="F176" s="147" t="e">
        <f t="shared" si="43"/>
        <v>#N/A</v>
      </c>
      <c r="G176" s="147">
        <f t="shared" si="43"/>
        <v>43176.797187660617</v>
      </c>
      <c r="H176" s="147">
        <f t="shared" si="43"/>
        <v>1336.6816431664213</v>
      </c>
      <c r="I176" s="290">
        <f t="shared" si="33"/>
        <v>535346.8432080308</v>
      </c>
      <c r="J176" s="172">
        <f t="shared" si="37"/>
        <v>2.6895928692190596E-2</v>
      </c>
      <c r="K176" s="291">
        <f t="shared" si="34"/>
        <v>2.4968516395024285E-3</v>
      </c>
      <c r="P176" s="177"/>
      <c r="Q176" s="177"/>
      <c r="R176" s="177"/>
      <c r="S176" s="177"/>
      <c r="T176" s="177"/>
      <c r="U176" s="174"/>
      <c r="V176" s="180"/>
    </row>
    <row r="177" spans="1:22" x14ac:dyDescent="0.2">
      <c r="A177" s="147">
        <v>2015</v>
      </c>
      <c r="B177" s="147">
        <v>8</v>
      </c>
      <c r="C177" s="147" t="str">
        <f t="shared" si="32"/>
        <v>20158</v>
      </c>
      <c r="D177" s="147" t="str">
        <f t="shared" si="41"/>
        <v>Q3</v>
      </c>
      <c r="E177" s="147">
        <f t="shared" si="43"/>
        <v>48619.693738288348</v>
      </c>
      <c r="F177" s="147" t="e">
        <f t="shared" si="43"/>
        <v>#N/A</v>
      </c>
      <c r="G177" s="147">
        <f t="shared" si="43"/>
        <v>43176.797187660617</v>
      </c>
      <c r="H177" s="147">
        <f t="shared" si="43"/>
        <v>1336.6816431664213</v>
      </c>
      <c r="I177" s="290">
        <f t="shared" si="33"/>
        <v>535346.8432080308</v>
      </c>
      <c r="J177" s="172">
        <f t="shared" si="37"/>
        <v>2.6895928692190596E-2</v>
      </c>
      <c r="K177" s="291">
        <f t="shared" si="34"/>
        <v>2.4968516395024285E-3</v>
      </c>
      <c r="P177" s="149">
        <f>P167-P165</f>
        <v>1423.3964629939437</v>
      </c>
      <c r="Q177" s="149"/>
      <c r="R177" s="149"/>
      <c r="S177" s="177"/>
      <c r="T177" s="177"/>
      <c r="U177" s="174"/>
      <c r="V177" s="180"/>
    </row>
    <row r="178" spans="1:22" x14ac:dyDescent="0.2">
      <c r="A178" s="147">
        <v>2015</v>
      </c>
      <c r="B178" s="147">
        <v>9</v>
      </c>
      <c r="C178" s="147" t="str">
        <f t="shared" si="32"/>
        <v>20159</v>
      </c>
      <c r="D178" s="147" t="str">
        <f t="shared" si="41"/>
        <v>Q3</v>
      </c>
      <c r="E178" s="147">
        <f t="shared" si="43"/>
        <v>48619.693738288348</v>
      </c>
      <c r="F178" s="147" t="e">
        <f t="shared" si="43"/>
        <v>#N/A</v>
      </c>
      <c r="G178" s="147">
        <f t="shared" si="43"/>
        <v>43176.797187660617</v>
      </c>
      <c r="H178" s="147">
        <f t="shared" si="43"/>
        <v>1336.6816431664213</v>
      </c>
      <c r="I178" s="290">
        <f t="shared" si="33"/>
        <v>535346.8432080308</v>
      </c>
      <c r="J178" s="172">
        <f t="shared" si="37"/>
        <v>2.6895928692190596E-2</v>
      </c>
      <c r="K178" s="291">
        <f t="shared" si="34"/>
        <v>2.4968516395024285E-3</v>
      </c>
      <c r="P178" s="149">
        <f>P177/2</f>
        <v>711.69823149697186</v>
      </c>
      <c r="Q178" s="149"/>
      <c r="R178" s="149"/>
      <c r="S178" s="149"/>
      <c r="T178" s="149"/>
      <c r="U178" s="174"/>
      <c r="V178" s="180"/>
    </row>
    <row r="179" spans="1:22" x14ac:dyDescent="0.2">
      <c r="A179" s="147">
        <v>2015</v>
      </c>
      <c r="B179" s="147">
        <v>10</v>
      </c>
      <c r="C179" s="147" t="str">
        <f t="shared" si="32"/>
        <v>201510</v>
      </c>
      <c r="D179" s="147" t="str">
        <f t="shared" si="41"/>
        <v>Q4</v>
      </c>
      <c r="E179" s="147">
        <f t="shared" si="43"/>
        <v>48907.000729334111</v>
      </c>
      <c r="F179" s="147" t="e">
        <f t="shared" si="43"/>
        <v>#N/A</v>
      </c>
      <c r="G179" s="147">
        <f t="shared" si="43"/>
        <v>43428.863134860279</v>
      </c>
      <c r="H179" s="147">
        <f t="shared" si="43"/>
        <v>1339.1444262070083</v>
      </c>
      <c r="I179" s="290">
        <f t="shared" si="33"/>
        <v>536848.12459625059</v>
      </c>
      <c r="J179" s="172">
        <f t="shared" si="37"/>
        <v>2.5253727838561835E-2</v>
      </c>
      <c r="K179" s="291">
        <f t="shared" si="34"/>
        <v>2.4944567464292508E-3</v>
      </c>
      <c r="P179" s="149"/>
      <c r="Q179" s="149"/>
      <c r="R179" s="149"/>
      <c r="S179" s="149"/>
      <c r="T179" s="149"/>
      <c r="U179" s="174"/>
      <c r="V179" s="180"/>
    </row>
    <row r="180" spans="1:22" x14ac:dyDescent="0.2">
      <c r="A180" s="147">
        <v>2015</v>
      </c>
      <c r="B180" s="147">
        <v>11</v>
      </c>
      <c r="C180" s="147" t="str">
        <f t="shared" si="32"/>
        <v>201511</v>
      </c>
      <c r="D180" s="147" t="str">
        <f t="shared" si="41"/>
        <v>Q4</v>
      </c>
      <c r="E180" s="147">
        <f t="shared" si="43"/>
        <v>48907.000729334111</v>
      </c>
      <c r="F180" s="147" t="e">
        <f t="shared" si="43"/>
        <v>#N/A</v>
      </c>
      <c r="G180" s="147">
        <f t="shared" si="43"/>
        <v>43428.863134860279</v>
      </c>
      <c r="H180" s="147">
        <f t="shared" si="43"/>
        <v>1339.1444262070083</v>
      </c>
      <c r="I180" s="290">
        <f t="shared" si="33"/>
        <v>536848.12459625059</v>
      </c>
      <c r="J180" s="172">
        <f t="shared" si="37"/>
        <v>2.5253727838561835E-2</v>
      </c>
      <c r="K180" s="291">
        <f t="shared" si="34"/>
        <v>2.4944567464292508E-3</v>
      </c>
      <c r="P180" s="149"/>
      <c r="Q180" s="149"/>
      <c r="R180" s="149"/>
      <c r="S180" s="149"/>
      <c r="T180" s="149"/>
      <c r="U180" s="174"/>
      <c r="V180" s="180"/>
    </row>
    <row r="181" spans="1:22" x14ac:dyDescent="0.2">
      <c r="A181" s="147">
        <v>2015</v>
      </c>
      <c r="B181" s="147">
        <v>12</v>
      </c>
      <c r="C181" s="147" t="str">
        <f t="shared" si="32"/>
        <v>201512</v>
      </c>
      <c r="D181" s="147" t="str">
        <f t="shared" si="41"/>
        <v>Q4</v>
      </c>
      <c r="E181" s="147">
        <f t="shared" si="43"/>
        <v>48907.000729334111</v>
      </c>
      <c r="F181" s="147" t="e">
        <f t="shared" si="43"/>
        <v>#N/A</v>
      </c>
      <c r="G181" s="147">
        <f t="shared" si="43"/>
        <v>43428.863134860279</v>
      </c>
      <c r="H181" s="147">
        <f t="shared" si="43"/>
        <v>1339.1444262070083</v>
      </c>
      <c r="I181" s="290">
        <f t="shared" si="33"/>
        <v>536848.12459625059</v>
      </c>
      <c r="J181" s="172">
        <f t="shared" si="37"/>
        <v>2.5253727838561835E-2</v>
      </c>
      <c r="K181" s="291">
        <f t="shared" si="34"/>
        <v>2.4944567464292508E-3</v>
      </c>
      <c r="P181" s="149"/>
      <c r="Q181" s="149"/>
      <c r="R181" s="149"/>
      <c r="S181" s="149"/>
      <c r="T181" s="149"/>
      <c r="U181" s="174"/>
      <c r="V181" s="180"/>
    </row>
    <row r="182" spans="1:22" x14ac:dyDescent="0.2">
      <c r="A182" s="147">
        <v>2016</v>
      </c>
      <c r="B182" s="147">
        <v>1</v>
      </c>
      <c r="C182" s="147" t="str">
        <f t="shared" si="32"/>
        <v>20161</v>
      </c>
      <c r="D182" s="147" t="str">
        <f t="shared" si="41"/>
        <v>Q1</v>
      </c>
      <c r="E182" s="147">
        <f t="shared" ref="E182:H201" si="49">VLOOKUP($A182&amp;$D182,$O$1:$W$189,MATCH(E$1,$O$1:$W$1,0),0)</f>
        <v>49378.354045083113</v>
      </c>
      <c r="F182" s="147" t="e">
        <f t="shared" si="49"/>
        <v>#N/A</v>
      </c>
      <c r="G182" s="147">
        <f t="shared" si="49"/>
        <v>43755.370741727726</v>
      </c>
      <c r="H182" s="147">
        <f t="shared" si="49"/>
        <v>1341.4443414804639</v>
      </c>
      <c r="I182" s="290">
        <f t="shared" si="33"/>
        <v>538298.58073363011</v>
      </c>
      <c r="J182" s="172">
        <f t="shared" si="37"/>
        <v>2.7127165227565753E-2</v>
      </c>
      <c r="K182" s="291">
        <f t="shared" si="34"/>
        <v>2.4920079478051973E-3</v>
      </c>
      <c r="P182" s="149"/>
      <c r="Q182" s="149"/>
      <c r="R182" s="149"/>
      <c r="S182" s="149"/>
      <c r="T182" s="149"/>
      <c r="U182" s="174"/>
      <c r="V182" s="180"/>
    </row>
    <row r="183" spans="1:22" x14ac:dyDescent="0.2">
      <c r="A183" s="147">
        <v>2016</v>
      </c>
      <c r="B183" s="147">
        <v>2</v>
      </c>
      <c r="C183" s="147" t="str">
        <f t="shared" si="32"/>
        <v>20162</v>
      </c>
      <c r="D183" s="147" t="str">
        <f t="shared" si="41"/>
        <v>Q1</v>
      </c>
      <c r="E183" s="147">
        <f t="shared" si="49"/>
        <v>49378.354045083113</v>
      </c>
      <c r="F183" s="147" t="e">
        <f t="shared" si="49"/>
        <v>#N/A</v>
      </c>
      <c r="G183" s="147">
        <f t="shared" si="49"/>
        <v>43755.370741727726</v>
      </c>
      <c r="H183" s="147">
        <f t="shared" si="49"/>
        <v>1341.4443414804639</v>
      </c>
      <c r="I183" s="290">
        <f t="shared" si="33"/>
        <v>538298.58073363011</v>
      </c>
      <c r="J183" s="172">
        <f t="shared" si="37"/>
        <v>2.7127165227565753E-2</v>
      </c>
      <c r="K183" s="291">
        <f t="shared" si="34"/>
        <v>2.4920079478051973E-3</v>
      </c>
      <c r="P183" s="149"/>
      <c r="Q183" s="149"/>
      <c r="R183" s="149"/>
      <c r="S183" s="149"/>
      <c r="T183" s="149"/>
      <c r="U183" s="174"/>
      <c r="V183" s="180"/>
    </row>
    <row r="184" spans="1:22" x14ac:dyDescent="0.2">
      <c r="A184" s="147">
        <v>2016</v>
      </c>
      <c r="B184" s="147">
        <v>3</v>
      </c>
      <c r="C184" s="147" t="str">
        <f t="shared" si="32"/>
        <v>20163</v>
      </c>
      <c r="D184" s="147" t="str">
        <f t="shared" si="41"/>
        <v>Q1</v>
      </c>
      <c r="E184" s="147">
        <f t="shared" si="49"/>
        <v>49378.354045083113</v>
      </c>
      <c r="F184" s="147" t="e">
        <f t="shared" si="49"/>
        <v>#N/A</v>
      </c>
      <c r="G184" s="147">
        <f t="shared" si="49"/>
        <v>43755.370741727726</v>
      </c>
      <c r="H184" s="147">
        <f t="shared" si="49"/>
        <v>1341.4443414804639</v>
      </c>
      <c r="I184" s="290">
        <f t="shared" si="33"/>
        <v>538298.58073363011</v>
      </c>
      <c r="J184" s="172">
        <f t="shared" si="37"/>
        <v>2.7127165227565753E-2</v>
      </c>
      <c r="K184" s="291">
        <f t="shared" si="34"/>
        <v>2.4920079478051973E-3</v>
      </c>
      <c r="P184" s="149"/>
      <c r="Q184" s="149"/>
      <c r="R184" s="149"/>
      <c r="S184" s="149"/>
      <c r="T184" s="149"/>
      <c r="U184" s="174"/>
      <c r="V184" s="180"/>
    </row>
    <row r="185" spans="1:22" x14ac:dyDescent="0.2">
      <c r="A185" s="147">
        <v>2016</v>
      </c>
      <c r="B185" s="147">
        <v>4</v>
      </c>
      <c r="C185" s="147" t="str">
        <f t="shared" si="32"/>
        <v>20164</v>
      </c>
      <c r="D185" s="147" t="str">
        <f t="shared" si="41"/>
        <v>Q2</v>
      </c>
      <c r="E185" s="147">
        <f t="shared" si="49"/>
        <v>49639.207620979076</v>
      </c>
      <c r="F185" s="147" t="e">
        <f t="shared" si="49"/>
        <v>#N/A</v>
      </c>
      <c r="G185" s="147">
        <f t="shared" si="49"/>
        <v>43979.682119470162</v>
      </c>
      <c r="H185" s="147">
        <f t="shared" si="49"/>
        <v>1343.8741846014057</v>
      </c>
      <c r="I185" s="290">
        <f t="shared" si="33"/>
        <v>539729.85894928186</v>
      </c>
      <c r="J185" s="172">
        <f t="shared" si="37"/>
        <v>2.7467990004982568E-2</v>
      </c>
      <c r="K185" s="291">
        <f t="shared" si="34"/>
        <v>2.4899014985340822E-3</v>
      </c>
      <c r="P185" s="149"/>
      <c r="Q185" s="149"/>
      <c r="R185" s="149"/>
      <c r="S185" s="149"/>
      <c r="T185" s="149"/>
      <c r="U185" s="174"/>
      <c r="V185" s="180"/>
    </row>
    <row r="186" spans="1:22" x14ac:dyDescent="0.2">
      <c r="A186" s="147">
        <v>2016</v>
      </c>
      <c r="B186" s="147">
        <v>5</v>
      </c>
      <c r="C186" s="147" t="str">
        <f t="shared" si="32"/>
        <v>20165</v>
      </c>
      <c r="D186" s="147" t="str">
        <f t="shared" si="41"/>
        <v>Q2</v>
      </c>
      <c r="E186" s="147">
        <f t="shared" si="49"/>
        <v>49639.207620979076</v>
      </c>
      <c r="F186" s="147" t="e">
        <f t="shared" si="49"/>
        <v>#N/A</v>
      </c>
      <c r="G186" s="147">
        <f t="shared" si="49"/>
        <v>43979.682119470162</v>
      </c>
      <c r="H186" s="147">
        <f t="shared" si="49"/>
        <v>1343.8741846014057</v>
      </c>
      <c r="I186" s="290">
        <f t="shared" si="33"/>
        <v>539729.85894928186</v>
      </c>
      <c r="J186" s="172">
        <f t="shared" si="37"/>
        <v>2.7467990004982568E-2</v>
      </c>
      <c r="K186" s="291">
        <f t="shared" si="34"/>
        <v>2.4899014985340822E-3</v>
      </c>
      <c r="P186" s="149"/>
      <c r="Q186" s="149"/>
      <c r="R186" s="149"/>
      <c r="S186" s="149"/>
      <c r="T186" s="149"/>
      <c r="U186" s="174"/>
      <c r="V186" s="180"/>
    </row>
    <row r="187" spans="1:22" x14ac:dyDescent="0.2">
      <c r="A187" s="147">
        <v>2016</v>
      </c>
      <c r="B187" s="147">
        <v>6</v>
      </c>
      <c r="C187" s="147" t="str">
        <f t="shared" si="32"/>
        <v>20166</v>
      </c>
      <c r="D187" s="147" t="str">
        <f t="shared" si="41"/>
        <v>Q2</v>
      </c>
      <c r="E187" s="147">
        <f t="shared" si="49"/>
        <v>49639.207620979076</v>
      </c>
      <c r="F187" s="147" t="e">
        <f t="shared" si="49"/>
        <v>#N/A</v>
      </c>
      <c r="G187" s="147">
        <f t="shared" si="49"/>
        <v>43979.682119470162</v>
      </c>
      <c r="H187" s="147">
        <f t="shared" si="49"/>
        <v>1343.8741846014057</v>
      </c>
      <c r="I187" s="290">
        <f t="shared" si="33"/>
        <v>539729.85894928186</v>
      </c>
      <c r="J187" s="172">
        <f t="shared" si="37"/>
        <v>2.7467990004982568E-2</v>
      </c>
      <c r="K187" s="291">
        <f t="shared" si="34"/>
        <v>2.4899014985340822E-3</v>
      </c>
      <c r="P187" s="149"/>
      <c r="Q187" s="149"/>
      <c r="R187" s="149"/>
      <c r="S187" s="149"/>
      <c r="T187" s="149"/>
      <c r="U187" s="174"/>
      <c r="V187" s="180"/>
    </row>
    <row r="188" spans="1:22" x14ac:dyDescent="0.2">
      <c r="A188" s="147">
        <v>2016</v>
      </c>
      <c r="B188" s="147">
        <v>7</v>
      </c>
      <c r="C188" s="147" t="str">
        <f t="shared" si="32"/>
        <v>20167</v>
      </c>
      <c r="D188" s="147" t="str">
        <f t="shared" si="41"/>
        <v>Q3</v>
      </c>
      <c r="E188" s="147">
        <f t="shared" si="49"/>
        <v>49844.700069672268</v>
      </c>
      <c r="F188" s="147" t="e">
        <f t="shared" si="49"/>
        <v>#N/A</v>
      </c>
      <c r="G188" s="147">
        <f t="shared" si="49"/>
        <v>44190.115651236883</v>
      </c>
      <c r="H188" s="147">
        <f t="shared" si="49"/>
        <v>1346.2968769740344</v>
      </c>
      <c r="I188" s="290">
        <f t="shared" si="33"/>
        <v>541144.77198527358</v>
      </c>
      <c r="J188" s="172">
        <f t="shared" si="37"/>
        <v>2.5195681774095924E-2</v>
      </c>
      <c r="K188" s="291">
        <f t="shared" si="34"/>
        <v>2.4878682132231183E-3</v>
      </c>
      <c r="P188" s="149"/>
      <c r="Q188" s="149"/>
      <c r="R188" s="149"/>
      <c r="S188" s="149"/>
      <c r="T188" s="149"/>
      <c r="U188" s="174"/>
      <c r="V188" s="180"/>
    </row>
    <row r="189" spans="1:22" x14ac:dyDescent="0.2">
      <c r="A189" s="147">
        <v>2016</v>
      </c>
      <c r="B189" s="147">
        <v>8</v>
      </c>
      <c r="C189" s="147" t="str">
        <f t="shared" si="32"/>
        <v>20168</v>
      </c>
      <c r="D189" s="147" t="str">
        <f t="shared" si="41"/>
        <v>Q3</v>
      </c>
      <c r="E189" s="147">
        <f t="shared" si="49"/>
        <v>49844.700069672268</v>
      </c>
      <c r="F189" s="147" t="e">
        <f t="shared" si="49"/>
        <v>#N/A</v>
      </c>
      <c r="G189" s="147">
        <f t="shared" si="49"/>
        <v>44190.115651236883</v>
      </c>
      <c r="H189" s="147">
        <f t="shared" si="49"/>
        <v>1346.2968769740344</v>
      </c>
      <c r="I189" s="290">
        <f t="shared" si="33"/>
        <v>541144.77198527358</v>
      </c>
      <c r="J189" s="172">
        <f t="shared" si="37"/>
        <v>2.5195681774095924E-2</v>
      </c>
      <c r="K189" s="291">
        <f t="shared" si="34"/>
        <v>2.4878682132231183E-3</v>
      </c>
      <c r="P189" s="149"/>
      <c r="Q189" s="149"/>
      <c r="R189" s="149"/>
      <c r="S189" s="149"/>
      <c r="T189" s="149"/>
      <c r="U189" s="174"/>
      <c r="V189" s="180"/>
    </row>
    <row r="190" spans="1:22" x14ac:dyDescent="0.2">
      <c r="A190" s="147">
        <v>2016</v>
      </c>
      <c r="B190" s="147">
        <v>9</v>
      </c>
      <c r="C190" s="147" t="str">
        <f t="shared" si="32"/>
        <v>20169</v>
      </c>
      <c r="D190" s="147" t="str">
        <f t="shared" si="41"/>
        <v>Q3</v>
      </c>
      <c r="E190" s="147">
        <f t="shared" si="49"/>
        <v>49844.700069672268</v>
      </c>
      <c r="F190" s="147" t="e">
        <f t="shared" si="49"/>
        <v>#N/A</v>
      </c>
      <c r="G190" s="147">
        <f t="shared" si="49"/>
        <v>44190.115651236883</v>
      </c>
      <c r="H190" s="147">
        <f t="shared" si="49"/>
        <v>1346.2968769740344</v>
      </c>
      <c r="I190" s="290">
        <f t="shared" si="33"/>
        <v>541144.77198527358</v>
      </c>
      <c r="J190" s="172">
        <f t="shared" si="37"/>
        <v>2.5195681774095924E-2</v>
      </c>
      <c r="K190" s="291">
        <f t="shared" si="34"/>
        <v>2.4878682132231183E-3</v>
      </c>
      <c r="P190" s="149"/>
      <c r="Q190" s="149"/>
      <c r="R190" s="149"/>
      <c r="S190" s="149"/>
      <c r="T190" s="149"/>
      <c r="U190" s="174"/>
      <c r="V190" s="180"/>
    </row>
    <row r="191" spans="1:22" x14ac:dyDescent="0.2">
      <c r="A191" s="147">
        <v>2016</v>
      </c>
      <c r="B191" s="147">
        <v>10</v>
      </c>
      <c r="C191" s="147" t="str">
        <f t="shared" si="32"/>
        <v>201610</v>
      </c>
      <c r="D191" s="147" t="str">
        <f t="shared" si="41"/>
        <v>Q4</v>
      </c>
      <c r="E191" s="147">
        <f t="shared" si="49"/>
        <v>50159.537182867571</v>
      </c>
      <c r="F191" s="147" t="e">
        <f t="shared" si="49"/>
        <v>#N/A</v>
      </c>
      <c r="G191" s="147">
        <f t="shared" si="49"/>
        <v>44479.131361056192</v>
      </c>
      <c r="H191" s="147">
        <f t="shared" si="49"/>
        <v>1349.8101770103867</v>
      </c>
      <c r="I191" s="290">
        <f t="shared" si="33"/>
        <v>542966.82030831859</v>
      </c>
      <c r="J191" s="172">
        <f t="shared" si="37"/>
        <v>2.5610575885963049E-2</v>
      </c>
      <c r="K191" s="291">
        <f t="shared" si="34"/>
        <v>2.4859901683198797E-3</v>
      </c>
      <c r="P191" s="149"/>
      <c r="Q191" s="149"/>
      <c r="R191" s="149"/>
      <c r="S191" s="149"/>
      <c r="T191" s="149"/>
      <c r="U191" s="174"/>
      <c r="V191" s="180"/>
    </row>
    <row r="192" spans="1:22" x14ac:dyDescent="0.2">
      <c r="A192" s="147">
        <v>2016</v>
      </c>
      <c r="B192" s="147">
        <v>11</v>
      </c>
      <c r="C192" s="147" t="str">
        <f t="shared" si="32"/>
        <v>201611</v>
      </c>
      <c r="D192" s="147" t="str">
        <f t="shared" si="41"/>
        <v>Q4</v>
      </c>
      <c r="E192" s="147">
        <f t="shared" si="49"/>
        <v>50159.537182867571</v>
      </c>
      <c r="F192" s="147" t="e">
        <f t="shared" si="49"/>
        <v>#N/A</v>
      </c>
      <c r="G192" s="147">
        <f t="shared" si="49"/>
        <v>44479.131361056192</v>
      </c>
      <c r="H192" s="147">
        <f t="shared" si="49"/>
        <v>1349.8101770103867</v>
      </c>
      <c r="I192" s="290">
        <f t="shared" si="33"/>
        <v>542966.82030831859</v>
      </c>
      <c r="J192" s="172">
        <f t="shared" si="37"/>
        <v>2.5610575885963049E-2</v>
      </c>
      <c r="K192" s="291">
        <f t="shared" si="34"/>
        <v>2.4859901683198797E-3</v>
      </c>
      <c r="P192" s="149"/>
      <c r="Q192" s="149"/>
      <c r="R192" s="149"/>
      <c r="S192" s="149"/>
      <c r="T192" s="149"/>
      <c r="U192" s="174"/>
      <c r="V192" s="180"/>
    </row>
    <row r="193" spans="1:22" x14ac:dyDescent="0.2">
      <c r="A193" s="147">
        <v>2016</v>
      </c>
      <c r="B193" s="147">
        <v>12</v>
      </c>
      <c r="C193" s="147" t="str">
        <f t="shared" si="32"/>
        <v>201612</v>
      </c>
      <c r="D193" s="147" t="str">
        <f t="shared" si="41"/>
        <v>Q4</v>
      </c>
      <c r="E193" s="147">
        <f t="shared" si="49"/>
        <v>50159.537182867571</v>
      </c>
      <c r="F193" s="147" t="e">
        <f t="shared" si="49"/>
        <v>#N/A</v>
      </c>
      <c r="G193" s="147">
        <f t="shared" si="49"/>
        <v>44479.131361056192</v>
      </c>
      <c r="H193" s="147">
        <f t="shared" si="49"/>
        <v>1349.8101770103867</v>
      </c>
      <c r="I193" s="290">
        <f t="shared" si="33"/>
        <v>542966.82030831859</v>
      </c>
      <c r="J193" s="172">
        <f t="shared" si="37"/>
        <v>2.5610575885963049E-2</v>
      </c>
      <c r="K193" s="291">
        <f t="shared" si="34"/>
        <v>2.4859901683198797E-3</v>
      </c>
      <c r="P193" s="149"/>
      <c r="Q193" s="149"/>
      <c r="R193" s="149"/>
      <c r="S193" s="149"/>
      <c r="T193" s="149"/>
      <c r="U193" s="174"/>
      <c r="V193" s="180"/>
    </row>
    <row r="194" spans="1:22" x14ac:dyDescent="0.2">
      <c r="A194" s="147">
        <v>2017</v>
      </c>
      <c r="B194" s="147">
        <v>1</v>
      </c>
      <c r="C194" s="147" t="str">
        <f t="shared" si="32"/>
        <v>20171</v>
      </c>
      <c r="D194" s="147" t="str">
        <f t="shared" si="41"/>
        <v>Q1</v>
      </c>
      <c r="E194" s="147">
        <f t="shared" si="49"/>
        <v>50368.026204928363</v>
      </c>
      <c r="F194" s="147" t="e">
        <f t="shared" si="49"/>
        <v>#N/A</v>
      </c>
      <c r="G194" s="147">
        <f t="shared" si="49"/>
        <v>44591.826055215206</v>
      </c>
      <c r="H194" s="147">
        <f t="shared" si="49"/>
        <v>1352.2535727541979</v>
      </c>
      <c r="I194" s="290">
        <f t="shared" si="33"/>
        <v>544291.27562779922</v>
      </c>
      <c r="J194" s="172">
        <f t="shared" si="37"/>
        <v>2.0042631614283213E-2</v>
      </c>
      <c r="K194" s="291">
        <f t="shared" si="34"/>
        <v>2.4844299978802244E-3</v>
      </c>
      <c r="P194" s="149"/>
      <c r="Q194" s="149"/>
      <c r="R194" s="149"/>
      <c r="S194" s="149"/>
      <c r="T194" s="149"/>
      <c r="U194" s="174"/>
      <c r="V194" s="180"/>
    </row>
    <row r="195" spans="1:22" x14ac:dyDescent="0.2">
      <c r="A195" s="147">
        <v>2017</v>
      </c>
      <c r="B195" s="147">
        <v>2</v>
      </c>
      <c r="C195" s="147" t="str">
        <f t="shared" ref="C195:C258" si="50">A195&amp;B195</f>
        <v>20172</v>
      </c>
      <c r="D195" s="147" t="str">
        <f t="shared" si="41"/>
        <v>Q1</v>
      </c>
      <c r="E195" s="147">
        <f t="shared" si="49"/>
        <v>50368.026204928363</v>
      </c>
      <c r="F195" s="147" t="e">
        <f t="shared" si="49"/>
        <v>#N/A</v>
      </c>
      <c r="G195" s="147">
        <f t="shared" si="49"/>
        <v>44591.826055215206</v>
      </c>
      <c r="H195" s="147">
        <f t="shared" si="49"/>
        <v>1352.2535727541979</v>
      </c>
      <c r="I195" s="290">
        <f t="shared" ref="I195:I258" si="51">VLOOKUP($A195&amp;$D195,$O$1:$W$189,MATCH(I$1,$O$1:$W$1,0),0)*1000</f>
        <v>544291.27562779922</v>
      </c>
      <c r="J195" s="172">
        <f t="shared" si="37"/>
        <v>2.0042631614283213E-2</v>
      </c>
      <c r="K195" s="291">
        <f t="shared" ref="K195:K258" si="52">H195/I195</f>
        <v>2.4844299978802244E-3</v>
      </c>
      <c r="P195" s="149"/>
      <c r="Q195" s="149"/>
      <c r="R195" s="149"/>
      <c r="S195" s="149"/>
      <c r="T195" s="149"/>
      <c r="U195" s="174"/>
      <c r="V195" s="180"/>
    </row>
    <row r="196" spans="1:22" x14ac:dyDescent="0.2">
      <c r="A196" s="147">
        <v>2017</v>
      </c>
      <c r="B196" s="147">
        <v>3</v>
      </c>
      <c r="C196" s="147" t="str">
        <f t="shared" si="50"/>
        <v>20173</v>
      </c>
      <c r="D196" s="147" t="str">
        <f t="shared" si="41"/>
        <v>Q1</v>
      </c>
      <c r="E196" s="147">
        <f t="shared" si="49"/>
        <v>50368.026204928363</v>
      </c>
      <c r="F196" s="147" t="e">
        <f t="shared" si="49"/>
        <v>#N/A</v>
      </c>
      <c r="G196" s="147">
        <f t="shared" si="49"/>
        <v>44591.826055215206</v>
      </c>
      <c r="H196" s="147">
        <f t="shared" si="49"/>
        <v>1352.2535727541979</v>
      </c>
      <c r="I196" s="290">
        <f t="shared" si="51"/>
        <v>544291.27562779922</v>
      </c>
      <c r="J196" s="172">
        <f t="shared" si="37"/>
        <v>2.0042631614283213E-2</v>
      </c>
      <c r="K196" s="291">
        <f t="shared" si="52"/>
        <v>2.4844299978802244E-3</v>
      </c>
      <c r="P196" s="149"/>
      <c r="Q196" s="149"/>
      <c r="R196" s="149"/>
      <c r="S196" s="149"/>
      <c r="T196" s="149"/>
      <c r="U196" s="174"/>
      <c r="V196" s="180"/>
    </row>
    <row r="197" spans="1:22" x14ac:dyDescent="0.2">
      <c r="A197" s="147">
        <v>2017</v>
      </c>
      <c r="B197" s="147">
        <v>4</v>
      </c>
      <c r="C197" s="147" t="str">
        <f t="shared" si="50"/>
        <v>20174</v>
      </c>
      <c r="D197" s="147" t="str">
        <f t="shared" si="41"/>
        <v>Q2</v>
      </c>
      <c r="E197" s="147">
        <f t="shared" si="49"/>
        <v>50719.748787748103</v>
      </c>
      <c r="F197" s="147" t="e">
        <f t="shared" si="49"/>
        <v>#N/A</v>
      </c>
      <c r="G197" s="147">
        <f t="shared" si="49"/>
        <v>44904.574224823955</v>
      </c>
      <c r="H197" s="147">
        <f t="shared" si="49"/>
        <v>1355.6247603896084</v>
      </c>
      <c r="I197" s="290">
        <f t="shared" si="51"/>
        <v>546026.48531111726</v>
      </c>
      <c r="J197" s="172">
        <f t="shared" si="37"/>
        <v>2.1767897163458283E-2</v>
      </c>
      <c r="K197" s="291">
        <f t="shared" si="52"/>
        <v>2.4827088005029553E-3</v>
      </c>
      <c r="P197" s="149"/>
      <c r="Q197" s="149"/>
      <c r="R197" s="149"/>
      <c r="S197" s="149"/>
      <c r="T197" s="149"/>
      <c r="U197" s="174"/>
      <c r="V197" s="180"/>
    </row>
    <row r="198" spans="1:22" x14ac:dyDescent="0.2">
      <c r="A198" s="147">
        <v>2017</v>
      </c>
      <c r="B198" s="147">
        <v>5</v>
      </c>
      <c r="C198" s="147" t="str">
        <f t="shared" si="50"/>
        <v>20175</v>
      </c>
      <c r="D198" s="147" t="str">
        <f t="shared" si="41"/>
        <v>Q2</v>
      </c>
      <c r="E198" s="147">
        <f t="shared" si="49"/>
        <v>50719.748787748103</v>
      </c>
      <c r="F198" s="147" t="e">
        <f t="shared" si="49"/>
        <v>#N/A</v>
      </c>
      <c r="G198" s="147">
        <f t="shared" si="49"/>
        <v>44904.574224823955</v>
      </c>
      <c r="H198" s="147">
        <f t="shared" si="49"/>
        <v>1355.6247603896084</v>
      </c>
      <c r="I198" s="290">
        <f t="shared" si="51"/>
        <v>546026.48531111726</v>
      </c>
      <c r="J198" s="172">
        <f t="shared" si="37"/>
        <v>2.1767897163458283E-2</v>
      </c>
      <c r="K198" s="291">
        <f t="shared" si="52"/>
        <v>2.4827088005029553E-3</v>
      </c>
      <c r="P198" s="149"/>
      <c r="Q198" s="149"/>
      <c r="R198" s="149"/>
      <c r="S198" s="149"/>
      <c r="T198" s="149"/>
      <c r="U198" s="174"/>
      <c r="V198" s="180"/>
    </row>
    <row r="199" spans="1:22" x14ac:dyDescent="0.2">
      <c r="A199" s="147">
        <v>2017</v>
      </c>
      <c r="B199" s="147">
        <v>6</v>
      </c>
      <c r="C199" s="147" t="str">
        <f t="shared" si="50"/>
        <v>20176</v>
      </c>
      <c r="D199" s="147" t="str">
        <f t="shared" si="41"/>
        <v>Q2</v>
      </c>
      <c r="E199" s="147">
        <f t="shared" si="49"/>
        <v>50719.748787748103</v>
      </c>
      <c r="F199" s="147" t="e">
        <f t="shared" si="49"/>
        <v>#N/A</v>
      </c>
      <c r="G199" s="147">
        <f t="shared" si="49"/>
        <v>44904.574224823955</v>
      </c>
      <c r="H199" s="147">
        <f t="shared" si="49"/>
        <v>1355.6247603896084</v>
      </c>
      <c r="I199" s="290">
        <f t="shared" si="51"/>
        <v>546026.48531111726</v>
      </c>
      <c r="J199" s="172">
        <f t="shared" ref="J199:J262" si="53">E199/E187-1</f>
        <v>2.1767897163458283E-2</v>
      </c>
      <c r="K199" s="291">
        <f t="shared" si="52"/>
        <v>2.4827088005029553E-3</v>
      </c>
      <c r="P199" s="149"/>
      <c r="Q199" s="149"/>
      <c r="R199" s="149"/>
      <c r="S199" s="149"/>
      <c r="T199" s="149"/>
      <c r="U199" s="174"/>
      <c r="V199" s="180"/>
    </row>
    <row r="200" spans="1:22" x14ac:dyDescent="0.2">
      <c r="A200" s="147">
        <v>2017</v>
      </c>
      <c r="B200" s="147">
        <v>7</v>
      </c>
      <c r="C200" s="147" t="str">
        <f t="shared" si="50"/>
        <v>20177</v>
      </c>
      <c r="D200" s="147" t="str">
        <f t="shared" si="41"/>
        <v>Q3</v>
      </c>
      <c r="E200" s="147">
        <f t="shared" si="49"/>
        <v>51038.685726348667</v>
      </c>
      <c r="F200" s="147" t="e">
        <f t="shared" si="49"/>
        <v>#N/A</v>
      </c>
      <c r="G200" s="147">
        <f t="shared" si="49"/>
        <v>45194.496478629822</v>
      </c>
      <c r="H200" s="147">
        <f t="shared" si="49"/>
        <v>1358.0185639300744</v>
      </c>
      <c r="I200" s="290">
        <f t="shared" si="51"/>
        <v>547343.18744642695</v>
      </c>
      <c r="J200" s="172">
        <f t="shared" si="53"/>
        <v>2.3954114580034824E-2</v>
      </c>
      <c r="K200" s="291">
        <f t="shared" si="52"/>
        <v>2.4811098321434666E-3</v>
      </c>
      <c r="P200" s="149"/>
      <c r="Q200" s="149"/>
      <c r="R200" s="149"/>
      <c r="S200" s="149"/>
      <c r="T200" s="149"/>
      <c r="U200" s="174"/>
      <c r="V200" s="180"/>
    </row>
    <row r="201" spans="1:22" x14ac:dyDescent="0.2">
      <c r="A201" s="147">
        <v>2017</v>
      </c>
      <c r="B201" s="147">
        <v>8</v>
      </c>
      <c r="C201" s="147" t="str">
        <f t="shared" si="50"/>
        <v>20178</v>
      </c>
      <c r="D201" s="147" t="str">
        <f t="shared" si="41"/>
        <v>Q3</v>
      </c>
      <c r="E201" s="147">
        <f t="shared" si="49"/>
        <v>51038.685726348667</v>
      </c>
      <c r="F201" s="147" t="e">
        <f t="shared" si="49"/>
        <v>#N/A</v>
      </c>
      <c r="G201" s="147">
        <f t="shared" si="49"/>
        <v>45194.496478629822</v>
      </c>
      <c r="H201" s="147">
        <f t="shared" si="49"/>
        <v>1358.0185639300744</v>
      </c>
      <c r="I201" s="290">
        <f t="shared" si="51"/>
        <v>547343.18744642695</v>
      </c>
      <c r="J201" s="172">
        <f t="shared" si="53"/>
        <v>2.3954114580034824E-2</v>
      </c>
      <c r="K201" s="291">
        <f t="shared" si="52"/>
        <v>2.4811098321434666E-3</v>
      </c>
      <c r="P201" s="149"/>
      <c r="Q201" s="149"/>
      <c r="R201" s="149"/>
      <c r="S201" s="149"/>
      <c r="T201" s="149"/>
      <c r="U201" s="174"/>
      <c r="V201" s="180"/>
    </row>
    <row r="202" spans="1:22" x14ac:dyDescent="0.2">
      <c r="A202" s="147">
        <v>2017</v>
      </c>
      <c r="B202" s="147">
        <v>9</v>
      </c>
      <c r="C202" s="147" t="str">
        <f t="shared" si="50"/>
        <v>20179</v>
      </c>
      <c r="D202" s="147" t="str">
        <f t="shared" si="41"/>
        <v>Q3</v>
      </c>
      <c r="E202" s="147">
        <f t="shared" ref="E202:H221" si="54">VLOOKUP($A202&amp;$D202,$O$1:$W$189,MATCH(E$1,$O$1:$W$1,0),0)</f>
        <v>51038.685726348667</v>
      </c>
      <c r="F202" s="147" t="e">
        <f t="shared" si="54"/>
        <v>#N/A</v>
      </c>
      <c r="G202" s="147">
        <f t="shared" si="54"/>
        <v>45194.496478629822</v>
      </c>
      <c r="H202" s="147">
        <f t="shared" si="54"/>
        <v>1358.0185639300744</v>
      </c>
      <c r="I202" s="290">
        <f t="shared" si="51"/>
        <v>547343.18744642695</v>
      </c>
      <c r="J202" s="172">
        <f t="shared" si="53"/>
        <v>2.3954114580034824E-2</v>
      </c>
      <c r="K202" s="291">
        <f t="shared" si="52"/>
        <v>2.4811098321434666E-3</v>
      </c>
      <c r="P202" s="149"/>
      <c r="Q202" s="149"/>
      <c r="R202" s="149"/>
      <c r="S202" s="149"/>
      <c r="T202" s="149"/>
      <c r="U202" s="174"/>
      <c r="V202" s="180"/>
    </row>
    <row r="203" spans="1:22" x14ac:dyDescent="0.2">
      <c r="A203" s="147">
        <v>2017</v>
      </c>
      <c r="B203" s="147">
        <v>10</v>
      </c>
      <c r="C203" s="147" t="str">
        <f t="shared" si="50"/>
        <v>201710</v>
      </c>
      <c r="D203" s="147" t="str">
        <f t="shared" si="41"/>
        <v>Q4</v>
      </c>
      <c r="E203" s="147">
        <f t="shared" si="54"/>
        <v>51319.989089706825</v>
      </c>
      <c r="F203" s="147" t="e">
        <f t="shared" si="54"/>
        <v>#N/A</v>
      </c>
      <c r="G203" s="147">
        <f t="shared" si="54"/>
        <v>45448.674552537363</v>
      </c>
      <c r="H203" s="147">
        <f t="shared" si="54"/>
        <v>1361.1067204817111</v>
      </c>
      <c r="I203" s="290">
        <f t="shared" si="51"/>
        <v>548978.92962812365</v>
      </c>
      <c r="J203" s="172">
        <f t="shared" si="53"/>
        <v>2.313521958164344E-2</v>
      </c>
      <c r="K203" s="291">
        <f t="shared" si="52"/>
        <v>2.4793423700317967E-3</v>
      </c>
      <c r="P203" s="149"/>
      <c r="Q203" s="149"/>
      <c r="R203" s="149"/>
      <c r="S203" s="149"/>
      <c r="T203" s="149"/>
      <c r="U203" s="174"/>
      <c r="V203" s="180"/>
    </row>
    <row r="204" spans="1:22" x14ac:dyDescent="0.2">
      <c r="A204" s="147">
        <v>2017</v>
      </c>
      <c r="B204" s="147">
        <v>11</v>
      </c>
      <c r="C204" s="147" t="str">
        <f t="shared" si="50"/>
        <v>201711</v>
      </c>
      <c r="D204" s="147" t="str">
        <f t="shared" si="41"/>
        <v>Q4</v>
      </c>
      <c r="E204" s="147">
        <f t="shared" si="54"/>
        <v>51319.989089706825</v>
      </c>
      <c r="F204" s="147" t="e">
        <f t="shared" si="54"/>
        <v>#N/A</v>
      </c>
      <c r="G204" s="147">
        <f t="shared" si="54"/>
        <v>45448.674552537363</v>
      </c>
      <c r="H204" s="147">
        <f t="shared" si="54"/>
        <v>1361.1067204817111</v>
      </c>
      <c r="I204" s="290">
        <f t="shared" si="51"/>
        <v>548978.92962812365</v>
      </c>
      <c r="J204" s="172">
        <f t="shared" si="53"/>
        <v>2.313521958164344E-2</v>
      </c>
      <c r="K204" s="291">
        <f t="shared" si="52"/>
        <v>2.4793423700317967E-3</v>
      </c>
      <c r="P204" s="149"/>
      <c r="Q204" s="149"/>
      <c r="R204" s="149"/>
      <c r="S204" s="149"/>
      <c r="T204" s="149"/>
      <c r="U204" s="174"/>
      <c r="V204" s="180"/>
    </row>
    <row r="205" spans="1:22" x14ac:dyDescent="0.2">
      <c r="A205" s="147">
        <v>2017</v>
      </c>
      <c r="B205" s="147">
        <v>12</v>
      </c>
      <c r="C205" s="147" t="str">
        <f t="shared" si="50"/>
        <v>201712</v>
      </c>
      <c r="D205" s="147" t="str">
        <f t="shared" si="41"/>
        <v>Q4</v>
      </c>
      <c r="E205" s="147">
        <f t="shared" si="54"/>
        <v>51319.989089706825</v>
      </c>
      <c r="F205" s="147" t="e">
        <f t="shared" si="54"/>
        <v>#N/A</v>
      </c>
      <c r="G205" s="147">
        <f t="shared" si="54"/>
        <v>45448.674552537363</v>
      </c>
      <c r="H205" s="147">
        <f t="shared" si="54"/>
        <v>1361.1067204817111</v>
      </c>
      <c r="I205" s="290">
        <f t="shared" si="51"/>
        <v>548978.92962812365</v>
      </c>
      <c r="J205" s="172">
        <f t="shared" si="53"/>
        <v>2.313521958164344E-2</v>
      </c>
      <c r="K205" s="291">
        <f t="shared" si="52"/>
        <v>2.4793423700317967E-3</v>
      </c>
      <c r="P205" s="149"/>
      <c r="Q205" s="149"/>
      <c r="R205" s="149"/>
      <c r="S205" s="149"/>
      <c r="T205" s="149"/>
      <c r="U205" s="174"/>
      <c r="V205" s="180"/>
    </row>
    <row r="206" spans="1:22" x14ac:dyDescent="0.2">
      <c r="A206" s="147">
        <v>2018</v>
      </c>
      <c r="B206" s="147">
        <v>1</v>
      </c>
      <c r="C206" s="147" t="str">
        <f t="shared" si="50"/>
        <v>20181</v>
      </c>
      <c r="D206" s="147" t="str">
        <f t="shared" si="41"/>
        <v>Q1</v>
      </c>
      <c r="E206" s="147">
        <f t="shared" si="54"/>
        <v>51716.257151257239</v>
      </c>
      <c r="F206" s="147" t="e">
        <f t="shared" si="54"/>
        <v>#N/A</v>
      </c>
      <c r="G206" s="147">
        <f t="shared" si="54"/>
        <v>45721.18203228699</v>
      </c>
      <c r="H206" s="147">
        <f t="shared" si="54"/>
        <v>1364.3717319823133</v>
      </c>
      <c r="I206" s="290">
        <f t="shared" si="51"/>
        <v>550643.08498119924</v>
      </c>
      <c r="J206" s="172">
        <f t="shared" si="53"/>
        <v>2.6767595395607469E-2</v>
      </c>
      <c r="K206" s="291">
        <f t="shared" si="52"/>
        <v>2.4777787448813553E-3</v>
      </c>
      <c r="P206" s="149"/>
      <c r="Q206" s="149"/>
      <c r="R206" s="149"/>
      <c r="S206" s="149"/>
      <c r="T206" s="149"/>
      <c r="U206" s="174"/>
      <c r="V206" s="180"/>
    </row>
    <row r="207" spans="1:22" x14ac:dyDescent="0.2">
      <c r="A207" s="147">
        <v>2018</v>
      </c>
      <c r="B207" s="147">
        <v>2</v>
      </c>
      <c r="C207" s="147" t="str">
        <f t="shared" si="50"/>
        <v>20182</v>
      </c>
      <c r="D207" s="147" t="str">
        <f t="shared" ref="D207:D270" si="55">D195</f>
        <v>Q1</v>
      </c>
      <c r="E207" s="147">
        <f t="shared" si="54"/>
        <v>51716.257151257239</v>
      </c>
      <c r="F207" s="147" t="e">
        <f t="shared" si="54"/>
        <v>#N/A</v>
      </c>
      <c r="G207" s="147">
        <f t="shared" si="54"/>
        <v>45721.18203228699</v>
      </c>
      <c r="H207" s="147">
        <f t="shared" si="54"/>
        <v>1364.3717319823133</v>
      </c>
      <c r="I207" s="290">
        <f t="shared" si="51"/>
        <v>550643.08498119924</v>
      </c>
      <c r="J207" s="172">
        <f t="shared" si="53"/>
        <v>2.6767595395607469E-2</v>
      </c>
      <c r="K207" s="291">
        <f t="shared" si="52"/>
        <v>2.4777787448813553E-3</v>
      </c>
      <c r="P207" s="149"/>
      <c r="Q207" s="149"/>
      <c r="R207" s="149"/>
      <c r="S207" s="149"/>
      <c r="T207" s="149"/>
      <c r="U207" s="174"/>
      <c r="V207" s="180"/>
    </row>
    <row r="208" spans="1:22" x14ac:dyDescent="0.2">
      <c r="A208" s="147">
        <v>2018</v>
      </c>
      <c r="B208" s="147">
        <v>3</v>
      </c>
      <c r="C208" s="147" t="str">
        <f t="shared" si="50"/>
        <v>20183</v>
      </c>
      <c r="D208" s="147" t="str">
        <f t="shared" si="55"/>
        <v>Q1</v>
      </c>
      <c r="E208" s="147">
        <f t="shared" si="54"/>
        <v>51716.257151257239</v>
      </c>
      <c r="F208" s="147" t="e">
        <f t="shared" si="54"/>
        <v>#N/A</v>
      </c>
      <c r="G208" s="147">
        <f t="shared" si="54"/>
        <v>45721.18203228699</v>
      </c>
      <c r="H208" s="147">
        <f t="shared" si="54"/>
        <v>1364.3717319823133</v>
      </c>
      <c r="I208" s="290">
        <f t="shared" si="51"/>
        <v>550643.08498119924</v>
      </c>
      <c r="J208" s="172">
        <f t="shared" si="53"/>
        <v>2.6767595395607469E-2</v>
      </c>
      <c r="K208" s="291">
        <f t="shared" si="52"/>
        <v>2.4777787448813553E-3</v>
      </c>
      <c r="P208" s="149"/>
      <c r="Q208" s="149"/>
      <c r="R208" s="149"/>
      <c r="S208" s="149"/>
      <c r="T208" s="149"/>
      <c r="U208" s="174"/>
      <c r="V208" s="180"/>
    </row>
    <row r="209" spans="1:20" x14ac:dyDescent="0.2">
      <c r="A209" s="147">
        <v>2018</v>
      </c>
      <c r="B209" s="147">
        <v>4</v>
      </c>
      <c r="C209" s="147" t="str">
        <f t="shared" si="50"/>
        <v>20184</v>
      </c>
      <c r="D209" s="147" t="str">
        <f t="shared" si="55"/>
        <v>Q2</v>
      </c>
      <c r="E209" s="147">
        <f t="shared" si="54"/>
        <v>51972.835733517146</v>
      </c>
      <c r="F209" s="147" t="e">
        <f t="shared" si="54"/>
        <v>#N/A</v>
      </c>
      <c r="G209" s="147">
        <f t="shared" si="54"/>
        <v>45952.240193290287</v>
      </c>
      <c r="H209" s="147">
        <f t="shared" si="54"/>
        <v>1366.8450445227297</v>
      </c>
      <c r="I209" s="290">
        <f t="shared" si="51"/>
        <v>551933.8980331549</v>
      </c>
      <c r="J209" s="172">
        <f t="shared" si="53"/>
        <v>2.470609527292722E-2</v>
      </c>
      <c r="K209" s="291">
        <f t="shared" si="52"/>
        <v>2.4764651154668212E-3</v>
      </c>
      <c r="P209" s="153"/>
      <c r="Q209" s="153"/>
      <c r="R209" s="153"/>
      <c r="S209" s="153"/>
      <c r="T209" s="153"/>
    </row>
    <row r="210" spans="1:20" x14ac:dyDescent="0.2">
      <c r="A210" s="147">
        <v>2018</v>
      </c>
      <c r="B210" s="147">
        <v>5</v>
      </c>
      <c r="C210" s="147" t="str">
        <f t="shared" si="50"/>
        <v>20185</v>
      </c>
      <c r="D210" s="147" t="str">
        <f t="shared" si="55"/>
        <v>Q2</v>
      </c>
      <c r="E210" s="147">
        <f t="shared" si="54"/>
        <v>51972.835733517146</v>
      </c>
      <c r="F210" s="147" t="e">
        <f t="shared" si="54"/>
        <v>#N/A</v>
      </c>
      <c r="G210" s="147">
        <f t="shared" si="54"/>
        <v>45952.240193290287</v>
      </c>
      <c r="H210" s="147">
        <f t="shared" si="54"/>
        <v>1366.8450445227297</v>
      </c>
      <c r="I210" s="290">
        <f t="shared" si="51"/>
        <v>551933.8980331549</v>
      </c>
      <c r="J210" s="172">
        <f t="shared" si="53"/>
        <v>2.470609527292722E-2</v>
      </c>
      <c r="K210" s="291">
        <f t="shared" si="52"/>
        <v>2.4764651154668212E-3</v>
      </c>
      <c r="P210" s="153"/>
      <c r="Q210" s="153"/>
      <c r="R210" s="153"/>
      <c r="S210" s="153"/>
      <c r="T210" s="153"/>
    </row>
    <row r="211" spans="1:20" x14ac:dyDescent="0.2">
      <c r="A211" s="147">
        <v>2018</v>
      </c>
      <c r="B211" s="147">
        <v>6</v>
      </c>
      <c r="C211" s="147" t="str">
        <f t="shared" si="50"/>
        <v>20186</v>
      </c>
      <c r="D211" s="147" t="str">
        <f t="shared" si="55"/>
        <v>Q2</v>
      </c>
      <c r="E211" s="147">
        <f t="shared" si="54"/>
        <v>51972.835733517146</v>
      </c>
      <c r="F211" s="147" t="e">
        <f t="shared" si="54"/>
        <v>#N/A</v>
      </c>
      <c r="G211" s="147">
        <f t="shared" si="54"/>
        <v>45952.240193290287</v>
      </c>
      <c r="H211" s="147">
        <f t="shared" si="54"/>
        <v>1366.8450445227297</v>
      </c>
      <c r="I211" s="290">
        <f t="shared" si="51"/>
        <v>551933.8980331549</v>
      </c>
      <c r="J211" s="172">
        <f t="shared" si="53"/>
        <v>2.470609527292722E-2</v>
      </c>
      <c r="K211" s="291">
        <f t="shared" si="52"/>
        <v>2.4764651154668212E-3</v>
      </c>
      <c r="P211" s="153"/>
      <c r="Q211" s="153"/>
      <c r="R211" s="153"/>
      <c r="S211" s="153"/>
      <c r="T211" s="153"/>
    </row>
    <row r="212" spans="1:20" x14ac:dyDescent="0.2">
      <c r="A212" s="147">
        <v>2018</v>
      </c>
      <c r="B212" s="147">
        <v>7</v>
      </c>
      <c r="C212" s="147" t="str">
        <f t="shared" si="50"/>
        <v>20187</v>
      </c>
      <c r="D212" s="147" t="str">
        <f t="shared" si="55"/>
        <v>Q3</v>
      </c>
      <c r="E212" s="147">
        <f t="shared" si="54"/>
        <v>52322.037059531205</v>
      </c>
      <c r="F212" s="147" t="e">
        <f t="shared" si="54"/>
        <v>#N/A</v>
      </c>
      <c r="G212" s="147">
        <f t="shared" si="54"/>
        <v>46269.534926018147</v>
      </c>
      <c r="H212" s="147">
        <f t="shared" si="54"/>
        <v>1369.4271187304621</v>
      </c>
      <c r="I212" s="290">
        <f t="shared" si="51"/>
        <v>553387.32288082794</v>
      </c>
      <c r="J212" s="172">
        <f t="shared" si="53"/>
        <v>2.5144678294880318E-2</v>
      </c>
      <c r="K212" s="291">
        <f t="shared" si="52"/>
        <v>2.4746268338809931E-3</v>
      </c>
      <c r="P212" s="153"/>
      <c r="Q212" s="153"/>
      <c r="R212" s="153"/>
      <c r="S212" s="153"/>
      <c r="T212" s="153"/>
    </row>
    <row r="213" spans="1:20" x14ac:dyDescent="0.2">
      <c r="A213" s="147">
        <v>2018</v>
      </c>
      <c r="B213" s="147">
        <v>8</v>
      </c>
      <c r="C213" s="147" t="str">
        <f t="shared" si="50"/>
        <v>20188</v>
      </c>
      <c r="D213" s="147" t="str">
        <f t="shared" si="55"/>
        <v>Q3</v>
      </c>
      <c r="E213" s="147">
        <f t="shared" si="54"/>
        <v>52322.037059531205</v>
      </c>
      <c r="F213" s="147" t="e">
        <f t="shared" si="54"/>
        <v>#N/A</v>
      </c>
      <c r="G213" s="147">
        <f t="shared" si="54"/>
        <v>46269.534926018147</v>
      </c>
      <c r="H213" s="147">
        <f t="shared" si="54"/>
        <v>1369.4271187304621</v>
      </c>
      <c r="I213" s="290">
        <f t="shared" si="51"/>
        <v>553387.32288082794</v>
      </c>
      <c r="J213" s="172">
        <f t="shared" si="53"/>
        <v>2.5144678294880318E-2</v>
      </c>
      <c r="K213" s="291">
        <f t="shared" si="52"/>
        <v>2.4746268338809931E-3</v>
      </c>
      <c r="P213" s="153"/>
      <c r="Q213" s="153"/>
      <c r="R213" s="153"/>
      <c r="S213" s="153"/>
      <c r="T213" s="153"/>
    </row>
    <row r="214" spans="1:20" x14ac:dyDescent="0.2">
      <c r="A214" s="147">
        <v>2018</v>
      </c>
      <c r="B214" s="147">
        <v>9</v>
      </c>
      <c r="C214" s="147" t="str">
        <f t="shared" si="50"/>
        <v>20189</v>
      </c>
      <c r="D214" s="147" t="str">
        <f t="shared" si="55"/>
        <v>Q3</v>
      </c>
      <c r="E214" s="147">
        <f t="shared" si="54"/>
        <v>52322.037059531205</v>
      </c>
      <c r="F214" s="147" t="e">
        <f t="shared" si="54"/>
        <v>#N/A</v>
      </c>
      <c r="G214" s="147">
        <f t="shared" si="54"/>
        <v>46269.534926018147</v>
      </c>
      <c r="H214" s="147">
        <f t="shared" si="54"/>
        <v>1369.4271187304621</v>
      </c>
      <c r="I214" s="290">
        <f t="shared" si="51"/>
        <v>553387.32288082794</v>
      </c>
      <c r="J214" s="172">
        <f t="shared" si="53"/>
        <v>2.5144678294880318E-2</v>
      </c>
      <c r="K214" s="291">
        <f t="shared" si="52"/>
        <v>2.4746268338809931E-3</v>
      </c>
      <c r="P214" s="153"/>
      <c r="Q214" s="153"/>
      <c r="R214" s="153"/>
      <c r="S214" s="153"/>
      <c r="T214" s="153"/>
    </row>
    <row r="215" spans="1:20" x14ac:dyDescent="0.2">
      <c r="A215" s="147">
        <v>2018</v>
      </c>
      <c r="B215" s="147">
        <v>10</v>
      </c>
      <c r="C215" s="147" t="str">
        <f t="shared" si="50"/>
        <v>201810</v>
      </c>
      <c r="D215" s="147" t="str">
        <f t="shared" si="55"/>
        <v>Q4</v>
      </c>
      <c r="E215" s="147">
        <f t="shared" si="54"/>
        <v>52578.057835776512</v>
      </c>
      <c r="F215" s="147" t="e">
        <f t="shared" si="54"/>
        <v>#N/A</v>
      </c>
      <c r="G215" s="147">
        <f t="shared" si="54"/>
        <v>46499.695892915195</v>
      </c>
      <c r="H215" s="147">
        <f t="shared" si="54"/>
        <v>1371.9503650990048</v>
      </c>
      <c r="I215" s="290">
        <f t="shared" si="51"/>
        <v>554742.39987844229</v>
      </c>
      <c r="J215" s="172">
        <f t="shared" si="53"/>
        <v>2.4514205251887189E-2</v>
      </c>
      <c r="K215" s="291">
        <f t="shared" si="52"/>
        <v>2.4731305294126297E-3</v>
      </c>
      <c r="P215" s="153"/>
      <c r="Q215" s="153"/>
      <c r="R215" s="153"/>
      <c r="S215" s="153"/>
      <c r="T215" s="153"/>
    </row>
    <row r="216" spans="1:20" x14ac:dyDescent="0.2">
      <c r="A216" s="147">
        <v>2018</v>
      </c>
      <c r="B216" s="147">
        <v>11</v>
      </c>
      <c r="C216" s="147" t="str">
        <f t="shared" si="50"/>
        <v>201811</v>
      </c>
      <c r="D216" s="147" t="str">
        <f t="shared" si="55"/>
        <v>Q4</v>
      </c>
      <c r="E216" s="147">
        <f t="shared" si="54"/>
        <v>52578.057835776512</v>
      </c>
      <c r="F216" s="147" t="e">
        <f t="shared" si="54"/>
        <v>#N/A</v>
      </c>
      <c r="G216" s="147">
        <f t="shared" si="54"/>
        <v>46499.695892915195</v>
      </c>
      <c r="H216" s="147">
        <f t="shared" si="54"/>
        <v>1371.9503650990048</v>
      </c>
      <c r="I216" s="290">
        <f t="shared" si="51"/>
        <v>554742.39987844229</v>
      </c>
      <c r="J216" s="172">
        <f t="shared" si="53"/>
        <v>2.4514205251887189E-2</v>
      </c>
      <c r="K216" s="291">
        <f t="shared" si="52"/>
        <v>2.4731305294126297E-3</v>
      </c>
      <c r="P216" s="153"/>
      <c r="Q216" s="153"/>
      <c r="R216" s="153"/>
      <c r="S216" s="153"/>
      <c r="T216" s="153"/>
    </row>
    <row r="217" spans="1:20" x14ac:dyDescent="0.2">
      <c r="A217" s="147">
        <v>2018</v>
      </c>
      <c r="B217" s="147">
        <v>12</v>
      </c>
      <c r="C217" s="147" t="str">
        <f t="shared" si="50"/>
        <v>201812</v>
      </c>
      <c r="D217" s="147" t="str">
        <f t="shared" si="55"/>
        <v>Q4</v>
      </c>
      <c r="E217" s="147">
        <f t="shared" si="54"/>
        <v>52578.057835776512</v>
      </c>
      <c r="F217" s="147" t="e">
        <f t="shared" si="54"/>
        <v>#N/A</v>
      </c>
      <c r="G217" s="147">
        <f t="shared" si="54"/>
        <v>46499.695892915195</v>
      </c>
      <c r="H217" s="147">
        <f t="shared" si="54"/>
        <v>1371.9503650990048</v>
      </c>
      <c r="I217" s="290">
        <f t="shared" si="51"/>
        <v>554742.39987844229</v>
      </c>
      <c r="J217" s="172">
        <f t="shared" si="53"/>
        <v>2.4514205251887189E-2</v>
      </c>
      <c r="K217" s="291">
        <f t="shared" si="52"/>
        <v>2.4731305294126297E-3</v>
      </c>
      <c r="P217" s="153"/>
      <c r="Q217" s="153"/>
      <c r="R217" s="153"/>
      <c r="S217" s="153"/>
      <c r="T217" s="153"/>
    </row>
    <row r="218" spans="1:20" x14ac:dyDescent="0.2">
      <c r="A218" s="147">
        <v>2019</v>
      </c>
      <c r="B218" s="147">
        <v>1</v>
      </c>
      <c r="C218" s="147" t="str">
        <f t="shared" si="50"/>
        <v>20191</v>
      </c>
      <c r="D218" s="147" t="str">
        <f t="shared" si="55"/>
        <v>Q1</v>
      </c>
      <c r="E218" s="147">
        <f t="shared" si="54"/>
        <v>53122.153021982267</v>
      </c>
      <c r="F218" s="147" t="e">
        <f t="shared" si="54"/>
        <v>#N/A</v>
      </c>
      <c r="G218" s="147">
        <f t="shared" si="54"/>
        <v>46951.95820849367</v>
      </c>
      <c r="H218" s="147">
        <f t="shared" si="54"/>
        <v>1375.6943144598522</v>
      </c>
      <c r="I218" s="290">
        <f t="shared" si="51"/>
        <v>556369.21714072605</v>
      </c>
      <c r="J218" s="172">
        <f t="shared" si="53"/>
        <v>2.718479542348029E-2</v>
      </c>
      <c r="K218" s="291">
        <f t="shared" si="52"/>
        <v>2.4726283771229728E-3</v>
      </c>
    </row>
    <row r="219" spans="1:20" x14ac:dyDescent="0.2">
      <c r="A219" s="147">
        <v>2019</v>
      </c>
      <c r="B219" s="147">
        <v>2</v>
      </c>
      <c r="C219" s="147" t="str">
        <f t="shared" si="50"/>
        <v>20192</v>
      </c>
      <c r="D219" s="147" t="str">
        <f t="shared" si="55"/>
        <v>Q1</v>
      </c>
      <c r="E219" s="147">
        <f t="shared" si="54"/>
        <v>53122.153021982267</v>
      </c>
      <c r="F219" s="147" t="e">
        <f t="shared" si="54"/>
        <v>#N/A</v>
      </c>
      <c r="G219" s="147">
        <f t="shared" si="54"/>
        <v>46951.95820849367</v>
      </c>
      <c r="H219" s="147">
        <f t="shared" si="54"/>
        <v>1375.6943144598522</v>
      </c>
      <c r="I219" s="290">
        <f t="shared" si="51"/>
        <v>556369.21714072605</v>
      </c>
      <c r="J219" s="172">
        <f t="shared" si="53"/>
        <v>2.718479542348029E-2</v>
      </c>
      <c r="K219" s="291">
        <f t="shared" si="52"/>
        <v>2.4726283771229728E-3</v>
      </c>
      <c r="P219" s="149"/>
      <c r="Q219" s="149"/>
      <c r="R219" s="149"/>
      <c r="S219" s="149"/>
      <c r="T219" s="149"/>
    </row>
    <row r="220" spans="1:20" x14ac:dyDescent="0.2">
      <c r="A220" s="147">
        <v>2019</v>
      </c>
      <c r="B220" s="147">
        <v>3</v>
      </c>
      <c r="C220" s="147" t="str">
        <f t="shared" si="50"/>
        <v>20193</v>
      </c>
      <c r="D220" s="147" t="str">
        <f t="shared" si="55"/>
        <v>Q1</v>
      </c>
      <c r="E220" s="147">
        <f t="shared" si="54"/>
        <v>53122.153021982267</v>
      </c>
      <c r="F220" s="147" t="e">
        <f t="shared" si="54"/>
        <v>#N/A</v>
      </c>
      <c r="G220" s="147">
        <f t="shared" si="54"/>
        <v>46951.95820849367</v>
      </c>
      <c r="H220" s="147">
        <f t="shared" si="54"/>
        <v>1375.6943144598522</v>
      </c>
      <c r="I220" s="290">
        <f t="shared" si="51"/>
        <v>556369.21714072605</v>
      </c>
      <c r="J220" s="172">
        <f t="shared" si="53"/>
        <v>2.718479542348029E-2</v>
      </c>
      <c r="K220" s="291">
        <f t="shared" si="52"/>
        <v>2.4726283771229728E-3</v>
      </c>
      <c r="P220" s="149"/>
      <c r="Q220" s="149"/>
      <c r="R220" s="149"/>
      <c r="S220" s="149"/>
      <c r="T220" s="149"/>
    </row>
    <row r="221" spans="1:20" x14ac:dyDescent="0.2">
      <c r="A221" s="147">
        <v>2019</v>
      </c>
      <c r="B221" s="147">
        <v>4</v>
      </c>
      <c r="C221" s="147" t="str">
        <f t="shared" si="50"/>
        <v>20194</v>
      </c>
      <c r="D221" s="147" t="str">
        <f t="shared" si="55"/>
        <v>Q2</v>
      </c>
      <c r="E221" s="147">
        <f t="shared" si="54"/>
        <v>53511.558804897133</v>
      </c>
      <c r="F221" s="147" t="e">
        <f t="shared" si="54"/>
        <v>#N/A</v>
      </c>
      <c r="G221" s="147">
        <f t="shared" si="54"/>
        <v>47295.046546996404</v>
      </c>
      <c r="H221" s="147">
        <f t="shared" si="54"/>
        <v>1378.1975182127694</v>
      </c>
      <c r="I221" s="290">
        <f t="shared" si="51"/>
        <v>557459.59667043202</v>
      </c>
      <c r="J221" s="172">
        <f t="shared" si="53"/>
        <v>2.9606294320162929E-2</v>
      </c>
      <c r="K221" s="291">
        <f t="shared" si="52"/>
        <v>2.472282343768771E-3</v>
      </c>
      <c r="P221" s="149"/>
      <c r="Q221" s="149"/>
      <c r="R221" s="149"/>
      <c r="S221" s="149"/>
      <c r="T221" s="149"/>
    </row>
    <row r="222" spans="1:20" x14ac:dyDescent="0.2">
      <c r="A222" s="147">
        <v>2019</v>
      </c>
      <c r="B222" s="147">
        <v>5</v>
      </c>
      <c r="C222" s="147" t="str">
        <f t="shared" si="50"/>
        <v>20195</v>
      </c>
      <c r="D222" s="147" t="str">
        <f t="shared" si="55"/>
        <v>Q2</v>
      </c>
      <c r="E222" s="147">
        <f t="shared" ref="E222:H241" si="56">VLOOKUP($A222&amp;$D222,$O$1:$W$189,MATCH(E$1,$O$1:$W$1,0),0)</f>
        <v>53511.558804897133</v>
      </c>
      <c r="F222" s="147" t="e">
        <f t="shared" si="56"/>
        <v>#N/A</v>
      </c>
      <c r="G222" s="147">
        <f t="shared" si="56"/>
        <v>47295.046546996404</v>
      </c>
      <c r="H222" s="147">
        <f t="shared" si="56"/>
        <v>1378.1975182127694</v>
      </c>
      <c r="I222" s="290">
        <f t="shared" si="51"/>
        <v>557459.59667043202</v>
      </c>
      <c r="J222" s="172">
        <f t="shared" si="53"/>
        <v>2.9606294320162929E-2</v>
      </c>
      <c r="K222" s="291">
        <f t="shared" si="52"/>
        <v>2.472282343768771E-3</v>
      </c>
      <c r="P222" s="149"/>
      <c r="Q222" s="149"/>
      <c r="R222" s="149"/>
      <c r="S222" s="149"/>
      <c r="T222" s="149"/>
    </row>
    <row r="223" spans="1:20" x14ac:dyDescent="0.2">
      <c r="A223" s="147">
        <v>2019</v>
      </c>
      <c r="B223" s="147">
        <v>6</v>
      </c>
      <c r="C223" s="147" t="str">
        <f t="shared" si="50"/>
        <v>20196</v>
      </c>
      <c r="D223" s="147" t="str">
        <f t="shared" si="55"/>
        <v>Q2</v>
      </c>
      <c r="E223" s="147">
        <f t="shared" si="56"/>
        <v>53511.558804897133</v>
      </c>
      <c r="F223" s="147" t="e">
        <f t="shared" si="56"/>
        <v>#N/A</v>
      </c>
      <c r="G223" s="147">
        <f t="shared" si="56"/>
        <v>47295.046546996404</v>
      </c>
      <c r="H223" s="147">
        <f t="shared" si="56"/>
        <v>1378.1975182127694</v>
      </c>
      <c r="I223" s="290">
        <f t="shared" si="51"/>
        <v>557459.59667043202</v>
      </c>
      <c r="J223" s="172">
        <f t="shared" si="53"/>
        <v>2.9606294320162929E-2</v>
      </c>
      <c r="K223" s="291">
        <f t="shared" si="52"/>
        <v>2.472282343768771E-3</v>
      </c>
      <c r="P223" s="149"/>
      <c r="Q223" s="149"/>
      <c r="R223" s="149"/>
      <c r="S223" s="149"/>
      <c r="T223" s="149"/>
    </row>
    <row r="224" spans="1:20" x14ac:dyDescent="0.2">
      <c r="A224" s="147">
        <v>2019</v>
      </c>
      <c r="B224" s="147">
        <v>7</v>
      </c>
      <c r="C224" s="147" t="str">
        <f t="shared" si="50"/>
        <v>20197</v>
      </c>
      <c r="D224" s="147" t="str">
        <f t="shared" si="55"/>
        <v>Q3</v>
      </c>
      <c r="E224" s="147">
        <f t="shared" si="56"/>
        <v>53716.289595514107</v>
      </c>
      <c r="F224" s="147" t="e">
        <f t="shared" si="56"/>
        <v>#N/A</v>
      </c>
      <c r="G224" s="147">
        <f t="shared" si="56"/>
        <v>47474.511791947109</v>
      </c>
      <c r="H224" s="147">
        <f t="shared" si="56"/>
        <v>1381.5237765878248</v>
      </c>
      <c r="I224" s="290">
        <f t="shared" si="51"/>
        <v>558905.024497987</v>
      </c>
      <c r="J224" s="172">
        <f t="shared" si="53"/>
        <v>2.6647520133754377E-2</v>
      </c>
      <c r="K224" s="291">
        <f t="shared" si="52"/>
        <v>2.4718399657056591E-3</v>
      </c>
      <c r="P224" s="149"/>
      <c r="Q224" s="149"/>
      <c r="R224" s="149"/>
      <c r="S224" s="149"/>
      <c r="T224" s="149"/>
    </row>
    <row r="225" spans="1:22" x14ac:dyDescent="0.2">
      <c r="A225" s="147">
        <v>2019</v>
      </c>
      <c r="B225" s="147">
        <v>8</v>
      </c>
      <c r="C225" s="147" t="str">
        <f t="shared" si="50"/>
        <v>20198</v>
      </c>
      <c r="D225" s="147" t="str">
        <f t="shared" si="55"/>
        <v>Q3</v>
      </c>
      <c r="E225" s="147">
        <f t="shared" si="56"/>
        <v>53716.289595514107</v>
      </c>
      <c r="F225" s="147" t="e">
        <f t="shared" si="56"/>
        <v>#N/A</v>
      </c>
      <c r="G225" s="147">
        <f t="shared" si="56"/>
        <v>47474.511791947109</v>
      </c>
      <c r="H225" s="147">
        <f t="shared" si="56"/>
        <v>1381.5237765878248</v>
      </c>
      <c r="I225" s="290">
        <f t="shared" si="51"/>
        <v>558905.024497987</v>
      </c>
      <c r="J225" s="172">
        <f t="shared" si="53"/>
        <v>2.6647520133754377E-2</v>
      </c>
      <c r="K225" s="291">
        <f t="shared" si="52"/>
        <v>2.4718399657056591E-3</v>
      </c>
      <c r="P225" s="149"/>
      <c r="Q225" s="149"/>
      <c r="R225" s="149"/>
      <c r="S225" s="149"/>
      <c r="T225" s="149"/>
    </row>
    <row r="226" spans="1:22" x14ac:dyDescent="0.2">
      <c r="A226" s="147">
        <v>2019</v>
      </c>
      <c r="B226" s="147">
        <v>9</v>
      </c>
      <c r="C226" s="147" t="str">
        <f t="shared" si="50"/>
        <v>20199</v>
      </c>
      <c r="D226" s="147" t="str">
        <f t="shared" si="55"/>
        <v>Q3</v>
      </c>
      <c r="E226" s="147">
        <f t="shared" si="56"/>
        <v>53716.289595514107</v>
      </c>
      <c r="F226" s="147" t="e">
        <f t="shared" si="56"/>
        <v>#N/A</v>
      </c>
      <c r="G226" s="147">
        <f t="shared" si="56"/>
        <v>47474.511791947109</v>
      </c>
      <c r="H226" s="147">
        <f t="shared" si="56"/>
        <v>1381.5237765878248</v>
      </c>
      <c r="I226" s="290">
        <f t="shared" si="51"/>
        <v>558905.024497987</v>
      </c>
      <c r="J226" s="172">
        <f t="shared" si="53"/>
        <v>2.6647520133754377E-2</v>
      </c>
      <c r="K226" s="291">
        <f t="shared" si="52"/>
        <v>2.4718399657056591E-3</v>
      </c>
      <c r="P226" s="149"/>
      <c r="Q226" s="149"/>
      <c r="R226" s="149"/>
      <c r="S226" s="149"/>
      <c r="T226" s="149"/>
    </row>
    <row r="227" spans="1:22" x14ac:dyDescent="0.2">
      <c r="A227" s="147">
        <v>2019</v>
      </c>
      <c r="B227" s="147">
        <v>10</v>
      </c>
      <c r="C227" s="147" t="str">
        <f t="shared" si="50"/>
        <v>201910</v>
      </c>
      <c r="D227" s="147" t="str">
        <f t="shared" si="55"/>
        <v>Q4</v>
      </c>
      <c r="E227" s="147">
        <f t="shared" si="56"/>
        <v>54001.980329679893</v>
      </c>
      <c r="F227" s="147" t="e">
        <f t="shared" si="56"/>
        <v>#N/A</v>
      </c>
      <c r="G227" s="147">
        <f t="shared" si="56"/>
        <v>47726.545621421916</v>
      </c>
      <c r="H227" s="147">
        <f t="shared" si="56"/>
        <v>1385.1826457277234</v>
      </c>
      <c r="I227" s="290">
        <f t="shared" si="51"/>
        <v>560494.62193097011</v>
      </c>
      <c r="J227" s="172">
        <f t="shared" si="53"/>
        <v>2.7082067168606505E-2</v>
      </c>
      <c r="K227" s="291">
        <f t="shared" si="52"/>
        <v>2.4713576036744221E-3</v>
      </c>
      <c r="P227" s="149"/>
      <c r="Q227" s="149"/>
      <c r="R227" s="149"/>
      <c r="S227" s="149"/>
      <c r="T227" s="149"/>
    </row>
    <row r="228" spans="1:22" x14ac:dyDescent="0.2">
      <c r="A228" s="147">
        <v>2019</v>
      </c>
      <c r="B228" s="147">
        <v>11</v>
      </c>
      <c r="C228" s="147" t="str">
        <f t="shared" si="50"/>
        <v>201911</v>
      </c>
      <c r="D228" s="147" t="str">
        <f t="shared" si="55"/>
        <v>Q4</v>
      </c>
      <c r="E228" s="147">
        <f t="shared" si="56"/>
        <v>54001.980329679893</v>
      </c>
      <c r="F228" s="147" t="e">
        <f t="shared" si="56"/>
        <v>#N/A</v>
      </c>
      <c r="G228" s="147">
        <f t="shared" si="56"/>
        <v>47726.545621421916</v>
      </c>
      <c r="H228" s="147">
        <f t="shared" si="56"/>
        <v>1385.1826457277234</v>
      </c>
      <c r="I228" s="290">
        <f t="shared" si="51"/>
        <v>560494.62193097011</v>
      </c>
      <c r="J228" s="172">
        <f t="shared" si="53"/>
        <v>2.7082067168606505E-2</v>
      </c>
      <c r="K228" s="291">
        <f t="shared" si="52"/>
        <v>2.4713576036744221E-3</v>
      </c>
      <c r="P228" s="149"/>
      <c r="Q228" s="149"/>
      <c r="R228" s="149"/>
      <c r="S228" s="149"/>
      <c r="T228" s="149"/>
    </row>
    <row r="229" spans="1:22" x14ac:dyDescent="0.2">
      <c r="A229" s="147">
        <v>2019</v>
      </c>
      <c r="B229" s="147">
        <v>12</v>
      </c>
      <c r="C229" s="147" t="str">
        <f t="shared" si="50"/>
        <v>201912</v>
      </c>
      <c r="D229" s="147" t="str">
        <f t="shared" si="55"/>
        <v>Q4</v>
      </c>
      <c r="E229" s="147">
        <f t="shared" si="56"/>
        <v>54001.980329679893</v>
      </c>
      <c r="F229" s="147" t="e">
        <f t="shared" si="56"/>
        <v>#N/A</v>
      </c>
      <c r="G229" s="147">
        <f t="shared" si="56"/>
        <v>47726.545621421916</v>
      </c>
      <c r="H229" s="147">
        <f t="shared" si="56"/>
        <v>1385.1826457277234</v>
      </c>
      <c r="I229" s="290">
        <f t="shared" si="51"/>
        <v>560494.62193097011</v>
      </c>
      <c r="J229" s="172">
        <f t="shared" si="53"/>
        <v>2.7082067168606505E-2</v>
      </c>
      <c r="K229" s="291">
        <f t="shared" si="52"/>
        <v>2.4713576036744221E-3</v>
      </c>
      <c r="P229" s="149"/>
      <c r="Q229" s="149"/>
      <c r="R229" s="149"/>
      <c r="S229" s="149"/>
      <c r="T229" s="149"/>
    </row>
    <row r="230" spans="1:22" x14ac:dyDescent="0.2">
      <c r="A230" s="147">
        <v>2020</v>
      </c>
      <c r="B230" s="147">
        <v>1</v>
      </c>
      <c r="C230" s="147" t="str">
        <f t="shared" si="50"/>
        <v>20201</v>
      </c>
      <c r="D230" s="147" t="str">
        <f t="shared" si="55"/>
        <v>Q1</v>
      </c>
      <c r="E230" s="147">
        <f t="shared" si="56"/>
        <v>54626.264660326895</v>
      </c>
      <c r="F230" s="147" t="e">
        <f t="shared" si="56"/>
        <v>#N/A</v>
      </c>
      <c r="G230" s="147">
        <f t="shared" si="56"/>
        <v>48243.78300199988</v>
      </c>
      <c r="H230" s="147">
        <f t="shared" si="56"/>
        <v>1387.7050532664844</v>
      </c>
      <c r="I230" s="290">
        <f t="shared" si="51"/>
        <v>561598.54220876691</v>
      </c>
      <c r="J230" s="172">
        <f t="shared" si="53"/>
        <v>2.8314207026251648E-2</v>
      </c>
      <c r="K230" s="291">
        <f t="shared" si="52"/>
        <v>2.470991195612155E-3</v>
      </c>
      <c r="P230" s="149"/>
      <c r="Q230" s="149"/>
      <c r="R230" s="149"/>
      <c r="S230" s="149"/>
      <c r="T230" s="149"/>
    </row>
    <row r="231" spans="1:22" x14ac:dyDescent="0.2">
      <c r="A231" s="147">
        <v>2020</v>
      </c>
      <c r="B231" s="147">
        <v>2</v>
      </c>
      <c r="C231" s="147" t="str">
        <f t="shared" si="50"/>
        <v>20202</v>
      </c>
      <c r="D231" s="147" t="str">
        <f t="shared" si="55"/>
        <v>Q1</v>
      </c>
      <c r="E231" s="147">
        <f t="shared" si="56"/>
        <v>54626.264660326895</v>
      </c>
      <c r="F231" s="147" t="e">
        <f t="shared" si="56"/>
        <v>#N/A</v>
      </c>
      <c r="G231" s="147">
        <f t="shared" si="56"/>
        <v>48243.78300199988</v>
      </c>
      <c r="H231" s="147">
        <f t="shared" si="56"/>
        <v>1387.7050532664844</v>
      </c>
      <c r="I231" s="290">
        <f t="shared" si="51"/>
        <v>561598.54220876691</v>
      </c>
      <c r="J231" s="172">
        <f t="shared" si="53"/>
        <v>2.8314207026251648E-2</v>
      </c>
      <c r="K231" s="291">
        <f t="shared" si="52"/>
        <v>2.470991195612155E-3</v>
      </c>
      <c r="P231" s="149"/>
      <c r="Q231" s="149"/>
      <c r="R231" s="149"/>
      <c r="S231" s="149"/>
      <c r="T231" s="149"/>
    </row>
    <row r="232" spans="1:22" x14ac:dyDescent="0.2">
      <c r="A232" s="147">
        <v>2020</v>
      </c>
      <c r="B232" s="147">
        <v>3</v>
      </c>
      <c r="C232" s="147" t="str">
        <f t="shared" si="50"/>
        <v>20203</v>
      </c>
      <c r="D232" s="147" t="str">
        <f t="shared" si="55"/>
        <v>Q1</v>
      </c>
      <c r="E232" s="147">
        <f t="shared" si="56"/>
        <v>54626.264660326895</v>
      </c>
      <c r="F232" s="147" t="e">
        <f t="shared" si="56"/>
        <v>#N/A</v>
      </c>
      <c r="G232" s="147">
        <f t="shared" si="56"/>
        <v>48243.78300199988</v>
      </c>
      <c r="H232" s="147">
        <f t="shared" si="56"/>
        <v>1387.7050532664844</v>
      </c>
      <c r="I232" s="290">
        <f t="shared" si="51"/>
        <v>561598.54220876691</v>
      </c>
      <c r="J232" s="172">
        <f t="shared" si="53"/>
        <v>2.8314207026251648E-2</v>
      </c>
      <c r="K232" s="291">
        <f t="shared" si="52"/>
        <v>2.470991195612155E-3</v>
      </c>
      <c r="P232" s="149"/>
      <c r="Q232" s="149"/>
      <c r="R232" s="149"/>
      <c r="S232" s="149"/>
      <c r="T232" s="149"/>
    </row>
    <row r="233" spans="1:22" x14ac:dyDescent="0.2">
      <c r="A233" s="147">
        <v>2020</v>
      </c>
      <c r="B233" s="147">
        <v>4</v>
      </c>
      <c r="C233" s="147" t="str">
        <f t="shared" si="50"/>
        <v>20204</v>
      </c>
      <c r="D233" s="147" t="str">
        <f t="shared" si="55"/>
        <v>Q2</v>
      </c>
      <c r="E233" s="147">
        <f t="shared" si="56"/>
        <v>54901.94441327465</v>
      </c>
      <c r="F233" s="147" t="e">
        <f t="shared" si="56"/>
        <v>#N/A</v>
      </c>
      <c r="G233" s="147">
        <f t="shared" si="56"/>
        <v>48481.970690693073</v>
      </c>
      <c r="H233" s="147">
        <f t="shared" si="56"/>
        <v>1391.0391818327507</v>
      </c>
      <c r="I233" s="290">
        <f t="shared" si="51"/>
        <v>563037.96994201303</v>
      </c>
      <c r="J233" s="172">
        <f t="shared" si="53"/>
        <v>2.5982902375295325E-2</v>
      </c>
      <c r="K233" s="291">
        <f t="shared" si="52"/>
        <v>2.4705956899780898E-3</v>
      </c>
      <c r="P233" s="149"/>
      <c r="Q233" s="149"/>
      <c r="R233" s="149"/>
      <c r="S233" s="149"/>
      <c r="T233" s="149"/>
      <c r="U233" s="173"/>
      <c r="V233" s="173"/>
    </row>
    <row r="234" spans="1:22" x14ac:dyDescent="0.2">
      <c r="A234" s="147">
        <v>2020</v>
      </c>
      <c r="B234" s="147">
        <v>5</v>
      </c>
      <c r="C234" s="147" t="str">
        <f t="shared" si="50"/>
        <v>20205</v>
      </c>
      <c r="D234" s="147" t="str">
        <f t="shared" si="55"/>
        <v>Q2</v>
      </c>
      <c r="E234" s="147">
        <f t="shared" si="56"/>
        <v>54901.94441327465</v>
      </c>
      <c r="F234" s="147" t="e">
        <f t="shared" si="56"/>
        <v>#N/A</v>
      </c>
      <c r="G234" s="147">
        <f t="shared" si="56"/>
        <v>48481.970690693073</v>
      </c>
      <c r="H234" s="147">
        <f t="shared" si="56"/>
        <v>1391.0391818327507</v>
      </c>
      <c r="I234" s="290">
        <f t="shared" si="51"/>
        <v>563037.96994201303</v>
      </c>
      <c r="J234" s="172">
        <f t="shared" si="53"/>
        <v>2.5982902375295325E-2</v>
      </c>
      <c r="K234" s="291">
        <f t="shared" si="52"/>
        <v>2.4705956899780898E-3</v>
      </c>
      <c r="P234" s="149"/>
      <c r="Q234" s="149"/>
      <c r="R234" s="149"/>
      <c r="S234" s="149"/>
      <c r="T234" s="149"/>
      <c r="U234" s="173"/>
      <c r="V234" s="173"/>
    </row>
    <row r="235" spans="1:22" x14ac:dyDescent="0.2">
      <c r="A235" s="147">
        <v>2020</v>
      </c>
      <c r="B235" s="147">
        <v>6</v>
      </c>
      <c r="C235" s="147" t="str">
        <f t="shared" si="50"/>
        <v>20206</v>
      </c>
      <c r="D235" s="147" t="str">
        <f t="shared" si="55"/>
        <v>Q2</v>
      </c>
      <c r="E235" s="147">
        <f t="shared" si="56"/>
        <v>54901.94441327465</v>
      </c>
      <c r="F235" s="147" t="e">
        <f t="shared" si="56"/>
        <v>#N/A</v>
      </c>
      <c r="G235" s="147">
        <f t="shared" si="56"/>
        <v>48481.970690693073</v>
      </c>
      <c r="H235" s="147">
        <f t="shared" si="56"/>
        <v>1391.0391818327507</v>
      </c>
      <c r="I235" s="290">
        <f t="shared" si="51"/>
        <v>563037.96994201303</v>
      </c>
      <c r="J235" s="172">
        <f t="shared" si="53"/>
        <v>2.5982902375295325E-2</v>
      </c>
      <c r="K235" s="291">
        <f t="shared" si="52"/>
        <v>2.4705956899780898E-3</v>
      </c>
      <c r="P235" s="149"/>
      <c r="Q235" s="149"/>
      <c r="R235" s="149"/>
      <c r="S235" s="149"/>
      <c r="T235" s="149"/>
      <c r="U235" s="173"/>
      <c r="V235" s="173"/>
    </row>
    <row r="236" spans="1:22" x14ac:dyDescent="0.2">
      <c r="A236" s="147">
        <v>2020</v>
      </c>
      <c r="B236" s="147">
        <v>7</v>
      </c>
      <c r="C236" s="147" t="str">
        <f t="shared" si="50"/>
        <v>20207</v>
      </c>
      <c r="D236" s="147" t="str">
        <f t="shared" si="55"/>
        <v>Q3</v>
      </c>
      <c r="E236" s="147">
        <f t="shared" si="56"/>
        <v>55151.245712384502</v>
      </c>
      <c r="F236" s="147" t="e">
        <f t="shared" si="56"/>
        <v>#N/A</v>
      </c>
      <c r="G236" s="147">
        <f t="shared" si="56"/>
        <v>48705.682421467725</v>
      </c>
      <c r="H236" s="147">
        <f t="shared" si="56"/>
        <v>1394.3568192945186</v>
      </c>
      <c r="I236" s="290">
        <f t="shared" si="51"/>
        <v>564520.02408060757</v>
      </c>
      <c r="J236" s="172">
        <f t="shared" si="53"/>
        <v>2.6713611972749352E-2</v>
      </c>
      <c r="K236" s="291">
        <f t="shared" si="52"/>
        <v>2.4699864660521218E-3</v>
      </c>
      <c r="P236" s="149"/>
      <c r="Q236" s="149"/>
      <c r="R236" s="149"/>
      <c r="S236" s="149"/>
      <c r="T236" s="149"/>
      <c r="U236" s="173"/>
      <c r="V236" s="173"/>
    </row>
    <row r="237" spans="1:22" x14ac:dyDescent="0.2">
      <c r="A237" s="147">
        <v>2020</v>
      </c>
      <c r="B237" s="147">
        <v>8</v>
      </c>
      <c r="C237" s="147" t="str">
        <f t="shared" si="50"/>
        <v>20208</v>
      </c>
      <c r="D237" s="147" t="str">
        <f t="shared" si="55"/>
        <v>Q3</v>
      </c>
      <c r="E237" s="147">
        <f t="shared" si="56"/>
        <v>55151.245712384502</v>
      </c>
      <c r="F237" s="147" t="e">
        <f t="shared" si="56"/>
        <v>#N/A</v>
      </c>
      <c r="G237" s="147">
        <f t="shared" si="56"/>
        <v>48705.682421467725</v>
      </c>
      <c r="H237" s="147">
        <f t="shared" si="56"/>
        <v>1394.3568192945186</v>
      </c>
      <c r="I237" s="290">
        <f t="shared" si="51"/>
        <v>564520.02408060757</v>
      </c>
      <c r="J237" s="172">
        <f t="shared" si="53"/>
        <v>2.6713611972749352E-2</v>
      </c>
      <c r="K237" s="291">
        <f t="shared" si="52"/>
        <v>2.4699864660521218E-3</v>
      </c>
      <c r="P237" s="149"/>
      <c r="Q237" s="149"/>
      <c r="R237" s="149"/>
      <c r="S237" s="149"/>
      <c r="T237" s="149"/>
      <c r="U237" s="173"/>
      <c r="V237" s="173"/>
    </row>
    <row r="238" spans="1:22" x14ac:dyDescent="0.2">
      <c r="A238" s="147">
        <v>2020</v>
      </c>
      <c r="B238" s="147">
        <v>9</v>
      </c>
      <c r="C238" s="147" t="str">
        <f t="shared" si="50"/>
        <v>20209</v>
      </c>
      <c r="D238" s="147" t="str">
        <f t="shared" si="55"/>
        <v>Q3</v>
      </c>
      <c r="E238" s="147">
        <f t="shared" si="56"/>
        <v>55151.245712384502</v>
      </c>
      <c r="F238" s="147" t="e">
        <f t="shared" si="56"/>
        <v>#N/A</v>
      </c>
      <c r="G238" s="147">
        <f t="shared" si="56"/>
        <v>48705.682421467725</v>
      </c>
      <c r="H238" s="147">
        <f t="shared" si="56"/>
        <v>1394.3568192945186</v>
      </c>
      <c r="I238" s="290">
        <f t="shared" si="51"/>
        <v>564520.02408060757</v>
      </c>
      <c r="J238" s="172">
        <f t="shared" si="53"/>
        <v>2.6713611972749352E-2</v>
      </c>
      <c r="K238" s="291">
        <f t="shared" si="52"/>
        <v>2.4699864660521218E-3</v>
      </c>
      <c r="P238" s="149"/>
      <c r="Q238" s="149"/>
      <c r="R238" s="149"/>
      <c r="S238" s="149"/>
      <c r="T238" s="149"/>
      <c r="U238" s="173"/>
      <c r="V238" s="173"/>
    </row>
    <row r="239" spans="1:22" x14ac:dyDescent="0.2">
      <c r="A239" s="147">
        <v>2020</v>
      </c>
      <c r="B239" s="147">
        <v>10</v>
      </c>
      <c r="C239" s="147" t="str">
        <f t="shared" si="50"/>
        <v>202010</v>
      </c>
      <c r="D239" s="147" t="str">
        <f t="shared" si="55"/>
        <v>Q4</v>
      </c>
      <c r="E239" s="147">
        <f t="shared" si="56"/>
        <v>55287.553945045285</v>
      </c>
      <c r="F239" s="147" t="e">
        <f t="shared" si="56"/>
        <v>#N/A</v>
      </c>
      <c r="G239" s="147">
        <f t="shared" si="56"/>
        <v>48829.591308895542</v>
      </c>
      <c r="H239" s="147">
        <f t="shared" si="56"/>
        <v>1397.6699795618463</v>
      </c>
      <c r="I239" s="290">
        <f t="shared" si="51"/>
        <v>565949.66302491468</v>
      </c>
      <c r="J239" s="172">
        <f t="shared" si="53"/>
        <v>2.3806045769377615E-2</v>
      </c>
      <c r="K239" s="291">
        <f t="shared" si="52"/>
        <v>2.4696012222915962E-3</v>
      </c>
      <c r="P239" s="149"/>
      <c r="Q239" s="149"/>
      <c r="R239" s="149"/>
      <c r="S239" s="149"/>
      <c r="T239" s="149"/>
      <c r="U239" s="173"/>
      <c r="V239" s="173"/>
    </row>
    <row r="240" spans="1:22" x14ac:dyDescent="0.2">
      <c r="A240" s="147">
        <v>2020</v>
      </c>
      <c r="B240" s="147">
        <v>11</v>
      </c>
      <c r="C240" s="147" t="str">
        <f t="shared" si="50"/>
        <v>202011</v>
      </c>
      <c r="D240" s="147" t="str">
        <f t="shared" si="55"/>
        <v>Q4</v>
      </c>
      <c r="E240" s="147">
        <f t="shared" si="56"/>
        <v>55287.553945045285</v>
      </c>
      <c r="F240" s="147" t="e">
        <f t="shared" si="56"/>
        <v>#N/A</v>
      </c>
      <c r="G240" s="147">
        <f t="shared" si="56"/>
        <v>48829.591308895542</v>
      </c>
      <c r="H240" s="147">
        <f t="shared" si="56"/>
        <v>1397.6699795618463</v>
      </c>
      <c r="I240" s="290">
        <f t="shared" si="51"/>
        <v>565949.66302491468</v>
      </c>
      <c r="J240" s="172">
        <f t="shared" si="53"/>
        <v>2.3806045769377615E-2</v>
      </c>
      <c r="K240" s="291">
        <f t="shared" si="52"/>
        <v>2.4696012222915962E-3</v>
      </c>
      <c r="P240" s="149"/>
      <c r="Q240" s="149"/>
      <c r="R240" s="149"/>
      <c r="S240" s="149"/>
      <c r="T240" s="149"/>
      <c r="U240" s="173"/>
      <c r="V240" s="173"/>
    </row>
    <row r="241" spans="1:20" x14ac:dyDescent="0.2">
      <c r="A241" s="147">
        <v>2020</v>
      </c>
      <c r="B241" s="147">
        <v>12</v>
      </c>
      <c r="C241" s="147" t="str">
        <f t="shared" si="50"/>
        <v>202012</v>
      </c>
      <c r="D241" s="147" t="str">
        <f t="shared" si="55"/>
        <v>Q4</v>
      </c>
      <c r="E241" s="147">
        <f t="shared" si="56"/>
        <v>55287.553945045285</v>
      </c>
      <c r="F241" s="147" t="e">
        <f t="shared" si="56"/>
        <v>#N/A</v>
      </c>
      <c r="G241" s="147">
        <f t="shared" si="56"/>
        <v>48829.591308895542</v>
      </c>
      <c r="H241" s="147">
        <f t="shared" si="56"/>
        <v>1397.6699795618463</v>
      </c>
      <c r="I241" s="290">
        <f t="shared" si="51"/>
        <v>565949.66302491468</v>
      </c>
      <c r="J241" s="172">
        <f t="shared" si="53"/>
        <v>2.3806045769377615E-2</v>
      </c>
      <c r="K241" s="291">
        <f t="shared" si="52"/>
        <v>2.4696012222915962E-3</v>
      </c>
      <c r="P241" s="153"/>
      <c r="Q241" s="153"/>
      <c r="R241" s="153"/>
      <c r="S241" s="153"/>
      <c r="T241" s="153"/>
    </row>
    <row r="242" spans="1:20" x14ac:dyDescent="0.2">
      <c r="A242" s="147">
        <v>2021</v>
      </c>
      <c r="B242" s="147">
        <v>1</v>
      </c>
      <c r="C242" s="147" t="str">
        <f t="shared" si="50"/>
        <v>20211</v>
      </c>
      <c r="D242" s="147" t="str">
        <f t="shared" si="55"/>
        <v>Q1</v>
      </c>
      <c r="E242" s="147">
        <f t="shared" ref="E242:H261" si="57">VLOOKUP($A242&amp;$D242,$O$1:$W$189,MATCH(E$1,$O$1:$W$1,0),0)</f>
        <v>55760.417503843637</v>
      </c>
      <c r="F242" s="147" t="e">
        <f t="shared" si="57"/>
        <v>#N/A</v>
      </c>
      <c r="G242" s="147">
        <f t="shared" si="57"/>
        <v>49203.757964168057</v>
      </c>
      <c r="H242" s="147">
        <f t="shared" si="57"/>
        <v>1400.3042071178606</v>
      </c>
      <c r="I242" s="290">
        <f t="shared" si="51"/>
        <v>567184.77354044432</v>
      </c>
      <c r="J242" s="172">
        <f t="shared" si="53"/>
        <v>2.076204277501037E-2</v>
      </c>
      <c r="K242" s="291">
        <f t="shared" si="52"/>
        <v>2.4688677701571074E-3</v>
      </c>
      <c r="P242" s="153"/>
      <c r="Q242" s="153"/>
      <c r="R242" s="153"/>
      <c r="S242" s="153"/>
      <c r="T242" s="153"/>
    </row>
    <row r="243" spans="1:20" x14ac:dyDescent="0.2">
      <c r="A243" s="147">
        <v>2021</v>
      </c>
      <c r="B243" s="147">
        <v>2</v>
      </c>
      <c r="C243" s="147" t="str">
        <f t="shared" si="50"/>
        <v>20212</v>
      </c>
      <c r="D243" s="147" t="str">
        <f t="shared" si="55"/>
        <v>Q1</v>
      </c>
      <c r="E243" s="147">
        <f t="shared" si="57"/>
        <v>55760.417503843637</v>
      </c>
      <c r="F243" s="147" t="e">
        <f t="shared" si="57"/>
        <v>#N/A</v>
      </c>
      <c r="G243" s="147">
        <f t="shared" si="57"/>
        <v>49203.757964168057</v>
      </c>
      <c r="H243" s="147">
        <f t="shared" si="57"/>
        <v>1400.3042071178606</v>
      </c>
      <c r="I243" s="290">
        <f t="shared" si="51"/>
        <v>567184.77354044432</v>
      </c>
      <c r="J243" s="172">
        <f t="shared" si="53"/>
        <v>2.076204277501037E-2</v>
      </c>
      <c r="K243" s="291">
        <f t="shared" si="52"/>
        <v>2.4688677701571074E-3</v>
      </c>
      <c r="P243" s="153"/>
      <c r="Q243" s="153"/>
      <c r="R243" s="153"/>
      <c r="S243" s="153"/>
      <c r="T243" s="153"/>
    </row>
    <row r="244" spans="1:20" x14ac:dyDescent="0.2">
      <c r="A244" s="147">
        <v>2021</v>
      </c>
      <c r="B244" s="147">
        <v>3</v>
      </c>
      <c r="C244" s="147" t="str">
        <f t="shared" si="50"/>
        <v>20213</v>
      </c>
      <c r="D244" s="147" t="str">
        <f t="shared" si="55"/>
        <v>Q1</v>
      </c>
      <c r="E244" s="147">
        <f t="shared" si="57"/>
        <v>55760.417503843637</v>
      </c>
      <c r="F244" s="147" t="e">
        <f t="shared" si="57"/>
        <v>#N/A</v>
      </c>
      <c r="G244" s="147">
        <f t="shared" si="57"/>
        <v>49203.757964168057</v>
      </c>
      <c r="H244" s="147">
        <f t="shared" si="57"/>
        <v>1400.3042071178606</v>
      </c>
      <c r="I244" s="290">
        <f t="shared" si="51"/>
        <v>567184.77354044432</v>
      </c>
      <c r="J244" s="172">
        <f t="shared" si="53"/>
        <v>2.076204277501037E-2</v>
      </c>
      <c r="K244" s="291">
        <f t="shared" si="52"/>
        <v>2.4688677701571074E-3</v>
      </c>
      <c r="P244" s="153"/>
      <c r="Q244" s="153"/>
      <c r="R244" s="153"/>
      <c r="S244" s="153"/>
      <c r="T244" s="153"/>
    </row>
    <row r="245" spans="1:20" x14ac:dyDescent="0.2">
      <c r="A245" s="147">
        <v>2021</v>
      </c>
      <c r="B245" s="147">
        <v>4</v>
      </c>
      <c r="C245" s="147" t="str">
        <f t="shared" si="50"/>
        <v>20214</v>
      </c>
      <c r="D245" s="147" t="str">
        <f t="shared" si="55"/>
        <v>Q2</v>
      </c>
      <c r="E245" s="147">
        <f t="shared" si="57"/>
        <v>55997.72567069441</v>
      </c>
      <c r="F245" s="147" t="e">
        <f t="shared" si="57"/>
        <v>#N/A</v>
      </c>
      <c r="G245" s="147">
        <f t="shared" si="57"/>
        <v>49409.045195684346</v>
      </c>
      <c r="H245" s="147">
        <f t="shared" si="57"/>
        <v>1403.5946446527612</v>
      </c>
      <c r="I245" s="290">
        <f t="shared" si="51"/>
        <v>568619.62347149756</v>
      </c>
      <c r="J245" s="172">
        <f t="shared" si="53"/>
        <v>1.9958878854476669E-2</v>
      </c>
      <c r="K245" s="291">
        <f t="shared" si="52"/>
        <v>2.4684245613678111E-3</v>
      </c>
      <c r="P245" s="153"/>
      <c r="Q245" s="153"/>
      <c r="R245" s="153"/>
      <c r="S245" s="153"/>
      <c r="T245" s="153"/>
    </row>
    <row r="246" spans="1:20" x14ac:dyDescent="0.2">
      <c r="A246" s="147">
        <v>2021</v>
      </c>
      <c r="B246" s="147">
        <v>5</v>
      </c>
      <c r="C246" s="147" t="str">
        <f t="shared" si="50"/>
        <v>20215</v>
      </c>
      <c r="D246" s="147" t="str">
        <f t="shared" si="55"/>
        <v>Q2</v>
      </c>
      <c r="E246" s="147">
        <f t="shared" si="57"/>
        <v>55997.72567069441</v>
      </c>
      <c r="F246" s="147" t="e">
        <f t="shared" si="57"/>
        <v>#N/A</v>
      </c>
      <c r="G246" s="147">
        <f t="shared" si="57"/>
        <v>49409.045195684346</v>
      </c>
      <c r="H246" s="147">
        <f t="shared" si="57"/>
        <v>1403.5946446527612</v>
      </c>
      <c r="I246" s="290">
        <f t="shared" si="51"/>
        <v>568619.62347149756</v>
      </c>
      <c r="J246" s="172">
        <f t="shared" si="53"/>
        <v>1.9958878854476669E-2</v>
      </c>
      <c r="K246" s="291">
        <f t="shared" si="52"/>
        <v>2.4684245613678111E-3</v>
      </c>
      <c r="P246" s="153"/>
      <c r="Q246" s="153"/>
      <c r="R246" s="153"/>
      <c r="S246" s="153"/>
      <c r="T246" s="153"/>
    </row>
    <row r="247" spans="1:20" x14ac:dyDescent="0.2">
      <c r="A247" s="147">
        <v>2021</v>
      </c>
      <c r="B247" s="147">
        <v>6</v>
      </c>
      <c r="C247" s="147" t="str">
        <f t="shared" si="50"/>
        <v>20216</v>
      </c>
      <c r="D247" s="147" t="str">
        <f t="shared" si="55"/>
        <v>Q2</v>
      </c>
      <c r="E247" s="147">
        <f t="shared" si="57"/>
        <v>55997.72567069441</v>
      </c>
      <c r="F247" s="147" t="e">
        <f t="shared" si="57"/>
        <v>#N/A</v>
      </c>
      <c r="G247" s="147">
        <f t="shared" si="57"/>
        <v>49409.045195684346</v>
      </c>
      <c r="H247" s="147">
        <f t="shared" si="57"/>
        <v>1403.5946446527612</v>
      </c>
      <c r="I247" s="290">
        <f t="shared" si="51"/>
        <v>568619.62347149756</v>
      </c>
      <c r="J247" s="172">
        <f t="shared" si="53"/>
        <v>1.9958878854476669E-2</v>
      </c>
      <c r="K247" s="291">
        <f t="shared" si="52"/>
        <v>2.4684245613678111E-3</v>
      </c>
      <c r="P247" s="153"/>
      <c r="Q247" s="153"/>
      <c r="R247" s="153"/>
      <c r="S247" s="153"/>
      <c r="T247" s="153"/>
    </row>
    <row r="248" spans="1:20" x14ac:dyDescent="0.2">
      <c r="A248" s="147">
        <v>2021</v>
      </c>
      <c r="B248" s="147">
        <v>7</v>
      </c>
      <c r="C248" s="147" t="str">
        <f t="shared" si="50"/>
        <v>20217</v>
      </c>
      <c r="D248" s="147" t="str">
        <f t="shared" si="55"/>
        <v>Q3</v>
      </c>
      <c r="E248" s="147">
        <f t="shared" si="57"/>
        <v>56175.190964946436</v>
      </c>
      <c r="F248" s="147" t="e">
        <f t="shared" si="57"/>
        <v>#N/A</v>
      </c>
      <c r="G248" s="147">
        <f t="shared" si="57"/>
        <v>49571.67892035051</v>
      </c>
      <c r="H248" s="147">
        <f t="shared" si="57"/>
        <v>1407.3368286541725</v>
      </c>
      <c r="I248" s="290">
        <f t="shared" si="51"/>
        <v>570179.23449111276</v>
      </c>
      <c r="J248" s="172">
        <f t="shared" si="53"/>
        <v>1.8566130997327734E-2</v>
      </c>
      <c r="K248" s="291">
        <f t="shared" si="52"/>
        <v>2.4682358520303291E-3</v>
      </c>
      <c r="P248" s="153"/>
      <c r="Q248" s="153"/>
      <c r="R248" s="153"/>
      <c r="S248" s="153"/>
      <c r="T248" s="153"/>
    </row>
    <row r="249" spans="1:20" x14ac:dyDescent="0.2">
      <c r="A249" s="147">
        <v>2021</v>
      </c>
      <c r="B249" s="147">
        <v>8</v>
      </c>
      <c r="C249" s="147" t="str">
        <f t="shared" si="50"/>
        <v>20218</v>
      </c>
      <c r="D249" s="147" t="str">
        <f t="shared" si="55"/>
        <v>Q3</v>
      </c>
      <c r="E249" s="147">
        <f t="shared" si="57"/>
        <v>56175.190964946436</v>
      </c>
      <c r="F249" s="147" t="e">
        <f t="shared" si="57"/>
        <v>#N/A</v>
      </c>
      <c r="G249" s="147">
        <f t="shared" si="57"/>
        <v>49571.67892035051</v>
      </c>
      <c r="H249" s="147">
        <f t="shared" si="57"/>
        <v>1407.3368286541725</v>
      </c>
      <c r="I249" s="290">
        <f t="shared" si="51"/>
        <v>570179.23449111276</v>
      </c>
      <c r="J249" s="172">
        <f t="shared" si="53"/>
        <v>1.8566130997327734E-2</v>
      </c>
      <c r="K249" s="291">
        <f t="shared" si="52"/>
        <v>2.4682358520303291E-3</v>
      </c>
      <c r="P249" s="153"/>
      <c r="Q249" s="153"/>
      <c r="R249" s="153"/>
      <c r="S249" s="153"/>
      <c r="T249" s="153"/>
    </row>
    <row r="250" spans="1:20" x14ac:dyDescent="0.2">
      <c r="A250" s="147">
        <v>2021</v>
      </c>
      <c r="B250" s="147">
        <v>9</v>
      </c>
      <c r="C250" s="147" t="str">
        <f t="shared" si="50"/>
        <v>20219</v>
      </c>
      <c r="D250" s="147" t="str">
        <f t="shared" si="55"/>
        <v>Q3</v>
      </c>
      <c r="E250" s="147">
        <f t="shared" si="57"/>
        <v>56175.190964946436</v>
      </c>
      <c r="F250" s="147" t="e">
        <f t="shared" si="57"/>
        <v>#N/A</v>
      </c>
      <c r="G250" s="147">
        <f t="shared" si="57"/>
        <v>49571.67892035051</v>
      </c>
      <c r="H250" s="147">
        <f t="shared" si="57"/>
        <v>1407.3368286541725</v>
      </c>
      <c r="I250" s="290">
        <f t="shared" si="51"/>
        <v>570179.23449111276</v>
      </c>
      <c r="J250" s="172">
        <f t="shared" si="53"/>
        <v>1.8566130997327734E-2</v>
      </c>
      <c r="K250" s="291">
        <f t="shared" si="52"/>
        <v>2.4682358520303291E-3</v>
      </c>
      <c r="M250" s="170"/>
    </row>
    <row r="251" spans="1:20" x14ac:dyDescent="0.2">
      <c r="A251" s="147">
        <v>2021</v>
      </c>
      <c r="B251" s="147">
        <v>10</v>
      </c>
      <c r="C251" s="147" t="str">
        <f t="shared" si="50"/>
        <v>202110</v>
      </c>
      <c r="D251" s="147" t="str">
        <f t="shared" si="55"/>
        <v>Q4</v>
      </c>
      <c r="E251" s="147">
        <f t="shared" si="57"/>
        <v>56554.773682165433</v>
      </c>
      <c r="F251" s="147" t="e">
        <f t="shared" si="57"/>
        <v>#N/A</v>
      </c>
      <c r="G251" s="147">
        <f t="shared" si="57"/>
        <v>49908.568796165404</v>
      </c>
      <c r="H251" s="147">
        <f t="shared" si="57"/>
        <v>1410.5414388105048</v>
      </c>
      <c r="I251" s="290">
        <f t="shared" si="51"/>
        <v>571487.54631005262</v>
      </c>
      <c r="J251" s="172">
        <f t="shared" si="53"/>
        <v>2.2920524543005527E-2</v>
      </c>
      <c r="K251" s="291">
        <f t="shared" si="52"/>
        <v>2.4681927855086366E-3</v>
      </c>
      <c r="M251" s="170"/>
    </row>
    <row r="252" spans="1:20" x14ac:dyDescent="0.2">
      <c r="A252" s="147">
        <v>2021</v>
      </c>
      <c r="B252" s="147">
        <v>11</v>
      </c>
      <c r="C252" s="147" t="str">
        <f t="shared" si="50"/>
        <v>202111</v>
      </c>
      <c r="D252" s="147" t="str">
        <f t="shared" si="55"/>
        <v>Q4</v>
      </c>
      <c r="E252" s="147">
        <f t="shared" si="57"/>
        <v>56554.773682165433</v>
      </c>
      <c r="F252" s="147" t="e">
        <f t="shared" si="57"/>
        <v>#N/A</v>
      </c>
      <c r="G252" s="147">
        <f t="shared" si="57"/>
        <v>49908.568796165404</v>
      </c>
      <c r="H252" s="147">
        <f t="shared" si="57"/>
        <v>1410.5414388105048</v>
      </c>
      <c r="I252" s="290">
        <f t="shared" si="51"/>
        <v>571487.54631005262</v>
      </c>
      <c r="J252" s="172">
        <f t="shared" si="53"/>
        <v>2.2920524543005527E-2</v>
      </c>
      <c r="K252" s="291">
        <f t="shared" si="52"/>
        <v>2.4681927855086366E-3</v>
      </c>
      <c r="M252" s="170"/>
    </row>
    <row r="253" spans="1:20" x14ac:dyDescent="0.2">
      <c r="A253" s="147">
        <v>2021</v>
      </c>
      <c r="B253" s="147">
        <v>12</v>
      </c>
      <c r="C253" s="147" t="str">
        <f t="shared" si="50"/>
        <v>202112</v>
      </c>
      <c r="D253" s="147" t="str">
        <f t="shared" si="55"/>
        <v>Q4</v>
      </c>
      <c r="E253" s="147">
        <f t="shared" si="57"/>
        <v>56554.773682165433</v>
      </c>
      <c r="F253" s="147" t="e">
        <f t="shared" si="57"/>
        <v>#N/A</v>
      </c>
      <c r="G253" s="147">
        <f t="shared" si="57"/>
        <v>49908.568796165404</v>
      </c>
      <c r="H253" s="147">
        <f t="shared" si="57"/>
        <v>1410.5414388105048</v>
      </c>
      <c r="I253" s="290">
        <f t="shared" si="51"/>
        <v>571487.54631005262</v>
      </c>
      <c r="J253" s="172">
        <f t="shared" si="53"/>
        <v>2.2920524543005527E-2</v>
      </c>
      <c r="K253" s="291">
        <f t="shared" si="52"/>
        <v>2.4681927855086366E-3</v>
      </c>
      <c r="M253" s="170"/>
    </row>
    <row r="254" spans="1:20" x14ac:dyDescent="0.2">
      <c r="A254" s="147">
        <v>2022</v>
      </c>
      <c r="B254" s="147">
        <v>1</v>
      </c>
      <c r="C254" s="147" t="str">
        <f t="shared" si="50"/>
        <v>20221</v>
      </c>
      <c r="D254" s="147" t="str">
        <f t="shared" si="55"/>
        <v>Q1</v>
      </c>
      <c r="E254" s="147">
        <f t="shared" si="57"/>
        <v>56954.584699121246</v>
      </c>
      <c r="F254" s="147" t="e">
        <f t="shared" si="57"/>
        <v>#N/A</v>
      </c>
      <c r="G254" s="147">
        <f t="shared" si="57"/>
        <v>50229.384400300703</v>
      </c>
      <c r="H254" s="147">
        <f t="shared" si="57"/>
        <v>1413.6614308768339</v>
      </c>
      <c r="I254" s="290">
        <f t="shared" si="51"/>
        <v>572720.88941049937</v>
      </c>
      <c r="J254" s="172">
        <f t="shared" si="53"/>
        <v>2.1416037553795064E-2</v>
      </c>
      <c r="K254" s="291">
        <f t="shared" si="52"/>
        <v>2.4683252471058167E-3</v>
      </c>
      <c r="M254" s="170"/>
    </row>
    <row r="255" spans="1:20" x14ac:dyDescent="0.2">
      <c r="A255" s="147">
        <v>2022</v>
      </c>
      <c r="B255" s="147">
        <v>2</v>
      </c>
      <c r="C255" s="147" t="str">
        <f t="shared" si="50"/>
        <v>20222</v>
      </c>
      <c r="D255" s="147" t="str">
        <f t="shared" si="55"/>
        <v>Q1</v>
      </c>
      <c r="E255" s="147">
        <f t="shared" si="57"/>
        <v>56954.584699121246</v>
      </c>
      <c r="F255" s="147" t="e">
        <f t="shared" si="57"/>
        <v>#N/A</v>
      </c>
      <c r="G255" s="147">
        <f t="shared" si="57"/>
        <v>50229.384400300703</v>
      </c>
      <c r="H255" s="147">
        <f t="shared" si="57"/>
        <v>1413.6614308768339</v>
      </c>
      <c r="I255" s="290">
        <f t="shared" si="51"/>
        <v>572720.88941049937</v>
      </c>
      <c r="J255" s="172">
        <f t="shared" si="53"/>
        <v>2.1416037553795064E-2</v>
      </c>
      <c r="K255" s="291">
        <f t="shared" si="52"/>
        <v>2.4683252471058167E-3</v>
      </c>
      <c r="M255" s="170"/>
    </row>
    <row r="256" spans="1:20" x14ac:dyDescent="0.2">
      <c r="A256" s="147">
        <v>2022</v>
      </c>
      <c r="B256" s="147">
        <v>3</v>
      </c>
      <c r="C256" s="147" t="str">
        <f t="shared" si="50"/>
        <v>20223</v>
      </c>
      <c r="D256" s="147" t="str">
        <f t="shared" si="55"/>
        <v>Q1</v>
      </c>
      <c r="E256" s="147">
        <f t="shared" si="57"/>
        <v>56954.584699121246</v>
      </c>
      <c r="F256" s="147" t="e">
        <f t="shared" si="57"/>
        <v>#N/A</v>
      </c>
      <c r="G256" s="147">
        <f t="shared" si="57"/>
        <v>50229.384400300703</v>
      </c>
      <c r="H256" s="147">
        <f t="shared" si="57"/>
        <v>1413.6614308768339</v>
      </c>
      <c r="I256" s="290">
        <f t="shared" si="51"/>
        <v>572720.88941049937</v>
      </c>
      <c r="J256" s="172">
        <f t="shared" si="53"/>
        <v>2.1416037553795064E-2</v>
      </c>
      <c r="K256" s="291">
        <f t="shared" si="52"/>
        <v>2.4683252471058167E-3</v>
      </c>
      <c r="M256" s="170"/>
    </row>
    <row r="257" spans="1:13" x14ac:dyDescent="0.2">
      <c r="A257" s="147">
        <v>2022</v>
      </c>
      <c r="B257" s="147">
        <v>4</v>
      </c>
      <c r="C257" s="147" t="str">
        <f t="shared" si="50"/>
        <v>20224</v>
      </c>
      <c r="D257" s="147" t="str">
        <f t="shared" si="55"/>
        <v>Q2</v>
      </c>
      <c r="E257" s="147">
        <f t="shared" si="57"/>
        <v>57220.946881443437</v>
      </c>
      <c r="F257" s="147" t="e">
        <f t="shared" si="57"/>
        <v>#N/A</v>
      </c>
      <c r="G257" s="147">
        <f t="shared" si="57"/>
        <v>50462.244962799821</v>
      </c>
      <c r="H257" s="147">
        <f t="shared" si="57"/>
        <v>1416.9364853411676</v>
      </c>
      <c r="I257" s="290">
        <f t="shared" si="51"/>
        <v>573942.32922392886</v>
      </c>
      <c r="J257" s="172">
        <f t="shared" si="53"/>
        <v>2.1844123062111809E-2</v>
      </c>
      <c r="K257" s="291">
        <f t="shared" si="52"/>
        <v>2.468778504727322E-3</v>
      </c>
      <c r="M257" s="170"/>
    </row>
    <row r="258" spans="1:13" x14ac:dyDescent="0.2">
      <c r="A258" s="147">
        <v>2022</v>
      </c>
      <c r="B258" s="147">
        <v>5</v>
      </c>
      <c r="C258" s="147" t="str">
        <f t="shared" si="50"/>
        <v>20225</v>
      </c>
      <c r="D258" s="147" t="str">
        <f t="shared" si="55"/>
        <v>Q2</v>
      </c>
      <c r="E258" s="147">
        <f t="shared" si="57"/>
        <v>57220.946881443437</v>
      </c>
      <c r="F258" s="147" t="e">
        <f t="shared" si="57"/>
        <v>#N/A</v>
      </c>
      <c r="G258" s="147">
        <f t="shared" si="57"/>
        <v>50462.244962799821</v>
      </c>
      <c r="H258" s="147">
        <f t="shared" si="57"/>
        <v>1416.9364853411676</v>
      </c>
      <c r="I258" s="290">
        <f t="shared" si="51"/>
        <v>573942.32922392886</v>
      </c>
      <c r="J258" s="172">
        <f t="shared" si="53"/>
        <v>2.1844123062111809E-2</v>
      </c>
      <c r="K258" s="291">
        <f t="shared" si="52"/>
        <v>2.468778504727322E-3</v>
      </c>
      <c r="M258" s="170"/>
    </row>
    <row r="259" spans="1:13" x14ac:dyDescent="0.2">
      <c r="A259" s="147">
        <v>2022</v>
      </c>
      <c r="B259" s="147">
        <v>6</v>
      </c>
      <c r="C259" s="147" t="str">
        <f t="shared" ref="C259:C322" si="58">A259&amp;B259</f>
        <v>20226</v>
      </c>
      <c r="D259" s="147" t="str">
        <f t="shared" si="55"/>
        <v>Q2</v>
      </c>
      <c r="E259" s="147">
        <f t="shared" si="57"/>
        <v>57220.946881443437</v>
      </c>
      <c r="F259" s="147" t="e">
        <f t="shared" si="57"/>
        <v>#N/A</v>
      </c>
      <c r="G259" s="147">
        <f t="shared" si="57"/>
        <v>50462.244962799821</v>
      </c>
      <c r="H259" s="147">
        <f t="shared" si="57"/>
        <v>1416.9364853411676</v>
      </c>
      <c r="I259" s="290">
        <f t="shared" ref="I259:I322" si="59">VLOOKUP($A259&amp;$D259,$O$1:$W$189,MATCH(I$1,$O$1:$W$1,0),0)*1000</f>
        <v>573942.32922392886</v>
      </c>
      <c r="J259" s="172">
        <f t="shared" si="53"/>
        <v>2.1844123062111809E-2</v>
      </c>
      <c r="K259" s="291">
        <f t="shared" ref="K259:K322" si="60">H259/I259</f>
        <v>2.468778504727322E-3</v>
      </c>
      <c r="M259" s="170"/>
    </row>
    <row r="260" spans="1:13" x14ac:dyDescent="0.2">
      <c r="A260" s="147">
        <v>2022</v>
      </c>
      <c r="B260" s="147">
        <v>7</v>
      </c>
      <c r="C260" s="147" t="str">
        <f t="shared" si="58"/>
        <v>20227</v>
      </c>
      <c r="D260" s="147" t="str">
        <f t="shared" si="55"/>
        <v>Q3</v>
      </c>
      <c r="E260" s="147">
        <f t="shared" si="57"/>
        <v>57667.431448795258</v>
      </c>
      <c r="F260" s="147" t="e">
        <f t="shared" si="57"/>
        <v>#N/A</v>
      </c>
      <c r="G260" s="147">
        <f t="shared" si="57"/>
        <v>50848.241817321788</v>
      </c>
      <c r="H260" s="147">
        <f t="shared" si="57"/>
        <v>1419.3355879434562</v>
      </c>
      <c r="I260" s="290">
        <f t="shared" si="59"/>
        <v>574774.52370851696</v>
      </c>
      <c r="J260" s="172">
        <f t="shared" si="53"/>
        <v>2.6564048260734552E-2</v>
      </c>
      <c r="K260" s="291">
        <f t="shared" si="60"/>
        <v>2.4693780419941472E-3</v>
      </c>
      <c r="M260" s="170"/>
    </row>
    <row r="261" spans="1:13" x14ac:dyDescent="0.2">
      <c r="A261" s="147">
        <v>2022</v>
      </c>
      <c r="B261" s="147">
        <v>8</v>
      </c>
      <c r="C261" s="147" t="str">
        <f t="shared" si="58"/>
        <v>20228</v>
      </c>
      <c r="D261" s="147" t="str">
        <f t="shared" si="55"/>
        <v>Q3</v>
      </c>
      <c r="E261" s="147">
        <f t="shared" si="57"/>
        <v>57667.431448795258</v>
      </c>
      <c r="F261" s="147" t="e">
        <f t="shared" si="57"/>
        <v>#N/A</v>
      </c>
      <c r="G261" s="147">
        <f t="shared" si="57"/>
        <v>50848.241817321788</v>
      </c>
      <c r="H261" s="147">
        <f t="shared" si="57"/>
        <v>1419.3355879434562</v>
      </c>
      <c r="I261" s="290">
        <f t="shared" si="59"/>
        <v>574774.52370851696</v>
      </c>
      <c r="J261" s="172">
        <f t="shared" si="53"/>
        <v>2.6564048260734552E-2</v>
      </c>
      <c r="K261" s="291">
        <f t="shared" si="60"/>
        <v>2.4693780419941472E-3</v>
      </c>
      <c r="M261" s="170"/>
    </row>
    <row r="262" spans="1:13" x14ac:dyDescent="0.2">
      <c r="A262" s="147">
        <v>2022</v>
      </c>
      <c r="B262" s="147">
        <v>9</v>
      </c>
      <c r="C262" s="147" t="str">
        <f t="shared" si="58"/>
        <v>20229</v>
      </c>
      <c r="D262" s="147" t="str">
        <f t="shared" si="55"/>
        <v>Q3</v>
      </c>
      <c r="E262" s="147">
        <f t="shared" ref="E262:H281" si="61">VLOOKUP($A262&amp;$D262,$O$1:$W$189,MATCH(E$1,$O$1:$W$1,0),0)</f>
        <v>57667.431448795258</v>
      </c>
      <c r="F262" s="147" t="e">
        <f t="shared" si="61"/>
        <v>#N/A</v>
      </c>
      <c r="G262" s="147">
        <f t="shared" si="61"/>
        <v>50848.241817321788</v>
      </c>
      <c r="H262" s="147">
        <f t="shared" si="61"/>
        <v>1419.3355879434562</v>
      </c>
      <c r="I262" s="290">
        <f t="shared" si="59"/>
        <v>574774.52370851696</v>
      </c>
      <c r="J262" s="172">
        <f t="shared" si="53"/>
        <v>2.6564048260734552E-2</v>
      </c>
      <c r="K262" s="291">
        <f t="shared" si="60"/>
        <v>2.4693780419941472E-3</v>
      </c>
      <c r="M262" s="170"/>
    </row>
    <row r="263" spans="1:13" x14ac:dyDescent="0.2">
      <c r="A263" s="147">
        <v>2022</v>
      </c>
      <c r="B263" s="147">
        <v>10</v>
      </c>
      <c r="C263" s="147" t="str">
        <f t="shared" si="58"/>
        <v>202210</v>
      </c>
      <c r="D263" s="147" t="str">
        <f t="shared" si="55"/>
        <v>Q4</v>
      </c>
      <c r="E263" s="147">
        <f t="shared" si="61"/>
        <v>57924.427032180763</v>
      </c>
      <c r="F263" s="147" t="e">
        <f t="shared" si="61"/>
        <v>#N/A</v>
      </c>
      <c r="G263" s="147">
        <f t="shared" si="61"/>
        <v>51088.93854491684</v>
      </c>
      <c r="H263" s="147">
        <f t="shared" si="61"/>
        <v>1423.0527256474459</v>
      </c>
      <c r="I263" s="290">
        <f t="shared" si="59"/>
        <v>576106.40961266297</v>
      </c>
      <c r="J263" s="172">
        <f t="shared" ref="J263:J326" si="62">E263/E251-1</f>
        <v>2.4218174007957449E-2</v>
      </c>
      <c r="K263" s="291">
        <f t="shared" si="60"/>
        <v>2.4701213211708846E-3</v>
      </c>
      <c r="M263" s="170"/>
    </row>
    <row r="264" spans="1:13" x14ac:dyDescent="0.2">
      <c r="A264" s="147">
        <v>2022</v>
      </c>
      <c r="B264" s="147">
        <v>11</v>
      </c>
      <c r="C264" s="147" t="str">
        <f t="shared" si="58"/>
        <v>202211</v>
      </c>
      <c r="D264" s="147" t="str">
        <f t="shared" si="55"/>
        <v>Q4</v>
      </c>
      <c r="E264" s="147">
        <f t="shared" si="61"/>
        <v>57924.427032180763</v>
      </c>
      <c r="F264" s="147" t="e">
        <f t="shared" si="61"/>
        <v>#N/A</v>
      </c>
      <c r="G264" s="147">
        <f t="shared" si="61"/>
        <v>51088.93854491684</v>
      </c>
      <c r="H264" s="147">
        <f t="shared" si="61"/>
        <v>1423.0527256474459</v>
      </c>
      <c r="I264" s="290">
        <f t="shared" si="59"/>
        <v>576106.40961266297</v>
      </c>
      <c r="J264" s="172">
        <f t="shared" si="62"/>
        <v>2.4218174007957449E-2</v>
      </c>
      <c r="K264" s="291">
        <f t="shared" si="60"/>
        <v>2.4701213211708846E-3</v>
      </c>
      <c r="M264" s="170"/>
    </row>
    <row r="265" spans="1:13" x14ac:dyDescent="0.2">
      <c r="A265" s="147">
        <v>2022</v>
      </c>
      <c r="B265" s="147">
        <v>12</v>
      </c>
      <c r="C265" s="147" t="str">
        <f t="shared" si="58"/>
        <v>202212</v>
      </c>
      <c r="D265" s="147" t="str">
        <f t="shared" si="55"/>
        <v>Q4</v>
      </c>
      <c r="E265" s="147">
        <f t="shared" si="61"/>
        <v>57924.427032180763</v>
      </c>
      <c r="F265" s="147" t="e">
        <f t="shared" si="61"/>
        <v>#N/A</v>
      </c>
      <c r="G265" s="147">
        <f t="shared" si="61"/>
        <v>51088.93854491684</v>
      </c>
      <c r="H265" s="147">
        <f t="shared" si="61"/>
        <v>1423.0527256474459</v>
      </c>
      <c r="I265" s="290">
        <f t="shared" si="59"/>
        <v>576106.40961266297</v>
      </c>
      <c r="J265" s="172">
        <f t="shared" si="62"/>
        <v>2.4218174007957449E-2</v>
      </c>
      <c r="K265" s="291">
        <f t="shared" si="60"/>
        <v>2.4701213211708846E-3</v>
      </c>
      <c r="M265" s="170"/>
    </row>
    <row r="266" spans="1:13" x14ac:dyDescent="0.2">
      <c r="A266" s="147">
        <v>2023</v>
      </c>
      <c r="B266" s="147">
        <v>1</v>
      </c>
      <c r="C266" s="147" t="str">
        <f t="shared" si="58"/>
        <v>20231</v>
      </c>
      <c r="D266" s="147" t="str">
        <f t="shared" si="55"/>
        <v>Q1</v>
      </c>
      <c r="E266" s="147">
        <f t="shared" si="61"/>
        <v>58430.758515600988</v>
      </c>
      <c r="F266" s="147" t="e">
        <f t="shared" si="61"/>
        <v>#N/A</v>
      </c>
      <c r="G266" s="147">
        <f t="shared" si="61"/>
        <v>51474.30535634797</v>
      </c>
      <c r="H266" s="147">
        <f t="shared" si="61"/>
        <v>1425.5416288180704</v>
      </c>
      <c r="I266" s="290">
        <f t="shared" si="59"/>
        <v>577044.51843794947</v>
      </c>
      <c r="J266" s="172">
        <f t="shared" si="62"/>
        <v>2.5918437019215368E-2</v>
      </c>
      <c r="K266" s="291">
        <f t="shared" si="60"/>
        <v>2.4704188035214155E-3</v>
      </c>
      <c r="M266" s="170"/>
    </row>
    <row r="267" spans="1:13" x14ac:dyDescent="0.2">
      <c r="A267" s="147">
        <v>2023</v>
      </c>
      <c r="B267" s="147">
        <v>2</v>
      </c>
      <c r="C267" s="147" t="str">
        <f t="shared" si="58"/>
        <v>20232</v>
      </c>
      <c r="D267" s="147" t="str">
        <f t="shared" si="55"/>
        <v>Q1</v>
      </c>
      <c r="E267" s="147">
        <f t="shared" si="61"/>
        <v>58430.758515600988</v>
      </c>
      <c r="F267" s="147" t="e">
        <f t="shared" si="61"/>
        <v>#N/A</v>
      </c>
      <c r="G267" s="147">
        <f t="shared" si="61"/>
        <v>51474.30535634797</v>
      </c>
      <c r="H267" s="147">
        <f t="shared" si="61"/>
        <v>1425.5416288180704</v>
      </c>
      <c r="I267" s="290">
        <f t="shared" si="59"/>
        <v>577044.51843794947</v>
      </c>
      <c r="J267" s="172">
        <f t="shared" si="62"/>
        <v>2.5918437019215368E-2</v>
      </c>
      <c r="K267" s="291">
        <f t="shared" si="60"/>
        <v>2.4704188035214155E-3</v>
      </c>
      <c r="M267" s="170"/>
    </row>
    <row r="268" spans="1:13" x14ac:dyDescent="0.2">
      <c r="A268" s="147">
        <v>2023</v>
      </c>
      <c r="B268" s="147">
        <v>3</v>
      </c>
      <c r="C268" s="147" t="str">
        <f t="shared" si="58"/>
        <v>20233</v>
      </c>
      <c r="D268" s="147" t="str">
        <f t="shared" si="55"/>
        <v>Q1</v>
      </c>
      <c r="E268" s="147">
        <f t="shared" si="61"/>
        <v>58430.758515600988</v>
      </c>
      <c r="F268" s="147" t="e">
        <f t="shared" si="61"/>
        <v>#N/A</v>
      </c>
      <c r="G268" s="147">
        <f t="shared" si="61"/>
        <v>51474.30535634797</v>
      </c>
      <c r="H268" s="147">
        <f t="shared" si="61"/>
        <v>1425.5416288180704</v>
      </c>
      <c r="I268" s="290">
        <f t="shared" si="59"/>
        <v>577044.51843794947</v>
      </c>
      <c r="J268" s="172">
        <f t="shared" si="62"/>
        <v>2.5918437019215368E-2</v>
      </c>
      <c r="K268" s="291">
        <f t="shared" si="60"/>
        <v>2.4704188035214155E-3</v>
      </c>
      <c r="M268" s="170"/>
    </row>
    <row r="269" spans="1:13" x14ac:dyDescent="0.2">
      <c r="A269" s="147">
        <v>2023</v>
      </c>
      <c r="B269" s="147">
        <v>4</v>
      </c>
      <c r="C269" s="147" t="str">
        <f t="shared" si="58"/>
        <v>20234</v>
      </c>
      <c r="D269" s="147" t="str">
        <f t="shared" si="55"/>
        <v>Q2</v>
      </c>
      <c r="E269" s="147">
        <f t="shared" si="61"/>
        <v>58843.550391753022</v>
      </c>
      <c r="F269" s="147" t="e">
        <f t="shared" si="61"/>
        <v>#N/A</v>
      </c>
      <c r="G269" s="147">
        <f t="shared" si="61"/>
        <v>51828.21608039493</v>
      </c>
      <c r="H269" s="147">
        <f t="shared" si="61"/>
        <v>1428.6576286441741</v>
      </c>
      <c r="I269" s="290">
        <f t="shared" si="59"/>
        <v>578164.63754272112</v>
      </c>
      <c r="J269" s="172">
        <f t="shared" si="62"/>
        <v>2.8356809852718268E-2</v>
      </c>
      <c r="K269" s="291">
        <f t="shared" si="60"/>
        <v>2.4710221550667032E-3</v>
      </c>
      <c r="M269" s="170"/>
    </row>
    <row r="270" spans="1:13" x14ac:dyDescent="0.2">
      <c r="A270" s="147">
        <v>2023</v>
      </c>
      <c r="B270" s="147">
        <v>5</v>
      </c>
      <c r="C270" s="147" t="str">
        <f t="shared" si="58"/>
        <v>20235</v>
      </c>
      <c r="D270" s="147" t="str">
        <f t="shared" si="55"/>
        <v>Q2</v>
      </c>
      <c r="E270" s="147">
        <f t="shared" si="61"/>
        <v>58843.550391753022</v>
      </c>
      <c r="F270" s="147" t="e">
        <f t="shared" si="61"/>
        <v>#N/A</v>
      </c>
      <c r="G270" s="147">
        <f t="shared" si="61"/>
        <v>51828.21608039493</v>
      </c>
      <c r="H270" s="147">
        <f t="shared" si="61"/>
        <v>1428.6576286441741</v>
      </c>
      <c r="I270" s="290">
        <f t="shared" si="59"/>
        <v>578164.63754272112</v>
      </c>
      <c r="J270" s="172">
        <f t="shared" si="62"/>
        <v>2.8356809852718268E-2</v>
      </c>
      <c r="K270" s="291">
        <f t="shared" si="60"/>
        <v>2.4710221550667032E-3</v>
      </c>
      <c r="M270" s="170"/>
    </row>
    <row r="271" spans="1:13" x14ac:dyDescent="0.2">
      <c r="A271" s="147">
        <v>2023</v>
      </c>
      <c r="B271" s="147">
        <v>6</v>
      </c>
      <c r="C271" s="147" t="str">
        <f t="shared" si="58"/>
        <v>20236</v>
      </c>
      <c r="D271" s="147" t="str">
        <f t="shared" ref="D271:D334" si="63">D259</f>
        <v>Q2</v>
      </c>
      <c r="E271" s="147">
        <f t="shared" si="61"/>
        <v>58843.550391753022</v>
      </c>
      <c r="F271" s="147" t="e">
        <f t="shared" si="61"/>
        <v>#N/A</v>
      </c>
      <c r="G271" s="147">
        <f t="shared" si="61"/>
        <v>51828.21608039493</v>
      </c>
      <c r="H271" s="147">
        <f t="shared" si="61"/>
        <v>1428.6576286441741</v>
      </c>
      <c r="I271" s="290">
        <f t="shared" si="59"/>
        <v>578164.63754272112</v>
      </c>
      <c r="J271" s="172">
        <f t="shared" si="62"/>
        <v>2.8356809852718268E-2</v>
      </c>
      <c r="K271" s="291">
        <f t="shared" si="60"/>
        <v>2.4710221550667032E-3</v>
      </c>
      <c r="M271" s="170"/>
    </row>
    <row r="272" spans="1:13" x14ac:dyDescent="0.2">
      <c r="A272" s="147">
        <v>2023</v>
      </c>
      <c r="B272" s="147">
        <v>7</v>
      </c>
      <c r="C272" s="147" t="str">
        <f t="shared" si="58"/>
        <v>20237</v>
      </c>
      <c r="D272" s="147" t="str">
        <f t="shared" si="63"/>
        <v>Q3</v>
      </c>
      <c r="E272" s="147">
        <f t="shared" si="61"/>
        <v>59224.463020901843</v>
      </c>
      <c r="F272" s="147" t="e">
        <f t="shared" si="61"/>
        <v>#N/A</v>
      </c>
      <c r="G272" s="147">
        <f t="shared" si="61"/>
        <v>52161.614922601206</v>
      </c>
      <c r="H272" s="147">
        <f t="shared" si="61"/>
        <v>1431.9179997949623</v>
      </c>
      <c r="I272" s="290">
        <f t="shared" si="59"/>
        <v>579329.91965786018</v>
      </c>
      <c r="J272" s="172">
        <f t="shared" si="62"/>
        <v>2.7000189413484144E-2</v>
      </c>
      <c r="K272" s="291">
        <f t="shared" si="60"/>
        <v>2.4716796961576268E-3</v>
      </c>
      <c r="M272" s="170"/>
    </row>
    <row r="273" spans="1:13" x14ac:dyDescent="0.2">
      <c r="A273" s="147">
        <v>2023</v>
      </c>
      <c r="B273" s="147">
        <v>8</v>
      </c>
      <c r="C273" s="147" t="str">
        <f t="shared" si="58"/>
        <v>20238</v>
      </c>
      <c r="D273" s="147" t="str">
        <f t="shared" si="63"/>
        <v>Q3</v>
      </c>
      <c r="E273" s="147">
        <f t="shared" si="61"/>
        <v>59224.463020901843</v>
      </c>
      <c r="F273" s="147" t="e">
        <f t="shared" si="61"/>
        <v>#N/A</v>
      </c>
      <c r="G273" s="147">
        <f t="shared" si="61"/>
        <v>52161.614922601206</v>
      </c>
      <c r="H273" s="147">
        <f t="shared" si="61"/>
        <v>1431.9179997949623</v>
      </c>
      <c r="I273" s="290">
        <f t="shared" si="59"/>
        <v>579329.91965786018</v>
      </c>
      <c r="J273" s="172">
        <f t="shared" si="62"/>
        <v>2.7000189413484144E-2</v>
      </c>
      <c r="K273" s="291">
        <f t="shared" si="60"/>
        <v>2.4716796961576268E-3</v>
      </c>
      <c r="M273" s="170"/>
    </row>
    <row r="274" spans="1:13" x14ac:dyDescent="0.2">
      <c r="A274" s="147">
        <v>2023</v>
      </c>
      <c r="B274" s="147">
        <v>9</v>
      </c>
      <c r="C274" s="147" t="str">
        <f t="shared" si="58"/>
        <v>20239</v>
      </c>
      <c r="D274" s="147" t="str">
        <f t="shared" si="63"/>
        <v>Q3</v>
      </c>
      <c r="E274" s="147">
        <f t="shared" si="61"/>
        <v>59224.463020901843</v>
      </c>
      <c r="F274" s="147" t="e">
        <f t="shared" si="61"/>
        <v>#N/A</v>
      </c>
      <c r="G274" s="147">
        <f t="shared" si="61"/>
        <v>52161.614922601206</v>
      </c>
      <c r="H274" s="147">
        <f t="shared" si="61"/>
        <v>1431.9179997949623</v>
      </c>
      <c r="I274" s="290">
        <f t="shared" si="59"/>
        <v>579329.91965786018</v>
      </c>
      <c r="J274" s="172">
        <f t="shared" si="62"/>
        <v>2.7000189413484144E-2</v>
      </c>
      <c r="K274" s="291">
        <f t="shared" si="60"/>
        <v>2.4716796961576268E-3</v>
      </c>
      <c r="M274" s="170"/>
    </row>
    <row r="275" spans="1:13" x14ac:dyDescent="0.2">
      <c r="A275" s="147">
        <v>2023</v>
      </c>
      <c r="B275" s="147">
        <v>10</v>
      </c>
      <c r="C275" s="147" t="str">
        <f t="shared" si="58"/>
        <v>202310</v>
      </c>
      <c r="D275" s="147" t="str">
        <f t="shared" si="63"/>
        <v>Q4</v>
      </c>
      <c r="E275" s="147">
        <f t="shared" si="61"/>
        <v>59553.735963105908</v>
      </c>
      <c r="F275" s="147" t="e">
        <f t="shared" si="61"/>
        <v>#N/A</v>
      </c>
      <c r="G275" s="147">
        <f t="shared" si="61"/>
        <v>52372.236748881944</v>
      </c>
      <c r="H275" s="147">
        <f t="shared" si="61"/>
        <v>1435.6807229889657</v>
      </c>
      <c r="I275" s="290">
        <f t="shared" si="59"/>
        <v>580568.70286053827</v>
      </c>
      <c r="J275" s="172">
        <f t="shared" si="62"/>
        <v>2.812818381474802E-2</v>
      </c>
      <c r="K275" s="291">
        <f t="shared" si="60"/>
        <v>2.472886870951152E-3</v>
      </c>
      <c r="M275" s="170"/>
    </row>
    <row r="276" spans="1:13" x14ac:dyDescent="0.2">
      <c r="A276" s="147">
        <v>2023</v>
      </c>
      <c r="B276" s="147">
        <v>11</v>
      </c>
      <c r="C276" s="147" t="str">
        <f t="shared" si="58"/>
        <v>202311</v>
      </c>
      <c r="D276" s="147" t="str">
        <f t="shared" si="63"/>
        <v>Q4</v>
      </c>
      <c r="E276" s="147">
        <f t="shared" si="61"/>
        <v>59553.735963105908</v>
      </c>
      <c r="F276" s="147" t="e">
        <f t="shared" si="61"/>
        <v>#N/A</v>
      </c>
      <c r="G276" s="147">
        <f t="shared" si="61"/>
        <v>52372.236748881944</v>
      </c>
      <c r="H276" s="147">
        <f t="shared" si="61"/>
        <v>1435.6807229889657</v>
      </c>
      <c r="I276" s="290">
        <f t="shared" si="59"/>
        <v>580568.70286053827</v>
      </c>
      <c r="J276" s="172">
        <f t="shared" si="62"/>
        <v>2.812818381474802E-2</v>
      </c>
      <c r="K276" s="291">
        <f t="shared" si="60"/>
        <v>2.472886870951152E-3</v>
      </c>
      <c r="M276" s="170"/>
    </row>
    <row r="277" spans="1:13" x14ac:dyDescent="0.2">
      <c r="A277" s="147">
        <v>2023</v>
      </c>
      <c r="B277" s="147">
        <v>12</v>
      </c>
      <c r="C277" s="147" t="str">
        <f t="shared" si="58"/>
        <v>202312</v>
      </c>
      <c r="D277" s="147" t="str">
        <f t="shared" si="63"/>
        <v>Q4</v>
      </c>
      <c r="E277" s="147">
        <f t="shared" si="61"/>
        <v>59553.735963105908</v>
      </c>
      <c r="F277" s="147" t="e">
        <f t="shared" si="61"/>
        <v>#N/A</v>
      </c>
      <c r="G277" s="147">
        <f t="shared" si="61"/>
        <v>52372.236748881944</v>
      </c>
      <c r="H277" s="147">
        <f t="shared" si="61"/>
        <v>1435.6807229889657</v>
      </c>
      <c r="I277" s="290">
        <f t="shared" si="59"/>
        <v>580568.70286053827</v>
      </c>
      <c r="J277" s="172">
        <f t="shared" si="62"/>
        <v>2.812818381474802E-2</v>
      </c>
      <c r="K277" s="291">
        <f t="shared" si="60"/>
        <v>2.472886870951152E-3</v>
      </c>
      <c r="M277" s="170"/>
    </row>
    <row r="278" spans="1:13" x14ac:dyDescent="0.2">
      <c r="A278" s="147">
        <v>2024</v>
      </c>
      <c r="B278" s="147">
        <v>1</v>
      </c>
      <c r="C278" s="147" t="str">
        <f t="shared" si="58"/>
        <v>20241</v>
      </c>
      <c r="D278" s="147" t="str">
        <f t="shared" si="63"/>
        <v>Q1</v>
      </c>
      <c r="E278" s="147">
        <f t="shared" si="61"/>
        <v>60202.834221378995</v>
      </c>
      <c r="F278" s="147" t="e">
        <f t="shared" si="61"/>
        <v>#N/A</v>
      </c>
      <c r="G278" s="147">
        <f t="shared" si="61"/>
        <v>52955.358119127079</v>
      </c>
      <c r="H278" s="147">
        <f t="shared" si="61"/>
        <v>1438.0164946277355</v>
      </c>
      <c r="I278" s="290">
        <f t="shared" si="59"/>
        <v>581299.86002514162</v>
      </c>
      <c r="J278" s="172">
        <f t="shared" si="62"/>
        <v>3.0327788835821101E-2</v>
      </c>
      <c r="K278" s="291">
        <f t="shared" si="60"/>
        <v>2.473794668668147E-3</v>
      </c>
      <c r="M278" s="170"/>
    </row>
    <row r="279" spans="1:13" x14ac:dyDescent="0.2">
      <c r="A279" s="147">
        <v>2024</v>
      </c>
      <c r="B279" s="147">
        <v>2</v>
      </c>
      <c r="C279" s="147" t="str">
        <f t="shared" si="58"/>
        <v>20242</v>
      </c>
      <c r="D279" s="147" t="str">
        <f t="shared" si="63"/>
        <v>Q1</v>
      </c>
      <c r="E279" s="147">
        <f t="shared" si="61"/>
        <v>60202.834221378995</v>
      </c>
      <c r="F279" s="147" t="e">
        <f t="shared" si="61"/>
        <v>#N/A</v>
      </c>
      <c r="G279" s="147">
        <f t="shared" si="61"/>
        <v>52955.358119127079</v>
      </c>
      <c r="H279" s="147">
        <f t="shared" si="61"/>
        <v>1438.0164946277355</v>
      </c>
      <c r="I279" s="290">
        <f t="shared" si="59"/>
        <v>581299.86002514162</v>
      </c>
      <c r="J279" s="172">
        <f t="shared" si="62"/>
        <v>3.0327788835821101E-2</v>
      </c>
      <c r="K279" s="291">
        <f t="shared" si="60"/>
        <v>2.473794668668147E-3</v>
      </c>
      <c r="M279" s="170"/>
    </row>
    <row r="280" spans="1:13" x14ac:dyDescent="0.2">
      <c r="A280" s="147">
        <v>2024</v>
      </c>
      <c r="B280" s="147">
        <v>3</v>
      </c>
      <c r="C280" s="147" t="str">
        <f t="shared" si="58"/>
        <v>20243</v>
      </c>
      <c r="D280" s="147" t="str">
        <f t="shared" si="63"/>
        <v>Q1</v>
      </c>
      <c r="E280" s="147">
        <f t="shared" si="61"/>
        <v>60202.834221378995</v>
      </c>
      <c r="F280" s="147" t="e">
        <f t="shared" si="61"/>
        <v>#N/A</v>
      </c>
      <c r="G280" s="147">
        <f t="shared" si="61"/>
        <v>52955.358119127079</v>
      </c>
      <c r="H280" s="147">
        <f t="shared" si="61"/>
        <v>1438.0164946277355</v>
      </c>
      <c r="I280" s="290">
        <f t="shared" si="59"/>
        <v>581299.86002514162</v>
      </c>
      <c r="J280" s="172">
        <f t="shared" si="62"/>
        <v>3.0327788835821101E-2</v>
      </c>
      <c r="K280" s="291">
        <f t="shared" si="60"/>
        <v>2.473794668668147E-3</v>
      </c>
      <c r="M280" s="170"/>
    </row>
    <row r="281" spans="1:13" x14ac:dyDescent="0.2">
      <c r="A281" s="147">
        <v>2024</v>
      </c>
      <c r="B281" s="147">
        <v>4</v>
      </c>
      <c r="C281" s="147" t="str">
        <f t="shared" si="58"/>
        <v>20244</v>
      </c>
      <c r="D281" s="147" t="str">
        <f t="shared" si="63"/>
        <v>Q2</v>
      </c>
      <c r="E281" s="147">
        <f t="shared" si="61"/>
        <v>60478.898314996564</v>
      </c>
      <c r="F281" s="147" t="e">
        <f t="shared" si="61"/>
        <v>#N/A</v>
      </c>
      <c r="G281" s="147">
        <f t="shared" si="61"/>
        <v>53167.209134536846</v>
      </c>
      <c r="H281" s="147">
        <f t="shared" si="61"/>
        <v>1441.6924171035907</v>
      </c>
      <c r="I281" s="290">
        <f t="shared" si="59"/>
        <v>582612.32461201202</v>
      </c>
      <c r="J281" s="172">
        <f t="shared" si="62"/>
        <v>2.7791455688111144E-2</v>
      </c>
      <c r="K281" s="291">
        <f t="shared" si="60"/>
        <v>2.474531272684077E-3</v>
      </c>
      <c r="M281" s="170"/>
    </row>
    <row r="282" spans="1:13" x14ac:dyDescent="0.2">
      <c r="A282" s="147">
        <v>2024</v>
      </c>
      <c r="B282" s="147">
        <v>5</v>
      </c>
      <c r="C282" s="147" t="str">
        <f t="shared" si="58"/>
        <v>20245</v>
      </c>
      <c r="D282" s="147" t="str">
        <f t="shared" si="63"/>
        <v>Q2</v>
      </c>
      <c r="E282" s="147">
        <f t="shared" ref="E282:H301" si="64">VLOOKUP($A282&amp;$D282,$O$1:$W$189,MATCH(E$1,$O$1:$W$1,0),0)</f>
        <v>60478.898314996564</v>
      </c>
      <c r="F282" s="147" t="e">
        <f t="shared" si="64"/>
        <v>#N/A</v>
      </c>
      <c r="G282" s="147">
        <f t="shared" si="64"/>
        <v>53167.209134536846</v>
      </c>
      <c r="H282" s="147">
        <f t="shared" si="64"/>
        <v>1441.6924171035907</v>
      </c>
      <c r="I282" s="290">
        <f t="shared" si="59"/>
        <v>582612.32461201202</v>
      </c>
      <c r="J282" s="172">
        <f t="shared" si="62"/>
        <v>2.7791455688111144E-2</v>
      </c>
      <c r="K282" s="291">
        <f t="shared" si="60"/>
        <v>2.474531272684077E-3</v>
      </c>
      <c r="M282" s="170"/>
    </row>
    <row r="283" spans="1:13" x14ac:dyDescent="0.2">
      <c r="A283" s="147">
        <v>2024</v>
      </c>
      <c r="B283" s="147">
        <v>6</v>
      </c>
      <c r="C283" s="147" t="str">
        <f t="shared" si="58"/>
        <v>20246</v>
      </c>
      <c r="D283" s="147" t="str">
        <f t="shared" si="63"/>
        <v>Q2</v>
      </c>
      <c r="E283" s="147">
        <f t="shared" si="64"/>
        <v>60478.898314996564</v>
      </c>
      <c r="F283" s="147" t="e">
        <f t="shared" si="64"/>
        <v>#N/A</v>
      </c>
      <c r="G283" s="147">
        <f t="shared" si="64"/>
        <v>53167.209134536846</v>
      </c>
      <c r="H283" s="147">
        <f t="shared" si="64"/>
        <v>1441.6924171035907</v>
      </c>
      <c r="I283" s="290">
        <f t="shared" si="59"/>
        <v>582612.32461201202</v>
      </c>
      <c r="J283" s="172">
        <f t="shared" si="62"/>
        <v>2.7791455688111144E-2</v>
      </c>
      <c r="K283" s="291">
        <f t="shared" si="60"/>
        <v>2.474531272684077E-3</v>
      </c>
      <c r="M283" s="170"/>
    </row>
    <row r="284" spans="1:13" x14ac:dyDescent="0.2">
      <c r="A284" s="147">
        <v>2024</v>
      </c>
      <c r="B284" s="147">
        <v>7</v>
      </c>
      <c r="C284" s="147" t="str">
        <f t="shared" si="58"/>
        <v>20247</v>
      </c>
      <c r="D284" s="147" t="str">
        <f t="shared" si="63"/>
        <v>Q3</v>
      </c>
      <c r="E284" s="147">
        <f t="shared" si="64"/>
        <v>60833.810362384065</v>
      </c>
      <c r="F284" s="147" t="e">
        <f t="shared" si="64"/>
        <v>#N/A</v>
      </c>
      <c r="G284" s="147">
        <f t="shared" si="64"/>
        <v>53462.846369802268</v>
      </c>
      <c r="H284" s="147">
        <f t="shared" si="64"/>
        <v>1444.9534456805739</v>
      </c>
      <c r="I284" s="290">
        <f t="shared" si="59"/>
        <v>583748.46872178698</v>
      </c>
      <c r="J284" s="172">
        <f t="shared" si="62"/>
        <v>2.7173692413458239E-2</v>
      </c>
      <c r="K284" s="291">
        <f t="shared" si="60"/>
        <v>2.475301475042044E-3</v>
      </c>
      <c r="M284" s="170"/>
    </row>
    <row r="285" spans="1:13" x14ac:dyDescent="0.2">
      <c r="A285" s="147">
        <v>2024</v>
      </c>
      <c r="B285" s="147">
        <v>8</v>
      </c>
      <c r="C285" s="147" t="str">
        <f t="shared" si="58"/>
        <v>20248</v>
      </c>
      <c r="D285" s="147" t="str">
        <f t="shared" si="63"/>
        <v>Q3</v>
      </c>
      <c r="E285" s="147">
        <f t="shared" si="64"/>
        <v>60833.810362384065</v>
      </c>
      <c r="F285" s="147" t="e">
        <f t="shared" si="64"/>
        <v>#N/A</v>
      </c>
      <c r="G285" s="147">
        <f t="shared" si="64"/>
        <v>53462.846369802268</v>
      </c>
      <c r="H285" s="147">
        <f t="shared" si="64"/>
        <v>1444.9534456805739</v>
      </c>
      <c r="I285" s="290">
        <f t="shared" si="59"/>
        <v>583748.46872178698</v>
      </c>
      <c r="J285" s="172">
        <f t="shared" si="62"/>
        <v>2.7173692413458239E-2</v>
      </c>
      <c r="K285" s="291">
        <f t="shared" si="60"/>
        <v>2.475301475042044E-3</v>
      </c>
      <c r="M285" s="170"/>
    </row>
    <row r="286" spans="1:13" x14ac:dyDescent="0.2">
      <c r="A286" s="147">
        <v>2024</v>
      </c>
      <c r="B286" s="147">
        <v>9</v>
      </c>
      <c r="C286" s="147" t="str">
        <f t="shared" si="58"/>
        <v>20249</v>
      </c>
      <c r="D286" s="147" t="str">
        <f t="shared" si="63"/>
        <v>Q3</v>
      </c>
      <c r="E286" s="147">
        <f t="shared" si="64"/>
        <v>60833.810362384065</v>
      </c>
      <c r="F286" s="147" t="e">
        <f t="shared" si="64"/>
        <v>#N/A</v>
      </c>
      <c r="G286" s="147">
        <f t="shared" si="64"/>
        <v>53462.846369802268</v>
      </c>
      <c r="H286" s="147">
        <f t="shared" si="64"/>
        <v>1444.9534456805739</v>
      </c>
      <c r="I286" s="290">
        <f t="shared" si="59"/>
        <v>583748.46872178698</v>
      </c>
      <c r="J286" s="172">
        <f t="shared" si="62"/>
        <v>2.7173692413458239E-2</v>
      </c>
      <c r="K286" s="291">
        <f t="shared" si="60"/>
        <v>2.475301475042044E-3</v>
      </c>
      <c r="M286" s="170"/>
    </row>
    <row r="287" spans="1:13" x14ac:dyDescent="0.2">
      <c r="A287" s="147">
        <v>2024</v>
      </c>
      <c r="B287" s="147">
        <v>10</v>
      </c>
      <c r="C287" s="147" t="str">
        <f t="shared" si="58"/>
        <v>202410</v>
      </c>
      <c r="D287" s="147" t="str">
        <f t="shared" si="63"/>
        <v>Q4</v>
      </c>
      <c r="E287" s="147">
        <f t="shared" si="64"/>
        <v>61221.759440175905</v>
      </c>
      <c r="F287" s="147" t="e">
        <f t="shared" si="64"/>
        <v>#N/A</v>
      </c>
      <c r="G287" s="147">
        <f t="shared" si="64"/>
        <v>53789.882915045469</v>
      </c>
      <c r="H287" s="147">
        <f t="shared" si="64"/>
        <v>1448.203316689802</v>
      </c>
      <c r="I287" s="290">
        <f t="shared" si="59"/>
        <v>584850.3354573648</v>
      </c>
      <c r="J287" s="172">
        <f t="shared" si="62"/>
        <v>2.8008712637328959E-2</v>
      </c>
      <c r="K287" s="291">
        <f t="shared" si="60"/>
        <v>2.4761947269078296E-3</v>
      </c>
      <c r="M287" s="170"/>
    </row>
    <row r="288" spans="1:13" x14ac:dyDescent="0.2">
      <c r="A288" s="147">
        <v>2024</v>
      </c>
      <c r="B288" s="147">
        <v>11</v>
      </c>
      <c r="C288" s="147" t="str">
        <f t="shared" si="58"/>
        <v>202411</v>
      </c>
      <c r="D288" s="147" t="str">
        <f t="shared" si="63"/>
        <v>Q4</v>
      </c>
      <c r="E288" s="147">
        <f t="shared" si="64"/>
        <v>61221.759440175905</v>
      </c>
      <c r="F288" s="147" t="e">
        <f t="shared" si="64"/>
        <v>#N/A</v>
      </c>
      <c r="G288" s="147">
        <f t="shared" si="64"/>
        <v>53789.882915045469</v>
      </c>
      <c r="H288" s="147">
        <f t="shared" si="64"/>
        <v>1448.203316689802</v>
      </c>
      <c r="I288" s="290">
        <f t="shared" si="59"/>
        <v>584850.3354573648</v>
      </c>
      <c r="J288" s="172">
        <f t="shared" si="62"/>
        <v>2.8008712637328959E-2</v>
      </c>
      <c r="K288" s="291">
        <f t="shared" si="60"/>
        <v>2.4761947269078296E-3</v>
      </c>
      <c r="M288" s="170"/>
    </row>
    <row r="289" spans="1:13" x14ac:dyDescent="0.2">
      <c r="A289" s="147">
        <v>2024</v>
      </c>
      <c r="B289" s="147">
        <v>12</v>
      </c>
      <c r="C289" s="147" t="str">
        <f t="shared" si="58"/>
        <v>202412</v>
      </c>
      <c r="D289" s="147" t="str">
        <f t="shared" si="63"/>
        <v>Q4</v>
      </c>
      <c r="E289" s="147">
        <f t="shared" si="64"/>
        <v>61221.759440175905</v>
      </c>
      <c r="F289" s="147" t="e">
        <f t="shared" si="64"/>
        <v>#N/A</v>
      </c>
      <c r="G289" s="147">
        <f t="shared" si="64"/>
        <v>53789.882915045469</v>
      </c>
      <c r="H289" s="147">
        <f t="shared" si="64"/>
        <v>1448.203316689802</v>
      </c>
      <c r="I289" s="290">
        <f t="shared" si="59"/>
        <v>584850.3354573648</v>
      </c>
      <c r="J289" s="172">
        <f t="shared" si="62"/>
        <v>2.8008712637328959E-2</v>
      </c>
      <c r="K289" s="291">
        <f t="shared" si="60"/>
        <v>2.4761947269078296E-3</v>
      </c>
      <c r="M289" s="170"/>
    </row>
    <row r="290" spans="1:13" x14ac:dyDescent="0.2">
      <c r="A290" s="147">
        <v>2025</v>
      </c>
      <c r="B290" s="147">
        <v>1</v>
      </c>
      <c r="C290" s="147" t="str">
        <f t="shared" si="58"/>
        <v>20251</v>
      </c>
      <c r="D290" s="147" t="str">
        <f t="shared" si="63"/>
        <v>Q1</v>
      </c>
      <c r="E290" s="147">
        <f t="shared" si="64"/>
        <v>61579.488824100219</v>
      </c>
      <c r="F290" s="147" t="e">
        <f t="shared" si="64"/>
        <v>#N/A</v>
      </c>
      <c r="G290" s="147">
        <f t="shared" si="64"/>
        <v>54223.677742674183</v>
      </c>
      <c r="H290" s="147">
        <f t="shared" si="64"/>
        <v>1450.7011352829402</v>
      </c>
      <c r="I290" s="290">
        <f t="shared" si="59"/>
        <v>586032.88717206509</v>
      </c>
      <c r="J290" s="172">
        <f t="shared" si="62"/>
        <v>2.2866940078916542E-2</v>
      </c>
      <c r="K290" s="291">
        <f t="shared" si="60"/>
        <v>2.4754602805371227E-3</v>
      </c>
      <c r="M290" s="170"/>
    </row>
    <row r="291" spans="1:13" x14ac:dyDescent="0.2">
      <c r="A291" s="147">
        <v>2025</v>
      </c>
      <c r="B291" s="147">
        <v>2</v>
      </c>
      <c r="C291" s="147" t="str">
        <f t="shared" si="58"/>
        <v>20252</v>
      </c>
      <c r="D291" s="147" t="str">
        <f t="shared" si="63"/>
        <v>Q1</v>
      </c>
      <c r="E291" s="147">
        <f t="shared" si="64"/>
        <v>61579.488824100219</v>
      </c>
      <c r="F291" s="147" t="e">
        <f t="shared" si="64"/>
        <v>#N/A</v>
      </c>
      <c r="G291" s="147">
        <f t="shared" si="64"/>
        <v>54223.677742674183</v>
      </c>
      <c r="H291" s="147">
        <f t="shared" si="64"/>
        <v>1450.7011352829402</v>
      </c>
      <c r="I291" s="290">
        <f t="shared" si="59"/>
        <v>586032.88717206509</v>
      </c>
      <c r="J291" s="172">
        <f t="shared" si="62"/>
        <v>2.2866940078916542E-2</v>
      </c>
      <c r="K291" s="291">
        <f t="shared" si="60"/>
        <v>2.4754602805371227E-3</v>
      </c>
      <c r="M291" s="170"/>
    </row>
    <row r="292" spans="1:13" x14ac:dyDescent="0.2">
      <c r="A292" s="147">
        <v>2025</v>
      </c>
      <c r="B292" s="147">
        <v>3</v>
      </c>
      <c r="C292" s="147" t="str">
        <f t="shared" si="58"/>
        <v>20253</v>
      </c>
      <c r="D292" s="147" t="str">
        <f t="shared" si="63"/>
        <v>Q1</v>
      </c>
      <c r="E292" s="147">
        <f t="shared" si="64"/>
        <v>61579.488824100219</v>
      </c>
      <c r="F292" s="147" t="e">
        <f t="shared" si="64"/>
        <v>#N/A</v>
      </c>
      <c r="G292" s="147">
        <f t="shared" si="64"/>
        <v>54223.677742674183</v>
      </c>
      <c r="H292" s="147">
        <f t="shared" si="64"/>
        <v>1450.7011352829402</v>
      </c>
      <c r="I292" s="290">
        <f t="shared" si="59"/>
        <v>586032.88717206509</v>
      </c>
      <c r="J292" s="172">
        <f t="shared" si="62"/>
        <v>2.2866940078916542E-2</v>
      </c>
      <c r="K292" s="291">
        <f t="shared" si="60"/>
        <v>2.4754602805371227E-3</v>
      </c>
      <c r="M292" s="170"/>
    </row>
    <row r="293" spans="1:13" x14ac:dyDescent="0.2">
      <c r="A293" s="147">
        <v>2025</v>
      </c>
      <c r="B293" s="147">
        <v>4</v>
      </c>
      <c r="C293" s="147" t="str">
        <f t="shared" si="58"/>
        <v>20254</v>
      </c>
      <c r="D293" s="147" t="str">
        <f t="shared" si="63"/>
        <v>Q2</v>
      </c>
      <c r="E293" s="147">
        <f t="shared" si="64"/>
        <v>61915.428863347588</v>
      </c>
      <c r="F293" s="147" t="e">
        <f t="shared" si="64"/>
        <v>#N/A</v>
      </c>
      <c r="G293" s="147">
        <f t="shared" si="64"/>
        <v>54510.190519624688</v>
      </c>
      <c r="H293" s="147">
        <f t="shared" si="64"/>
        <v>1453.9471250160732</v>
      </c>
      <c r="I293" s="290">
        <f t="shared" si="59"/>
        <v>587478.06694764609</v>
      </c>
      <c r="J293" s="172">
        <f t="shared" si="62"/>
        <v>2.3752591207416573E-2</v>
      </c>
      <c r="K293" s="291">
        <f t="shared" si="60"/>
        <v>2.4748960119827649E-3</v>
      </c>
      <c r="M293" s="170"/>
    </row>
    <row r="294" spans="1:13" x14ac:dyDescent="0.2">
      <c r="A294" s="147">
        <v>2025</v>
      </c>
      <c r="B294" s="147">
        <v>5</v>
      </c>
      <c r="C294" s="147" t="str">
        <f t="shared" si="58"/>
        <v>20255</v>
      </c>
      <c r="D294" s="147" t="str">
        <f t="shared" si="63"/>
        <v>Q2</v>
      </c>
      <c r="E294" s="147">
        <f t="shared" si="64"/>
        <v>61915.428863347588</v>
      </c>
      <c r="F294" s="147" t="e">
        <f t="shared" si="64"/>
        <v>#N/A</v>
      </c>
      <c r="G294" s="147">
        <f t="shared" si="64"/>
        <v>54510.190519624688</v>
      </c>
      <c r="H294" s="147">
        <f t="shared" si="64"/>
        <v>1453.9471250160732</v>
      </c>
      <c r="I294" s="290">
        <f t="shared" si="59"/>
        <v>587478.06694764609</v>
      </c>
      <c r="J294" s="172">
        <f t="shared" si="62"/>
        <v>2.3752591207416573E-2</v>
      </c>
      <c r="K294" s="291">
        <f t="shared" si="60"/>
        <v>2.4748960119827649E-3</v>
      </c>
      <c r="M294" s="170"/>
    </row>
    <row r="295" spans="1:13" x14ac:dyDescent="0.2">
      <c r="A295" s="147">
        <v>2025</v>
      </c>
      <c r="B295" s="147">
        <v>6</v>
      </c>
      <c r="C295" s="147" t="str">
        <f t="shared" si="58"/>
        <v>20256</v>
      </c>
      <c r="D295" s="147" t="str">
        <f t="shared" si="63"/>
        <v>Q2</v>
      </c>
      <c r="E295" s="147">
        <f t="shared" si="64"/>
        <v>61915.428863347588</v>
      </c>
      <c r="F295" s="147" t="e">
        <f t="shared" si="64"/>
        <v>#N/A</v>
      </c>
      <c r="G295" s="147">
        <f t="shared" si="64"/>
        <v>54510.190519624688</v>
      </c>
      <c r="H295" s="147">
        <f t="shared" si="64"/>
        <v>1453.9471250160732</v>
      </c>
      <c r="I295" s="290">
        <f t="shared" si="59"/>
        <v>587478.06694764609</v>
      </c>
      <c r="J295" s="172">
        <f t="shared" si="62"/>
        <v>2.3752591207416573E-2</v>
      </c>
      <c r="K295" s="291">
        <f t="shared" si="60"/>
        <v>2.4748960119827649E-3</v>
      </c>
      <c r="M295" s="170"/>
    </row>
    <row r="296" spans="1:13" x14ac:dyDescent="0.2">
      <c r="A296" s="147">
        <v>2025</v>
      </c>
      <c r="B296" s="147">
        <v>7</v>
      </c>
      <c r="C296" s="147" t="str">
        <f t="shared" si="58"/>
        <v>20257</v>
      </c>
      <c r="D296" s="147" t="str">
        <f t="shared" si="63"/>
        <v>Q3</v>
      </c>
      <c r="E296" s="147">
        <f t="shared" si="64"/>
        <v>62273.834373920268</v>
      </c>
      <c r="F296" s="147" t="e">
        <f t="shared" si="64"/>
        <v>#N/A</v>
      </c>
      <c r="G296" s="147">
        <f t="shared" si="64"/>
        <v>54815.658019537463</v>
      </c>
      <c r="H296" s="147">
        <f t="shared" si="64"/>
        <v>1457.1942335058652</v>
      </c>
      <c r="I296" s="290">
        <f t="shared" si="59"/>
        <v>588917.00329258479</v>
      </c>
      <c r="J296" s="172">
        <f t="shared" si="62"/>
        <v>2.3671441965545936E-2</v>
      </c>
      <c r="K296" s="291">
        <f t="shared" si="60"/>
        <v>2.4743626442415762E-3</v>
      </c>
      <c r="M296" s="170"/>
    </row>
    <row r="297" spans="1:13" x14ac:dyDescent="0.2">
      <c r="A297" s="147">
        <v>2025</v>
      </c>
      <c r="B297" s="147">
        <v>8</v>
      </c>
      <c r="C297" s="147" t="str">
        <f t="shared" si="58"/>
        <v>20258</v>
      </c>
      <c r="D297" s="147" t="str">
        <f t="shared" si="63"/>
        <v>Q3</v>
      </c>
      <c r="E297" s="147">
        <f t="shared" si="64"/>
        <v>62273.834373920268</v>
      </c>
      <c r="F297" s="147" t="e">
        <f t="shared" si="64"/>
        <v>#N/A</v>
      </c>
      <c r="G297" s="147">
        <f t="shared" si="64"/>
        <v>54815.658019537463</v>
      </c>
      <c r="H297" s="147">
        <f t="shared" si="64"/>
        <v>1457.1942335058652</v>
      </c>
      <c r="I297" s="290">
        <f t="shared" si="59"/>
        <v>588917.00329258479</v>
      </c>
      <c r="J297" s="172">
        <f t="shared" si="62"/>
        <v>2.3671441965545936E-2</v>
      </c>
      <c r="K297" s="291">
        <f t="shared" si="60"/>
        <v>2.4743626442415762E-3</v>
      </c>
      <c r="M297" s="170"/>
    </row>
    <row r="298" spans="1:13" x14ac:dyDescent="0.2">
      <c r="A298" s="147">
        <v>2025</v>
      </c>
      <c r="B298" s="147">
        <v>9</v>
      </c>
      <c r="C298" s="147" t="str">
        <f t="shared" si="58"/>
        <v>20259</v>
      </c>
      <c r="D298" s="147" t="str">
        <f t="shared" si="63"/>
        <v>Q3</v>
      </c>
      <c r="E298" s="147">
        <f t="shared" si="64"/>
        <v>62273.834373920268</v>
      </c>
      <c r="F298" s="147" t="e">
        <f t="shared" si="64"/>
        <v>#N/A</v>
      </c>
      <c r="G298" s="147">
        <f t="shared" si="64"/>
        <v>54815.658019537463</v>
      </c>
      <c r="H298" s="147">
        <f t="shared" si="64"/>
        <v>1457.1942335058652</v>
      </c>
      <c r="I298" s="290">
        <f t="shared" si="59"/>
        <v>588917.00329258479</v>
      </c>
      <c r="J298" s="172">
        <f t="shared" si="62"/>
        <v>2.3671441965545936E-2</v>
      </c>
      <c r="K298" s="291">
        <f t="shared" si="60"/>
        <v>2.4743626442415762E-3</v>
      </c>
      <c r="M298" s="170"/>
    </row>
    <row r="299" spans="1:13" x14ac:dyDescent="0.2">
      <c r="A299" s="147">
        <v>2025</v>
      </c>
      <c r="B299" s="147">
        <v>10</v>
      </c>
      <c r="C299" s="147" t="str">
        <f t="shared" si="58"/>
        <v>202510</v>
      </c>
      <c r="D299" s="147" t="str">
        <f t="shared" si="63"/>
        <v>Q4</v>
      </c>
      <c r="E299" s="147">
        <f t="shared" si="64"/>
        <v>62495.104166418343</v>
      </c>
      <c r="F299" s="147" t="e">
        <f t="shared" si="64"/>
        <v>#N/A</v>
      </c>
      <c r="G299" s="147">
        <f t="shared" si="64"/>
        <v>55097.083363484009</v>
      </c>
      <c r="H299" s="147">
        <f t="shared" si="64"/>
        <v>1460.8211194182309</v>
      </c>
      <c r="I299" s="290">
        <f t="shared" si="59"/>
        <v>590487.76785376063</v>
      </c>
      <c r="J299" s="172">
        <f t="shared" si="62"/>
        <v>2.0798891405378717E-2</v>
      </c>
      <c r="K299" s="291">
        <f t="shared" si="60"/>
        <v>2.4739227447976801E-3</v>
      </c>
      <c r="M299" s="170"/>
    </row>
    <row r="300" spans="1:13" x14ac:dyDescent="0.2">
      <c r="A300" s="147">
        <v>2025</v>
      </c>
      <c r="B300" s="147">
        <v>11</v>
      </c>
      <c r="C300" s="147" t="str">
        <f t="shared" si="58"/>
        <v>202511</v>
      </c>
      <c r="D300" s="147" t="str">
        <f t="shared" si="63"/>
        <v>Q4</v>
      </c>
      <c r="E300" s="147">
        <f t="shared" si="64"/>
        <v>62495.104166418343</v>
      </c>
      <c r="F300" s="147" t="e">
        <f t="shared" si="64"/>
        <v>#N/A</v>
      </c>
      <c r="G300" s="147">
        <f t="shared" si="64"/>
        <v>55097.083363484009</v>
      </c>
      <c r="H300" s="147">
        <f t="shared" si="64"/>
        <v>1460.8211194182309</v>
      </c>
      <c r="I300" s="290">
        <f t="shared" si="59"/>
        <v>590487.76785376063</v>
      </c>
      <c r="J300" s="172">
        <f t="shared" si="62"/>
        <v>2.0798891405378717E-2</v>
      </c>
      <c r="K300" s="291">
        <f t="shared" si="60"/>
        <v>2.4739227447976801E-3</v>
      </c>
      <c r="M300" s="170"/>
    </row>
    <row r="301" spans="1:13" x14ac:dyDescent="0.2">
      <c r="A301" s="147">
        <v>2025</v>
      </c>
      <c r="B301" s="147">
        <v>12</v>
      </c>
      <c r="C301" s="147" t="str">
        <f t="shared" si="58"/>
        <v>202512</v>
      </c>
      <c r="D301" s="147" t="str">
        <f t="shared" si="63"/>
        <v>Q4</v>
      </c>
      <c r="E301" s="147">
        <f t="shared" si="64"/>
        <v>62495.104166418343</v>
      </c>
      <c r="F301" s="147" t="e">
        <f t="shared" si="64"/>
        <v>#N/A</v>
      </c>
      <c r="G301" s="147">
        <f t="shared" si="64"/>
        <v>55097.083363484009</v>
      </c>
      <c r="H301" s="147">
        <f t="shared" si="64"/>
        <v>1460.8211194182309</v>
      </c>
      <c r="I301" s="290">
        <f t="shared" si="59"/>
        <v>590487.76785376063</v>
      </c>
      <c r="J301" s="172">
        <f t="shared" si="62"/>
        <v>2.0798891405378717E-2</v>
      </c>
      <c r="K301" s="291">
        <f t="shared" si="60"/>
        <v>2.4739227447976801E-3</v>
      </c>
      <c r="M301" s="170"/>
    </row>
    <row r="302" spans="1:13" x14ac:dyDescent="0.2">
      <c r="A302" s="147">
        <v>2026</v>
      </c>
      <c r="B302" s="147">
        <v>1</v>
      </c>
      <c r="C302" s="147" t="str">
        <f t="shared" si="58"/>
        <v>20261</v>
      </c>
      <c r="D302" s="147" t="str">
        <f t="shared" si="63"/>
        <v>Q1</v>
      </c>
      <c r="E302" s="147">
        <f t="shared" ref="E302:H321" si="65">VLOOKUP($A302&amp;$D302,$O$1:$W$189,MATCH(E$1,$O$1:$W$1,0),0)</f>
        <v>63113.167968229041</v>
      </c>
      <c r="F302" s="147" t="e">
        <f t="shared" si="65"/>
        <v>#N/A</v>
      </c>
      <c r="G302" s="147">
        <f t="shared" si="65"/>
        <v>55569.291010852481</v>
      </c>
      <c r="H302" s="147">
        <f t="shared" si="65"/>
        <v>1463.215955317683</v>
      </c>
      <c r="I302" s="290">
        <f t="shared" si="59"/>
        <v>591587.58727269887</v>
      </c>
      <c r="J302" s="172">
        <f t="shared" si="62"/>
        <v>2.4905681638730748E-2</v>
      </c>
      <c r="K302" s="291">
        <f t="shared" si="60"/>
        <v>2.4733716305024456E-3</v>
      </c>
      <c r="M302" s="170"/>
    </row>
    <row r="303" spans="1:13" x14ac:dyDescent="0.2">
      <c r="A303" s="147">
        <v>2026</v>
      </c>
      <c r="B303" s="147">
        <v>2</v>
      </c>
      <c r="C303" s="147" t="str">
        <f t="shared" si="58"/>
        <v>20262</v>
      </c>
      <c r="D303" s="147" t="str">
        <f t="shared" si="63"/>
        <v>Q1</v>
      </c>
      <c r="E303" s="147">
        <f t="shared" si="65"/>
        <v>63113.167968229041</v>
      </c>
      <c r="F303" s="147" t="e">
        <f t="shared" si="65"/>
        <v>#N/A</v>
      </c>
      <c r="G303" s="147">
        <f t="shared" si="65"/>
        <v>55569.291010852481</v>
      </c>
      <c r="H303" s="147">
        <f t="shared" si="65"/>
        <v>1463.215955317683</v>
      </c>
      <c r="I303" s="290">
        <f t="shared" si="59"/>
        <v>591587.58727269887</v>
      </c>
      <c r="J303" s="172">
        <f t="shared" si="62"/>
        <v>2.4905681638730748E-2</v>
      </c>
      <c r="K303" s="291">
        <f t="shared" si="60"/>
        <v>2.4733716305024456E-3</v>
      </c>
      <c r="M303" s="170"/>
    </row>
    <row r="304" spans="1:13" x14ac:dyDescent="0.2">
      <c r="A304" s="147">
        <v>2026</v>
      </c>
      <c r="B304" s="147">
        <v>3</v>
      </c>
      <c r="C304" s="147" t="str">
        <f t="shared" si="58"/>
        <v>20263</v>
      </c>
      <c r="D304" s="147" t="str">
        <f t="shared" si="63"/>
        <v>Q1</v>
      </c>
      <c r="E304" s="147">
        <f t="shared" si="65"/>
        <v>63113.167968229041</v>
      </c>
      <c r="F304" s="147" t="e">
        <f t="shared" si="65"/>
        <v>#N/A</v>
      </c>
      <c r="G304" s="147">
        <f t="shared" si="65"/>
        <v>55569.291010852481</v>
      </c>
      <c r="H304" s="147">
        <f t="shared" si="65"/>
        <v>1463.215955317683</v>
      </c>
      <c r="I304" s="290">
        <f t="shared" si="59"/>
        <v>591587.58727269887</v>
      </c>
      <c r="J304" s="172">
        <f t="shared" si="62"/>
        <v>2.4905681638730748E-2</v>
      </c>
      <c r="K304" s="291">
        <f t="shared" si="60"/>
        <v>2.4733716305024456E-3</v>
      </c>
      <c r="M304" s="170"/>
    </row>
    <row r="305" spans="1:13" x14ac:dyDescent="0.2">
      <c r="A305" s="147">
        <v>2026</v>
      </c>
      <c r="B305" s="147">
        <v>4</v>
      </c>
      <c r="C305" s="147" t="str">
        <f t="shared" si="58"/>
        <v>20264</v>
      </c>
      <c r="D305" s="147" t="str">
        <f t="shared" si="63"/>
        <v>Q2</v>
      </c>
      <c r="E305" s="147">
        <f t="shared" si="65"/>
        <v>63378.825237454439</v>
      </c>
      <c r="F305" s="147" t="e">
        <f t="shared" si="65"/>
        <v>#N/A</v>
      </c>
      <c r="G305" s="147">
        <f t="shared" si="65"/>
        <v>55793.331632268848</v>
      </c>
      <c r="H305" s="147">
        <f t="shared" si="65"/>
        <v>1466.4564562701637</v>
      </c>
      <c r="I305" s="290">
        <f t="shared" si="59"/>
        <v>593050.38609045313</v>
      </c>
      <c r="J305" s="172">
        <f t="shared" si="62"/>
        <v>2.3635407215488735E-2</v>
      </c>
      <c r="K305" s="291">
        <f t="shared" si="60"/>
        <v>2.4727350165597854E-3</v>
      </c>
      <c r="M305" s="170"/>
    </row>
    <row r="306" spans="1:13" x14ac:dyDescent="0.2">
      <c r="A306" s="147">
        <v>2026</v>
      </c>
      <c r="B306" s="147">
        <v>5</v>
      </c>
      <c r="C306" s="147" t="str">
        <f t="shared" si="58"/>
        <v>20265</v>
      </c>
      <c r="D306" s="147" t="str">
        <f t="shared" si="63"/>
        <v>Q2</v>
      </c>
      <c r="E306" s="147">
        <f t="shared" si="65"/>
        <v>63378.825237454439</v>
      </c>
      <c r="F306" s="147" t="e">
        <f t="shared" si="65"/>
        <v>#N/A</v>
      </c>
      <c r="G306" s="147">
        <f t="shared" si="65"/>
        <v>55793.331632268848</v>
      </c>
      <c r="H306" s="147">
        <f t="shared" si="65"/>
        <v>1466.4564562701637</v>
      </c>
      <c r="I306" s="290">
        <f t="shared" si="59"/>
        <v>593050.38609045313</v>
      </c>
      <c r="J306" s="172">
        <f t="shared" si="62"/>
        <v>2.3635407215488735E-2</v>
      </c>
      <c r="K306" s="291">
        <f t="shared" si="60"/>
        <v>2.4727350165597854E-3</v>
      </c>
      <c r="M306" s="170"/>
    </row>
    <row r="307" spans="1:13" x14ac:dyDescent="0.2">
      <c r="A307" s="147">
        <v>2026</v>
      </c>
      <c r="B307" s="147">
        <v>6</v>
      </c>
      <c r="C307" s="147" t="str">
        <f t="shared" si="58"/>
        <v>20266</v>
      </c>
      <c r="D307" s="147" t="str">
        <f t="shared" si="63"/>
        <v>Q2</v>
      </c>
      <c r="E307" s="147">
        <f t="shared" si="65"/>
        <v>63378.825237454439</v>
      </c>
      <c r="F307" s="147" t="e">
        <f t="shared" si="65"/>
        <v>#N/A</v>
      </c>
      <c r="G307" s="147">
        <f t="shared" si="65"/>
        <v>55793.331632268848</v>
      </c>
      <c r="H307" s="147">
        <f t="shared" si="65"/>
        <v>1466.4564562701637</v>
      </c>
      <c r="I307" s="290">
        <f t="shared" si="59"/>
        <v>593050.38609045313</v>
      </c>
      <c r="J307" s="172">
        <f t="shared" si="62"/>
        <v>2.3635407215488735E-2</v>
      </c>
      <c r="K307" s="291">
        <f t="shared" si="60"/>
        <v>2.4727350165597854E-3</v>
      </c>
      <c r="M307" s="170"/>
    </row>
    <row r="308" spans="1:13" x14ac:dyDescent="0.2">
      <c r="A308" s="147">
        <v>2026</v>
      </c>
      <c r="B308" s="147">
        <v>7</v>
      </c>
      <c r="C308" s="147" t="str">
        <f t="shared" si="58"/>
        <v>20267</v>
      </c>
      <c r="D308" s="147" t="str">
        <f t="shared" si="63"/>
        <v>Q3</v>
      </c>
      <c r="E308" s="147">
        <f t="shared" si="65"/>
        <v>63564.328898661748</v>
      </c>
      <c r="F308" s="147" t="e">
        <f t="shared" si="65"/>
        <v>#N/A</v>
      </c>
      <c r="G308" s="147">
        <f t="shared" si="65"/>
        <v>56112.35191472694</v>
      </c>
      <c r="H308" s="147">
        <f t="shared" si="65"/>
        <v>1468.9613247427073</v>
      </c>
      <c r="I308" s="290">
        <f t="shared" si="59"/>
        <v>594256.30280244036</v>
      </c>
      <c r="J308" s="172">
        <f t="shared" si="62"/>
        <v>2.0722901323094511E-2</v>
      </c>
      <c r="K308" s="291">
        <f t="shared" si="60"/>
        <v>2.4719322585478095E-3</v>
      </c>
      <c r="M308" s="170"/>
    </row>
    <row r="309" spans="1:13" x14ac:dyDescent="0.2">
      <c r="A309" s="147">
        <v>2026</v>
      </c>
      <c r="B309" s="147">
        <v>8</v>
      </c>
      <c r="C309" s="147" t="str">
        <f t="shared" si="58"/>
        <v>20268</v>
      </c>
      <c r="D309" s="147" t="str">
        <f t="shared" si="63"/>
        <v>Q3</v>
      </c>
      <c r="E309" s="147">
        <f t="shared" si="65"/>
        <v>63564.328898661748</v>
      </c>
      <c r="F309" s="147" t="e">
        <f t="shared" si="65"/>
        <v>#N/A</v>
      </c>
      <c r="G309" s="147">
        <f t="shared" si="65"/>
        <v>56112.35191472694</v>
      </c>
      <c r="H309" s="147">
        <f t="shared" si="65"/>
        <v>1468.9613247427073</v>
      </c>
      <c r="I309" s="290">
        <f t="shared" si="59"/>
        <v>594256.30280244036</v>
      </c>
      <c r="J309" s="172">
        <f t="shared" si="62"/>
        <v>2.0722901323094511E-2</v>
      </c>
      <c r="K309" s="291">
        <f t="shared" si="60"/>
        <v>2.4719322585478095E-3</v>
      </c>
      <c r="M309" s="170"/>
    </row>
    <row r="310" spans="1:13" x14ac:dyDescent="0.2">
      <c r="A310" s="147">
        <v>2026</v>
      </c>
      <c r="B310" s="147">
        <v>9</v>
      </c>
      <c r="C310" s="147" t="str">
        <f t="shared" si="58"/>
        <v>20269</v>
      </c>
      <c r="D310" s="147" t="str">
        <f t="shared" si="63"/>
        <v>Q3</v>
      </c>
      <c r="E310" s="147">
        <f t="shared" si="65"/>
        <v>63564.328898661748</v>
      </c>
      <c r="F310" s="147" t="e">
        <f t="shared" si="65"/>
        <v>#N/A</v>
      </c>
      <c r="G310" s="147">
        <f t="shared" si="65"/>
        <v>56112.35191472694</v>
      </c>
      <c r="H310" s="147">
        <f t="shared" si="65"/>
        <v>1468.9613247427073</v>
      </c>
      <c r="I310" s="290">
        <f t="shared" si="59"/>
        <v>594256.30280244036</v>
      </c>
      <c r="J310" s="172">
        <f t="shared" si="62"/>
        <v>2.0722901323094511E-2</v>
      </c>
      <c r="K310" s="291">
        <f t="shared" si="60"/>
        <v>2.4719322585478095E-3</v>
      </c>
      <c r="M310" s="170"/>
    </row>
    <row r="311" spans="1:13" x14ac:dyDescent="0.2">
      <c r="A311" s="147">
        <v>2026</v>
      </c>
      <c r="B311" s="147">
        <v>10</v>
      </c>
      <c r="C311" s="147" t="str">
        <f t="shared" si="58"/>
        <v>202610</v>
      </c>
      <c r="D311" s="147" t="str">
        <f t="shared" si="63"/>
        <v>Q4</v>
      </c>
      <c r="E311" s="147">
        <f t="shared" si="65"/>
        <v>63968.709991649055</v>
      </c>
      <c r="F311" s="147" t="e">
        <f t="shared" si="65"/>
        <v>#N/A</v>
      </c>
      <c r="G311" s="147">
        <f t="shared" si="65"/>
        <v>56458.331396926224</v>
      </c>
      <c r="H311" s="147">
        <f t="shared" si="65"/>
        <v>1472.189134430844</v>
      </c>
      <c r="I311" s="290">
        <f t="shared" si="59"/>
        <v>595671.53935157775</v>
      </c>
      <c r="J311" s="172">
        <f t="shared" si="62"/>
        <v>2.3579540267772758E-2</v>
      </c>
      <c r="K311" s="291">
        <f t="shared" si="60"/>
        <v>2.4714780498551357E-3</v>
      </c>
      <c r="M311" s="170"/>
    </row>
    <row r="312" spans="1:13" x14ac:dyDescent="0.2">
      <c r="A312" s="147">
        <v>2026</v>
      </c>
      <c r="B312" s="147">
        <v>11</v>
      </c>
      <c r="C312" s="147" t="str">
        <f t="shared" si="58"/>
        <v>202611</v>
      </c>
      <c r="D312" s="147" t="str">
        <f t="shared" si="63"/>
        <v>Q4</v>
      </c>
      <c r="E312" s="147">
        <f t="shared" si="65"/>
        <v>63968.709991649055</v>
      </c>
      <c r="F312" s="147" t="e">
        <f t="shared" si="65"/>
        <v>#N/A</v>
      </c>
      <c r="G312" s="147">
        <f t="shared" si="65"/>
        <v>56458.331396926224</v>
      </c>
      <c r="H312" s="147">
        <f t="shared" si="65"/>
        <v>1472.189134430844</v>
      </c>
      <c r="I312" s="290">
        <f t="shared" si="59"/>
        <v>595671.53935157775</v>
      </c>
      <c r="J312" s="172">
        <f t="shared" si="62"/>
        <v>2.3579540267772758E-2</v>
      </c>
      <c r="K312" s="291">
        <f t="shared" si="60"/>
        <v>2.4714780498551357E-3</v>
      </c>
      <c r="M312" s="170"/>
    </row>
    <row r="313" spans="1:13" x14ac:dyDescent="0.2">
      <c r="A313" s="147">
        <v>2026</v>
      </c>
      <c r="B313" s="147">
        <v>12</v>
      </c>
      <c r="C313" s="147" t="str">
        <f t="shared" si="58"/>
        <v>202612</v>
      </c>
      <c r="D313" s="147" t="str">
        <f t="shared" si="63"/>
        <v>Q4</v>
      </c>
      <c r="E313" s="147">
        <f t="shared" si="65"/>
        <v>63968.709991649055</v>
      </c>
      <c r="F313" s="147" t="e">
        <f t="shared" si="65"/>
        <v>#N/A</v>
      </c>
      <c r="G313" s="147">
        <f t="shared" si="65"/>
        <v>56458.331396926224</v>
      </c>
      <c r="H313" s="147">
        <f t="shared" si="65"/>
        <v>1472.189134430844</v>
      </c>
      <c r="I313" s="290">
        <f t="shared" si="59"/>
        <v>595671.53935157775</v>
      </c>
      <c r="J313" s="172">
        <f t="shared" si="62"/>
        <v>2.3579540267772758E-2</v>
      </c>
      <c r="K313" s="291">
        <f t="shared" si="60"/>
        <v>2.4714780498551357E-3</v>
      </c>
      <c r="M313" s="170"/>
    </row>
    <row r="314" spans="1:13" x14ac:dyDescent="0.2">
      <c r="A314" s="147">
        <v>2027</v>
      </c>
      <c r="B314" s="147">
        <v>1</v>
      </c>
      <c r="C314" s="147" t="str">
        <f t="shared" si="58"/>
        <v>20271</v>
      </c>
      <c r="D314" s="147" t="str">
        <f t="shared" si="63"/>
        <v>Q1</v>
      </c>
      <c r="E314" s="147">
        <f t="shared" si="65"/>
        <v>64527.805104201179</v>
      </c>
      <c r="F314" s="147" t="e">
        <f t="shared" si="65"/>
        <v>#N/A</v>
      </c>
      <c r="G314" s="147">
        <f t="shared" si="65"/>
        <v>56964.713161103646</v>
      </c>
      <c r="H314" s="147">
        <f t="shared" si="65"/>
        <v>1475.2980818535743</v>
      </c>
      <c r="I314" s="290">
        <f t="shared" si="59"/>
        <v>597050.64413029025</v>
      </c>
      <c r="J314" s="172">
        <f t="shared" si="62"/>
        <v>2.2414294536510448E-2</v>
      </c>
      <c r="K314" s="291">
        <f t="shared" si="60"/>
        <v>2.4709764512566711E-3</v>
      </c>
      <c r="M314" s="170"/>
    </row>
    <row r="315" spans="1:13" x14ac:dyDescent="0.2">
      <c r="A315" s="147">
        <v>2027</v>
      </c>
      <c r="B315" s="147">
        <v>2</v>
      </c>
      <c r="C315" s="147" t="str">
        <f t="shared" si="58"/>
        <v>20272</v>
      </c>
      <c r="D315" s="147" t="str">
        <f t="shared" si="63"/>
        <v>Q1</v>
      </c>
      <c r="E315" s="147">
        <f t="shared" si="65"/>
        <v>64527.805104201179</v>
      </c>
      <c r="F315" s="147" t="e">
        <f t="shared" si="65"/>
        <v>#N/A</v>
      </c>
      <c r="G315" s="147">
        <f t="shared" si="65"/>
        <v>56964.713161103646</v>
      </c>
      <c r="H315" s="147">
        <f t="shared" si="65"/>
        <v>1475.2980818535743</v>
      </c>
      <c r="I315" s="290">
        <f t="shared" si="59"/>
        <v>597050.64413029025</v>
      </c>
      <c r="J315" s="172">
        <f t="shared" si="62"/>
        <v>2.2414294536510448E-2</v>
      </c>
      <c r="K315" s="291">
        <f t="shared" si="60"/>
        <v>2.4709764512566711E-3</v>
      </c>
      <c r="M315" s="170"/>
    </row>
    <row r="316" spans="1:13" x14ac:dyDescent="0.2">
      <c r="A316" s="147">
        <v>2027</v>
      </c>
      <c r="B316" s="147">
        <v>3</v>
      </c>
      <c r="C316" s="147" t="str">
        <f t="shared" si="58"/>
        <v>20273</v>
      </c>
      <c r="D316" s="147" t="str">
        <f t="shared" si="63"/>
        <v>Q1</v>
      </c>
      <c r="E316" s="147">
        <f t="shared" si="65"/>
        <v>64527.805104201179</v>
      </c>
      <c r="F316" s="147" t="e">
        <f t="shared" si="65"/>
        <v>#N/A</v>
      </c>
      <c r="G316" s="147">
        <f t="shared" si="65"/>
        <v>56964.713161103646</v>
      </c>
      <c r="H316" s="147">
        <f t="shared" si="65"/>
        <v>1475.2980818535743</v>
      </c>
      <c r="I316" s="290">
        <f t="shared" si="59"/>
        <v>597050.64413029025</v>
      </c>
      <c r="J316" s="172">
        <f t="shared" si="62"/>
        <v>2.2414294536510448E-2</v>
      </c>
      <c r="K316" s="291">
        <f t="shared" si="60"/>
        <v>2.4709764512566711E-3</v>
      </c>
      <c r="M316" s="170"/>
    </row>
    <row r="317" spans="1:13" x14ac:dyDescent="0.2">
      <c r="A317" s="147">
        <v>2027</v>
      </c>
      <c r="B317" s="147">
        <v>4</v>
      </c>
      <c r="C317" s="147" t="str">
        <f t="shared" si="58"/>
        <v>20274</v>
      </c>
      <c r="D317" s="147" t="str">
        <f t="shared" si="63"/>
        <v>Q2</v>
      </c>
      <c r="E317" s="147">
        <f t="shared" si="65"/>
        <v>64907.283381312103</v>
      </c>
      <c r="F317" s="147" t="e">
        <f t="shared" si="65"/>
        <v>#N/A</v>
      </c>
      <c r="G317" s="147">
        <f t="shared" si="65"/>
        <v>57254.533685953822</v>
      </c>
      <c r="H317" s="147">
        <f t="shared" si="65"/>
        <v>1478.3078936440054</v>
      </c>
      <c r="I317" s="290">
        <f t="shared" si="59"/>
        <v>598414.67867921363</v>
      </c>
      <c r="J317" s="172">
        <f t="shared" si="62"/>
        <v>2.4116227117356059E-2</v>
      </c>
      <c r="K317" s="291">
        <f t="shared" si="60"/>
        <v>2.4703737162778852E-3</v>
      </c>
      <c r="M317" s="170"/>
    </row>
    <row r="318" spans="1:13" x14ac:dyDescent="0.2">
      <c r="A318" s="147">
        <v>2027</v>
      </c>
      <c r="B318" s="147">
        <v>5</v>
      </c>
      <c r="C318" s="147" t="str">
        <f t="shared" si="58"/>
        <v>20275</v>
      </c>
      <c r="D318" s="147" t="str">
        <f t="shared" si="63"/>
        <v>Q2</v>
      </c>
      <c r="E318" s="147">
        <f t="shared" si="65"/>
        <v>64907.283381312103</v>
      </c>
      <c r="F318" s="147" t="e">
        <f t="shared" si="65"/>
        <v>#N/A</v>
      </c>
      <c r="G318" s="147">
        <f t="shared" si="65"/>
        <v>57254.533685953822</v>
      </c>
      <c r="H318" s="147">
        <f t="shared" si="65"/>
        <v>1478.3078936440054</v>
      </c>
      <c r="I318" s="290">
        <f t="shared" si="59"/>
        <v>598414.67867921363</v>
      </c>
      <c r="J318" s="172">
        <f t="shared" si="62"/>
        <v>2.4116227117356059E-2</v>
      </c>
      <c r="K318" s="291">
        <f t="shared" si="60"/>
        <v>2.4703737162778852E-3</v>
      </c>
      <c r="M318" s="170"/>
    </row>
    <row r="319" spans="1:13" x14ac:dyDescent="0.2">
      <c r="A319" s="147">
        <v>2027</v>
      </c>
      <c r="B319" s="147">
        <v>6</v>
      </c>
      <c r="C319" s="147" t="str">
        <f t="shared" si="58"/>
        <v>20276</v>
      </c>
      <c r="D319" s="147" t="str">
        <f t="shared" si="63"/>
        <v>Q2</v>
      </c>
      <c r="E319" s="147">
        <f t="shared" si="65"/>
        <v>64907.283381312103</v>
      </c>
      <c r="F319" s="147" t="e">
        <f t="shared" si="65"/>
        <v>#N/A</v>
      </c>
      <c r="G319" s="147">
        <f t="shared" si="65"/>
        <v>57254.533685953822</v>
      </c>
      <c r="H319" s="147">
        <f t="shared" si="65"/>
        <v>1478.3078936440054</v>
      </c>
      <c r="I319" s="290">
        <f t="shared" si="59"/>
        <v>598414.67867921363</v>
      </c>
      <c r="J319" s="172">
        <f t="shared" si="62"/>
        <v>2.4116227117356059E-2</v>
      </c>
      <c r="K319" s="291">
        <f t="shared" si="60"/>
        <v>2.4703737162778852E-3</v>
      </c>
      <c r="M319" s="170"/>
    </row>
    <row r="320" spans="1:13" x14ac:dyDescent="0.2">
      <c r="A320" s="147">
        <v>2027</v>
      </c>
      <c r="B320" s="147">
        <v>7</v>
      </c>
      <c r="C320" s="147" t="str">
        <f t="shared" si="58"/>
        <v>20277</v>
      </c>
      <c r="D320" s="147" t="str">
        <f t="shared" si="63"/>
        <v>Q3</v>
      </c>
      <c r="E320" s="147">
        <f t="shared" si="65"/>
        <v>65295.357111276346</v>
      </c>
      <c r="F320" s="147" t="e">
        <f t="shared" si="65"/>
        <v>#N/A</v>
      </c>
      <c r="G320" s="147">
        <f t="shared" si="65"/>
        <v>57588.191423894845</v>
      </c>
      <c r="H320" s="147">
        <f t="shared" si="65"/>
        <v>1481.4953488555889</v>
      </c>
      <c r="I320" s="290">
        <f t="shared" si="59"/>
        <v>600464.60166080564</v>
      </c>
      <c r="J320" s="172">
        <f t="shared" si="62"/>
        <v>2.7232698631559638E-2</v>
      </c>
      <c r="K320" s="291">
        <f t="shared" si="60"/>
        <v>2.4672484352249386E-3</v>
      </c>
      <c r="M320" s="170"/>
    </row>
    <row r="321" spans="1:13" x14ac:dyDescent="0.2">
      <c r="A321" s="147">
        <v>2027</v>
      </c>
      <c r="B321" s="147">
        <v>8</v>
      </c>
      <c r="C321" s="147" t="str">
        <f t="shared" si="58"/>
        <v>20278</v>
      </c>
      <c r="D321" s="147" t="str">
        <f t="shared" si="63"/>
        <v>Q3</v>
      </c>
      <c r="E321" s="147">
        <f t="shared" si="65"/>
        <v>65295.357111276346</v>
      </c>
      <c r="F321" s="147" t="e">
        <f t="shared" si="65"/>
        <v>#N/A</v>
      </c>
      <c r="G321" s="147">
        <f t="shared" si="65"/>
        <v>57588.191423894845</v>
      </c>
      <c r="H321" s="147">
        <f t="shared" si="65"/>
        <v>1481.4953488555889</v>
      </c>
      <c r="I321" s="290">
        <f t="shared" si="59"/>
        <v>600464.60166080564</v>
      </c>
      <c r="J321" s="172">
        <f t="shared" si="62"/>
        <v>2.7232698631559638E-2</v>
      </c>
      <c r="K321" s="291">
        <f t="shared" si="60"/>
        <v>2.4672484352249386E-3</v>
      </c>
      <c r="M321" s="170"/>
    </row>
    <row r="322" spans="1:13" x14ac:dyDescent="0.2">
      <c r="A322" s="147">
        <v>2027</v>
      </c>
      <c r="B322" s="147">
        <v>9</v>
      </c>
      <c r="C322" s="147" t="str">
        <f t="shared" si="58"/>
        <v>20279</v>
      </c>
      <c r="D322" s="147" t="str">
        <f t="shared" si="63"/>
        <v>Q3</v>
      </c>
      <c r="E322" s="147">
        <f t="shared" ref="E322:H341" si="66">VLOOKUP($A322&amp;$D322,$O$1:$W$189,MATCH(E$1,$O$1:$W$1,0),0)</f>
        <v>65295.357111276346</v>
      </c>
      <c r="F322" s="147" t="e">
        <f t="shared" si="66"/>
        <v>#N/A</v>
      </c>
      <c r="G322" s="147">
        <f t="shared" si="66"/>
        <v>57588.191423894845</v>
      </c>
      <c r="H322" s="147">
        <f t="shared" si="66"/>
        <v>1481.4953488555889</v>
      </c>
      <c r="I322" s="290">
        <f t="shared" si="59"/>
        <v>600464.60166080564</v>
      </c>
      <c r="J322" s="172">
        <f t="shared" si="62"/>
        <v>2.7232698631559638E-2</v>
      </c>
      <c r="K322" s="291">
        <f t="shared" si="60"/>
        <v>2.4672484352249386E-3</v>
      </c>
      <c r="M322" s="170"/>
    </row>
    <row r="323" spans="1:13" x14ac:dyDescent="0.2">
      <c r="A323" s="147">
        <v>2027</v>
      </c>
      <c r="B323" s="147">
        <v>10</v>
      </c>
      <c r="C323" s="147" t="str">
        <f t="shared" ref="C323:C386" si="67">A323&amp;B323</f>
        <v>202710</v>
      </c>
      <c r="D323" s="147" t="str">
        <f t="shared" si="63"/>
        <v>Q4</v>
      </c>
      <c r="E323" s="147">
        <f t="shared" si="66"/>
        <v>65633.143588248247</v>
      </c>
      <c r="F323" s="147" t="e">
        <f t="shared" si="66"/>
        <v>#N/A</v>
      </c>
      <c r="G323" s="147">
        <f t="shared" si="66"/>
        <v>57876.059941927051</v>
      </c>
      <c r="H323" s="147">
        <f t="shared" si="66"/>
        <v>1483.9849116873886</v>
      </c>
      <c r="I323" s="290">
        <f t="shared" ref="I323:I386" si="68">VLOOKUP($A323&amp;$D323,$O$1:$W$189,MATCH(I$1,$O$1:$W$1,0),0)*1000</f>
        <v>601373.0420673046</v>
      </c>
      <c r="J323" s="172">
        <f t="shared" si="62"/>
        <v>2.6019496044495494E-2</v>
      </c>
      <c r="K323" s="291">
        <f t="shared" ref="K323:K386" si="69">H323/I323</f>
        <v>2.4676611817948829E-3</v>
      </c>
      <c r="M323" s="170"/>
    </row>
    <row r="324" spans="1:13" x14ac:dyDescent="0.2">
      <c r="A324" s="147">
        <v>2027</v>
      </c>
      <c r="B324" s="147">
        <v>11</v>
      </c>
      <c r="C324" s="147" t="str">
        <f t="shared" si="67"/>
        <v>202711</v>
      </c>
      <c r="D324" s="147" t="str">
        <f t="shared" si="63"/>
        <v>Q4</v>
      </c>
      <c r="E324" s="147">
        <f t="shared" si="66"/>
        <v>65633.143588248247</v>
      </c>
      <c r="F324" s="147" t="e">
        <f t="shared" si="66"/>
        <v>#N/A</v>
      </c>
      <c r="G324" s="147">
        <f t="shared" si="66"/>
        <v>57876.059941927051</v>
      </c>
      <c r="H324" s="147">
        <f t="shared" si="66"/>
        <v>1483.9849116873886</v>
      </c>
      <c r="I324" s="290">
        <f t="shared" si="68"/>
        <v>601373.0420673046</v>
      </c>
      <c r="J324" s="172">
        <f t="shared" si="62"/>
        <v>2.6019496044495494E-2</v>
      </c>
      <c r="K324" s="291">
        <f t="shared" si="69"/>
        <v>2.4676611817948829E-3</v>
      </c>
      <c r="M324" s="170"/>
    </row>
    <row r="325" spans="1:13" x14ac:dyDescent="0.2">
      <c r="A325" s="147">
        <v>2027</v>
      </c>
      <c r="B325" s="147">
        <v>12</v>
      </c>
      <c r="C325" s="147" t="str">
        <f t="shared" si="67"/>
        <v>202712</v>
      </c>
      <c r="D325" s="147" t="str">
        <f t="shared" si="63"/>
        <v>Q4</v>
      </c>
      <c r="E325" s="147">
        <f t="shared" si="66"/>
        <v>65633.143588248247</v>
      </c>
      <c r="F325" s="147" t="e">
        <f t="shared" si="66"/>
        <v>#N/A</v>
      </c>
      <c r="G325" s="147">
        <f t="shared" si="66"/>
        <v>57876.059941927051</v>
      </c>
      <c r="H325" s="147">
        <f t="shared" si="66"/>
        <v>1483.9849116873886</v>
      </c>
      <c r="I325" s="290">
        <f t="shared" si="68"/>
        <v>601373.0420673046</v>
      </c>
      <c r="J325" s="172">
        <f t="shared" si="62"/>
        <v>2.6019496044495494E-2</v>
      </c>
      <c r="K325" s="291">
        <f t="shared" si="69"/>
        <v>2.4676611817948829E-3</v>
      </c>
      <c r="M325" s="170"/>
    </row>
    <row r="326" spans="1:13" x14ac:dyDescent="0.2">
      <c r="A326" s="147">
        <v>2028</v>
      </c>
      <c r="B326" s="147">
        <v>1</v>
      </c>
      <c r="C326" s="147" t="str">
        <f t="shared" si="67"/>
        <v>20281</v>
      </c>
      <c r="D326" s="147" t="str">
        <f t="shared" si="63"/>
        <v>Q1</v>
      </c>
      <c r="E326" s="147">
        <f t="shared" si="66"/>
        <v>67188.919810586201</v>
      </c>
      <c r="F326" s="147" t="e">
        <f t="shared" si="66"/>
        <v>#N/A</v>
      </c>
      <c r="G326" s="147">
        <f t="shared" si="66"/>
        <v>58418.654423987813</v>
      </c>
      <c r="H326" s="147">
        <f t="shared" si="66"/>
        <v>1487.1113560323031</v>
      </c>
      <c r="I326" s="290">
        <f t="shared" si="68"/>
        <v>602465.93055387097</v>
      </c>
      <c r="J326" s="172">
        <f t="shared" si="62"/>
        <v>4.1239814403849495E-2</v>
      </c>
      <c r="K326" s="291">
        <f t="shared" si="69"/>
        <v>2.4683741944795819E-3</v>
      </c>
      <c r="M326" s="170"/>
    </row>
    <row r="327" spans="1:13" x14ac:dyDescent="0.2">
      <c r="A327" s="147">
        <v>2028</v>
      </c>
      <c r="B327" s="147">
        <v>2</v>
      </c>
      <c r="C327" s="147" t="str">
        <f t="shared" si="67"/>
        <v>20282</v>
      </c>
      <c r="D327" s="147" t="str">
        <f t="shared" si="63"/>
        <v>Q1</v>
      </c>
      <c r="E327" s="147">
        <f t="shared" si="66"/>
        <v>67188.919810586201</v>
      </c>
      <c r="F327" s="147" t="e">
        <f t="shared" si="66"/>
        <v>#N/A</v>
      </c>
      <c r="G327" s="147">
        <f t="shared" si="66"/>
        <v>58418.654423987813</v>
      </c>
      <c r="H327" s="147">
        <f t="shared" si="66"/>
        <v>1487.1113560323031</v>
      </c>
      <c r="I327" s="290">
        <f t="shared" si="68"/>
        <v>602465.93055387097</v>
      </c>
      <c r="J327" s="172">
        <f t="shared" ref="J327:J390" si="70">E327/E315-1</f>
        <v>4.1239814403849495E-2</v>
      </c>
      <c r="K327" s="291">
        <f t="shared" si="69"/>
        <v>2.4683741944795819E-3</v>
      </c>
      <c r="M327" s="170"/>
    </row>
    <row r="328" spans="1:13" x14ac:dyDescent="0.2">
      <c r="A328" s="147">
        <v>2028</v>
      </c>
      <c r="B328" s="147">
        <v>3</v>
      </c>
      <c r="C328" s="147" t="str">
        <f t="shared" si="67"/>
        <v>20283</v>
      </c>
      <c r="D328" s="147" t="str">
        <f t="shared" si="63"/>
        <v>Q1</v>
      </c>
      <c r="E328" s="147">
        <f t="shared" si="66"/>
        <v>67188.919810586201</v>
      </c>
      <c r="F328" s="147" t="e">
        <f t="shared" si="66"/>
        <v>#N/A</v>
      </c>
      <c r="G328" s="147">
        <f t="shared" si="66"/>
        <v>58418.654423987813</v>
      </c>
      <c r="H328" s="147">
        <f t="shared" si="66"/>
        <v>1487.1113560323031</v>
      </c>
      <c r="I328" s="290">
        <f t="shared" si="68"/>
        <v>602465.93055387097</v>
      </c>
      <c r="J328" s="172">
        <f t="shared" si="70"/>
        <v>4.1239814403849495E-2</v>
      </c>
      <c r="K328" s="291">
        <f t="shared" si="69"/>
        <v>2.4683741944795819E-3</v>
      </c>
      <c r="M328" s="170"/>
    </row>
    <row r="329" spans="1:13" x14ac:dyDescent="0.2">
      <c r="A329" s="147">
        <v>2028</v>
      </c>
      <c r="B329" s="147">
        <v>4</v>
      </c>
      <c r="C329" s="147" t="str">
        <f t="shared" si="67"/>
        <v>20284</v>
      </c>
      <c r="D329" s="147" t="str">
        <f t="shared" si="63"/>
        <v>Q2</v>
      </c>
      <c r="E329" s="147">
        <f t="shared" si="66"/>
        <v>67541.334580262541</v>
      </c>
      <c r="F329" s="147" t="e">
        <f t="shared" si="66"/>
        <v>#N/A</v>
      </c>
      <c r="G329" s="147">
        <f t="shared" si="66"/>
        <v>58713.8376022312</v>
      </c>
      <c r="H329" s="147">
        <f t="shared" si="66"/>
        <v>1490.2081646802681</v>
      </c>
      <c r="I329" s="290">
        <f t="shared" si="68"/>
        <v>603579.12477905455</v>
      </c>
      <c r="J329" s="172">
        <f t="shared" si="70"/>
        <v>4.0581750794839611E-2</v>
      </c>
      <c r="K329" s="291">
        <f t="shared" si="69"/>
        <v>2.4689524595897377E-3</v>
      </c>
      <c r="M329" s="170"/>
    </row>
    <row r="330" spans="1:13" x14ac:dyDescent="0.2">
      <c r="A330" s="147">
        <v>2028</v>
      </c>
      <c r="B330" s="147">
        <v>5</v>
      </c>
      <c r="C330" s="147" t="str">
        <f t="shared" si="67"/>
        <v>20285</v>
      </c>
      <c r="D330" s="147" t="str">
        <f t="shared" si="63"/>
        <v>Q2</v>
      </c>
      <c r="E330" s="147">
        <f t="shared" si="66"/>
        <v>67541.334580262541</v>
      </c>
      <c r="F330" s="147" t="e">
        <f t="shared" si="66"/>
        <v>#N/A</v>
      </c>
      <c r="G330" s="147">
        <f t="shared" si="66"/>
        <v>58713.8376022312</v>
      </c>
      <c r="H330" s="147">
        <f t="shared" si="66"/>
        <v>1490.2081646802681</v>
      </c>
      <c r="I330" s="290">
        <f t="shared" si="68"/>
        <v>603579.12477905455</v>
      </c>
      <c r="J330" s="172">
        <f t="shared" si="70"/>
        <v>4.0581750794839611E-2</v>
      </c>
      <c r="K330" s="291">
        <f t="shared" si="69"/>
        <v>2.4689524595897377E-3</v>
      </c>
      <c r="M330" s="170"/>
    </row>
    <row r="331" spans="1:13" x14ac:dyDescent="0.2">
      <c r="A331" s="147">
        <v>2028</v>
      </c>
      <c r="B331" s="147">
        <v>6</v>
      </c>
      <c r="C331" s="147" t="str">
        <f t="shared" si="67"/>
        <v>20286</v>
      </c>
      <c r="D331" s="147" t="str">
        <f t="shared" si="63"/>
        <v>Q2</v>
      </c>
      <c r="E331" s="147">
        <f t="shared" si="66"/>
        <v>67541.334580262541</v>
      </c>
      <c r="F331" s="147" t="e">
        <f t="shared" si="66"/>
        <v>#N/A</v>
      </c>
      <c r="G331" s="147">
        <f t="shared" si="66"/>
        <v>58713.8376022312</v>
      </c>
      <c r="H331" s="147">
        <f t="shared" si="66"/>
        <v>1490.2081646802681</v>
      </c>
      <c r="I331" s="290">
        <f t="shared" si="68"/>
        <v>603579.12477905455</v>
      </c>
      <c r="J331" s="172">
        <f t="shared" si="70"/>
        <v>4.0581750794839611E-2</v>
      </c>
      <c r="K331" s="291">
        <f t="shared" si="69"/>
        <v>2.4689524595897377E-3</v>
      </c>
      <c r="M331" s="170"/>
    </row>
    <row r="332" spans="1:13" x14ac:dyDescent="0.2">
      <c r="A332" s="147">
        <v>2028</v>
      </c>
      <c r="B332" s="147">
        <v>7</v>
      </c>
      <c r="C332" s="147" t="str">
        <f t="shared" si="67"/>
        <v>20287</v>
      </c>
      <c r="D332" s="147" t="str">
        <f t="shared" si="63"/>
        <v>Q3</v>
      </c>
      <c r="E332" s="147">
        <f t="shared" si="66"/>
        <v>67918.366491950539</v>
      </c>
      <c r="F332" s="147" t="e">
        <f t="shared" si="66"/>
        <v>#N/A</v>
      </c>
      <c r="G332" s="147">
        <f t="shared" si="66"/>
        <v>59006.505698010005</v>
      </c>
      <c r="H332" s="147">
        <f t="shared" si="66"/>
        <v>1493.2999206794384</v>
      </c>
      <c r="I332" s="290">
        <f t="shared" si="68"/>
        <v>604687.29193860944</v>
      </c>
      <c r="J332" s="172">
        <f t="shared" si="70"/>
        <v>4.0171453173983851E-2</v>
      </c>
      <c r="K332" s="291">
        <f t="shared" si="69"/>
        <v>2.4695407702251576E-3</v>
      </c>
      <c r="M332" s="170"/>
    </row>
    <row r="333" spans="1:13" x14ac:dyDescent="0.2">
      <c r="A333" s="147">
        <v>2028</v>
      </c>
      <c r="B333" s="147">
        <v>8</v>
      </c>
      <c r="C333" s="147" t="str">
        <f t="shared" si="67"/>
        <v>20288</v>
      </c>
      <c r="D333" s="147" t="str">
        <f t="shared" si="63"/>
        <v>Q3</v>
      </c>
      <c r="E333" s="147">
        <f t="shared" si="66"/>
        <v>67918.366491950539</v>
      </c>
      <c r="F333" s="147" t="e">
        <f t="shared" si="66"/>
        <v>#N/A</v>
      </c>
      <c r="G333" s="147">
        <f t="shared" si="66"/>
        <v>59006.505698010005</v>
      </c>
      <c r="H333" s="147">
        <f t="shared" si="66"/>
        <v>1493.2999206794384</v>
      </c>
      <c r="I333" s="290">
        <f t="shared" si="68"/>
        <v>604687.29193860944</v>
      </c>
      <c r="J333" s="172">
        <f t="shared" si="70"/>
        <v>4.0171453173983851E-2</v>
      </c>
      <c r="K333" s="291">
        <f t="shared" si="69"/>
        <v>2.4695407702251576E-3</v>
      </c>
      <c r="M333" s="170"/>
    </row>
    <row r="334" spans="1:13" x14ac:dyDescent="0.2">
      <c r="A334" s="147">
        <v>2028</v>
      </c>
      <c r="B334" s="147">
        <v>9</v>
      </c>
      <c r="C334" s="147" t="str">
        <f t="shared" si="67"/>
        <v>20289</v>
      </c>
      <c r="D334" s="147" t="str">
        <f t="shared" si="63"/>
        <v>Q3</v>
      </c>
      <c r="E334" s="147">
        <f t="shared" si="66"/>
        <v>67918.366491950539</v>
      </c>
      <c r="F334" s="147" t="e">
        <f t="shared" si="66"/>
        <v>#N/A</v>
      </c>
      <c r="G334" s="147">
        <f t="shared" si="66"/>
        <v>59006.505698010005</v>
      </c>
      <c r="H334" s="147">
        <f t="shared" si="66"/>
        <v>1493.2999206794384</v>
      </c>
      <c r="I334" s="290">
        <f t="shared" si="68"/>
        <v>604687.29193860944</v>
      </c>
      <c r="J334" s="172">
        <f t="shared" si="70"/>
        <v>4.0171453173983851E-2</v>
      </c>
      <c r="K334" s="291">
        <f t="shared" si="69"/>
        <v>2.4695407702251576E-3</v>
      </c>
      <c r="M334" s="170"/>
    </row>
    <row r="335" spans="1:13" x14ac:dyDescent="0.2">
      <c r="A335" s="147">
        <v>2028</v>
      </c>
      <c r="B335" s="147">
        <v>10</v>
      </c>
      <c r="C335" s="147" t="str">
        <f t="shared" si="67"/>
        <v>202810</v>
      </c>
      <c r="D335" s="147" t="str">
        <f t="shared" ref="D335:D398" si="71">D323</f>
        <v>Q4</v>
      </c>
      <c r="E335" s="147">
        <f t="shared" si="66"/>
        <v>68129.102217055843</v>
      </c>
      <c r="F335" s="147" t="e">
        <f t="shared" si="66"/>
        <v>#N/A</v>
      </c>
      <c r="G335" s="147">
        <f t="shared" si="66"/>
        <v>59266.994694104913</v>
      </c>
      <c r="H335" s="147">
        <f t="shared" si="66"/>
        <v>1496.411470119825</v>
      </c>
      <c r="I335" s="290">
        <f t="shared" si="68"/>
        <v>606037.27570545778</v>
      </c>
      <c r="J335" s="172">
        <f t="shared" si="70"/>
        <v>3.8028936179959283E-2</v>
      </c>
      <c r="K335" s="291">
        <f t="shared" si="69"/>
        <v>2.4691739767622825E-3</v>
      </c>
      <c r="M335" s="170"/>
    </row>
    <row r="336" spans="1:13" x14ac:dyDescent="0.2">
      <c r="A336" s="147">
        <v>2028</v>
      </c>
      <c r="B336" s="147">
        <v>11</v>
      </c>
      <c r="C336" s="147" t="str">
        <f t="shared" si="67"/>
        <v>202811</v>
      </c>
      <c r="D336" s="147" t="str">
        <f t="shared" si="71"/>
        <v>Q4</v>
      </c>
      <c r="E336" s="147">
        <f t="shared" si="66"/>
        <v>68129.102217055843</v>
      </c>
      <c r="F336" s="147" t="e">
        <f t="shared" si="66"/>
        <v>#N/A</v>
      </c>
      <c r="G336" s="147">
        <f t="shared" si="66"/>
        <v>59266.994694104913</v>
      </c>
      <c r="H336" s="147">
        <f t="shared" si="66"/>
        <v>1496.411470119825</v>
      </c>
      <c r="I336" s="290">
        <f t="shared" si="68"/>
        <v>606037.27570545778</v>
      </c>
      <c r="J336" s="172">
        <f t="shared" si="70"/>
        <v>3.8028936179959283E-2</v>
      </c>
      <c r="K336" s="291">
        <f t="shared" si="69"/>
        <v>2.4691739767622825E-3</v>
      </c>
      <c r="M336" s="170"/>
    </row>
    <row r="337" spans="1:13" x14ac:dyDescent="0.2">
      <c r="A337" s="147">
        <v>2028</v>
      </c>
      <c r="B337" s="147">
        <v>12</v>
      </c>
      <c r="C337" s="147" t="str">
        <f t="shared" si="67"/>
        <v>202812</v>
      </c>
      <c r="D337" s="147" t="str">
        <f t="shared" si="71"/>
        <v>Q4</v>
      </c>
      <c r="E337" s="147">
        <f t="shared" si="66"/>
        <v>68129.102217055843</v>
      </c>
      <c r="F337" s="147" t="e">
        <f t="shared" si="66"/>
        <v>#N/A</v>
      </c>
      <c r="G337" s="147">
        <f t="shared" si="66"/>
        <v>59266.994694104913</v>
      </c>
      <c r="H337" s="147">
        <f t="shared" si="66"/>
        <v>1496.411470119825</v>
      </c>
      <c r="I337" s="290">
        <f t="shared" si="68"/>
        <v>606037.27570545778</v>
      </c>
      <c r="J337" s="172">
        <f t="shared" si="70"/>
        <v>3.8028936179959283E-2</v>
      </c>
      <c r="K337" s="291">
        <f t="shared" si="69"/>
        <v>2.4691739767622825E-3</v>
      </c>
      <c r="M337" s="170"/>
    </row>
    <row r="338" spans="1:13" x14ac:dyDescent="0.2">
      <c r="A338" s="147">
        <v>2029</v>
      </c>
      <c r="B338" s="147">
        <v>1</v>
      </c>
      <c r="C338" s="147" t="str">
        <f t="shared" si="67"/>
        <v>20291</v>
      </c>
      <c r="D338" s="147" t="str">
        <f t="shared" si="71"/>
        <v>Q1</v>
      </c>
      <c r="E338" s="147">
        <f t="shared" si="66"/>
        <v>68845.523407010856</v>
      </c>
      <c r="F338" s="147" t="e">
        <f t="shared" si="66"/>
        <v>#N/A</v>
      </c>
      <c r="G338" s="147">
        <f t="shared" si="66"/>
        <v>59877.087698330462</v>
      </c>
      <c r="H338" s="147">
        <f t="shared" si="66"/>
        <v>1498.8940832056842</v>
      </c>
      <c r="I338" s="290">
        <f t="shared" si="68"/>
        <v>607143.17414165335</v>
      </c>
      <c r="J338" s="172">
        <f t="shared" si="70"/>
        <v>2.4655904591037059E-2</v>
      </c>
      <c r="K338" s="291">
        <f t="shared" si="69"/>
        <v>2.4687654362988446E-3</v>
      </c>
      <c r="M338" s="170"/>
    </row>
    <row r="339" spans="1:13" x14ac:dyDescent="0.2">
      <c r="A339" s="147">
        <v>2029</v>
      </c>
      <c r="B339" s="147">
        <v>2</v>
      </c>
      <c r="C339" s="147" t="str">
        <f t="shared" si="67"/>
        <v>20292</v>
      </c>
      <c r="D339" s="147" t="str">
        <f t="shared" si="71"/>
        <v>Q1</v>
      </c>
      <c r="E339" s="147">
        <f t="shared" si="66"/>
        <v>68845.523407010856</v>
      </c>
      <c r="F339" s="147" t="e">
        <f t="shared" si="66"/>
        <v>#N/A</v>
      </c>
      <c r="G339" s="147">
        <f t="shared" si="66"/>
        <v>59877.087698330462</v>
      </c>
      <c r="H339" s="147">
        <f t="shared" si="66"/>
        <v>1498.8940832056842</v>
      </c>
      <c r="I339" s="290">
        <f t="shared" si="68"/>
        <v>607143.17414165335</v>
      </c>
      <c r="J339" s="172">
        <f t="shared" si="70"/>
        <v>2.4655904591037059E-2</v>
      </c>
      <c r="K339" s="291">
        <f t="shared" si="69"/>
        <v>2.4687654362988446E-3</v>
      </c>
      <c r="M339" s="170"/>
    </row>
    <row r="340" spans="1:13" x14ac:dyDescent="0.2">
      <c r="A340" s="147">
        <v>2029</v>
      </c>
      <c r="B340" s="147">
        <v>3</v>
      </c>
      <c r="C340" s="147" t="str">
        <f t="shared" si="67"/>
        <v>20293</v>
      </c>
      <c r="D340" s="147" t="str">
        <f t="shared" si="71"/>
        <v>Q1</v>
      </c>
      <c r="E340" s="147">
        <f t="shared" si="66"/>
        <v>68845.523407010856</v>
      </c>
      <c r="F340" s="147" t="e">
        <f t="shared" si="66"/>
        <v>#N/A</v>
      </c>
      <c r="G340" s="147">
        <f t="shared" si="66"/>
        <v>59877.087698330462</v>
      </c>
      <c r="H340" s="147">
        <f t="shared" si="66"/>
        <v>1498.8940832056842</v>
      </c>
      <c r="I340" s="290">
        <f t="shared" si="68"/>
        <v>607143.17414165335</v>
      </c>
      <c r="J340" s="172">
        <f t="shared" si="70"/>
        <v>2.4655904591037059E-2</v>
      </c>
      <c r="K340" s="291">
        <f t="shared" si="69"/>
        <v>2.4687654362988446E-3</v>
      </c>
      <c r="M340" s="170"/>
    </row>
    <row r="341" spans="1:13" x14ac:dyDescent="0.2">
      <c r="A341" s="147">
        <v>2029</v>
      </c>
      <c r="B341" s="147">
        <v>4</v>
      </c>
      <c r="C341" s="147" t="str">
        <f t="shared" si="67"/>
        <v>20294</v>
      </c>
      <c r="D341" s="147" t="str">
        <f t="shared" si="71"/>
        <v>Q2</v>
      </c>
      <c r="E341" s="147">
        <f t="shared" si="66"/>
        <v>69317.34410468323</v>
      </c>
      <c r="F341" s="147" t="e">
        <f t="shared" si="66"/>
        <v>#N/A</v>
      </c>
      <c r="G341" s="147">
        <f t="shared" si="66"/>
        <v>60277.737576157888</v>
      </c>
      <c r="H341" s="147">
        <f t="shared" si="66"/>
        <v>1501.9716137818423</v>
      </c>
      <c r="I341" s="290">
        <f t="shared" si="68"/>
        <v>608490.10365365911</v>
      </c>
      <c r="J341" s="172">
        <f t="shared" si="70"/>
        <v>2.6295150006403478E-2</v>
      </c>
      <c r="K341" s="291">
        <f t="shared" si="69"/>
        <v>2.4683583262296335E-3</v>
      </c>
      <c r="M341" s="170"/>
    </row>
    <row r="342" spans="1:13" x14ac:dyDescent="0.2">
      <c r="A342" s="147">
        <v>2029</v>
      </c>
      <c r="B342" s="147">
        <v>5</v>
      </c>
      <c r="C342" s="147" t="str">
        <f t="shared" si="67"/>
        <v>20295</v>
      </c>
      <c r="D342" s="147" t="str">
        <f t="shared" si="71"/>
        <v>Q2</v>
      </c>
      <c r="E342" s="147">
        <f t="shared" ref="E342:H361" si="72">VLOOKUP($A342&amp;$D342,$O$1:$W$189,MATCH(E$1,$O$1:$W$1,0),0)</f>
        <v>69317.34410468323</v>
      </c>
      <c r="F342" s="147" t="e">
        <f t="shared" si="72"/>
        <v>#N/A</v>
      </c>
      <c r="G342" s="147">
        <f t="shared" si="72"/>
        <v>60277.737576157888</v>
      </c>
      <c r="H342" s="147">
        <f t="shared" si="72"/>
        <v>1501.9716137818423</v>
      </c>
      <c r="I342" s="290">
        <f t="shared" si="68"/>
        <v>608490.10365365911</v>
      </c>
      <c r="J342" s="172">
        <f t="shared" si="70"/>
        <v>2.6295150006403478E-2</v>
      </c>
      <c r="K342" s="291">
        <f t="shared" si="69"/>
        <v>2.4683583262296335E-3</v>
      </c>
      <c r="M342" s="170"/>
    </row>
    <row r="343" spans="1:13" x14ac:dyDescent="0.2">
      <c r="A343" s="147">
        <v>2029</v>
      </c>
      <c r="B343" s="147">
        <v>6</v>
      </c>
      <c r="C343" s="147" t="str">
        <f t="shared" si="67"/>
        <v>20296</v>
      </c>
      <c r="D343" s="147" t="str">
        <f t="shared" si="71"/>
        <v>Q2</v>
      </c>
      <c r="E343" s="147">
        <f t="shared" si="72"/>
        <v>69317.34410468323</v>
      </c>
      <c r="F343" s="147" t="e">
        <f t="shared" si="72"/>
        <v>#N/A</v>
      </c>
      <c r="G343" s="147">
        <f t="shared" si="72"/>
        <v>60277.737576157888</v>
      </c>
      <c r="H343" s="147">
        <f t="shared" si="72"/>
        <v>1501.9716137818423</v>
      </c>
      <c r="I343" s="290">
        <f t="shared" si="68"/>
        <v>608490.10365365911</v>
      </c>
      <c r="J343" s="172">
        <f t="shared" si="70"/>
        <v>2.6295150006403478E-2</v>
      </c>
      <c r="K343" s="291">
        <f t="shared" si="69"/>
        <v>2.4683583262296335E-3</v>
      </c>
      <c r="M343" s="170"/>
    </row>
    <row r="344" spans="1:13" x14ac:dyDescent="0.2">
      <c r="A344" s="147">
        <v>2029</v>
      </c>
      <c r="B344" s="147">
        <v>7</v>
      </c>
      <c r="C344" s="147" t="str">
        <f t="shared" si="67"/>
        <v>20297</v>
      </c>
      <c r="D344" s="147" t="str">
        <f t="shared" si="71"/>
        <v>Q3</v>
      </c>
      <c r="E344" s="147">
        <f t="shared" si="72"/>
        <v>69398.523782313874</v>
      </c>
      <c r="F344" s="147" t="e">
        <f t="shared" si="72"/>
        <v>#N/A</v>
      </c>
      <c r="G344" s="147">
        <f t="shared" si="72"/>
        <v>60511.781745148182</v>
      </c>
      <c r="H344" s="147">
        <f t="shared" si="72"/>
        <v>1505.0383744277997</v>
      </c>
      <c r="I344" s="290">
        <f t="shared" si="68"/>
        <v>609831.8250296273</v>
      </c>
      <c r="J344" s="172">
        <f t="shared" si="70"/>
        <v>2.179318153269727E-2</v>
      </c>
      <c r="K344" s="291">
        <f t="shared" si="69"/>
        <v>2.4679564310286376E-3</v>
      </c>
      <c r="M344" s="170"/>
    </row>
    <row r="345" spans="1:13" x14ac:dyDescent="0.2">
      <c r="A345" s="147">
        <v>2029</v>
      </c>
      <c r="B345" s="147">
        <v>8</v>
      </c>
      <c r="C345" s="147" t="str">
        <f t="shared" si="67"/>
        <v>20298</v>
      </c>
      <c r="D345" s="147" t="str">
        <f t="shared" si="71"/>
        <v>Q3</v>
      </c>
      <c r="E345" s="147">
        <f t="shared" si="72"/>
        <v>69398.523782313874</v>
      </c>
      <c r="F345" s="147" t="e">
        <f t="shared" si="72"/>
        <v>#N/A</v>
      </c>
      <c r="G345" s="147">
        <f t="shared" si="72"/>
        <v>60511.781745148182</v>
      </c>
      <c r="H345" s="147">
        <f t="shared" si="72"/>
        <v>1505.0383744277997</v>
      </c>
      <c r="I345" s="290">
        <f t="shared" si="68"/>
        <v>609831.8250296273</v>
      </c>
      <c r="J345" s="172">
        <f t="shared" si="70"/>
        <v>2.179318153269727E-2</v>
      </c>
      <c r="K345" s="291">
        <f t="shared" si="69"/>
        <v>2.4679564310286376E-3</v>
      </c>
      <c r="M345" s="170"/>
    </row>
    <row r="346" spans="1:13" x14ac:dyDescent="0.2">
      <c r="A346" s="147">
        <v>2029</v>
      </c>
      <c r="B346" s="147">
        <v>9</v>
      </c>
      <c r="C346" s="147" t="str">
        <f t="shared" si="67"/>
        <v>20299</v>
      </c>
      <c r="D346" s="147" t="str">
        <f t="shared" si="71"/>
        <v>Q3</v>
      </c>
      <c r="E346" s="147">
        <f t="shared" si="72"/>
        <v>69398.523782313874</v>
      </c>
      <c r="F346" s="147" t="e">
        <f t="shared" si="72"/>
        <v>#N/A</v>
      </c>
      <c r="G346" s="147">
        <f t="shared" si="72"/>
        <v>60511.781745148182</v>
      </c>
      <c r="H346" s="147">
        <f t="shared" si="72"/>
        <v>1505.0383744277997</v>
      </c>
      <c r="I346" s="290">
        <f t="shared" si="68"/>
        <v>609831.8250296273</v>
      </c>
      <c r="J346" s="172">
        <f t="shared" si="70"/>
        <v>2.179318153269727E-2</v>
      </c>
      <c r="K346" s="291">
        <f t="shared" si="69"/>
        <v>2.4679564310286376E-3</v>
      </c>
      <c r="M346" s="170"/>
    </row>
    <row r="347" spans="1:13" x14ac:dyDescent="0.2">
      <c r="A347" s="147">
        <v>2029</v>
      </c>
      <c r="B347" s="147">
        <v>10</v>
      </c>
      <c r="C347" s="147" t="str">
        <f t="shared" si="67"/>
        <v>202910</v>
      </c>
      <c r="D347" s="147" t="str">
        <f t="shared" si="71"/>
        <v>Q4</v>
      </c>
      <c r="E347" s="147">
        <f t="shared" si="72"/>
        <v>69748.376174795558</v>
      </c>
      <c r="F347" s="147" t="e">
        <f t="shared" si="72"/>
        <v>#N/A</v>
      </c>
      <c r="G347" s="147">
        <f t="shared" si="72"/>
        <v>60805.872480766535</v>
      </c>
      <c r="H347" s="147">
        <f t="shared" si="72"/>
        <v>1508.0969329650397</v>
      </c>
      <c r="I347" s="290">
        <f t="shared" si="68"/>
        <v>611150.23354931816</v>
      </c>
      <c r="J347" s="172">
        <f t="shared" si="70"/>
        <v>2.3767727814477668E-2</v>
      </c>
      <c r="K347" s="291">
        <f t="shared" si="69"/>
        <v>2.4676370067088266E-3</v>
      </c>
      <c r="M347" s="170"/>
    </row>
    <row r="348" spans="1:13" x14ac:dyDescent="0.2">
      <c r="A348" s="147">
        <v>2029</v>
      </c>
      <c r="B348" s="147">
        <v>11</v>
      </c>
      <c r="C348" s="147" t="str">
        <f t="shared" si="67"/>
        <v>202911</v>
      </c>
      <c r="D348" s="147" t="str">
        <f t="shared" si="71"/>
        <v>Q4</v>
      </c>
      <c r="E348" s="147">
        <f t="shared" si="72"/>
        <v>69748.376174795558</v>
      </c>
      <c r="F348" s="147" t="e">
        <f t="shared" si="72"/>
        <v>#N/A</v>
      </c>
      <c r="G348" s="147">
        <f t="shared" si="72"/>
        <v>60805.872480766535</v>
      </c>
      <c r="H348" s="147">
        <f t="shared" si="72"/>
        <v>1508.0969329650397</v>
      </c>
      <c r="I348" s="290">
        <f t="shared" si="68"/>
        <v>611150.23354931816</v>
      </c>
      <c r="J348" s="172">
        <f t="shared" si="70"/>
        <v>2.3767727814477668E-2</v>
      </c>
      <c r="K348" s="291">
        <f t="shared" si="69"/>
        <v>2.4676370067088266E-3</v>
      </c>
      <c r="M348" s="170"/>
    </row>
    <row r="349" spans="1:13" x14ac:dyDescent="0.2">
      <c r="A349" s="147">
        <v>2029</v>
      </c>
      <c r="B349" s="147">
        <v>12</v>
      </c>
      <c r="C349" s="147" t="str">
        <f t="shared" si="67"/>
        <v>202912</v>
      </c>
      <c r="D349" s="147" t="str">
        <f t="shared" si="71"/>
        <v>Q4</v>
      </c>
      <c r="E349" s="147">
        <f t="shared" si="72"/>
        <v>69748.376174795558</v>
      </c>
      <c r="F349" s="147" t="e">
        <f t="shared" si="72"/>
        <v>#N/A</v>
      </c>
      <c r="G349" s="147">
        <f t="shared" si="72"/>
        <v>60805.872480766535</v>
      </c>
      <c r="H349" s="147">
        <f t="shared" si="72"/>
        <v>1508.0969329650397</v>
      </c>
      <c r="I349" s="290">
        <f t="shared" si="68"/>
        <v>611150.23354931816</v>
      </c>
      <c r="J349" s="172">
        <f t="shared" si="70"/>
        <v>2.3767727814477668E-2</v>
      </c>
      <c r="K349" s="291">
        <f t="shared" si="69"/>
        <v>2.4676370067088266E-3</v>
      </c>
      <c r="M349" s="170"/>
    </row>
    <row r="350" spans="1:13" x14ac:dyDescent="0.2">
      <c r="A350" s="147">
        <v>2030</v>
      </c>
      <c r="B350" s="147">
        <v>1</v>
      </c>
      <c r="C350" s="147" t="str">
        <f t="shared" si="67"/>
        <v>20301</v>
      </c>
      <c r="D350" s="147" t="str">
        <f t="shared" si="71"/>
        <v>Q1</v>
      </c>
      <c r="E350" s="147">
        <f t="shared" si="72"/>
        <v>70497.78446005439</v>
      </c>
      <c r="F350" s="147" t="e">
        <f t="shared" si="72"/>
        <v>#N/A</v>
      </c>
      <c r="G350" s="147">
        <f t="shared" si="72"/>
        <v>61466.666126746961</v>
      </c>
      <c r="H350" s="147">
        <f t="shared" si="72"/>
        <v>1511.1514067649505</v>
      </c>
      <c r="I350" s="290">
        <f t="shared" si="68"/>
        <v>612472.52422240016</v>
      </c>
      <c r="J350" s="172">
        <f t="shared" si="70"/>
        <v>2.3999542327181711E-2</v>
      </c>
      <c r="K350" s="291">
        <f t="shared" si="69"/>
        <v>2.4672966492391146E-3</v>
      </c>
      <c r="M350" s="170"/>
    </row>
    <row r="351" spans="1:13" x14ac:dyDescent="0.2">
      <c r="A351" s="147">
        <v>2030</v>
      </c>
      <c r="B351" s="147">
        <v>2</v>
      </c>
      <c r="C351" s="147" t="str">
        <f t="shared" si="67"/>
        <v>20302</v>
      </c>
      <c r="D351" s="147" t="str">
        <f t="shared" si="71"/>
        <v>Q1</v>
      </c>
      <c r="E351" s="147">
        <f t="shared" si="72"/>
        <v>70497.78446005439</v>
      </c>
      <c r="F351" s="147" t="e">
        <f t="shared" si="72"/>
        <v>#N/A</v>
      </c>
      <c r="G351" s="147">
        <f t="shared" si="72"/>
        <v>61466.666126746961</v>
      </c>
      <c r="H351" s="147">
        <f t="shared" si="72"/>
        <v>1511.1514067649505</v>
      </c>
      <c r="I351" s="290">
        <f t="shared" si="68"/>
        <v>612472.52422240016</v>
      </c>
      <c r="J351" s="172">
        <f t="shared" si="70"/>
        <v>2.3999542327181711E-2</v>
      </c>
      <c r="K351" s="291">
        <f t="shared" si="69"/>
        <v>2.4672966492391146E-3</v>
      </c>
      <c r="M351" s="170"/>
    </row>
    <row r="352" spans="1:13" x14ac:dyDescent="0.2">
      <c r="A352" s="147">
        <v>2030</v>
      </c>
      <c r="B352" s="147">
        <v>3</v>
      </c>
      <c r="C352" s="147" t="str">
        <f t="shared" si="67"/>
        <v>20303</v>
      </c>
      <c r="D352" s="147" t="str">
        <f t="shared" si="71"/>
        <v>Q1</v>
      </c>
      <c r="E352" s="147">
        <f t="shared" si="72"/>
        <v>70497.78446005439</v>
      </c>
      <c r="F352" s="147" t="e">
        <f t="shared" si="72"/>
        <v>#N/A</v>
      </c>
      <c r="G352" s="147">
        <f t="shared" si="72"/>
        <v>61466.666126746961</v>
      </c>
      <c r="H352" s="147">
        <f t="shared" si="72"/>
        <v>1511.1514067649505</v>
      </c>
      <c r="I352" s="290">
        <f t="shared" si="68"/>
        <v>612472.52422240016</v>
      </c>
      <c r="J352" s="172">
        <f t="shared" si="70"/>
        <v>2.3999542327181711E-2</v>
      </c>
      <c r="K352" s="291">
        <f t="shared" si="69"/>
        <v>2.4672966492391146E-3</v>
      </c>
      <c r="M352" s="170"/>
    </row>
    <row r="353" spans="1:13" x14ac:dyDescent="0.2">
      <c r="A353" s="147">
        <v>2030</v>
      </c>
      <c r="B353" s="147">
        <v>4</v>
      </c>
      <c r="C353" s="147" t="str">
        <f t="shared" si="67"/>
        <v>20304</v>
      </c>
      <c r="D353" s="147" t="str">
        <f t="shared" si="71"/>
        <v>Q2</v>
      </c>
      <c r="E353" s="147">
        <f t="shared" si="72"/>
        <v>70899.826789461629</v>
      </c>
      <c r="F353" s="147" t="e">
        <f t="shared" si="72"/>
        <v>#N/A</v>
      </c>
      <c r="G353" s="147">
        <f t="shared" si="72"/>
        <v>61814.830377760452</v>
      </c>
      <c r="H353" s="147">
        <f t="shared" si="72"/>
        <v>1513.6282170670941</v>
      </c>
      <c r="I353" s="290">
        <f t="shared" si="68"/>
        <v>613646.41663737968</v>
      </c>
      <c r="J353" s="172">
        <f t="shared" si="70"/>
        <v>2.2829534299359855E-2</v>
      </c>
      <c r="K353" s="291">
        <f t="shared" si="69"/>
        <v>2.4666129810736563E-3</v>
      </c>
      <c r="M353" s="170"/>
    </row>
    <row r="354" spans="1:13" x14ac:dyDescent="0.2">
      <c r="A354" s="147">
        <v>2030</v>
      </c>
      <c r="B354" s="147">
        <v>5</v>
      </c>
      <c r="C354" s="147" t="str">
        <f t="shared" si="67"/>
        <v>20305</v>
      </c>
      <c r="D354" s="147" t="str">
        <f t="shared" si="71"/>
        <v>Q2</v>
      </c>
      <c r="E354" s="147">
        <f t="shared" si="72"/>
        <v>70899.826789461629</v>
      </c>
      <c r="F354" s="147" t="e">
        <f t="shared" si="72"/>
        <v>#N/A</v>
      </c>
      <c r="G354" s="147">
        <f t="shared" si="72"/>
        <v>61814.830377760452</v>
      </c>
      <c r="H354" s="147">
        <f t="shared" si="72"/>
        <v>1513.6282170670941</v>
      </c>
      <c r="I354" s="290">
        <f t="shared" si="68"/>
        <v>613646.41663737968</v>
      </c>
      <c r="J354" s="172">
        <f t="shared" si="70"/>
        <v>2.2829534299359855E-2</v>
      </c>
      <c r="K354" s="291">
        <f t="shared" si="69"/>
        <v>2.4666129810736563E-3</v>
      </c>
      <c r="M354" s="170"/>
    </row>
    <row r="355" spans="1:13" x14ac:dyDescent="0.2">
      <c r="A355" s="147">
        <v>2030</v>
      </c>
      <c r="B355" s="147">
        <v>6</v>
      </c>
      <c r="C355" s="147" t="str">
        <f t="shared" si="67"/>
        <v>20306</v>
      </c>
      <c r="D355" s="147" t="str">
        <f t="shared" si="71"/>
        <v>Q2</v>
      </c>
      <c r="E355" s="147">
        <f t="shared" si="72"/>
        <v>70899.826789461629</v>
      </c>
      <c r="F355" s="147" t="e">
        <f t="shared" si="72"/>
        <v>#N/A</v>
      </c>
      <c r="G355" s="147">
        <f t="shared" si="72"/>
        <v>61814.830377760452</v>
      </c>
      <c r="H355" s="147">
        <f t="shared" si="72"/>
        <v>1513.6282170670941</v>
      </c>
      <c r="I355" s="290">
        <f t="shared" si="68"/>
        <v>613646.41663737968</v>
      </c>
      <c r="J355" s="172">
        <f t="shared" si="70"/>
        <v>2.2829534299359855E-2</v>
      </c>
      <c r="K355" s="291">
        <f t="shared" si="69"/>
        <v>2.4666129810736563E-3</v>
      </c>
      <c r="M355" s="170"/>
    </row>
    <row r="356" spans="1:13" x14ac:dyDescent="0.2">
      <c r="A356" s="147">
        <v>2030</v>
      </c>
      <c r="B356" s="147">
        <v>7</v>
      </c>
      <c r="C356" s="147" t="str">
        <f t="shared" si="67"/>
        <v>20307</v>
      </c>
      <c r="D356" s="147" t="str">
        <f t="shared" si="71"/>
        <v>Q3</v>
      </c>
      <c r="E356" s="147">
        <f t="shared" si="72"/>
        <v>71254.04489157183</v>
      </c>
      <c r="F356" s="147" t="e">
        <f t="shared" si="72"/>
        <v>#N/A</v>
      </c>
      <c r="G356" s="147">
        <f t="shared" si="72"/>
        <v>62118.659604022723</v>
      </c>
      <c r="H356" s="147">
        <f t="shared" si="72"/>
        <v>1516.6646655985724</v>
      </c>
      <c r="I356" s="290">
        <f t="shared" si="68"/>
        <v>614998.76679269783</v>
      </c>
      <c r="J356" s="172">
        <f t="shared" si="70"/>
        <v>2.67371841377817E-2</v>
      </c>
      <c r="K356" s="291">
        <f t="shared" si="69"/>
        <v>2.466126352591217E-3</v>
      </c>
      <c r="M356" s="170"/>
    </row>
    <row r="357" spans="1:13" x14ac:dyDescent="0.2">
      <c r="A357" s="147">
        <v>2030</v>
      </c>
      <c r="B357" s="147">
        <v>8</v>
      </c>
      <c r="C357" s="147" t="str">
        <f t="shared" si="67"/>
        <v>20308</v>
      </c>
      <c r="D357" s="147" t="str">
        <f t="shared" si="71"/>
        <v>Q3</v>
      </c>
      <c r="E357" s="147">
        <f t="shared" si="72"/>
        <v>71254.04489157183</v>
      </c>
      <c r="F357" s="147" t="e">
        <f t="shared" si="72"/>
        <v>#N/A</v>
      </c>
      <c r="G357" s="147">
        <f t="shared" si="72"/>
        <v>62118.659604022723</v>
      </c>
      <c r="H357" s="147">
        <f t="shared" si="72"/>
        <v>1516.6646655985724</v>
      </c>
      <c r="I357" s="290">
        <f t="shared" si="68"/>
        <v>614998.76679269783</v>
      </c>
      <c r="J357" s="172">
        <f t="shared" si="70"/>
        <v>2.67371841377817E-2</v>
      </c>
      <c r="K357" s="291">
        <f t="shared" si="69"/>
        <v>2.466126352591217E-3</v>
      </c>
      <c r="M357" s="170"/>
    </row>
    <row r="358" spans="1:13" x14ac:dyDescent="0.2">
      <c r="A358" s="147">
        <v>2030</v>
      </c>
      <c r="B358" s="147">
        <v>9</v>
      </c>
      <c r="C358" s="147" t="str">
        <f t="shared" si="67"/>
        <v>20309</v>
      </c>
      <c r="D358" s="147" t="str">
        <f t="shared" si="71"/>
        <v>Q3</v>
      </c>
      <c r="E358" s="147">
        <f t="shared" si="72"/>
        <v>71254.04489157183</v>
      </c>
      <c r="F358" s="147" t="e">
        <f t="shared" si="72"/>
        <v>#N/A</v>
      </c>
      <c r="G358" s="147">
        <f t="shared" si="72"/>
        <v>62118.659604022723</v>
      </c>
      <c r="H358" s="147">
        <f t="shared" si="72"/>
        <v>1516.6646655985724</v>
      </c>
      <c r="I358" s="290">
        <f t="shared" si="68"/>
        <v>614998.76679269783</v>
      </c>
      <c r="J358" s="172">
        <f t="shared" si="70"/>
        <v>2.67371841377817E-2</v>
      </c>
      <c r="K358" s="291">
        <f t="shared" si="69"/>
        <v>2.466126352591217E-3</v>
      </c>
      <c r="M358" s="170"/>
    </row>
    <row r="359" spans="1:13" x14ac:dyDescent="0.2">
      <c r="A359" s="147">
        <v>2030</v>
      </c>
      <c r="B359" s="147">
        <v>10</v>
      </c>
      <c r="C359" s="147" t="str">
        <f t="shared" si="67"/>
        <v>203010</v>
      </c>
      <c r="D359" s="147" t="str">
        <f t="shared" si="71"/>
        <v>Q4</v>
      </c>
      <c r="E359" s="147">
        <f t="shared" si="72"/>
        <v>71614.112367434791</v>
      </c>
      <c r="F359" s="147" t="e">
        <f t="shared" si="72"/>
        <v>#N/A</v>
      </c>
      <c r="G359" s="147">
        <f t="shared" si="72"/>
        <v>62422.456993532964</v>
      </c>
      <c r="H359" s="147">
        <f t="shared" si="72"/>
        <v>1519.6893055405494</v>
      </c>
      <c r="I359" s="290">
        <f t="shared" si="68"/>
        <v>616338.70595226961</v>
      </c>
      <c r="J359" s="172">
        <f t="shared" si="70"/>
        <v>2.6749528734024253E-2</v>
      </c>
      <c r="K359" s="291">
        <f t="shared" si="69"/>
        <v>2.4656723500636954E-3</v>
      </c>
      <c r="M359" s="170"/>
    </row>
    <row r="360" spans="1:13" x14ac:dyDescent="0.2">
      <c r="A360" s="147">
        <v>2030</v>
      </c>
      <c r="B360" s="147">
        <v>11</v>
      </c>
      <c r="C360" s="147" t="str">
        <f t="shared" si="67"/>
        <v>203011</v>
      </c>
      <c r="D360" s="147" t="str">
        <f t="shared" si="71"/>
        <v>Q4</v>
      </c>
      <c r="E360" s="147">
        <f t="shared" si="72"/>
        <v>71614.112367434791</v>
      </c>
      <c r="F360" s="147" t="e">
        <f t="shared" si="72"/>
        <v>#N/A</v>
      </c>
      <c r="G360" s="147">
        <f t="shared" si="72"/>
        <v>62422.456993532964</v>
      </c>
      <c r="H360" s="147">
        <f t="shared" si="72"/>
        <v>1519.6893055405494</v>
      </c>
      <c r="I360" s="290">
        <f t="shared" si="68"/>
        <v>616338.70595226961</v>
      </c>
      <c r="J360" s="172">
        <f t="shared" si="70"/>
        <v>2.6749528734024253E-2</v>
      </c>
      <c r="K360" s="291">
        <f t="shared" si="69"/>
        <v>2.4656723500636954E-3</v>
      </c>
      <c r="M360" s="170"/>
    </row>
    <row r="361" spans="1:13" x14ac:dyDescent="0.2">
      <c r="A361" s="147">
        <v>2030</v>
      </c>
      <c r="B361" s="147">
        <v>12</v>
      </c>
      <c r="C361" s="147" t="str">
        <f t="shared" si="67"/>
        <v>203012</v>
      </c>
      <c r="D361" s="147" t="str">
        <f t="shared" si="71"/>
        <v>Q4</v>
      </c>
      <c r="E361" s="147">
        <f t="shared" si="72"/>
        <v>71614.112367434791</v>
      </c>
      <c r="F361" s="147" t="e">
        <f t="shared" si="72"/>
        <v>#N/A</v>
      </c>
      <c r="G361" s="147">
        <f t="shared" si="72"/>
        <v>62422.456993532964</v>
      </c>
      <c r="H361" s="147">
        <f t="shared" si="72"/>
        <v>1519.6893055405494</v>
      </c>
      <c r="I361" s="290">
        <f t="shared" si="68"/>
        <v>616338.70595226961</v>
      </c>
      <c r="J361" s="172">
        <f t="shared" si="70"/>
        <v>2.6749528734024253E-2</v>
      </c>
      <c r="K361" s="291">
        <f t="shared" si="69"/>
        <v>2.4656723500636954E-3</v>
      </c>
      <c r="M361" s="170"/>
    </row>
    <row r="362" spans="1:13" x14ac:dyDescent="0.2">
      <c r="A362" s="147">
        <v>2031</v>
      </c>
      <c r="B362" s="147">
        <v>1</v>
      </c>
      <c r="C362" s="147" t="str">
        <f t="shared" si="67"/>
        <v>20311</v>
      </c>
      <c r="D362" s="147" t="str">
        <f t="shared" si="71"/>
        <v>Q1</v>
      </c>
      <c r="E362" s="147">
        <f t="shared" ref="E362:H381" si="73">VLOOKUP($A362&amp;$D362,$O$1:$W$189,MATCH(E$1,$O$1:$W$1,0),0)</f>
        <v>73121.042039881897</v>
      </c>
      <c r="F362" s="147" t="e">
        <f t="shared" si="73"/>
        <v>#N/A</v>
      </c>
      <c r="G362" s="147">
        <f t="shared" si="73"/>
        <v>63011.686044511735</v>
      </c>
      <c r="H362" s="147">
        <f t="shared" si="73"/>
        <v>1522.7063615677707</v>
      </c>
      <c r="I362" s="290">
        <f t="shared" si="68"/>
        <v>617639.06908932969</v>
      </c>
      <c r="J362" s="172">
        <f t="shared" si="70"/>
        <v>3.7210496754176647E-2</v>
      </c>
      <c r="K362" s="291">
        <f t="shared" si="69"/>
        <v>2.4653660005881854E-3</v>
      </c>
      <c r="M362" s="170"/>
    </row>
    <row r="363" spans="1:13" x14ac:dyDescent="0.2">
      <c r="A363" s="147">
        <v>2031</v>
      </c>
      <c r="B363" s="147">
        <v>2</v>
      </c>
      <c r="C363" s="147" t="str">
        <f t="shared" si="67"/>
        <v>20312</v>
      </c>
      <c r="D363" s="147" t="str">
        <f t="shared" si="71"/>
        <v>Q1</v>
      </c>
      <c r="E363" s="147">
        <f t="shared" si="73"/>
        <v>73121.042039881897</v>
      </c>
      <c r="F363" s="147" t="e">
        <f t="shared" si="73"/>
        <v>#N/A</v>
      </c>
      <c r="G363" s="147">
        <f t="shared" si="73"/>
        <v>63011.686044511735</v>
      </c>
      <c r="H363" s="147">
        <f t="shared" si="73"/>
        <v>1522.7063615677707</v>
      </c>
      <c r="I363" s="290">
        <f t="shared" si="68"/>
        <v>617639.06908932969</v>
      </c>
      <c r="J363" s="172">
        <f t="shared" si="70"/>
        <v>3.7210496754176647E-2</v>
      </c>
      <c r="K363" s="291">
        <f t="shared" si="69"/>
        <v>2.4653660005881854E-3</v>
      </c>
      <c r="M363" s="170"/>
    </row>
    <row r="364" spans="1:13" x14ac:dyDescent="0.2">
      <c r="A364" s="147">
        <v>2031</v>
      </c>
      <c r="B364" s="147">
        <v>3</v>
      </c>
      <c r="C364" s="147" t="str">
        <f t="shared" si="67"/>
        <v>20313</v>
      </c>
      <c r="D364" s="147" t="str">
        <f t="shared" si="71"/>
        <v>Q1</v>
      </c>
      <c r="E364" s="147">
        <f t="shared" si="73"/>
        <v>73121.042039881897</v>
      </c>
      <c r="F364" s="147" t="e">
        <f t="shared" si="73"/>
        <v>#N/A</v>
      </c>
      <c r="G364" s="147">
        <f t="shared" si="73"/>
        <v>63011.686044511735</v>
      </c>
      <c r="H364" s="147">
        <f t="shared" si="73"/>
        <v>1522.7063615677707</v>
      </c>
      <c r="I364" s="290">
        <f t="shared" si="68"/>
        <v>617639.06908932969</v>
      </c>
      <c r="J364" s="172">
        <f t="shared" si="70"/>
        <v>3.7210496754176647E-2</v>
      </c>
      <c r="K364" s="291">
        <f t="shared" si="69"/>
        <v>2.4653660005881854E-3</v>
      </c>
      <c r="M364" s="170"/>
    </row>
    <row r="365" spans="1:13" x14ac:dyDescent="0.2">
      <c r="A365" s="147">
        <v>2031</v>
      </c>
      <c r="B365" s="147">
        <v>4</v>
      </c>
      <c r="C365" s="147" t="str">
        <f t="shared" si="67"/>
        <v>20314</v>
      </c>
      <c r="D365" s="147" t="str">
        <f t="shared" si="71"/>
        <v>Q2</v>
      </c>
      <c r="E365" s="147">
        <f t="shared" si="73"/>
        <v>73531.923205578772</v>
      </c>
      <c r="F365" s="147" t="e">
        <f t="shared" si="73"/>
        <v>#N/A</v>
      </c>
      <c r="G365" s="147">
        <f t="shared" si="73"/>
        <v>63354.072173494787</v>
      </c>
      <c r="H365" s="147">
        <f t="shared" si="73"/>
        <v>1525.7175629361911</v>
      </c>
      <c r="I365" s="290">
        <f t="shared" si="68"/>
        <v>618950.01118691324</v>
      </c>
      <c r="J365" s="172">
        <f t="shared" si="70"/>
        <v>3.712415862359153E-2</v>
      </c>
      <c r="K365" s="291">
        <f t="shared" si="69"/>
        <v>2.4650093470560555E-3</v>
      </c>
      <c r="M365" s="170"/>
    </row>
    <row r="366" spans="1:13" x14ac:dyDescent="0.2">
      <c r="A366" s="147">
        <v>2031</v>
      </c>
      <c r="B366" s="147">
        <v>5</v>
      </c>
      <c r="C366" s="147" t="str">
        <f t="shared" si="67"/>
        <v>20315</v>
      </c>
      <c r="D366" s="147" t="str">
        <f t="shared" si="71"/>
        <v>Q2</v>
      </c>
      <c r="E366" s="147">
        <f t="shared" si="73"/>
        <v>73531.923205578772</v>
      </c>
      <c r="F366" s="147" t="e">
        <f t="shared" si="73"/>
        <v>#N/A</v>
      </c>
      <c r="G366" s="147">
        <f t="shared" si="73"/>
        <v>63354.072173494787</v>
      </c>
      <c r="H366" s="147">
        <f t="shared" si="73"/>
        <v>1525.7175629361911</v>
      </c>
      <c r="I366" s="290">
        <f t="shared" si="68"/>
        <v>618950.01118691324</v>
      </c>
      <c r="J366" s="172">
        <f t="shared" si="70"/>
        <v>3.712415862359153E-2</v>
      </c>
      <c r="K366" s="291">
        <f t="shared" si="69"/>
        <v>2.4650093470560555E-3</v>
      </c>
      <c r="M366" s="170"/>
    </row>
    <row r="367" spans="1:13" x14ac:dyDescent="0.2">
      <c r="A367" s="147">
        <v>2031</v>
      </c>
      <c r="B367" s="147">
        <v>6</v>
      </c>
      <c r="C367" s="147" t="str">
        <f t="shared" si="67"/>
        <v>20316</v>
      </c>
      <c r="D367" s="147" t="str">
        <f t="shared" si="71"/>
        <v>Q2</v>
      </c>
      <c r="E367" s="147">
        <f t="shared" si="73"/>
        <v>73531.923205578772</v>
      </c>
      <c r="F367" s="147" t="e">
        <f t="shared" si="73"/>
        <v>#N/A</v>
      </c>
      <c r="G367" s="147">
        <f t="shared" si="73"/>
        <v>63354.072173494787</v>
      </c>
      <c r="H367" s="147">
        <f t="shared" si="73"/>
        <v>1525.7175629361911</v>
      </c>
      <c r="I367" s="290">
        <f t="shared" si="68"/>
        <v>618950.01118691324</v>
      </c>
      <c r="J367" s="172">
        <f t="shared" si="70"/>
        <v>3.712415862359153E-2</v>
      </c>
      <c r="K367" s="291">
        <f t="shared" si="69"/>
        <v>2.4650093470560555E-3</v>
      </c>
      <c r="M367" s="170"/>
    </row>
    <row r="368" spans="1:13" x14ac:dyDescent="0.2">
      <c r="A368" s="147">
        <v>2031</v>
      </c>
      <c r="B368" s="147">
        <v>7</v>
      </c>
      <c r="C368" s="147" t="str">
        <f t="shared" si="67"/>
        <v>20317</v>
      </c>
      <c r="D368" s="147" t="str">
        <f t="shared" si="71"/>
        <v>Q3</v>
      </c>
      <c r="E368" s="147">
        <f t="shared" si="73"/>
        <v>73924.386931906716</v>
      </c>
      <c r="F368" s="147" t="e">
        <f t="shared" si="73"/>
        <v>#N/A</v>
      </c>
      <c r="G368" s="147">
        <f t="shared" si="73"/>
        <v>63686.068810866331</v>
      </c>
      <c r="H368" s="147">
        <f t="shared" si="73"/>
        <v>1528.1911768049849</v>
      </c>
      <c r="I368" s="290">
        <f t="shared" si="68"/>
        <v>620055.49733322789</v>
      </c>
      <c r="J368" s="172">
        <f t="shared" si="70"/>
        <v>3.7476357228538815E-2</v>
      </c>
      <c r="K368" s="291">
        <f t="shared" si="69"/>
        <v>2.464603867520765E-3</v>
      </c>
      <c r="M368" s="170"/>
    </row>
    <row r="369" spans="1:13" x14ac:dyDescent="0.2">
      <c r="A369" s="147">
        <v>2031</v>
      </c>
      <c r="B369" s="147">
        <v>8</v>
      </c>
      <c r="C369" s="147" t="str">
        <f t="shared" si="67"/>
        <v>20318</v>
      </c>
      <c r="D369" s="147" t="str">
        <f t="shared" si="71"/>
        <v>Q3</v>
      </c>
      <c r="E369" s="147">
        <f t="shared" si="73"/>
        <v>73924.386931906716</v>
      </c>
      <c r="F369" s="147" t="e">
        <f t="shared" si="73"/>
        <v>#N/A</v>
      </c>
      <c r="G369" s="147">
        <f t="shared" si="73"/>
        <v>63686.068810866331</v>
      </c>
      <c r="H369" s="147">
        <f t="shared" si="73"/>
        <v>1528.1911768049849</v>
      </c>
      <c r="I369" s="290">
        <f t="shared" si="68"/>
        <v>620055.49733322789</v>
      </c>
      <c r="J369" s="172">
        <f t="shared" si="70"/>
        <v>3.7476357228538815E-2</v>
      </c>
      <c r="K369" s="291">
        <f t="shared" si="69"/>
        <v>2.464603867520765E-3</v>
      </c>
      <c r="M369" s="170"/>
    </row>
    <row r="370" spans="1:13" x14ac:dyDescent="0.2">
      <c r="A370" s="147">
        <v>2031</v>
      </c>
      <c r="B370" s="147">
        <v>9</v>
      </c>
      <c r="C370" s="147" t="str">
        <f t="shared" si="67"/>
        <v>20319</v>
      </c>
      <c r="D370" s="147" t="str">
        <f t="shared" si="71"/>
        <v>Q3</v>
      </c>
      <c r="E370" s="147">
        <f t="shared" si="73"/>
        <v>73924.386931906716</v>
      </c>
      <c r="F370" s="147" t="e">
        <f t="shared" si="73"/>
        <v>#N/A</v>
      </c>
      <c r="G370" s="147">
        <f t="shared" si="73"/>
        <v>63686.068810866331</v>
      </c>
      <c r="H370" s="147">
        <f t="shared" si="73"/>
        <v>1528.1911768049849</v>
      </c>
      <c r="I370" s="290">
        <f t="shared" si="68"/>
        <v>620055.49733322789</v>
      </c>
      <c r="J370" s="172">
        <f t="shared" si="70"/>
        <v>3.7476357228538815E-2</v>
      </c>
      <c r="K370" s="291">
        <f t="shared" si="69"/>
        <v>2.464603867520765E-3</v>
      </c>
      <c r="M370" s="170"/>
    </row>
    <row r="371" spans="1:13" x14ac:dyDescent="0.2">
      <c r="A371" s="147">
        <v>2031</v>
      </c>
      <c r="B371" s="147">
        <v>10</v>
      </c>
      <c r="C371" s="147" t="str">
        <f t="shared" si="67"/>
        <v>203110</v>
      </c>
      <c r="D371" s="147" t="str">
        <f t="shared" si="71"/>
        <v>Q4</v>
      </c>
      <c r="E371" s="147">
        <f t="shared" si="73"/>
        <v>74141.051477448287</v>
      </c>
      <c r="F371" s="147" t="e">
        <f t="shared" si="73"/>
        <v>#N/A</v>
      </c>
      <c r="G371" s="147">
        <f t="shared" si="73"/>
        <v>63983.702106726494</v>
      </c>
      <c r="H371" s="147">
        <f t="shared" si="73"/>
        <v>1531.1846149018745</v>
      </c>
      <c r="I371" s="290">
        <f t="shared" si="68"/>
        <v>621365.52299441618</v>
      </c>
      <c r="J371" s="172">
        <f t="shared" si="70"/>
        <v>3.5285490896659777E-2</v>
      </c>
      <c r="K371" s="291">
        <f t="shared" si="69"/>
        <v>2.4642252558895743E-3</v>
      </c>
      <c r="M371" s="170"/>
    </row>
    <row r="372" spans="1:13" x14ac:dyDescent="0.2">
      <c r="A372" s="147">
        <v>2031</v>
      </c>
      <c r="B372" s="147">
        <v>11</v>
      </c>
      <c r="C372" s="147" t="str">
        <f t="shared" si="67"/>
        <v>203111</v>
      </c>
      <c r="D372" s="147" t="str">
        <f t="shared" si="71"/>
        <v>Q4</v>
      </c>
      <c r="E372" s="147">
        <f t="shared" si="73"/>
        <v>74141.051477448287</v>
      </c>
      <c r="F372" s="147" t="e">
        <f t="shared" si="73"/>
        <v>#N/A</v>
      </c>
      <c r="G372" s="147">
        <f t="shared" si="73"/>
        <v>63983.702106726494</v>
      </c>
      <c r="H372" s="147">
        <f t="shared" si="73"/>
        <v>1531.1846149018745</v>
      </c>
      <c r="I372" s="290">
        <f t="shared" si="68"/>
        <v>621365.52299441618</v>
      </c>
      <c r="J372" s="172">
        <f t="shared" si="70"/>
        <v>3.5285490896659777E-2</v>
      </c>
      <c r="K372" s="291">
        <f t="shared" si="69"/>
        <v>2.4642252558895743E-3</v>
      </c>
      <c r="M372" s="170"/>
    </row>
    <row r="373" spans="1:13" x14ac:dyDescent="0.2">
      <c r="A373" s="147">
        <v>2031</v>
      </c>
      <c r="B373" s="147">
        <v>12</v>
      </c>
      <c r="C373" s="147" t="str">
        <f t="shared" si="67"/>
        <v>203112</v>
      </c>
      <c r="D373" s="147" t="str">
        <f t="shared" si="71"/>
        <v>Q4</v>
      </c>
      <c r="E373" s="147">
        <f t="shared" si="73"/>
        <v>74141.051477448287</v>
      </c>
      <c r="F373" s="147" t="e">
        <f t="shared" si="73"/>
        <v>#N/A</v>
      </c>
      <c r="G373" s="147">
        <f t="shared" si="73"/>
        <v>63983.702106726494</v>
      </c>
      <c r="H373" s="147">
        <f t="shared" si="73"/>
        <v>1531.1846149018745</v>
      </c>
      <c r="I373" s="290">
        <f t="shared" si="68"/>
        <v>621365.52299441618</v>
      </c>
      <c r="J373" s="172">
        <f t="shared" si="70"/>
        <v>3.5285490896659777E-2</v>
      </c>
      <c r="K373" s="291">
        <f t="shared" si="69"/>
        <v>2.4642252558895743E-3</v>
      </c>
      <c r="M373" s="170"/>
    </row>
    <row r="374" spans="1:13" x14ac:dyDescent="0.2">
      <c r="A374" s="147">
        <v>2032</v>
      </c>
      <c r="B374" s="147">
        <v>1</v>
      </c>
      <c r="C374" s="147" t="str">
        <f t="shared" si="67"/>
        <v>20321</v>
      </c>
      <c r="D374" s="147" t="str">
        <f t="shared" si="71"/>
        <v>Q1</v>
      </c>
      <c r="E374" s="147">
        <f t="shared" si="73"/>
        <v>74737.790347546572</v>
      </c>
      <c r="F374" s="147" t="e">
        <f t="shared" si="73"/>
        <v>#N/A</v>
      </c>
      <c r="G374" s="147">
        <f t="shared" si="73"/>
        <v>64517.895684862429</v>
      </c>
      <c r="H374" s="147">
        <f t="shared" si="73"/>
        <v>1534.1732396647717</v>
      </c>
      <c r="I374" s="290">
        <f t="shared" si="68"/>
        <v>622664.78695569909</v>
      </c>
      <c r="J374" s="172">
        <f t="shared" si="70"/>
        <v>2.2110575322256354E-2</v>
      </c>
      <c r="K374" s="291">
        <f t="shared" si="69"/>
        <v>2.4638830905559525E-3</v>
      </c>
      <c r="M374" s="170"/>
    </row>
    <row r="375" spans="1:13" x14ac:dyDescent="0.2">
      <c r="A375" s="147">
        <v>2032</v>
      </c>
      <c r="B375" s="147">
        <v>2</v>
      </c>
      <c r="C375" s="147" t="str">
        <f t="shared" si="67"/>
        <v>20322</v>
      </c>
      <c r="D375" s="147" t="str">
        <f t="shared" si="71"/>
        <v>Q1</v>
      </c>
      <c r="E375" s="147">
        <f t="shared" si="73"/>
        <v>74737.790347546572</v>
      </c>
      <c r="F375" s="147" t="e">
        <f t="shared" si="73"/>
        <v>#N/A</v>
      </c>
      <c r="G375" s="147">
        <f t="shared" si="73"/>
        <v>64517.895684862429</v>
      </c>
      <c r="H375" s="147">
        <f t="shared" si="73"/>
        <v>1534.1732396647717</v>
      </c>
      <c r="I375" s="290">
        <f t="shared" si="68"/>
        <v>622664.78695569909</v>
      </c>
      <c r="J375" s="172">
        <f t="shared" si="70"/>
        <v>2.2110575322256354E-2</v>
      </c>
      <c r="K375" s="291">
        <f t="shared" si="69"/>
        <v>2.4638830905559525E-3</v>
      </c>
      <c r="M375" s="170"/>
    </row>
    <row r="376" spans="1:13" x14ac:dyDescent="0.2">
      <c r="A376" s="147">
        <v>2032</v>
      </c>
      <c r="B376" s="147">
        <v>3</v>
      </c>
      <c r="C376" s="147" t="str">
        <f t="shared" si="67"/>
        <v>20323</v>
      </c>
      <c r="D376" s="147" t="str">
        <f t="shared" si="71"/>
        <v>Q1</v>
      </c>
      <c r="E376" s="147">
        <f t="shared" si="73"/>
        <v>74737.790347546572</v>
      </c>
      <c r="F376" s="147" t="e">
        <f t="shared" si="73"/>
        <v>#N/A</v>
      </c>
      <c r="G376" s="147">
        <f t="shared" si="73"/>
        <v>64517.895684862429</v>
      </c>
      <c r="H376" s="147">
        <f t="shared" si="73"/>
        <v>1534.1732396647717</v>
      </c>
      <c r="I376" s="290">
        <f t="shared" si="68"/>
        <v>622664.78695569909</v>
      </c>
      <c r="J376" s="172">
        <f t="shared" si="70"/>
        <v>2.2110575322256354E-2</v>
      </c>
      <c r="K376" s="291">
        <f t="shared" si="69"/>
        <v>2.4638830905559525E-3</v>
      </c>
      <c r="M376" s="170"/>
    </row>
    <row r="377" spans="1:13" x14ac:dyDescent="0.2">
      <c r="A377" s="147">
        <v>2032</v>
      </c>
      <c r="B377" s="147">
        <v>4</v>
      </c>
      <c r="C377" s="147" t="str">
        <f t="shared" si="67"/>
        <v>20324</v>
      </c>
      <c r="D377" s="147" t="str">
        <f t="shared" si="71"/>
        <v>Q2</v>
      </c>
      <c r="E377" s="147">
        <f t="shared" si="73"/>
        <v>75135.956276153345</v>
      </c>
      <c r="F377" s="147" t="e">
        <f t="shared" si="73"/>
        <v>#N/A</v>
      </c>
      <c r="G377" s="147">
        <f t="shared" si="73"/>
        <v>64852.902436758101</v>
      </c>
      <c r="H377" s="147">
        <f t="shared" si="73"/>
        <v>1537.1533655279743</v>
      </c>
      <c r="I377" s="290">
        <f t="shared" si="68"/>
        <v>623956.82183716854</v>
      </c>
      <c r="J377" s="172">
        <f t="shared" si="70"/>
        <v>2.1814104686070257E-2</v>
      </c>
      <c r="K377" s="291">
        <f t="shared" si="69"/>
        <v>2.4635572714823508E-3</v>
      </c>
      <c r="M377" s="170"/>
    </row>
    <row r="378" spans="1:13" x14ac:dyDescent="0.2">
      <c r="A378" s="147">
        <v>2032</v>
      </c>
      <c r="B378" s="147">
        <v>5</v>
      </c>
      <c r="C378" s="147" t="str">
        <f t="shared" si="67"/>
        <v>20325</v>
      </c>
      <c r="D378" s="147" t="str">
        <f t="shared" si="71"/>
        <v>Q2</v>
      </c>
      <c r="E378" s="147">
        <f t="shared" si="73"/>
        <v>75135.956276153345</v>
      </c>
      <c r="F378" s="147" t="e">
        <f t="shared" si="73"/>
        <v>#N/A</v>
      </c>
      <c r="G378" s="147">
        <f t="shared" si="73"/>
        <v>64852.902436758101</v>
      </c>
      <c r="H378" s="147">
        <f t="shared" si="73"/>
        <v>1537.1533655279743</v>
      </c>
      <c r="I378" s="290">
        <f t="shared" si="68"/>
        <v>623956.82183716854</v>
      </c>
      <c r="J378" s="172">
        <f t="shared" si="70"/>
        <v>2.1814104686070257E-2</v>
      </c>
      <c r="K378" s="291">
        <f t="shared" si="69"/>
        <v>2.4635572714823508E-3</v>
      </c>
      <c r="M378" s="170"/>
    </row>
    <row r="379" spans="1:13" x14ac:dyDescent="0.2">
      <c r="A379" s="147">
        <v>2032</v>
      </c>
      <c r="B379" s="147">
        <v>6</v>
      </c>
      <c r="C379" s="147" t="str">
        <f t="shared" si="67"/>
        <v>20326</v>
      </c>
      <c r="D379" s="147" t="str">
        <f t="shared" si="71"/>
        <v>Q2</v>
      </c>
      <c r="E379" s="147">
        <f t="shared" si="73"/>
        <v>75135.956276153345</v>
      </c>
      <c r="F379" s="147" t="e">
        <f t="shared" si="73"/>
        <v>#N/A</v>
      </c>
      <c r="G379" s="147">
        <f t="shared" si="73"/>
        <v>64852.902436758101</v>
      </c>
      <c r="H379" s="147">
        <f t="shared" si="73"/>
        <v>1537.1533655279743</v>
      </c>
      <c r="I379" s="290">
        <f t="shared" si="68"/>
        <v>623956.82183716854</v>
      </c>
      <c r="J379" s="172">
        <f t="shared" si="70"/>
        <v>2.1814104686070257E-2</v>
      </c>
      <c r="K379" s="291">
        <f t="shared" si="69"/>
        <v>2.4635572714823508E-3</v>
      </c>
      <c r="M379" s="170"/>
    </row>
    <row r="380" spans="1:13" x14ac:dyDescent="0.2">
      <c r="A380" s="147">
        <v>2032</v>
      </c>
      <c r="B380" s="147">
        <v>7</v>
      </c>
      <c r="C380" s="147" t="str">
        <f t="shared" si="67"/>
        <v>20327</v>
      </c>
      <c r="D380" s="147" t="str">
        <f t="shared" si="71"/>
        <v>Q3</v>
      </c>
      <c r="E380" s="147">
        <f t="shared" si="73"/>
        <v>75548.544068933435</v>
      </c>
      <c r="F380" s="147" t="e">
        <f t="shared" si="73"/>
        <v>#N/A</v>
      </c>
      <c r="G380" s="147">
        <f t="shared" si="73"/>
        <v>65092.663837385568</v>
      </c>
      <c r="H380" s="147">
        <f t="shared" si="73"/>
        <v>1540.1256757532456</v>
      </c>
      <c r="I380" s="290">
        <f t="shared" si="68"/>
        <v>625714.97574831638</v>
      </c>
      <c r="J380" s="172">
        <f t="shared" si="70"/>
        <v>2.1970518856284427E-2</v>
      </c>
      <c r="K380" s="291">
        <f t="shared" si="69"/>
        <v>2.4613853518710344E-3</v>
      </c>
      <c r="M380" s="170"/>
    </row>
    <row r="381" spans="1:13" x14ac:dyDescent="0.2">
      <c r="A381" s="147">
        <v>2032</v>
      </c>
      <c r="B381" s="147">
        <v>8</v>
      </c>
      <c r="C381" s="147" t="str">
        <f t="shared" si="67"/>
        <v>20328</v>
      </c>
      <c r="D381" s="147" t="str">
        <f t="shared" si="71"/>
        <v>Q3</v>
      </c>
      <c r="E381" s="147">
        <f t="shared" si="73"/>
        <v>75548.544068933435</v>
      </c>
      <c r="F381" s="147" t="e">
        <f t="shared" si="73"/>
        <v>#N/A</v>
      </c>
      <c r="G381" s="147">
        <f t="shared" si="73"/>
        <v>65092.663837385568</v>
      </c>
      <c r="H381" s="147">
        <f t="shared" si="73"/>
        <v>1540.1256757532456</v>
      </c>
      <c r="I381" s="290">
        <f t="shared" si="68"/>
        <v>625714.97574831638</v>
      </c>
      <c r="J381" s="172">
        <f t="shared" si="70"/>
        <v>2.1970518856284427E-2</v>
      </c>
      <c r="K381" s="291">
        <f t="shared" si="69"/>
        <v>2.4613853518710344E-3</v>
      </c>
      <c r="M381" s="170"/>
    </row>
    <row r="382" spans="1:13" x14ac:dyDescent="0.2">
      <c r="A382" s="147">
        <v>2032</v>
      </c>
      <c r="B382" s="147">
        <v>9</v>
      </c>
      <c r="C382" s="147" t="str">
        <f t="shared" si="67"/>
        <v>20329</v>
      </c>
      <c r="D382" s="147" t="str">
        <f t="shared" si="71"/>
        <v>Q3</v>
      </c>
      <c r="E382" s="147">
        <f t="shared" ref="E382:H401" si="74">VLOOKUP($A382&amp;$D382,$O$1:$W$189,MATCH(E$1,$O$1:$W$1,0),0)</f>
        <v>75548.544068933435</v>
      </c>
      <c r="F382" s="147" t="e">
        <f t="shared" si="74"/>
        <v>#N/A</v>
      </c>
      <c r="G382" s="147">
        <f t="shared" si="74"/>
        <v>65092.663837385568</v>
      </c>
      <c r="H382" s="147">
        <f t="shared" si="74"/>
        <v>1540.1256757532456</v>
      </c>
      <c r="I382" s="290">
        <f t="shared" si="68"/>
        <v>625714.97574831638</v>
      </c>
      <c r="J382" s="172">
        <f t="shared" si="70"/>
        <v>2.1970518856284427E-2</v>
      </c>
      <c r="K382" s="291">
        <f t="shared" si="69"/>
        <v>2.4613853518710344E-3</v>
      </c>
      <c r="M382" s="170"/>
    </row>
    <row r="383" spans="1:13" x14ac:dyDescent="0.2">
      <c r="A383" s="147">
        <v>2032</v>
      </c>
      <c r="B383" s="147">
        <v>10</v>
      </c>
      <c r="C383" s="147" t="str">
        <f t="shared" si="67"/>
        <v>203210</v>
      </c>
      <c r="D383" s="147" t="str">
        <f t="shared" si="71"/>
        <v>Q4</v>
      </c>
      <c r="E383" s="147">
        <f t="shared" si="74"/>
        <v>75893.660487470712</v>
      </c>
      <c r="F383" s="147" t="e">
        <f t="shared" si="74"/>
        <v>#N/A</v>
      </c>
      <c r="G383" s="147">
        <f t="shared" si="74"/>
        <v>65379.712563198897</v>
      </c>
      <c r="H383" s="147">
        <f t="shared" si="74"/>
        <v>1543.0902552909947</v>
      </c>
      <c r="I383" s="290">
        <f t="shared" si="68"/>
        <v>626796.39318967983</v>
      </c>
      <c r="J383" s="172">
        <f t="shared" si="70"/>
        <v>2.3638847508866467E-2</v>
      </c>
      <c r="K383" s="291">
        <f t="shared" si="69"/>
        <v>2.4618684345620156E-3</v>
      </c>
      <c r="M383" s="170"/>
    </row>
    <row r="384" spans="1:13" x14ac:dyDescent="0.2">
      <c r="A384" s="147">
        <v>2032</v>
      </c>
      <c r="B384" s="147">
        <v>11</v>
      </c>
      <c r="C384" s="147" t="str">
        <f t="shared" si="67"/>
        <v>203211</v>
      </c>
      <c r="D384" s="147" t="str">
        <f t="shared" si="71"/>
        <v>Q4</v>
      </c>
      <c r="E384" s="147">
        <f t="shared" si="74"/>
        <v>75893.660487470712</v>
      </c>
      <c r="F384" s="147" t="e">
        <f t="shared" si="74"/>
        <v>#N/A</v>
      </c>
      <c r="G384" s="147">
        <f t="shared" si="74"/>
        <v>65379.712563198897</v>
      </c>
      <c r="H384" s="147">
        <f t="shared" si="74"/>
        <v>1543.0902552909947</v>
      </c>
      <c r="I384" s="290">
        <f t="shared" si="68"/>
        <v>626796.39318967983</v>
      </c>
      <c r="J384" s="172">
        <f t="shared" si="70"/>
        <v>2.3638847508866467E-2</v>
      </c>
      <c r="K384" s="291">
        <f t="shared" si="69"/>
        <v>2.4618684345620156E-3</v>
      </c>
      <c r="M384" s="170"/>
    </row>
    <row r="385" spans="1:13" x14ac:dyDescent="0.2">
      <c r="A385" s="147">
        <v>2032</v>
      </c>
      <c r="B385" s="147">
        <v>12</v>
      </c>
      <c r="C385" s="147" t="str">
        <f t="shared" si="67"/>
        <v>203212</v>
      </c>
      <c r="D385" s="147" t="str">
        <f t="shared" si="71"/>
        <v>Q4</v>
      </c>
      <c r="E385" s="147">
        <f t="shared" si="74"/>
        <v>75893.660487470712</v>
      </c>
      <c r="F385" s="147" t="e">
        <f t="shared" si="74"/>
        <v>#N/A</v>
      </c>
      <c r="G385" s="147">
        <f t="shared" si="74"/>
        <v>65379.712563198897</v>
      </c>
      <c r="H385" s="147">
        <f t="shared" si="74"/>
        <v>1543.0902552909947</v>
      </c>
      <c r="I385" s="290">
        <f t="shared" si="68"/>
        <v>626796.39318967983</v>
      </c>
      <c r="J385" s="172">
        <f t="shared" si="70"/>
        <v>2.3638847508866467E-2</v>
      </c>
      <c r="K385" s="291">
        <f t="shared" si="69"/>
        <v>2.4618684345620156E-3</v>
      </c>
      <c r="M385" s="170"/>
    </row>
    <row r="386" spans="1:13" x14ac:dyDescent="0.2">
      <c r="A386" s="147">
        <v>2033</v>
      </c>
      <c r="B386" s="147">
        <v>1</v>
      </c>
      <c r="C386" s="147" t="str">
        <f t="shared" si="67"/>
        <v>20331</v>
      </c>
      <c r="D386" s="147" t="str">
        <f t="shared" si="71"/>
        <v>Q1</v>
      </c>
      <c r="E386" s="147">
        <f t="shared" si="74"/>
        <v>76504.372026272802</v>
      </c>
      <c r="F386" s="147" t="e">
        <f t="shared" si="74"/>
        <v>#N/A</v>
      </c>
      <c r="G386" s="147">
        <f t="shared" si="74"/>
        <v>65915.343848067831</v>
      </c>
      <c r="H386" s="147">
        <f t="shared" si="74"/>
        <v>1545.5577487173284</v>
      </c>
      <c r="I386" s="290">
        <f t="shared" si="68"/>
        <v>627969.68083787675</v>
      </c>
      <c r="J386" s="172">
        <f t="shared" si="70"/>
        <v>2.3637060588910241E-2</v>
      </c>
      <c r="K386" s="291">
        <f t="shared" si="69"/>
        <v>2.4611980416875349E-3</v>
      </c>
      <c r="M386" s="170"/>
    </row>
    <row r="387" spans="1:13" x14ac:dyDescent="0.2">
      <c r="A387" s="147">
        <v>2033</v>
      </c>
      <c r="B387" s="147">
        <v>2</v>
      </c>
      <c r="C387" s="147" t="str">
        <f t="shared" ref="C387:C450" si="75">A387&amp;B387</f>
        <v>20332</v>
      </c>
      <c r="D387" s="147" t="str">
        <f t="shared" si="71"/>
        <v>Q1</v>
      </c>
      <c r="E387" s="147">
        <f t="shared" si="74"/>
        <v>76504.372026272802</v>
      </c>
      <c r="F387" s="147" t="e">
        <f t="shared" si="74"/>
        <v>#N/A</v>
      </c>
      <c r="G387" s="147">
        <f t="shared" si="74"/>
        <v>65915.343848067831</v>
      </c>
      <c r="H387" s="147">
        <f t="shared" si="74"/>
        <v>1545.5577487173284</v>
      </c>
      <c r="I387" s="290">
        <f t="shared" ref="I387:I450" si="76">VLOOKUP($A387&amp;$D387,$O$1:$W$189,MATCH(I$1,$O$1:$W$1,0),0)*1000</f>
        <v>627969.68083787675</v>
      </c>
      <c r="J387" s="172">
        <f t="shared" si="70"/>
        <v>2.3637060588910241E-2</v>
      </c>
      <c r="K387" s="291">
        <f t="shared" ref="K387:K450" si="77">H387/I387</f>
        <v>2.4611980416875349E-3</v>
      </c>
      <c r="M387" s="170"/>
    </row>
    <row r="388" spans="1:13" x14ac:dyDescent="0.2">
      <c r="A388" s="147">
        <v>2033</v>
      </c>
      <c r="B388" s="147">
        <v>3</v>
      </c>
      <c r="C388" s="147" t="str">
        <f t="shared" si="75"/>
        <v>20333</v>
      </c>
      <c r="D388" s="147" t="str">
        <f t="shared" si="71"/>
        <v>Q1</v>
      </c>
      <c r="E388" s="147">
        <f t="shared" si="74"/>
        <v>76504.372026272802</v>
      </c>
      <c r="F388" s="147" t="e">
        <f t="shared" si="74"/>
        <v>#N/A</v>
      </c>
      <c r="G388" s="147">
        <f t="shared" si="74"/>
        <v>65915.343848067831</v>
      </c>
      <c r="H388" s="147">
        <f t="shared" si="74"/>
        <v>1545.5577487173284</v>
      </c>
      <c r="I388" s="290">
        <f t="shared" si="76"/>
        <v>627969.68083787675</v>
      </c>
      <c r="J388" s="172">
        <f t="shared" si="70"/>
        <v>2.3637060588910241E-2</v>
      </c>
      <c r="K388" s="291">
        <f t="shared" si="77"/>
        <v>2.4611980416875349E-3</v>
      </c>
      <c r="M388" s="170"/>
    </row>
    <row r="389" spans="1:13" x14ac:dyDescent="0.2">
      <c r="A389" s="147">
        <v>2033</v>
      </c>
      <c r="B389" s="147">
        <v>4</v>
      </c>
      <c r="C389" s="147" t="str">
        <f t="shared" si="75"/>
        <v>20334</v>
      </c>
      <c r="D389" s="147" t="str">
        <f t="shared" si="71"/>
        <v>Q2</v>
      </c>
      <c r="E389" s="147">
        <f t="shared" si="74"/>
        <v>76840.901393494714</v>
      </c>
      <c r="F389" s="147" t="e">
        <f t="shared" si="74"/>
        <v>#N/A</v>
      </c>
      <c r="G389" s="147">
        <f t="shared" si="74"/>
        <v>66272.860998632343</v>
      </c>
      <c r="H389" s="147">
        <f t="shared" si="74"/>
        <v>1548.506319874994</v>
      </c>
      <c r="I389" s="290">
        <f t="shared" si="76"/>
        <v>629271.12746022386</v>
      </c>
      <c r="J389" s="172">
        <f t="shared" si="70"/>
        <v>2.2691467598749293E-2</v>
      </c>
      <c r="K389" s="291">
        <f t="shared" si="77"/>
        <v>2.4607935312793688E-3</v>
      </c>
      <c r="M389" s="170"/>
    </row>
    <row r="390" spans="1:13" x14ac:dyDescent="0.2">
      <c r="A390" s="147">
        <v>2033</v>
      </c>
      <c r="B390" s="147">
        <v>5</v>
      </c>
      <c r="C390" s="147" t="str">
        <f t="shared" si="75"/>
        <v>20335</v>
      </c>
      <c r="D390" s="147" t="str">
        <f t="shared" si="71"/>
        <v>Q2</v>
      </c>
      <c r="E390" s="147">
        <f t="shared" si="74"/>
        <v>76840.901393494714</v>
      </c>
      <c r="F390" s="147" t="e">
        <f t="shared" si="74"/>
        <v>#N/A</v>
      </c>
      <c r="G390" s="147">
        <f t="shared" si="74"/>
        <v>66272.860998632343</v>
      </c>
      <c r="H390" s="147">
        <f t="shared" si="74"/>
        <v>1548.506319874994</v>
      </c>
      <c r="I390" s="290">
        <f t="shared" si="76"/>
        <v>629271.12746022386</v>
      </c>
      <c r="J390" s="172">
        <f t="shared" si="70"/>
        <v>2.2691467598749293E-2</v>
      </c>
      <c r="K390" s="291">
        <f t="shared" si="77"/>
        <v>2.4607935312793688E-3</v>
      </c>
      <c r="M390" s="170"/>
    </row>
    <row r="391" spans="1:13" x14ac:dyDescent="0.2">
      <c r="A391" s="147">
        <v>2033</v>
      </c>
      <c r="B391" s="147">
        <v>6</v>
      </c>
      <c r="C391" s="147" t="str">
        <f t="shared" si="75"/>
        <v>20336</v>
      </c>
      <c r="D391" s="147" t="str">
        <f t="shared" si="71"/>
        <v>Q2</v>
      </c>
      <c r="E391" s="147">
        <f t="shared" si="74"/>
        <v>76840.901393494714</v>
      </c>
      <c r="F391" s="147" t="e">
        <f t="shared" si="74"/>
        <v>#N/A</v>
      </c>
      <c r="G391" s="147">
        <f t="shared" si="74"/>
        <v>66272.860998632343</v>
      </c>
      <c r="H391" s="147">
        <f t="shared" si="74"/>
        <v>1548.506319874994</v>
      </c>
      <c r="I391" s="290">
        <f t="shared" si="76"/>
        <v>629271.12746022386</v>
      </c>
      <c r="J391" s="172">
        <f t="shared" ref="J391:J454" si="78">E391/E379-1</f>
        <v>2.2691467598749293E-2</v>
      </c>
      <c r="K391" s="291">
        <f t="shared" si="77"/>
        <v>2.4607935312793688E-3</v>
      </c>
      <c r="M391" s="170"/>
    </row>
    <row r="392" spans="1:13" x14ac:dyDescent="0.2">
      <c r="A392" s="147">
        <v>2033</v>
      </c>
      <c r="B392" s="147">
        <v>7</v>
      </c>
      <c r="C392" s="147" t="str">
        <f t="shared" si="75"/>
        <v>20337</v>
      </c>
      <c r="D392" s="147" t="str">
        <f t="shared" si="71"/>
        <v>Q3</v>
      </c>
      <c r="E392" s="147">
        <f t="shared" si="74"/>
        <v>77201.77788832011</v>
      </c>
      <c r="F392" s="147" t="e">
        <f t="shared" si="74"/>
        <v>#N/A</v>
      </c>
      <c r="G392" s="147">
        <f t="shared" si="74"/>
        <v>66575.69117880259</v>
      </c>
      <c r="H392" s="147">
        <f t="shared" si="74"/>
        <v>1551.4503927163839</v>
      </c>
      <c r="I392" s="290">
        <f t="shared" si="76"/>
        <v>630579.57476728107</v>
      </c>
      <c r="J392" s="172">
        <f t="shared" si="78"/>
        <v>2.1883066573436638E-2</v>
      </c>
      <c r="K392" s="291">
        <f t="shared" si="77"/>
        <v>2.4603562417779791E-3</v>
      </c>
      <c r="M392" s="170"/>
    </row>
    <row r="393" spans="1:13" x14ac:dyDescent="0.2">
      <c r="A393" s="147">
        <v>2033</v>
      </c>
      <c r="B393" s="147">
        <v>8</v>
      </c>
      <c r="C393" s="147" t="str">
        <f t="shared" si="75"/>
        <v>20338</v>
      </c>
      <c r="D393" s="147" t="str">
        <f t="shared" si="71"/>
        <v>Q3</v>
      </c>
      <c r="E393" s="147">
        <f t="shared" si="74"/>
        <v>77201.77788832011</v>
      </c>
      <c r="F393" s="147" t="e">
        <f t="shared" si="74"/>
        <v>#N/A</v>
      </c>
      <c r="G393" s="147">
        <f t="shared" si="74"/>
        <v>66575.69117880259</v>
      </c>
      <c r="H393" s="147">
        <f t="shared" si="74"/>
        <v>1551.4503927163839</v>
      </c>
      <c r="I393" s="290">
        <f t="shared" si="76"/>
        <v>630579.57476728107</v>
      </c>
      <c r="J393" s="172">
        <f t="shared" si="78"/>
        <v>2.1883066573436638E-2</v>
      </c>
      <c r="K393" s="291">
        <f t="shared" si="77"/>
        <v>2.4603562417779791E-3</v>
      </c>
      <c r="M393" s="170"/>
    </row>
    <row r="394" spans="1:13" x14ac:dyDescent="0.2">
      <c r="A394" s="147">
        <v>2033</v>
      </c>
      <c r="B394" s="147">
        <v>9</v>
      </c>
      <c r="C394" s="147" t="str">
        <f t="shared" si="75"/>
        <v>20339</v>
      </c>
      <c r="D394" s="147" t="str">
        <f t="shared" si="71"/>
        <v>Q3</v>
      </c>
      <c r="E394" s="147">
        <f t="shared" si="74"/>
        <v>77201.77788832011</v>
      </c>
      <c r="F394" s="147" t="e">
        <f t="shared" si="74"/>
        <v>#N/A</v>
      </c>
      <c r="G394" s="147">
        <f t="shared" si="74"/>
        <v>66575.69117880259</v>
      </c>
      <c r="H394" s="147">
        <f t="shared" si="74"/>
        <v>1551.4503927163839</v>
      </c>
      <c r="I394" s="290">
        <f t="shared" si="76"/>
        <v>630579.57476728107</v>
      </c>
      <c r="J394" s="172">
        <f t="shared" si="78"/>
        <v>2.1883066573436638E-2</v>
      </c>
      <c r="K394" s="291">
        <f t="shared" si="77"/>
        <v>2.4603562417779791E-3</v>
      </c>
      <c r="M394" s="170"/>
    </row>
    <row r="395" spans="1:13" x14ac:dyDescent="0.2">
      <c r="A395" s="147">
        <v>2033</v>
      </c>
      <c r="B395" s="147">
        <v>10</v>
      </c>
      <c r="C395" s="147" t="str">
        <f t="shared" si="75"/>
        <v>203310</v>
      </c>
      <c r="D395" s="147" t="str">
        <f t="shared" si="71"/>
        <v>Q4</v>
      </c>
      <c r="E395" s="147">
        <f t="shared" si="74"/>
        <v>77528.293946717371</v>
      </c>
      <c r="F395" s="147" t="e">
        <f t="shared" si="74"/>
        <v>#N/A</v>
      </c>
      <c r="G395" s="147">
        <f t="shared" si="74"/>
        <v>66846.031778371878</v>
      </c>
      <c r="H395" s="147">
        <f t="shared" si="74"/>
        <v>1554.3843935328114</v>
      </c>
      <c r="I395" s="290">
        <f t="shared" si="76"/>
        <v>631910.82878728979</v>
      </c>
      <c r="J395" s="172">
        <f t="shared" si="78"/>
        <v>2.1538471708272944E-2</v>
      </c>
      <c r="K395" s="291">
        <f t="shared" si="77"/>
        <v>2.459816041633367E-3</v>
      </c>
      <c r="M395" s="170"/>
    </row>
    <row r="396" spans="1:13" x14ac:dyDescent="0.2">
      <c r="A396" s="147">
        <v>2033</v>
      </c>
      <c r="B396" s="147">
        <v>11</v>
      </c>
      <c r="C396" s="147" t="str">
        <f t="shared" si="75"/>
        <v>203311</v>
      </c>
      <c r="D396" s="147" t="str">
        <f t="shared" si="71"/>
        <v>Q4</v>
      </c>
      <c r="E396" s="147">
        <f t="shared" si="74"/>
        <v>77528.293946717371</v>
      </c>
      <c r="F396" s="147" t="e">
        <f t="shared" si="74"/>
        <v>#N/A</v>
      </c>
      <c r="G396" s="147">
        <f t="shared" si="74"/>
        <v>66846.031778371878</v>
      </c>
      <c r="H396" s="147">
        <f t="shared" si="74"/>
        <v>1554.3843935328114</v>
      </c>
      <c r="I396" s="290">
        <f t="shared" si="76"/>
        <v>631910.82878728979</v>
      </c>
      <c r="J396" s="172">
        <f t="shared" si="78"/>
        <v>2.1538471708272944E-2</v>
      </c>
      <c r="K396" s="291">
        <f t="shared" si="77"/>
        <v>2.459816041633367E-3</v>
      </c>
      <c r="M396" s="170"/>
    </row>
    <row r="397" spans="1:13" x14ac:dyDescent="0.2">
      <c r="A397" s="147">
        <v>2033</v>
      </c>
      <c r="B397" s="147">
        <v>12</v>
      </c>
      <c r="C397" s="147" t="str">
        <f t="shared" si="75"/>
        <v>203312</v>
      </c>
      <c r="D397" s="147" t="str">
        <f t="shared" si="71"/>
        <v>Q4</v>
      </c>
      <c r="E397" s="147">
        <f t="shared" si="74"/>
        <v>77528.293946717371</v>
      </c>
      <c r="F397" s="147" t="e">
        <f t="shared" si="74"/>
        <v>#N/A</v>
      </c>
      <c r="G397" s="147">
        <f t="shared" si="74"/>
        <v>66846.031778371878</v>
      </c>
      <c r="H397" s="147">
        <f t="shared" si="74"/>
        <v>1554.3843935328114</v>
      </c>
      <c r="I397" s="290">
        <f t="shared" si="76"/>
        <v>631910.82878728979</v>
      </c>
      <c r="J397" s="172">
        <f t="shared" si="78"/>
        <v>2.1538471708272944E-2</v>
      </c>
      <c r="K397" s="291">
        <f t="shared" si="77"/>
        <v>2.459816041633367E-3</v>
      </c>
      <c r="M397" s="170"/>
    </row>
    <row r="398" spans="1:13" x14ac:dyDescent="0.2">
      <c r="A398" s="147">
        <v>2034</v>
      </c>
      <c r="B398" s="147">
        <v>1</v>
      </c>
      <c r="C398" s="147" t="str">
        <f t="shared" si="75"/>
        <v>20341</v>
      </c>
      <c r="D398" s="147" t="str">
        <f t="shared" si="71"/>
        <v>Q1</v>
      </c>
      <c r="E398" s="147">
        <f t="shared" si="74"/>
        <v>78782.560386714991</v>
      </c>
      <c r="F398" s="147" t="e">
        <f t="shared" si="74"/>
        <v>#N/A</v>
      </c>
      <c r="G398" s="147">
        <f t="shared" si="74"/>
        <v>67408.698459790423</v>
      </c>
      <c r="H398" s="147">
        <f t="shared" si="74"/>
        <v>1556.8511776228941</v>
      </c>
      <c r="I398" s="290">
        <f t="shared" si="76"/>
        <v>633055.3119660411</v>
      </c>
      <c r="J398" s="172">
        <f t="shared" si="78"/>
        <v>2.9778538142366973E-2</v>
      </c>
      <c r="K398" s="291">
        <f t="shared" si="77"/>
        <v>2.4592656410825724E-3</v>
      </c>
      <c r="M398" s="170"/>
    </row>
    <row r="399" spans="1:13" x14ac:dyDescent="0.2">
      <c r="A399" s="147">
        <v>2034</v>
      </c>
      <c r="B399" s="147">
        <v>2</v>
      </c>
      <c r="C399" s="147" t="str">
        <f t="shared" si="75"/>
        <v>20342</v>
      </c>
      <c r="D399" s="147" t="str">
        <f t="shared" ref="D399:D462" si="79">D387</f>
        <v>Q1</v>
      </c>
      <c r="E399" s="147">
        <f t="shared" si="74"/>
        <v>78782.560386714991</v>
      </c>
      <c r="F399" s="147" t="e">
        <f t="shared" si="74"/>
        <v>#N/A</v>
      </c>
      <c r="G399" s="147">
        <f t="shared" si="74"/>
        <v>67408.698459790423</v>
      </c>
      <c r="H399" s="147">
        <f t="shared" si="74"/>
        <v>1556.8511776228941</v>
      </c>
      <c r="I399" s="290">
        <f t="shared" si="76"/>
        <v>633055.3119660411</v>
      </c>
      <c r="J399" s="172">
        <f t="shared" si="78"/>
        <v>2.9778538142366973E-2</v>
      </c>
      <c r="K399" s="291">
        <f t="shared" si="77"/>
        <v>2.4592656410825724E-3</v>
      </c>
      <c r="M399" s="170"/>
    </row>
    <row r="400" spans="1:13" x14ac:dyDescent="0.2">
      <c r="A400" s="147">
        <v>2034</v>
      </c>
      <c r="B400" s="147">
        <v>3</v>
      </c>
      <c r="C400" s="147" t="str">
        <f t="shared" si="75"/>
        <v>20343</v>
      </c>
      <c r="D400" s="147" t="str">
        <f t="shared" si="79"/>
        <v>Q1</v>
      </c>
      <c r="E400" s="147">
        <f t="shared" si="74"/>
        <v>78782.560386714991</v>
      </c>
      <c r="F400" s="147" t="e">
        <f t="shared" si="74"/>
        <v>#N/A</v>
      </c>
      <c r="G400" s="147">
        <f t="shared" si="74"/>
        <v>67408.698459790423</v>
      </c>
      <c r="H400" s="147">
        <f t="shared" si="74"/>
        <v>1556.8511776228941</v>
      </c>
      <c r="I400" s="290">
        <f t="shared" si="76"/>
        <v>633055.3119660411</v>
      </c>
      <c r="J400" s="172">
        <f t="shared" si="78"/>
        <v>2.9778538142366973E-2</v>
      </c>
      <c r="K400" s="291">
        <f t="shared" si="77"/>
        <v>2.4592656410825724E-3</v>
      </c>
      <c r="M400" s="170"/>
    </row>
    <row r="401" spans="1:13" x14ac:dyDescent="0.2">
      <c r="A401" s="147">
        <v>2034</v>
      </c>
      <c r="B401" s="147">
        <v>4</v>
      </c>
      <c r="C401" s="147" t="str">
        <f t="shared" si="75"/>
        <v>20344</v>
      </c>
      <c r="D401" s="147" t="str">
        <f t="shared" si="79"/>
        <v>Q2</v>
      </c>
      <c r="E401" s="147">
        <f t="shared" si="74"/>
        <v>79233.176263261979</v>
      </c>
      <c r="F401" s="147" t="e">
        <f t="shared" si="74"/>
        <v>#N/A</v>
      </c>
      <c r="G401" s="147">
        <f t="shared" si="74"/>
        <v>67784.731090709829</v>
      </c>
      <c r="H401" s="147">
        <f t="shared" si="74"/>
        <v>1559.7722494363395</v>
      </c>
      <c r="I401" s="290">
        <f t="shared" si="76"/>
        <v>634386.55956228287</v>
      </c>
      <c r="J401" s="172">
        <f t="shared" si="78"/>
        <v>3.1132831947359163E-2</v>
      </c>
      <c r="K401" s="291">
        <f t="shared" si="77"/>
        <v>2.4587094822950831E-3</v>
      </c>
      <c r="M401" s="170"/>
    </row>
    <row r="402" spans="1:13" x14ac:dyDescent="0.2">
      <c r="A402" s="147">
        <v>2034</v>
      </c>
      <c r="B402" s="147">
        <v>5</v>
      </c>
      <c r="C402" s="147" t="str">
        <f t="shared" si="75"/>
        <v>20345</v>
      </c>
      <c r="D402" s="147" t="str">
        <f t="shared" si="79"/>
        <v>Q2</v>
      </c>
      <c r="E402" s="147">
        <f t="shared" ref="E402:H421" si="80">VLOOKUP($A402&amp;$D402,$O$1:$W$189,MATCH(E$1,$O$1:$W$1,0),0)</f>
        <v>79233.176263261979</v>
      </c>
      <c r="F402" s="147" t="e">
        <f t="shared" si="80"/>
        <v>#N/A</v>
      </c>
      <c r="G402" s="147">
        <f t="shared" si="80"/>
        <v>67784.731090709829</v>
      </c>
      <c r="H402" s="147">
        <f t="shared" si="80"/>
        <v>1559.7722494363395</v>
      </c>
      <c r="I402" s="290">
        <f t="shared" si="76"/>
        <v>634386.55956228287</v>
      </c>
      <c r="J402" s="172">
        <f t="shared" si="78"/>
        <v>3.1132831947359163E-2</v>
      </c>
      <c r="K402" s="291">
        <f t="shared" si="77"/>
        <v>2.4587094822950831E-3</v>
      </c>
      <c r="M402" s="170"/>
    </row>
    <row r="403" spans="1:13" x14ac:dyDescent="0.2">
      <c r="A403" s="147">
        <v>2034</v>
      </c>
      <c r="B403" s="147">
        <v>6</v>
      </c>
      <c r="C403" s="147" t="str">
        <f t="shared" si="75"/>
        <v>20346</v>
      </c>
      <c r="D403" s="147" t="str">
        <f t="shared" si="79"/>
        <v>Q2</v>
      </c>
      <c r="E403" s="147">
        <f t="shared" si="80"/>
        <v>79233.176263261979</v>
      </c>
      <c r="F403" s="147" t="e">
        <f t="shared" si="80"/>
        <v>#N/A</v>
      </c>
      <c r="G403" s="147">
        <f t="shared" si="80"/>
        <v>67784.731090709829</v>
      </c>
      <c r="H403" s="147">
        <f t="shared" si="80"/>
        <v>1559.7722494363395</v>
      </c>
      <c r="I403" s="290">
        <f t="shared" si="76"/>
        <v>634386.55956228287</v>
      </c>
      <c r="J403" s="172">
        <f t="shared" si="78"/>
        <v>3.1132831947359163E-2</v>
      </c>
      <c r="K403" s="291">
        <f t="shared" si="77"/>
        <v>2.4587094822950831E-3</v>
      </c>
      <c r="M403" s="170"/>
    </row>
    <row r="404" spans="1:13" x14ac:dyDescent="0.2">
      <c r="A404" s="147">
        <v>2034</v>
      </c>
      <c r="B404" s="147">
        <v>7</v>
      </c>
      <c r="C404" s="147" t="str">
        <f t="shared" si="75"/>
        <v>20347</v>
      </c>
      <c r="D404" s="147" t="str">
        <f t="shared" si="79"/>
        <v>Q3</v>
      </c>
      <c r="E404" s="147">
        <f t="shared" si="80"/>
        <v>79631.250708549836</v>
      </c>
      <c r="F404" s="147" t="e">
        <f t="shared" si="80"/>
        <v>#N/A</v>
      </c>
      <c r="G404" s="147">
        <f t="shared" si="80"/>
        <v>68112.672404732177</v>
      </c>
      <c r="H404" s="147">
        <f t="shared" si="80"/>
        <v>1562.6933220055346</v>
      </c>
      <c r="I404" s="290">
        <f t="shared" si="76"/>
        <v>636162.89219156234</v>
      </c>
      <c r="J404" s="172">
        <f t="shared" si="78"/>
        <v>3.1469130461531547E-2</v>
      </c>
      <c r="K404" s="291">
        <f t="shared" si="77"/>
        <v>2.4564358298581395E-3</v>
      </c>
      <c r="M404" s="170"/>
    </row>
    <row r="405" spans="1:13" x14ac:dyDescent="0.2">
      <c r="A405" s="147">
        <v>2034</v>
      </c>
      <c r="B405" s="147">
        <v>8</v>
      </c>
      <c r="C405" s="147" t="str">
        <f t="shared" si="75"/>
        <v>20348</v>
      </c>
      <c r="D405" s="147" t="str">
        <f t="shared" si="79"/>
        <v>Q3</v>
      </c>
      <c r="E405" s="147">
        <f t="shared" si="80"/>
        <v>79631.250708549836</v>
      </c>
      <c r="F405" s="147" t="e">
        <f t="shared" si="80"/>
        <v>#N/A</v>
      </c>
      <c r="G405" s="147">
        <f t="shared" si="80"/>
        <v>68112.672404732177</v>
      </c>
      <c r="H405" s="147">
        <f t="shared" si="80"/>
        <v>1562.6933220055346</v>
      </c>
      <c r="I405" s="290">
        <f t="shared" si="76"/>
        <v>636162.89219156234</v>
      </c>
      <c r="J405" s="172">
        <f t="shared" si="78"/>
        <v>3.1469130461531547E-2</v>
      </c>
      <c r="K405" s="291">
        <f t="shared" si="77"/>
        <v>2.4564358298581395E-3</v>
      </c>
      <c r="M405" s="170"/>
    </row>
    <row r="406" spans="1:13" x14ac:dyDescent="0.2">
      <c r="A406" s="147">
        <v>2034</v>
      </c>
      <c r="B406" s="147">
        <v>9</v>
      </c>
      <c r="C406" s="147" t="str">
        <f t="shared" si="75"/>
        <v>20349</v>
      </c>
      <c r="D406" s="147" t="str">
        <f t="shared" si="79"/>
        <v>Q3</v>
      </c>
      <c r="E406" s="147">
        <f t="shared" si="80"/>
        <v>79631.250708549836</v>
      </c>
      <c r="F406" s="147" t="e">
        <f t="shared" si="80"/>
        <v>#N/A</v>
      </c>
      <c r="G406" s="147">
        <f t="shared" si="80"/>
        <v>68112.672404732177</v>
      </c>
      <c r="H406" s="147">
        <f t="shared" si="80"/>
        <v>1562.6933220055346</v>
      </c>
      <c r="I406" s="290">
        <f t="shared" si="76"/>
        <v>636162.89219156234</v>
      </c>
      <c r="J406" s="172">
        <f t="shared" si="78"/>
        <v>3.1469130461531547E-2</v>
      </c>
      <c r="K406" s="291">
        <f t="shared" si="77"/>
        <v>2.4564358298581395E-3</v>
      </c>
      <c r="M406" s="170"/>
    </row>
    <row r="407" spans="1:13" x14ac:dyDescent="0.2">
      <c r="A407" s="147">
        <v>2034</v>
      </c>
      <c r="B407" s="147">
        <v>10</v>
      </c>
      <c r="C407" s="147" t="str">
        <f t="shared" si="75"/>
        <v>203410</v>
      </c>
      <c r="D407" s="147" t="str">
        <f t="shared" si="79"/>
        <v>Q4</v>
      </c>
      <c r="E407" s="147">
        <f t="shared" si="80"/>
        <v>79820.192043943127</v>
      </c>
      <c r="F407" s="147" t="e">
        <f t="shared" si="80"/>
        <v>#N/A</v>
      </c>
      <c r="G407" s="147">
        <f t="shared" si="80"/>
        <v>68426.110254572006</v>
      </c>
      <c r="H407" s="147">
        <f t="shared" si="80"/>
        <v>1565.6045764336034</v>
      </c>
      <c r="I407" s="290">
        <f t="shared" si="76"/>
        <v>637204.04758609331</v>
      </c>
      <c r="J407" s="172">
        <f t="shared" si="78"/>
        <v>2.9562086053394943E-2</v>
      </c>
      <c r="K407" s="291">
        <f t="shared" si="77"/>
        <v>2.4569909471927405E-3</v>
      </c>
      <c r="M407" s="170"/>
    </row>
    <row r="408" spans="1:13" x14ac:dyDescent="0.2">
      <c r="A408" s="147">
        <v>2034</v>
      </c>
      <c r="B408" s="147">
        <v>11</v>
      </c>
      <c r="C408" s="147" t="str">
        <f t="shared" si="75"/>
        <v>203411</v>
      </c>
      <c r="D408" s="147" t="str">
        <f t="shared" si="79"/>
        <v>Q4</v>
      </c>
      <c r="E408" s="147">
        <f t="shared" si="80"/>
        <v>79820.192043943127</v>
      </c>
      <c r="F408" s="147" t="e">
        <f t="shared" si="80"/>
        <v>#N/A</v>
      </c>
      <c r="G408" s="147">
        <f t="shared" si="80"/>
        <v>68426.110254572006</v>
      </c>
      <c r="H408" s="147">
        <f t="shared" si="80"/>
        <v>1565.6045764336034</v>
      </c>
      <c r="I408" s="290">
        <f t="shared" si="76"/>
        <v>637204.04758609331</v>
      </c>
      <c r="J408" s="172">
        <f t="shared" si="78"/>
        <v>2.9562086053394943E-2</v>
      </c>
      <c r="K408" s="291">
        <f t="shared" si="77"/>
        <v>2.4569909471927405E-3</v>
      </c>
      <c r="M408" s="170"/>
    </row>
    <row r="409" spans="1:13" x14ac:dyDescent="0.2">
      <c r="A409" s="147">
        <v>2034</v>
      </c>
      <c r="B409" s="147">
        <v>12</v>
      </c>
      <c r="C409" s="147" t="str">
        <f t="shared" si="75"/>
        <v>203412</v>
      </c>
      <c r="D409" s="147" t="str">
        <f t="shared" si="79"/>
        <v>Q4</v>
      </c>
      <c r="E409" s="147">
        <f t="shared" si="80"/>
        <v>79820.192043943127</v>
      </c>
      <c r="F409" s="147" t="e">
        <f t="shared" si="80"/>
        <v>#N/A</v>
      </c>
      <c r="G409" s="147">
        <f t="shared" si="80"/>
        <v>68426.110254572006</v>
      </c>
      <c r="H409" s="147">
        <f t="shared" si="80"/>
        <v>1565.6045764336034</v>
      </c>
      <c r="I409" s="290">
        <f t="shared" si="76"/>
        <v>637204.04758609331</v>
      </c>
      <c r="J409" s="172">
        <f t="shared" si="78"/>
        <v>2.9562086053394943E-2</v>
      </c>
      <c r="K409" s="291">
        <f t="shared" si="77"/>
        <v>2.4569909471927405E-3</v>
      </c>
      <c r="M409" s="170"/>
    </row>
    <row r="410" spans="1:13" x14ac:dyDescent="0.2">
      <c r="A410" s="147">
        <v>2035</v>
      </c>
      <c r="B410" s="147">
        <v>1</v>
      </c>
      <c r="C410" s="147" t="str">
        <f t="shared" si="75"/>
        <v>20351</v>
      </c>
      <c r="D410" s="147" t="str">
        <f t="shared" si="79"/>
        <v>Q1</v>
      </c>
      <c r="E410" s="147">
        <f t="shared" si="80"/>
        <v>80589.465401103065</v>
      </c>
      <c r="F410" s="147" t="e">
        <f t="shared" si="80"/>
        <v>#N/A</v>
      </c>
      <c r="G410" s="147">
        <f t="shared" si="80"/>
        <v>69089.969321900251</v>
      </c>
      <c r="H410" s="147">
        <f t="shared" si="80"/>
        <v>1568.508372448882</v>
      </c>
      <c r="I410" s="290">
        <f t="shared" si="76"/>
        <v>638487.13936109992</v>
      </c>
      <c r="J410" s="172">
        <f t="shared" si="78"/>
        <v>2.2935342612865561E-2</v>
      </c>
      <c r="K410" s="291">
        <f t="shared" si="77"/>
        <v>2.4566013561657715E-3</v>
      </c>
      <c r="M410" s="170"/>
    </row>
    <row r="411" spans="1:13" x14ac:dyDescent="0.2">
      <c r="A411" s="147">
        <v>2035</v>
      </c>
      <c r="B411" s="147">
        <v>2</v>
      </c>
      <c r="C411" s="147" t="str">
        <f t="shared" si="75"/>
        <v>20352</v>
      </c>
      <c r="D411" s="147" t="str">
        <f t="shared" si="79"/>
        <v>Q1</v>
      </c>
      <c r="E411" s="147">
        <f t="shared" si="80"/>
        <v>80589.465401103065</v>
      </c>
      <c r="F411" s="147" t="e">
        <f t="shared" si="80"/>
        <v>#N/A</v>
      </c>
      <c r="G411" s="147">
        <f t="shared" si="80"/>
        <v>69089.969321900251</v>
      </c>
      <c r="H411" s="147">
        <f t="shared" si="80"/>
        <v>1568.508372448882</v>
      </c>
      <c r="I411" s="290">
        <f t="shared" si="76"/>
        <v>638487.13936109992</v>
      </c>
      <c r="J411" s="172">
        <f t="shared" si="78"/>
        <v>2.2935342612865561E-2</v>
      </c>
      <c r="K411" s="291">
        <f t="shared" si="77"/>
        <v>2.4566013561657715E-3</v>
      </c>
      <c r="M411" s="170"/>
    </row>
    <row r="412" spans="1:13" x14ac:dyDescent="0.2">
      <c r="A412" s="147">
        <v>2035</v>
      </c>
      <c r="B412" s="147">
        <v>3</v>
      </c>
      <c r="C412" s="147" t="str">
        <f t="shared" si="75"/>
        <v>20353</v>
      </c>
      <c r="D412" s="147" t="str">
        <f t="shared" si="79"/>
        <v>Q1</v>
      </c>
      <c r="E412" s="147">
        <f t="shared" si="80"/>
        <v>80589.465401103065</v>
      </c>
      <c r="F412" s="147" t="e">
        <f t="shared" si="80"/>
        <v>#N/A</v>
      </c>
      <c r="G412" s="147">
        <f t="shared" si="80"/>
        <v>69089.969321900251</v>
      </c>
      <c r="H412" s="147">
        <f t="shared" si="80"/>
        <v>1568.508372448882</v>
      </c>
      <c r="I412" s="290">
        <f t="shared" si="76"/>
        <v>638487.13936109992</v>
      </c>
      <c r="J412" s="172">
        <f t="shared" si="78"/>
        <v>2.2935342612865561E-2</v>
      </c>
      <c r="K412" s="291">
        <f t="shared" si="77"/>
        <v>2.4566013561657715E-3</v>
      </c>
      <c r="M412" s="170"/>
    </row>
    <row r="413" spans="1:13" x14ac:dyDescent="0.2">
      <c r="A413" s="147">
        <v>2035</v>
      </c>
      <c r="B413" s="147">
        <v>4</v>
      </c>
      <c r="C413" s="147" t="str">
        <f t="shared" si="75"/>
        <v>20354</v>
      </c>
      <c r="D413" s="147" t="str">
        <f t="shared" si="79"/>
        <v>Q2</v>
      </c>
      <c r="E413" s="147">
        <f t="shared" si="80"/>
        <v>81045.409208304249</v>
      </c>
      <c r="F413" s="147" t="e">
        <f t="shared" si="80"/>
        <v>#N/A</v>
      </c>
      <c r="G413" s="147">
        <f t="shared" si="80"/>
        <v>69470.238709459431</v>
      </c>
      <c r="H413" s="147">
        <f t="shared" si="80"/>
        <v>1570.9755130853168</v>
      </c>
      <c r="I413" s="290">
        <f t="shared" si="76"/>
        <v>639621.90873025416</v>
      </c>
      <c r="J413" s="172">
        <f t="shared" si="78"/>
        <v>2.2872148139321036E-2</v>
      </c>
      <c r="K413" s="291">
        <f t="shared" si="77"/>
        <v>2.4561002236523446E-3</v>
      </c>
      <c r="M413" s="170"/>
    </row>
    <row r="414" spans="1:13" x14ac:dyDescent="0.2">
      <c r="A414" s="147">
        <v>2035</v>
      </c>
      <c r="B414" s="147">
        <v>5</v>
      </c>
      <c r="C414" s="147" t="str">
        <f t="shared" si="75"/>
        <v>20355</v>
      </c>
      <c r="D414" s="147" t="str">
        <f t="shared" si="79"/>
        <v>Q2</v>
      </c>
      <c r="E414" s="147">
        <f t="shared" si="80"/>
        <v>81045.409208304249</v>
      </c>
      <c r="F414" s="147" t="e">
        <f t="shared" si="80"/>
        <v>#N/A</v>
      </c>
      <c r="G414" s="147">
        <f t="shared" si="80"/>
        <v>69470.238709459431</v>
      </c>
      <c r="H414" s="147">
        <f t="shared" si="80"/>
        <v>1570.9755130853168</v>
      </c>
      <c r="I414" s="290">
        <f t="shared" si="76"/>
        <v>639621.90873025416</v>
      </c>
      <c r="J414" s="172">
        <f t="shared" si="78"/>
        <v>2.2872148139321036E-2</v>
      </c>
      <c r="K414" s="291">
        <f t="shared" si="77"/>
        <v>2.4561002236523446E-3</v>
      </c>
      <c r="M414" s="170"/>
    </row>
    <row r="415" spans="1:13" x14ac:dyDescent="0.2">
      <c r="A415" s="147">
        <v>2035</v>
      </c>
      <c r="B415" s="147">
        <v>6</v>
      </c>
      <c r="C415" s="147" t="str">
        <f t="shared" si="75"/>
        <v>20356</v>
      </c>
      <c r="D415" s="147" t="str">
        <f t="shared" si="79"/>
        <v>Q2</v>
      </c>
      <c r="E415" s="147">
        <f t="shared" si="80"/>
        <v>81045.409208304249</v>
      </c>
      <c r="F415" s="147" t="e">
        <f t="shared" si="80"/>
        <v>#N/A</v>
      </c>
      <c r="G415" s="147">
        <f t="shared" si="80"/>
        <v>69470.238709459431</v>
      </c>
      <c r="H415" s="147">
        <f t="shared" si="80"/>
        <v>1570.9755130853168</v>
      </c>
      <c r="I415" s="290">
        <f t="shared" si="76"/>
        <v>639621.90873025416</v>
      </c>
      <c r="J415" s="172">
        <f t="shared" si="78"/>
        <v>2.2872148139321036E-2</v>
      </c>
      <c r="K415" s="291">
        <f t="shared" si="77"/>
        <v>2.4561002236523446E-3</v>
      </c>
      <c r="M415" s="170"/>
    </row>
    <row r="416" spans="1:13" x14ac:dyDescent="0.2">
      <c r="A416" s="147">
        <v>2035</v>
      </c>
      <c r="B416" s="147">
        <v>7</v>
      </c>
      <c r="C416" s="147" t="str">
        <f t="shared" si="75"/>
        <v>20357</v>
      </c>
      <c r="D416" s="147" t="str">
        <f t="shared" si="79"/>
        <v>Q3</v>
      </c>
      <c r="E416" s="147">
        <f t="shared" si="80"/>
        <v>80807.495048752942</v>
      </c>
      <c r="F416" s="147" t="e">
        <f t="shared" si="80"/>
        <v>#N/A</v>
      </c>
      <c r="G416" s="147">
        <f t="shared" si="80"/>
        <v>69817.684773173722</v>
      </c>
      <c r="H416" s="147">
        <f t="shared" si="80"/>
        <v>1573.8678014536194</v>
      </c>
      <c r="I416" s="290">
        <f t="shared" si="76"/>
        <v>640860.96072737325</v>
      </c>
      <c r="J416" s="172">
        <f t="shared" si="78"/>
        <v>1.4771139844433234E-2</v>
      </c>
      <c r="K416" s="291">
        <f t="shared" si="77"/>
        <v>2.4558646850126259E-3</v>
      </c>
      <c r="M416" s="170"/>
    </row>
    <row r="417" spans="1:13" x14ac:dyDescent="0.2">
      <c r="A417" s="147">
        <v>2035</v>
      </c>
      <c r="B417" s="147">
        <v>8</v>
      </c>
      <c r="C417" s="147" t="str">
        <f t="shared" si="75"/>
        <v>20358</v>
      </c>
      <c r="D417" s="147" t="str">
        <f t="shared" si="79"/>
        <v>Q3</v>
      </c>
      <c r="E417" s="147">
        <f t="shared" si="80"/>
        <v>80807.495048752942</v>
      </c>
      <c r="F417" s="147" t="e">
        <f t="shared" si="80"/>
        <v>#N/A</v>
      </c>
      <c r="G417" s="147">
        <f t="shared" si="80"/>
        <v>69817.684773173722</v>
      </c>
      <c r="H417" s="147">
        <f t="shared" si="80"/>
        <v>1573.8678014536194</v>
      </c>
      <c r="I417" s="290">
        <f t="shared" si="76"/>
        <v>640860.96072737325</v>
      </c>
      <c r="J417" s="172">
        <f t="shared" si="78"/>
        <v>1.4771139844433234E-2</v>
      </c>
      <c r="K417" s="291">
        <f t="shared" si="77"/>
        <v>2.4558646850126259E-3</v>
      </c>
      <c r="M417" s="170"/>
    </row>
    <row r="418" spans="1:13" x14ac:dyDescent="0.2">
      <c r="A418" s="147">
        <v>2035</v>
      </c>
      <c r="B418" s="147">
        <v>9</v>
      </c>
      <c r="C418" s="147" t="str">
        <f t="shared" si="75"/>
        <v>20359</v>
      </c>
      <c r="D418" s="147" t="str">
        <f t="shared" si="79"/>
        <v>Q3</v>
      </c>
      <c r="E418" s="147">
        <f t="shared" si="80"/>
        <v>80807.495048752942</v>
      </c>
      <c r="F418" s="147" t="e">
        <f t="shared" si="80"/>
        <v>#N/A</v>
      </c>
      <c r="G418" s="147">
        <f t="shared" si="80"/>
        <v>69817.684773173722</v>
      </c>
      <c r="H418" s="147">
        <f t="shared" si="80"/>
        <v>1573.8678014536194</v>
      </c>
      <c r="I418" s="290">
        <f t="shared" si="76"/>
        <v>640860.96072737325</v>
      </c>
      <c r="J418" s="172">
        <f t="shared" si="78"/>
        <v>1.4771139844433234E-2</v>
      </c>
      <c r="K418" s="291">
        <f t="shared" si="77"/>
        <v>2.4558646850126259E-3</v>
      </c>
      <c r="M418" s="170"/>
    </row>
    <row r="419" spans="1:13" x14ac:dyDescent="0.2">
      <c r="A419" s="147">
        <v>2035</v>
      </c>
      <c r="B419" s="147">
        <v>10</v>
      </c>
      <c r="C419" s="147" t="str">
        <f t="shared" si="75"/>
        <v>203510</v>
      </c>
      <c r="D419" s="147" t="str">
        <f t="shared" si="79"/>
        <v>Q4</v>
      </c>
      <c r="E419" s="147">
        <f t="shared" si="80"/>
        <v>81230.078843036608</v>
      </c>
      <c r="F419" s="147" t="e">
        <f t="shared" si="80"/>
        <v>#N/A</v>
      </c>
      <c r="G419" s="147">
        <f t="shared" si="80"/>
        <v>70167.400418664678</v>
      </c>
      <c r="H419" s="147">
        <f t="shared" si="80"/>
        <v>1576.7503003609072</v>
      </c>
      <c r="I419" s="290">
        <f t="shared" si="76"/>
        <v>642130.09734553879</v>
      </c>
      <c r="J419" s="172">
        <f t="shared" si="78"/>
        <v>1.76632849782834E-2</v>
      </c>
      <c r="K419" s="291">
        <f t="shared" si="77"/>
        <v>2.4554997606854685E-3</v>
      </c>
      <c r="M419" s="170"/>
    </row>
    <row r="420" spans="1:13" x14ac:dyDescent="0.2">
      <c r="A420" s="147">
        <v>2035</v>
      </c>
      <c r="B420" s="147">
        <v>11</v>
      </c>
      <c r="C420" s="147" t="str">
        <f t="shared" si="75"/>
        <v>203511</v>
      </c>
      <c r="D420" s="147" t="str">
        <f t="shared" si="79"/>
        <v>Q4</v>
      </c>
      <c r="E420" s="147">
        <f t="shared" si="80"/>
        <v>81230.078843036608</v>
      </c>
      <c r="F420" s="147" t="e">
        <f t="shared" si="80"/>
        <v>#N/A</v>
      </c>
      <c r="G420" s="147">
        <f t="shared" si="80"/>
        <v>70167.400418664678</v>
      </c>
      <c r="H420" s="147">
        <f t="shared" si="80"/>
        <v>1576.7503003609072</v>
      </c>
      <c r="I420" s="290">
        <f t="shared" si="76"/>
        <v>642130.09734553879</v>
      </c>
      <c r="J420" s="172">
        <f t="shared" si="78"/>
        <v>1.76632849782834E-2</v>
      </c>
      <c r="K420" s="291">
        <f t="shared" si="77"/>
        <v>2.4554997606854685E-3</v>
      </c>
      <c r="M420" s="170"/>
    </row>
    <row r="421" spans="1:13" x14ac:dyDescent="0.2">
      <c r="A421" s="147">
        <v>2035</v>
      </c>
      <c r="B421" s="147">
        <v>12</v>
      </c>
      <c r="C421" s="147" t="str">
        <f t="shared" si="75"/>
        <v>203512</v>
      </c>
      <c r="D421" s="147" t="str">
        <f t="shared" si="79"/>
        <v>Q4</v>
      </c>
      <c r="E421" s="147">
        <f t="shared" si="80"/>
        <v>81230.078843036608</v>
      </c>
      <c r="F421" s="147" t="e">
        <f t="shared" si="80"/>
        <v>#N/A</v>
      </c>
      <c r="G421" s="147">
        <f t="shared" si="80"/>
        <v>70167.400418664678</v>
      </c>
      <c r="H421" s="147">
        <f t="shared" si="80"/>
        <v>1576.7503003609072</v>
      </c>
      <c r="I421" s="290">
        <f t="shared" si="76"/>
        <v>642130.09734553879</v>
      </c>
      <c r="J421" s="172">
        <f t="shared" si="78"/>
        <v>1.76632849782834E-2</v>
      </c>
      <c r="K421" s="291">
        <f t="shared" si="77"/>
        <v>2.4554997606854685E-3</v>
      </c>
      <c r="M421" s="170"/>
    </row>
    <row r="422" spans="1:13" x14ac:dyDescent="0.2">
      <c r="A422" s="147">
        <v>2036</v>
      </c>
      <c r="B422" s="147">
        <v>1</v>
      </c>
      <c r="C422" s="147" t="str">
        <f t="shared" si="75"/>
        <v>20361</v>
      </c>
      <c r="D422" s="147" t="str">
        <f t="shared" si="79"/>
        <v>Q1</v>
      </c>
      <c r="E422" s="147">
        <f t="shared" ref="E422:H441" si="81">VLOOKUP($A422&amp;$D422,$O$1:$W$189,MATCH(E$1,$O$1:$W$1,0),0)</f>
        <v>82024.510612715967</v>
      </c>
      <c r="F422" s="147" t="e">
        <f t="shared" si="81"/>
        <v>#N/A</v>
      </c>
      <c r="G422" s="147">
        <f t="shared" si="81"/>
        <v>70857.293052576584</v>
      </c>
      <c r="H422" s="147">
        <f t="shared" si="81"/>
        <v>1579.2169398459446</v>
      </c>
      <c r="I422" s="290">
        <f t="shared" si="76"/>
        <v>643273.60569193948</v>
      </c>
      <c r="J422" s="172">
        <f t="shared" si="78"/>
        <v>1.7806858557387395E-2</v>
      </c>
      <c r="K422" s="291">
        <f t="shared" si="77"/>
        <v>2.4549692788145014E-3</v>
      </c>
      <c r="M422" s="170"/>
    </row>
    <row r="423" spans="1:13" x14ac:dyDescent="0.2">
      <c r="A423" s="147">
        <v>2036</v>
      </c>
      <c r="B423" s="147">
        <v>2</v>
      </c>
      <c r="C423" s="147" t="str">
        <f t="shared" si="75"/>
        <v>20362</v>
      </c>
      <c r="D423" s="147" t="str">
        <f t="shared" si="79"/>
        <v>Q1</v>
      </c>
      <c r="E423" s="147">
        <f t="shared" si="81"/>
        <v>82024.510612715967</v>
      </c>
      <c r="F423" s="147" t="e">
        <f t="shared" si="81"/>
        <v>#N/A</v>
      </c>
      <c r="G423" s="147">
        <f t="shared" si="81"/>
        <v>70857.293052576584</v>
      </c>
      <c r="H423" s="147">
        <f t="shared" si="81"/>
        <v>1579.2169398459446</v>
      </c>
      <c r="I423" s="290">
        <f t="shared" si="76"/>
        <v>643273.60569193948</v>
      </c>
      <c r="J423" s="172">
        <f t="shared" si="78"/>
        <v>1.7806858557387395E-2</v>
      </c>
      <c r="K423" s="291">
        <f t="shared" si="77"/>
        <v>2.4549692788145014E-3</v>
      </c>
      <c r="M423" s="170"/>
    </row>
    <row r="424" spans="1:13" x14ac:dyDescent="0.2">
      <c r="A424" s="147">
        <v>2036</v>
      </c>
      <c r="B424" s="147">
        <v>3</v>
      </c>
      <c r="C424" s="147" t="str">
        <f t="shared" si="75"/>
        <v>20363</v>
      </c>
      <c r="D424" s="147" t="str">
        <f t="shared" si="79"/>
        <v>Q1</v>
      </c>
      <c r="E424" s="147">
        <f t="shared" si="81"/>
        <v>82024.510612715967</v>
      </c>
      <c r="F424" s="147" t="e">
        <f t="shared" si="81"/>
        <v>#N/A</v>
      </c>
      <c r="G424" s="147">
        <f t="shared" si="81"/>
        <v>70857.293052576584</v>
      </c>
      <c r="H424" s="147">
        <f t="shared" si="81"/>
        <v>1579.2169398459446</v>
      </c>
      <c r="I424" s="290">
        <f t="shared" si="76"/>
        <v>643273.60569193948</v>
      </c>
      <c r="J424" s="172">
        <f t="shared" si="78"/>
        <v>1.7806858557387395E-2</v>
      </c>
      <c r="K424" s="291">
        <f t="shared" si="77"/>
        <v>2.4549692788145014E-3</v>
      </c>
      <c r="M424" s="170"/>
    </row>
    <row r="425" spans="1:13" x14ac:dyDescent="0.2">
      <c r="A425" s="147">
        <v>2036</v>
      </c>
      <c r="B425" s="147">
        <v>4</v>
      </c>
      <c r="C425" s="147" t="str">
        <f t="shared" si="75"/>
        <v>20364</v>
      </c>
      <c r="D425" s="147" t="str">
        <f t="shared" si="79"/>
        <v>Q2</v>
      </c>
      <c r="E425" s="147">
        <f t="shared" si="81"/>
        <v>82717.499565313352</v>
      </c>
      <c r="F425" s="147" t="e">
        <f t="shared" si="81"/>
        <v>#N/A</v>
      </c>
      <c r="G425" s="147">
        <f t="shared" si="81"/>
        <v>71135.634899548866</v>
      </c>
      <c r="H425" s="147">
        <f t="shared" si="81"/>
        <v>1582.1005232058155</v>
      </c>
      <c r="I425" s="290">
        <f t="shared" si="76"/>
        <v>644549.25671960169</v>
      </c>
      <c r="J425" s="172">
        <f t="shared" si="78"/>
        <v>2.0631524639618704E-2</v>
      </c>
      <c r="K425" s="291">
        <f t="shared" si="77"/>
        <v>2.4545843575366605E-3</v>
      </c>
      <c r="M425" s="170"/>
    </row>
    <row r="426" spans="1:13" x14ac:dyDescent="0.2">
      <c r="A426" s="147">
        <v>2036</v>
      </c>
      <c r="B426" s="147">
        <v>5</v>
      </c>
      <c r="C426" s="147" t="str">
        <f t="shared" si="75"/>
        <v>20365</v>
      </c>
      <c r="D426" s="147" t="str">
        <f t="shared" si="79"/>
        <v>Q2</v>
      </c>
      <c r="E426" s="147">
        <f t="shared" si="81"/>
        <v>82717.499565313352</v>
      </c>
      <c r="F426" s="147" t="e">
        <f t="shared" si="81"/>
        <v>#N/A</v>
      </c>
      <c r="G426" s="147">
        <f t="shared" si="81"/>
        <v>71135.634899548866</v>
      </c>
      <c r="H426" s="147">
        <f t="shared" si="81"/>
        <v>1582.1005232058155</v>
      </c>
      <c r="I426" s="290">
        <f t="shared" si="76"/>
        <v>644549.25671960169</v>
      </c>
      <c r="J426" s="172">
        <f t="shared" si="78"/>
        <v>2.0631524639618704E-2</v>
      </c>
      <c r="K426" s="291">
        <f t="shared" si="77"/>
        <v>2.4545843575366605E-3</v>
      </c>
      <c r="M426" s="170"/>
    </row>
    <row r="427" spans="1:13" x14ac:dyDescent="0.2">
      <c r="A427" s="147">
        <v>2036</v>
      </c>
      <c r="B427" s="147">
        <v>6</v>
      </c>
      <c r="C427" s="147" t="str">
        <f t="shared" si="75"/>
        <v>20366</v>
      </c>
      <c r="D427" s="147" t="str">
        <f t="shared" si="79"/>
        <v>Q2</v>
      </c>
      <c r="E427" s="147">
        <f t="shared" si="81"/>
        <v>82717.499565313352</v>
      </c>
      <c r="F427" s="147" t="e">
        <f t="shared" si="81"/>
        <v>#N/A</v>
      </c>
      <c r="G427" s="147">
        <f t="shared" si="81"/>
        <v>71135.634899548866</v>
      </c>
      <c r="H427" s="147">
        <f t="shared" si="81"/>
        <v>1582.1005232058155</v>
      </c>
      <c r="I427" s="290">
        <f t="shared" si="76"/>
        <v>644549.25671960169</v>
      </c>
      <c r="J427" s="172">
        <f t="shared" si="78"/>
        <v>2.0631524639618704E-2</v>
      </c>
      <c r="K427" s="291">
        <f t="shared" si="77"/>
        <v>2.4545843575366605E-3</v>
      </c>
      <c r="M427" s="170"/>
    </row>
    <row r="428" spans="1:13" x14ac:dyDescent="0.2">
      <c r="A428" s="147">
        <v>2036</v>
      </c>
      <c r="B428" s="147">
        <v>7</v>
      </c>
      <c r="C428" s="147" t="str">
        <f t="shared" si="75"/>
        <v>20367</v>
      </c>
      <c r="D428" s="147" t="str">
        <f t="shared" si="79"/>
        <v>Q3</v>
      </c>
      <c r="E428" s="147">
        <f t="shared" si="81"/>
        <v>83104.697938277255</v>
      </c>
      <c r="F428" s="147" t="e">
        <f t="shared" si="81"/>
        <v>#N/A</v>
      </c>
      <c r="G428" s="147">
        <f t="shared" si="81"/>
        <v>71458.151592626236</v>
      </c>
      <c r="H428" s="147">
        <f t="shared" si="81"/>
        <v>1584.9823031928072</v>
      </c>
      <c r="I428" s="290">
        <f t="shared" si="76"/>
        <v>645829.51440779294</v>
      </c>
      <c r="J428" s="172">
        <f t="shared" si="78"/>
        <v>2.8428091826610435E-2</v>
      </c>
      <c r="K428" s="291">
        <f t="shared" si="77"/>
        <v>2.4541806588789772E-3</v>
      </c>
      <c r="M428" s="170"/>
    </row>
    <row r="429" spans="1:13" x14ac:dyDescent="0.2">
      <c r="A429" s="147">
        <v>2036</v>
      </c>
      <c r="B429" s="147">
        <v>8</v>
      </c>
      <c r="C429" s="147" t="str">
        <f t="shared" si="75"/>
        <v>20368</v>
      </c>
      <c r="D429" s="147" t="str">
        <f t="shared" si="79"/>
        <v>Q3</v>
      </c>
      <c r="E429" s="147">
        <f t="shared" si="81"/>
        <v>83104.697938277255</v>
      </c>
      <c r="F429" s="147" t="e">
        <f t="shared" si="81"/>
        <v>#N/A</v>
      </c>
      <c r="G429" s="147">
        <f t="shared" si="81"/>
        <v>71458.151592626236</v>
      </c>
      <c r="H429" s="147">
        <f t="shared" si="81"/>
        <v>1584.9823031928072</v>
      </c>
      <c r="I429" s="290">
        <f t="shared" si="76"/>
        <v>645829.51440779294</v>
      </c>
      <c r="J429" s="172">
        <f t="shared" si="78"/>
        <v>2.8428091826610435E-2</v>
      </c>
      <c r="K429" s="291">
        <f t="shared" si="77"/>
        <v>2.4541806588789772E-3</v>
      </c>
      <c r="M429" s="170"/>
    </row>
    <row r="430" spans="1:13" x14ac:dyDescent="0.2">
      <c r="A430" s="147">
        <v>2036</v>
      </c>
      <c r="B430" s="147">
        <v>9</v>
      </c>
      <c r="C430" s="147" t="str">
        <f t="shared" si="75"/>
        <v>20369</v>
      </c>
      <c r="D430" s="147" t="str">
        <f t="shared" si="79"/>
        <v>Q3</v>
      </c>
      <c r="E430" s="147">
        <f t="shared" si="81"/>
        <v>83104.697938277255</v>
      </c>
      <c r="F430" s="147" t="e">
        <f t="shared" si="81"/>
        <v>#N/A</v>
      </c>
      <c r="G430" s="147">
        <f t="shared" si="81"/>
        <v>71458.151592626236</v>
      </c>
      <c r="H430" s="147">
        <f t="shared" si="81"/>
        <v>1584.9823031928072</v>
      </c>
      <c r="I430" s="290">
        <f t="shared" si="76"/>
        <v>645829.51440779294</v>
      </c>
      <c r="J430" s="172">
        <f t="shared" si="78"/>
        <v>2.8428091826610435E-2</v>
      </c>
      <c r="K430" s="291">
        <f t="shared" si="77"/>
        <v>2.4541806588789772E-3</v>
      </c>
      <c r="M430" s="170"/>
    </row>
    <row r="431" spans="1:13" x14ac:dyDescent="0.2">
      <c r="A431" s="147">
        <v>2036</v>
      </c>
      <c r="B431" s="147">
        <v>10</v>
      </c>
      <c r="C431" s="147" t="str">
        <f t="shared" si="75"/>
        <v>203610</v>
      </c>
      <c r="D431" s="147" t="str">
        <f t="shared" si="79"/>
        <v>Q4</v>
      </c>
      <c r="E431" s="147">
        <f t="shared" si="81"/>
        <v>83544.675852693821</v>
      </c>
      <c r="F431" s="147" t="e">
        <f t="shared" si="81"/>
        <v>#N/A</v>
      </c>
      <c r="G431" s="147">
        <f t="shared" si="81"/>
        <v>71824.680357699355</v>
      </c>
      <c r="H431" s="147">
        <f t="shared" si="81"/>
        <v>1587.8631187716624</v>
      </c>
      <c r="I431" s="290">
        <f t="shared" si="76"/>
        <v>647062.88729409757</v>
      </c>
      <c r="J431" s="172">
        <f t="shared" si="78"/>
        <v>2.8494334150897194E-2</v>
      </c>
      <c r="K431" s="291">
        <f t="shared" si="77"/>
        <v>2.4539548627364872E-3</v>
      </c>
      <c r="M431" s="170"/>
    </row>
    <row r="432" spans="1:13" x14ac:dyDescent="0.2">
      <c r="A432" s="147">
        <v>2036</v>
      </c>
      <c r="B432" s="147">
        <v>11</v>
      </c>
      <c r="C432" s="147" t="str">
        <f t="shared" si="75"/>
        <v>203611</v>
      </c>
      <c r="D432" s="147" t="str">
        <f t="shared" si="79"/>
        <v>Q4</v>
      </c>
      <c r="E432" s="147">
        <f t="shared" si="81"/>
        <v>83544.675852693821</v>
      </c>
      <c r="F432" s="147" t="e">
        <f t="shared" si="81"/>
        <v>#N/A</v>
      </c>
      <c r="G432" s="147">
        <f t="shared" si="81"/>
        <v>71824.680357699355</v>
      </c>
      <c r="H432" s="147">
        <f t="shared" si="81"/>
        <v>1587.8631187716624</v>
      </c>
      <c r="I432" s="290">
        <f t="shared" si="76"/>
        <v>647062.88729409757</v>
      </c>
      <c r="J432" s="172">
        <f t="shared" si="78"/>
        <v>2.8494334150897194E-2</v>
      </c>
      <c r="K432" s="291">
        <f t="shared" si="77"/>
        <v>2.4539548627364872E-3</v>
      </c>
      <c r="M432" s="170"/>
    </row>
    <row r="433" spans="1:13" x14ac:dyDescent="0.2">
      <c r="A433" s="147">
        <v>2036</v>
      </c>
      <c r="B433" s="147">
        <v>12</v>
      </c>
      <c r="C433" s="147" t="str">
        <f t="shared" si="75"/>
        <v>203612</v>
      </c>
      <c r="D433" s="147" t="str">
        <f t="shared" si="79"/>
        <v>Q4</v>
      </c>
      <c r="E433" s="147">
        <f t="shared" si="81"/>
        <v>83544.675852693821</v>
      </c>
      <c r="F433" s="147" t="e">
        <f t="shared" si="81"/>
        <v>#N/A</v>
      </c>
      <c r="G433" s="147">
        <f t="shared" si="81"/>
        <v>71824.680357699355</v>
      </c>
      <c r="H433" s="147">
        <f t="shared" si="81"/>
        <v>1587.8631187716624</v>
      </c>
      <c r="I433" s="290">
        <f t="shared" si="76"/>
        <v>647062.88729409757</v>
      </c>
      <c r="J433" s="172">
        <f t="shared" si="78"/>
        <v>2.8494334150897194E-2</v>
      </c>
      <c r="K433" s="291">
        <f t="shared" si="77"/>
        <v>2.4539548627364872E-3</v>
      </c>
      <c r="M433" s="170"/>
    </row>
    <row r="434" spans="1:13" x14ac:dyDescent="0.2">
      <c r="A434" s="147">
        <v>2037</v>
      </c>
      <c r="B434" s="147">
        <v>1</v>
      </c>
      <c r="C434" s="147" t="str">
        <f t="shared" si="75"/>
        <v>20371</v>
      </c>
      <c r="D434" s="147" t="str">
        <f t="shared" si="79"/>
        <v>Q1</v>
      </c>
      <c r="E434" s="147">
        <f t="shared" si="81"/>
        <v>83199.431490098679</v>
      </c>
      <c r="F434" s="147" t="e">
        <f t="shared" si="81"/>
        <v>#N/A</v>
      </c>
      <c r="G434" s="147">
        <f t="shared" si="81"/>
        <v>72447.763150773302</v>
      </c>
      <c r="H434" s="147">
        <f t="shared" si="81"/>
        <v>1590.3371175079371</v>
      </c>
      <c r="I434" s="290">
        <f t="shared" si="76"/>
        <v>648600.89255583519</v>
      </c>
      <c r="J434" s="172">
        <f t="shared" si="78"/>
        <v>1.4324021790634855E-2</v>
      </c>
      <c r="K434" s="291">
        <f t="shared" si="77"/>
        <v>2.4519502451517705E-3</v>
      </c>
      <c r="M434" s="170"/>
    </row>
    <row r="435" spans="1:13" x14ac:dyDescent="0.2">
      <c r="A435" s="147">
        <v>2037</v>
      </c>
      <c r="B435" s="147">
        <v>2</v>
      </c>
      <c r="C435" s="147" t="str">
        <f t="shared" si="75"/>
        <v>20372</v>
      </c>
      <c r="D435" s="147" t="str">
        <f t="shared" si="79"/>
        <v>Q1</v>
      </c>
      <c r="E435" s="147">
        <f t="shared" si="81"/>
        <v>83199.431490098679</v>
      </c>
      <c r="F435" s="147" t="e">
        <f t="shared" si="81"/>
        <v>#N/A</v>
      </c>
      <c r="G435" s="147">
        <f t="shared" si="81"/>
        <v>72447.763150773302</v>
      </c>
      <c r="H435" s="147">
        <f t="shared" si="81"/>
        <v>1590.3371175079371</v>
      </c>
      <c r="I435" s="290">
        <f t="shared" si="76"/>
        <v>648600.89255583519</v>
      </c>
      <c r="J435" s="172">
        <f t="shared" si="78"/>
        <v>1.4324021790634855E-2</v>
      </c>
      <c r="K435" s="291">
        <f t="shared" si="77"/>
        <v>2.4519502451517705E-3</v>
      </c>
      <c r="M435" s="170"/>
    </row>
    <row r="436" spans="1:13" x14ac:dyDescent="0.2">
      <c r="A436" s="147">
        <v>2037</v>
      </c>
      <c r="B436" s="147">
        <v>3</v>
      </c>
      <c r="C436" s="147" t="str">
        <f t="shared" si="75"/>
        <v>20373</v>
      </c>
      <c r="D436" s="147" t="str">
        <f t="shared" si="79"/>
        <v>Q1</v>
      </c>
      <c r="E436" s="147">
        <f t="shared" si="81"/>
        <v>83199.431490098679</v>
      </c>
      <c r="F436" s="147" t="e">
        <f t="shared" si="81"/>
        <v>#N/A</v>
      </c>
      <c r="G436" s="147">
        <f t="shared" si="81"/>
        <v>72447.763150773302</v>
      </c>
      <c r="H436" s="147">
        <f t="shared" si="81"/>
        <v>1590.3371175079371</v>
      </c>
      <c r="I436" s="290">
        <f t="shared" si="76"/>
        <v>648600.89255583519</v>
      </c>
      <c r="J436" s="172">
        <f t="shared" si="78"/>
        <v>1.4324021790634855E-2</v>
      </c>
      <c r="K436" s="291">
        <f t="shared" si="77"/>
        <v>2.4519502451517705E-3</v>
      </c>
      <c r="M436" s="170"/>
    </row>
    <row r="437" spans="1:13" x14ac:dyDescent="0.2">
      <c r="A437" s="147">
        <v>2037</v>
      </c>
      <c r="B437" s="147">
        <v>4</v>
      </c>
      <c r="C437" s="147" t="str">
        <f t="shared" si="75"/>
        <v>20374</v>
      </c>
      <c r="D437" s="147" t="str">
        <f t="shared" si="79"/>
        <v>Q2</v>
      </c>
      <c r="E437" s="147">
        <f t="shared" si="81"/>
        <v>83548.231966297608</v>
      </c>
      <c r="F437" s="147" t="e">
        <f t="shared" si="81"/>
        <v>#N/A</v>
      </c>
      <c r="G437" s="147">
        <f t="shared" si="81"/>
        <v>72741.245498345263</v>
      </c>
      <c r="H437" s="147">
        <f t="shared" si="81"/>
        <v>1593.2153142308298</v>
      </c>
      <c r="I437" s="290">
        <f t="shared" si="76"/>
        <v>649668.54344121914</v>
      </c>
      <c r="J437" s="172">
        <f t="shared" si="78"/>
        <v>1.0043006683589484E-2</v>
      </c>
      <c r="K437" s="291">
        <f t="shared" si="77"/>
        <v>2.4523510185544039E-3</v>
      </c>
      <c r="M437" s="170"/>
    </row>
    <row r="438" spans="1:13" x14ac:dyDescent="0.2">
      <c r="A438" s="147">
        <v>2037</v>
      </c>
      <c r="B438" s="147">
        <v>5</v>
      </c>
      <c r="C438" s="147" t="str">
        <f t="shared" si="75"/>
        <v>20375</v>
      </c>
      <c r="D438" s="147" t="str">
        <f t="shared" si="79"/>
        <v>Q2</v>
      </c>
      <c r="E438" s="147">
        <f t="shared" si="81"/>
        <v>83548.231966297608</v>
      </c>
      <c r="F438" s="147" t="e">
        <f t="shared" si="81"/>
        <v>#N/A</v>
      </c>
      <c r="G438" s="147">
        <f t="shared" si="81"/>
        <v>72741.245498345263</v>
      </c>
      <c r="H438" s="147">
        <f t="shared" si="81"/>
        <v>1593.2153142308298</v>
      </c>
      <c r="I438" s="290">
        <f t="shared" si="76"/>
        <v>649668.54344121914</v>
      </c>
      <c r="J438" s="172">
        <f t="shared" si="78"/>
        <v>1.0043006683589484E-2</v>
      </c>
      <c r="K438" s="291">
        <f t="shared" si="77"/>
        <v>2.4523510185544039E-3</v>
      </c>
      <c r="M438" s="170"/>
    </row>
    <row r="439" spans="1:13" x14ac:dyDescent="0.2">
      <c r="A439" s="147">
        <v>2037</v>
      </c>
      <c r="B439" s="147">
        <v>6</v>
      </c>
      <c r="C439" s="147" t="str">
        <f t="shared" si="75"/>
        <v>20376</v>
      </c>
      <c r="D439" s="147" t="str">
        <f t="shared" si="79"/>
        <v>Q2</v>
      </c>
      <c r="E439" s="147">
        <f t="shared" si="81"/>
        <v>83548.231966297608</v>
      </c>
      <c r="F439" s="147" t="e">
        <f t="shared" si="81"/>
        <v>#N/A</v>
      </c>
      <c r="G439" s="147">
        <f t="shared" si="81"/>
        <v>72741.245498345263</v>
      </c>
      <c r="H439" s="147">
        <f t="shared" si="81"/>
        <v>1593.2153142308298</v>
      </c>
      <c r="I439" s="290">
        <f t="shared" si="76"/>
        <v>649668.54344121914</v>
      </c>
      <c r="J439" s="172">
        <f t="shared" si="78"/>
        <v>1.0043006683589484E-2</v>
      </c>
      <c r="K439" s="291">
        <f t="shared" si="77"/>
        <v>2.4523510185544039E-3</v>
      </c>
      <c r="M439" s="170"/>
    </row>
    <row r="440" spans="1:13" x14ac:dyDescent="0.2">
      <c r="A440" s="147">
        <v>2037</v>
      </c>
      <c r="B440" s="147">
        <v>7</v>
      </c>
      <c r="C440" s="147" t="str">
        <f t="shared" si="75"/>
        <v>20377</v>
      </c>
      <c r="D440" s="147" t="str">
        <f t="shared" si="79"/>
        <v>Q3</v>
      </c>
      <c r="E440" s="147">
        <f t="shared" si="81"/>
        <v>83976.50264092008</v>
      </c>
      <c r="F440" s="147" t="e">
        <f t="shared" si="81"/>
        <v>#N/A</v>
      </c>
      <c r="G440" s="147">
        <f t="shared" si="81"/>
        <v>73102.722593319864</v>
      </c>
      <c r="H440" s="147">
        <f t="shared" si="81"/>
        <v>1596.0959356728197</v>
      </c>
      <c r="I440" s="290">
        <f t="shared" si="76"/>
        <v>650857.39755745465</v>
      </c>
      <c r="J440" s="172">
        <f t="shared" si="78"/>
        <v>1.0490438257658052E-2</v>
      </c>
      <c r="K440" s="291">
        <f t="shared" si="77"/>
        <v>2.4522974489691097E-3</v>
      </c>
      <c r="M440" s="170"/>
    </row>
    <row r="441" spans="1:13" x14ac:dyDescent="0.2">
      <c r="A441" s="147">
        <v>2037</v>
      </c>
      <c r="B441" s="147">
        <v>8</v>
      </c>
      <c r="C441" s="147" t="str">
        <f t="shared" si="75"/>
        <v>20378</v>
      </c>
      <c r="D441" s="147" t="str">
        <f t="shared" si="79"/>
        <v>Q3</v>
      </c>
      <c r="E441" s="147">
        <f t="shared" si="81"/>
        <v>83976.50264092008</v>
      </c>
      <c r="F441" s="147" t="e">
        <f t="shared" si="81"/>
        <v>#N/A</v>
      </c>
      <c r="G441" s="147">
        <f t="shared" si="81"/>
        <v>73102.722593319864</v>
      </c>
      <c r="H441" s="147">
        <f t="shared" si="81"/>
        <v>1596.0959356728197</v>
      </c>
      <c r="I441" s="290">
        <f t="shared" si="76"/>
        <v>650857.39755745465</v>
      </c>
      <c r="J441" s="172">
        <f t="shared" si="78"/>
        <v>1.0490438257658052E-2</v>
      </c>
      <c r="K441" s="291">
        <f t="shared" si="77"/>
        <v>2.4522974489691097E-3</v>
      </c>
      <c r="M441" s="170"/>
    </row>
    <row r="442" spans="1:13" x14ac:dyDescent="0.2">
      <c r="A442" s="147">
        <v>2037</v>
      </c>
      <c r="B442" s="147">
        <v>9</v>
      </c>
      <c r="C442" s="147" t="str">
        <f t="shared" si="75"/>
        <v>20379</v>
      </c>
      <c r="D442" s="147" t="str">
        <f t="shared" si="79"/>
        <v>Q3</v>
      </c>
      <c r="E442" s="147">
        <f t="shared" ref="E442:H461" si="82">VLOOKUP($A442&amp;$D442,$O$1:$W$189,MATCH(E$1,$O$1:$W$1,0),0)</f>
        <v>83976.50264092008</v>
      </c>
      <c r="F442" s="147" t="e">
        <f t="shared" si="82"/>
        <v>#N/A</v>
      </c>
      <c r="G442" s="147">
        <f t="shared" si="82"/>
        <v>73102.722593319864</v>
      </c>
      <c r="H442" s="147">
        <f t="shared" si="82"/>
        <v>1596.0959356728197</v>
      </c>
      <c r="I442" s="290">
        <f t="shared" si="76"/>
        <v>650857.39755745465</v>
      </c>
      <c r="J442" s="172">
        <f t="shared" si="78"/>
        <v>1.0490438257658052E-2</v>
      </c>
      <c r="K442" s="291">
        <f t="shared" si="77"/>
        <v>2.4522974489691097E-3</v>
      </c>
      <c r="M442" s="170"/>
    </row>
    <row r="443" spans="1:13" x14ac:dyDescent="0.2">
      <c r="A443" s="147">
        <v>2037</v>
      </c>
      <c r="B443" s="147">
        <v>10</v>
      </c>
      <c r="C443" s="147" t="str">
        <f t="shared" si="75"/>
        <v>203710</v>
      </c>
      <c r="D443" s="147" t="str">
        <f t="shared" si="79"/>
        <v>Q4</v>
      </c>
      <c r="E443" s="147">
        <f t="shared" si="82"/>
        <v>84447.650084376844</v>
      </c>
      <c r="F443" s="147" t="e">
        <f t="shared" si="82"/>
        <v>#N/A</v>
      </c>
      <c r="G443" s="147">
        <f t="shared" si="82"/>
        <v>73402.360419798119</v>
      </c>
      <c r="H443" s="147">
        <f t="shared" si="82"/>
        <v>1598.9764503681336</v>
      </c>
      <c r="I443" s="290">
        <f t="shared" si="76"/>
        <v>652016.8724216891</v>
      </c>
      <c r="J443" s="172">
        <f t="shared" si="78"/>
        <v>1.0808279791223896E-2</v>
      </c>
      <c r="K443" s="291">
        <f t="shared" si="77"/>
        <v>2.4523544067644961E-3</v>
      </c>
      <c r="M443" s="170"/>
    </row>
    <row r="444" spans="1:13" x14ac:dyDescent="0.2">
      <c r="A444" s="147">
        <v>2037</v>
      </c>
      <c r="B444" s="147">
        <v>11</v>
      </c>
      <c r="C444" s="147" t="str">
        <f t="shared" si="75"/>
        <v>203711</v>
      </c>
      <c r="D444" s="147" t="str">
        <f t="shared" si="79"/>
        <v>Q4</v>
      </c>
      <c r="E444" s="147">
        <f t="shared" si="82"/>
        <v>84447.650084376844</v>
      </c>
      <c r="F444" s="147" t="e">
        <f t="shared" si="82"/>
        <v>#N/A</v>
      </c>
      <c r="G444" s="147">
        <f t="shared" si="82"/>
        <v>73402.360419798119</v>
      </c>
      <c r="H444" s="147">
        <f t="shared" si="82"/>
        <v>1598.9764503681336</v>
      </c>
      <c r="I444" s="290">
        <f t="shared" si="76"/>
        <v>652016.8724216891</v>
      </c>
      <c r="J444" s="172">
        <f t="shared" si="78"/>
        <v>1.0808279791223896E-2</v>
      </c>
      <c r="K444" s="291">
        <f t="shared" si="77"/>
        <v>2.4523544067644961E-3</v>
      </c>
      <c r="M444" s="170"/>
    </row>
    <row r="445" spans="1:13" x14ac:dyDescent="0.2">
      <c r="A445" s="147">
        <v>2037</v>
      </c>
      <c r="B445" s="147">
        <v>12</v>
      </c>
      <c r="C445" s="147" t="str">
        <f t="shared" si="75"/>
        <v>203712</v>
      </c>
      <c r="D445" s="147" t="str">
        <f t="shared" si="79"/>
        <v>Q4</v>
      </c>
      <c r="E445" s="147">
        <f t="shared" si="82"/>
        <v>84447.650084376844</v>
      </c>
      <c r="F445" s="147" t="e">
        <f t="shared" si="82"/>
        <v>#N/A</v>
      </c>
      <c r="G445" s="147">
        <f t="shared" si="82"/>
        <v>73402.360419798119</v>
      </c>
      <c r="H445" s="147">
        <f t="shared" si="82"/>
        <v>1598.9764503681336</v>
      </c>
      <c r="I445" s="290">
        <f t="shared" si="76"/>
        <v>652016.8724216891</v>
      </c>
      <c r="J445" s="172">
        <f t="shared" si="78"/>
        <v>1.0808279791223896E-2</v>
      </c>
      <c r="K445" s="291">
        <f t="shared" si="77"/>
        <v>2.4523544067644961E-3</v>
      </c>
      <c r="M445" s="170"/>
    </row>
    <row r="446" spans="1:13" x14ac:dyDescent="0.2">
      <c r="A446" s="147">
        <v>2038</v>
      </c>
      <c r="B446" s="147">
        <v>1</v>
      </c>
      <c r="C446" s="147" t="str">
        <f t="shared" si="75"/>
        <v>20381</v>
      </c>
      <c r="D446" s="147" t="str">
        <f t="shared" si="79"/>
        <v>Q1</v>
      </c>
      <c r="E446" s="147">
        <f t="shared" si="82"/>
        <v>85325.741040681343</v>
      </c>
      <c r="F446" s="147" t="e">
        <f t="shared" si="82"/>
        <v>#N/A</v>
      </c>
      <c r="G446" s="147">
        <f t="shared" si="82"/>
        <v>74168.296997856392</v>
      </c>
      <c r="H446" s="147">
        <f t="shared" si="82"/>
        <v>1601.4611143230209</v>
      </c>
      <c r="I446" s="290">
        <f t="shared" si="76"/>
        <v>653085.3865174097</v>
      </c>
      <c r="J446" s="172">
        <f t="shared" si="78"/>
        <v>2.5556779806070073E-2</v>
      </c>
      <c r="K446" s="291">
        <f t="shared" si="77"/>
        <v>2.4521466065300325E-3</v>
      </c>
      <c r="M446" s="170"/>
    </row>
    <row r="447" spans="1:13" x14ac:dyDescent="0.2">
      <c r="A447" s="147">
        <v>2038</v>
      </c>
      <c r="B447" s="147">
        <v>2</v>
      </c>
      <c r="C447" s="147" t="str">
        <f t="shared" si="75"/>
        <v>20382</v>
      </c>
      <c r="D447" s="147" t="str">
        <f t="shared" si="79"/>
        <v>Q1</v>
      </c>
      <c r="E447" s="147">
        <f t="shared" si="82"/>
        <v>85325.741040681343</v>
      </c>
      <c r="F447" s="147" t="e">
        <f t="shared" si="82"/>
        <v>#N/A</v>
      </c>
      <c r="G447" s="147">
        <f t="shared" si="82"/>
        <v>74168.296997856392</v>
      </c>
      <c r="H447" s="147">
        <f t="shared" si="82"/>
        <v>1601.4611143230209</v>
      </c>
      <c r="I447" s="290">
        <f t="shared" si="76"/>
        <v>653085.3865174097</v>
      </c>
      <c r="J447" s="172">
        <f t="shared" si="78"/>
        <v>2.5556779806070073E-2</v>
      </c>
      <c r="K447" s="291">
        <f t="shared" si="77"/>
        <v>2.4521466065300325E-3</v>
      </c>
      <c r="M447" s="170"/>
    </row>
    <row r="448" spans="1:13" x14ac:dyDescent="0.2">
      <c r="A448" s="147">
        <v>2038</v>
      </c>
      <c r="B448" s="147">
        <v>3</v>
      </c>
      <c r="C448" s="147" t="str">
        <f t="shared" si="75"/>
        <v>20383</v>
      </c>
      <c r="D448" s="147" t="str">
        <f t="shared" si="79"/>
        <v>Q1</v>
      </c>
      <c r="E448" s="147">
        <f t="shared" si="82"/>
        <v>85325.741040681343</v>
      </c>
      <c r="F448" s="147" t="e">
        <f t="shared" si="82"/>
        <v>#N/A</v>
      </c>
      <c r="G448" s="147">
        <f t="shared" si="82"/>
        <v>74168.296997856392</v>
      </c>
      <c r="H448" s="147">
        <f t="shared" si="82"/>
        <v>1601.4611143230209</v>
      </c>
      <c r="I448" s="290">
        <f t="shared" si="76"/>
        <v>653085.3865174097</v>
      </c>
      <c r="J448" s="172">
        <f t="shared" si="78"/>
        <v>2.5556779806070073E-2</v>
      </c>
      <c r="K448" s="291">
        <f t="shared" si="77"/>
        <v>2.4521466065300325E-3</v>
      </c>
      <c r="M448" s="170"/>
    </row>
    <row r="449" spans="1:20" x14ac:dyDescent="0.2">
      <c r="A449" s="147">
        <v>2038</v>
      </c>
      <c r="B449" s="147">
        <v>4</v>
      </c>
      <c r="C449" s="147" t="str">
        <f t="shared" si="75"/>
        <v>20384</v>
      </c>
      <c r="D449" s="147" t="str">
        <f t="shared" si="79"/>
        <v>Q2</v>
      </c>
      <c r="E449" s="147">
        <f t="shared" si="82"/>
        <v>85665.927115640719</v>
      </c>
      <c r="F449" s="147" t="e">
        <f t="shared" si="82"/>
        <v>#N/A</v>
      </c>
      <c r="G449" s="147">
        <f t="shared" si="82"/>
        <v>74450.486243109015</v>
      </c>
      <c r="H449" s="147">
        <f t="shared" si="82"/>
        <v>1604.3431943766236</v>
      </c>
      <c r="I449" s="290">
        <f t="shared" si="76"/>
        <v>654302.44144476508</v>
      </c>
      <c r="J449" s="172">
        <f t="shared" si="78"/>
        <v>2.5346977422542771E-2</v>
      </c>
      <c r="K449" s="291">
        <f t="shared" si="77"/>
        <v>2.4519902307472271E-3</v>
      </c>
      <c r="M449" s="170"/>
    </row>
    <row r="450" spans="1:20" x14ac:dyDescent="0.2">
      <c r="A450" s="147">
        <v>2038</v>
      </c>
      <c r="B450" s="147">
        <v>5</v>
      </c>
      <c r="C450" s="147" t="str">
        <f t="shared" si="75"/>
        <v>20385</v>
      </c>
      <c r="D450" s="147" t="str">
        <f t="shared" si="79"/>
        <v>Q2</v>
      </c>
      <c r="E450" s="147">
        <f t="shared" si="82"/>
        <v>85665.927115640719</v>
      </c>
      <c r="F450" s="147" t="e">
        <f t="shared" si="82"/>
        <v>#N/A</v>
      </c>
      <c r="G450" s="147">
        <f t="shared" si="82"/>
        <v>74450.486243109015</v>
      </c>
      <c r="H450" s="147">
        <f t="shared" si="82"/>
        <v>1604.3431943766236</v>
      </c>
      <c r="I450" s="290">
        <f t="shared" si="76"/>
        <v>654302.44144476508</v>
      </c>
      <c r="J450" s="172">
        <f t="shared" si="78"/>
        <v>2.5346977422542771E-2</v>
      </c>
      <c r="K450" s="291">
        <f t="shared" si="77"/>
        <v>2.4519902307472271E-3</v>
      </c>
      <c r="M450" s="170"/>
    </row>
    <row r="451" spans="1:20" x14ac:dyDescent="0.2">
      <c r="A451" s="147">
        <v>2038</v>
      </c>
      <c r="B451" s="147">
        <v>6</v>
      </c>
      <c r="C451" s="147" t="str">
        <f t="shared" ref="C451:C514" si="83">A451&amp;B451</f>
        <v>20386</v>
      </c>
      <c r="D451" s="147" t="str">
        <f t="shared" si="79"/>
        <v>Q2</v>
      </c>
      <c r="E451" s="147">
        <f t="shared" si="82"/>
        <v>85665.927115640719</v>
      </c>
      <c r="F451" s="147" t="e">
        <f t="shared" si="82"/>
        <v>#N/A</v>
      </c>
      <c r="G451" s="147">
        <f t="shared" si="82"/>
        <v>74450.486243109015</v>
      </c>
      <c r="H451" s="147">
        <f t="shared" si="82"/>
        <v>1604.3431943766236</v>
      </c>
      <c r="I451" s="290">
        <f t="shared" ref="I451:I514" si="84">VLOOKUP($A451&amp;$D451,$O$1:$W$189,MATCH(I$1,$O$1:$W$1,0),0)*1000</f>
        <v>654302.44144476508</v>
      </c>
      <c r="J451" s="172">
        <f t="shared" si="78"/>
        <v>2.5346977422542771E-2</v>
      </c>
      <c r="K451" s="291">
        <f t="shared" ref="K451:K514" si="85">H451/I451</f>
        <v>2.4519902307472271E-3</v>
      </c>
      <c r="M451" s="170"/>
    </row>
    <row r="452" spans="1:20" x14ac:dyDescent="0.2">
      <c r="A452" s="147">
        <v>2038</v>
      </c>
      <c r="B452" s="147">
        <v>7</v>
      </c>
      <c r="C452" s="147" t="str">
        <f t="shared" si="83"/>
        <v>20387</v>
      </c>
      <c r="D452" s="147" t="str">
        <f t="shared" si="79"/>
        <v>Q3</v>
      </c>
      <c r="E452" s="147">
        <f t="shared" si="82"/>
        <v>86261.533666774703</v>
      </c>
      <c r="F452" s="147" t="e">
        <f t="shared" si="82"/>
        <v>#N/A</v>
      </c>
      <c r="G452" s="147">
        <f t="shared" si="82"/>
        <v>74816.632055130074</v>
      </c>
      <c r="H452" s="147">
        <f t="shared" si="82"/>
        <v>1606.83089746121</v>
      </c>
      <c r="I452" s="290">
        <f t="shared" si="84"/>
        <v>655356.2550738696</v>
      </c>
      <c r="J452" s="172">
        <f t="shared" si="78"/>
        <v>2.7210361874979716E-2</v>
      </c>
      <c r="K452" s="291">
        <f t="shared" si="85"/>
        <v>2.4518433829247475E-3</v>
      </c>
      <c r="M452" s="170"/>
    </row>
    <row r="453" spans="1:20" x14ac:dyDescent="0.2">
      <c r="A453" s="147">
        <v>2038</v>
      </c>
      <c r="B453" s="147">
        <v>8</v>
      </c>
      <c r="C453" s="147" t="str">
        <f t="shared" si="83"/>
        <v>20388</v>
      </c>
      <c r="D453" s="147" t="str">
        <f t="shared" si="79"/>
        <v>Q3</v>
      </c>
      <c r="E453" s="147">
        <f t="shared" si="82"/>
        <v>86261.533666774703</v>
      </c>
      <c r="F453" s="147" t="e">
        <f t="shared" si="82"/>
        <v>#N/A</v>
      </c>
      <c r="G453" s="147">
        <f t="shared" si="82"/>
        <v>74816.632055130074</v>
      </c>
      <c r="H453" s="147">
        <f t="shared" si="82"/>
        <v>1606.83089746121</v>
      </c>
      <c r="I453" s="290">
        <f t="shared" si="84"/>
        <v>655356.2550738696</v>
      </c>
      <c r="J453" s="172">
        <f t="shared" si="78"/>
        <v>2.7210361874979716E-2</v>
      </c>
      <c r="K453" s="291">
        <f t="shared" si="85"/>
        <v>2.4518433829247475E-3</v>
      </c>
      <c r="M453" s="170"/>
    </row>
    <row r="454" spans="1:20" x14ac:dyDescent="0.2">
      <c r="A454" s="147">
        <v>2038</v>
      </c>
      <c r="B454" s="147">
        <v>9</v>
      </c>
      <c r="C454" s="147" t="str">
        <f t="shared" si="83"/>
        <v>20389</v>
      </c>
      <c r="D454" s="147" t="str">
        <f t="shared" si="79"/>
        <v>Q3</v>
      </c>
      <c r="E454" s="147">
        <f t="shared" si="82"/>
        <v>86261.533666774703</v>
      </c>
      <c r="F454" s="147" t="e">
        <f t="shared" si="82"/>
        <v>#N/A</v>
      </c>
      <c r="G454" s="147">
        <f t="shared" si="82"/>
        <v>74816.632055130074</v>
      </c>
      <c r="H454" s="147">
        <f t="shared" si="82"/>
        <v>1606.83089746121</v>
      </c>
      <c r="I454" s="290">
        <f t="shared" si="84"/>
        <v>655356.2550738696</v>
      </c>
      <c r="J454" s="172">
        <f t="shared" si="78"/>
        <v>2.7210361874979716E-2</v>
      </c>
      <c r="K454" s="291">
        <f t="shared" si="85"/>
        <v>2.4518433829247475E-3</v>
      </c>
      <c r="M454" s="170"/>
    </row>
    <row r="455" spans="1:20" x14ac:dyDescent="0.2">
      <c r="A455" s="147">
        <v>2038</v>
      </c>
      <c r="B455" s="147">
        <v>10</v>
      </c>
      <c r="C455" s="147" t="str">
        <f t="shared" si="83"/>
        <v>203810</v>
      </c>
      <c r="D455" s="147" t="str">
        <f t="shared" si="79"/>
        <v>Q4</v>
      </c>
      <c r="E455" s="147">
        <f t="shared" si="82"/>
        <v>86562.468071197844</v>
      </c>
      <c r="F455" s="147" t="e">
        <f t="shared" si="82"/>
        <v>#N/A</v>
      </c>
      <c r="G455" s="147">
        <f t="shared" si="82"/>
        <v>75064.067244100908</v>
      </c>
      <c r="H455" s="147">
        <f t="shared" si="82"/>
        <v>1609.7258733013837</v>
      </c>
      <c r="I455" s="290">
        <f t="shared" si="84"/>
        <v>656497.94238726515</v>
      </c>
      <c r="J455" s="172">
        <f t="shared" ref="J455:J517" si="86">E455/E443-1</f>
        <v>2.5042946543899713E-2</v>
      </c>
      <c r="K455" s="291">
        <f t="shared" si="85"/>
        <v>2.451989213321576E-3</v>
      </c>
      <c r="M455" s="170"/>
    </row>
    <row r="456" spans="1:20" x14ac:dyDescent="0.2">
      <c r="A456" s="147">
        <v>2038</v>
      </c>
      <c r="B456" s="147">
        <v>11</v>
      </c>
      <c r="C456" s="147" t="str">
        <f t="shared" si="83"/>
        <v>203811</v>
      </c>
      <c r="D456" s="147" t="str">
        <f t="shared" si="79"/>
        <v>Q4</v>
      </c>
      <c r="E456" s="147">
        <f t="shared" si="82"/>
        <v>86562.468071197844</v>
      </c>
      <c r="F456" s="147" t="e">
        <f t="shared" si="82"/>
        <v>#N/A</v>
      </c>
      <c r="G456" s="147">
        <f t="shared" si="82"/>
        <v>75064.067244100908</v>
      </c>
      <c r="H456" s="147">
        <f t="shared" si="82"/>
        <v>1609.7258733013837</v>
      </c>
      <c r="I456" s="290">
        <f t="shared" si="84"/>
        <v>656497.94238726515</v>
      </c>
      <c r="J456" s="172">
        <f t="shared" si="86"/>
        <v>2.5042946543899713E-2</v>
      </c>
      <c r="K456" s="291">
        <f t="shared" si="85"/>
        <v>2.451989213321576E-3</v>
      </c>
      <c r="M456" s="170"/>
    </row>
    <row r="457" spans="1:20" x14ac:dyDescent="0.2">
      <c r="A457" s="147">
        <v>2038</v>
      </c>
      <c r="B457" s="147">
        <v>12</v>
      </c>
      <c r="C457" s="147" t="str">
        <f t="shared" si="83"/>
        <v>203812</v>
      </c>
      <c r="D457" s="147" t="str">
        <f t="shared" si="79"/>
        <v>Q4</v>
      </c>
      <c r="E457" s="147">
        <f t="shared" si="82"/>
        <v>86562.468071197844</v>
      </c>
      <c r="F457" s="147" t="e">
        <f t="shared" si="82"/>
        <v>#N/A</v>
      </c>
      <c r="G457" s="147">
        <f t="shared" si="82"/>
        <v>75064.067244100908</v>
      </c>
      <c r="H457" s="147">
        <f t="shared" si="82"/>
        <v>1609.7258733013837</v>
      </c>
      <c r="I457" s="290">
        <f t="shared" si="84"/>
        <v>656497.94238726515</v>
      </c>
      <c r="J457" s="172">
        <f t="shared" si="86"/>
        <v>2.5042946543899713E-2</v>
      </c>
      <c r="K457" s="291">
        <f t="shared" si="85"/>
        <v>2.451989213321576E-3</v>
      </c>
      <c r="M457" s="170"/>
    </row>
    <row r="458" spans="1:20" x14ac:dyDescent="0.2">
      <c r="A458" s="147">
        <v>2039</v>
      </c>
      <c r="B458" s="147">
        <v>1</v>
      </c>
      <c r="C458" s="147" t="str">
        <f t="shared" si="83"/>
        <v>20391</v>
      </c>
      <c r="D458" s="147" t="str">
        <f t="shared" si="79"/>
        <v>Q1</v>
      </c>
      <c r="E458" s="147">
        <f t="shared" si="82"/>
        <v>87456.578483996418</v>
      </c>
      <c r="F458" s="147" t="e">
        <f t="shared" si="82"/>
        <v>#N/A</v>
      </c>
      <c r="G458" s="147">
        <f t="shared" si="82"/>
        <v>75840.568404815305</v>
      </c>
      <c r="H458" s="147">
        <f t="shared" si="82"/>
        <v>1612.6175504805458</v>
      </c>
      <c r="I458" s="290">
        <f t="shared" si="84"/>
        <v>657756.57910264248</v>
      </c>
      <c r="J458" s="172">
        <f t="shared" si="86"/>
        <v>2.4972973188702063E-2</v>
      </c>
      <c r="K458" s="291">
        <f t="shared" si="85"/>
        <v>2.451693531793466E-3</v>
      </c>
      <c r="M458" s="170"/>
      <c r="P458" s="155"/>
      <c r="Q458" s="155"/>
      <c r="R458" s="155"/>
      <c r="S458" s="155"/>
      <c r="T458" s="155"/>
    </row>
    <row r="459" spans="1:20" x14ac:dyDescent="0.2">
      <c r="A459" s="147">
        <v>2039</v>
      </c>
      <c r="B459" s="147">
        <v>2</v>
      </c>
      <c r="C459" s="147" t="str">
        <f t="shared" si="83"/>
        <v>20392</v>
      </c>
      <c r="D459" s="147" t="str">
        <f t="shared" si="79"/>
        <v>Q1</v>
      </c>
      <c r="E459" s="147">
        <f t="shared" si="82"/>
        <v>87456.578483996418</v>
      </c>
      <c r="F459" s="147" t="e">
        <f t="shared" si="82"/>
        <v>#N/A</v>
      </c>
      <c r="G459" s="147">
        <f t="shared" si="82"/>
        <v>75840.568404815305</v>
      </c>
      <c r="H459" s="147">
        <f t="shared" si="82"/>
        <v>1612.6175504805458</v>
      </c>
      <c r="I459" s="290">
        <f t="shared" si="84"/>
        <v>657756.57910264248</v>
      </c>
      <c r="J459" s="172">
        <f t="shared" si="86"/>
        <v>2.4972973188702063E-2</v>
      </c>
      <c r="K459" s="291">
        <f t="shared" si="85"/>
        <v>2.451693531793466E-3</v>
      </c>
      <c r="M459" s="170"/>
      <c r="P459" s="155"/>
      <c r="Q459" s="155"/>
      <c r="R459" s="155"/>
      <c r="S459" s="155"/>
      <c r="T459" s="155"/>
    </row>
    <row r="460" spans="1:20" x14ac:dyDescent="0.2">
      <c r="A460" s="147">
        <v>2039</v>
      </c>
      <c r="B460" s="147">
        <v>3</v>
      </c>
      <c r="C460" s="147" t="str">
        <f t="shared" si="83"/>
        <v>20393</v>
      </c>
      <c r="D460" s="147" t="str">
        <f t="shared" si="79"/>
        <v>Q1</v>
      </c>
      <c r="E460" s="147">
        <f t="shared" si="82"/>
        <v>87456.578483996418</v>
      </c>
      <c r="F460" s="147" t="e">
        <f t="shared" si="82"/>
        <v>#N/A</v>
      </c>
      <c r="G460" s="147">
        <f t="shared" si="82"/>
        <v>75840.568404815305</v>
      </c>
      <c r="H460" s="147">
        <f t="shared" si="82"/>
        <v>1612.6175504805458</v>
      </c>
      <c r="I460" s="290">
        <f t="shared" si="84"/>
        <v>657756.57910264248</v>
      </c>
      <c r="J460" s="172">
        <f t="shared" si="86"/>
        <v>2.4972973188702063E-2</v>
      </c>
      <c r="K460" s="291">
        <f t="shared" si="85"/>
        <v>2.451693531793466E-3</v>
      </c>
      <c r="M460" s="170"/>
      <c r="P460" s="155"/>
      <c r="Q460" s="155"/>
      <c r="R460" s="155"/>
      <c r="S460" s="155"/>
      <c r="T460" s="155"/>
    </row>
    <row r="461" spans="1:20" x14ac:dyDescent="0.2">
      <c r="A461" s="147">
        <v>2039</v>
      </c>
      <c r="B461" s="147">
        <v>4</v>
      </c>
      <c r="C461" s="147" t="str">
        <f t="shared" si="83"/>
        <v>20394</v>
      </c>
      <c r="D461" s="147" t="str">
        <f t="shared" si="79"/>
        <v>Q2</v>
      </c>
      <c r="E461" s="147">
        <f t="shared" si="82"/>
        <v>88206.735149317159</v>
      </c>
      <c r="F461" s="147" t="e">
        <f t="shared" si="82"/>
        <v>#N/A</v>
      </c>
      <c r="G461" s="147">
        <f t="shared" si="82"/>
        <v>76141.322355622717</v>
      </c>
      <c r="H461" s="147">
        <f t="shared" si="82"/>
        <v>1615.5089503416345</v>
      </c>
      <c r="I461" s="290">
        <f t="shared" si="84"/>
        <v>658989.17613108386</v>
      </c>
      <c r="J461" s="172">
        <f t="shared" si="86"/>
        <v>2.9659493794383263E-2</v>
      </c>
      <c r="K461" s="291">
        <f t="shared" si="85"/>
        <v>2.4514954248964524E-3</v>
      </c>
      <c r="M461" s="170"/>
      <c r="P461" s="155"/>
      <c r="Q461" s="155"/>
      <c r="R461" s="155"/>
      <c r="S461" s="155"/>
      <c r="T461" s="155"/>
    </row>
    <row r="462" spans="1:20" x14ac:dyDescent="0.2">
      <c r="A462" s="147">
        <v>2039</v>
      </c>
      <c r="B462" s="147">
        <v>5</v>
      </c>
      <c r="C462" s="147" t="str">
        <f t="shared" si="83"/>
        <v>20395</v>
      </c>
      <c r="D462" s="147" t="str">
        <f t="shared" si="79"/>
        <v>Q2</v>
      </c>
      <c r="E462" s="147">
        <f t="shared" ref="E462:H481" si="87">VLOOKUP($A462&amp;$D462,$O$1:$W$189,MATCH(E$1,$O$1:$W$1,0),0)</f>
        <v>88206.735149317159</v>
      </c>
      <c r="F462" s="147" t="e">
        <f t="shared" si="87"/>
        <v>#N/A</v>
      </c>
      <c r="G462" s="147">
        <f t="shared" si="87"/>
        <v>76141.322355622717</v>
      </c>
      <c r="H462" s="147">
        <f t="shared" si="87"/>
        <v>1615.5089503416345</v>
      </c>
      <c r="I462" s="290">
        <f t="shared" si="84"/>
        <v>658989.17613108386</v>
      </c>
      <c r="J462" s="172">
        <f t="shared" si="86"/>
        <v>2.9659493794383263E-2</v>
      </c>
      <c r="K462" s="291">
        <f t="shared" si="85"/>
        <v>2.4514954248964524E-3</v>
      </c>
      <c r="M462" s="170"/>
      <c r="P462" s="155"/>
      <c r="Q462" s="155"/>
      <c r="R462" s="155"/>
      <c r="S462" s="155"/>
      <c r="T462" s="155"/>
    </row>
    <row r="463" spans="1:20" x14ac:dyDescent="0.2">
      <c r="A463" s="147">
        <v>2039</v>
      </c>
      <c r="B463" s="147">
        <v>6</v>
      </c>
      <c r="C463" s="147" t="str">
        <f t="shared" si="83"/>
        <v>20396</v>
      </c>
      <c r="D463" s="147" t="str">
        <f t="shared" ref="D463:D517" si="88">D451</f>
        <v>Q2</v>
      </c>
      <c r="E463" s="147">
        <f t="shared" si="87"/>
        <v>88206.735149317159</v>
      </c>
      <c r="F463" s="147" t="e">
        <f t="shared" si="87"/>
        <v>#N/A</v>
      </c>
      <c r="G463" s="147">
        <f t="shared" si="87"/>
        <v>76141.322355622717</v>
      </c>
      <c r="H463" s="147">
        <f t="shared" si="87"/>
        <v>1615.5089503416345</v>
      </c>
      <c r="I463" s="290">
        <f t="shared" si="84"/>
        <v>658989.17613108386</v>
      </c>
      <c r="J463" s="172">
        <f t="shared" si="86"/>
        <v>2.9659493794383263E-2</v>
      </c>
      <c r="K463" s="291">
        <f t="shared" si="85"/>
        <v>2.4514954248964524E-3</v>
      </c>
      <c r="M463" s="170"/>
      <c r="P463" s="155"/>
      <c r="Q463" s="155"/>
      <c r="R463" s="155"/>
      <c r="S463" s="155"/>
      <c r="T463" s="155"/>
    </row>
    <row r="464" spans="1:20" x14ac:dyDescent="0.2">
      <c r="A464" s="147">
        <v>2039</v>
      </c>
      <c r="B464" s="147">
        <v>7</v>
      </c>
      <c r="C464" s="147" t="str">
        <f t="shared" si="83"/>
        <v>20397</v>
      </c>
      <c r="D464" s="147" t="str">
        <f t="shared" si="88"/>
        <v>Q3</v>
      </c>
      <c r="E464" s="147">
        <f t="shared" si="87"/>
        <v>88634.040610014141</v>
      </c>
      <c r="F464" s="147" t="e">
        <f t="shared" si="87"/>
        <v>#N/A</v>
      </c>
      <c r="G464" s="147">
        <f t="shared" si="87"/>
        <v>76492.965770602008</v>
      </c>
      <c r="H464" s="147">
        <f t="shared" si="87"/>
        <v>1617.6029197345481</v>
      </c>
      <c r="I464" s="290">
        <f t="shared" si="84"/>
        <v>659926.41393341171</v>
      </c>
      <c r="J464" s="172">
        <f t="shared" si="86"/>
        <v>2.7503648989181562E-2</v>
      </c>
      <c r="K464" s="291">
        <f t="shared" si="85"/>
        <v>2.4511868074699743E-3</v>
      </c>
      <c r="M464" s="170"/>
      <c r="P464" s="155"/>
      <c r="Q464" s="155"/>
      <c r="R464" s="155"/>
      <c r="S464" s="155"/>
      <c r="T464" s="155"/>
    </row>
    <row r="465" spans="1:20" x14ac:dyDescent="0.2">
      <c r="A465" s="147">
        <v>2039</v>
      </c>
      <c r="B465" s="147">
        <v>8</v>
      </c>
      <c r="C465" s="147" t="str">
        <f t="shared" si="83"/>
        <v>20398</v>
      </c>
      <c r="D465" s="147" t="str">
        <f t="shared" si="88"/>
        <v>Q3</v>
      </c>
      <c r="E465" s="147">
        <f t="shared" si="87"/>
        <v>88634.040610014141</v>
      </c>
      <c r="F465" s="147" t="e">
        <f t="shared" si="87"/>
        <v>#N/A</v>
      </c>
      <c r="G465" s="147">
        <f t="shared" si="87"/>
        <v>76492.965770602008</v>
      </c>
      <c r="H465" s="147">
        <f t="shared" si="87"/>
        <v>1617.6029197345481</v>
      </c>
      <c r="I465" s="290">
        <f t="shared" si="84"/>
        <v>659926.41393341171</v>
      </c>
      <c r="J465" s="172">
        <f t="shared" si="86"/>
        <v>2.7503648989181562E-2</v>
      </c>
      <c r="K465" s="291">
        <f t="shared" si="85"/>
        <v>2.4511868074699743E-3</v>
      </c>
      <c r="M465" s="170"/>
      <c r="P465" s="155"/>
      <c r="Q465" s="155"/>
      <c r="R465" s="155"/>
      <c r="S465" s="155"/>
      <c r="T465" s="155"/>
    </row>
    <row r="466" spans="1:20" x14ac:dyDescent="0.2">
      <c r="A466" s="147">
        <v>2039</v>
      </c>
      <c r="B466" s="147">
        <v>9</v>
      </c>
      <c r="C466" s="147" t="str">
        <f t="shared" si="83"/>
        <v>20399</v>
      </c>
      <c r="D466" s="147" t="str">
        <f t="shared" si="88"/>
        <v>Q3</v>
      </c>
      <c r="E466" s="147">
        <f t="shared" si="87"/>
        <v>88634.040610014141</v>
      </c>
      <c r="F466" s="147" t="e">
        <f t="shared" si="87"/>
        <v>#N/A</v>
      </c>
      <c r="G466" s="147">
        <f t="shared" si="87"/>
        <v>76492.965770602008</v>
      </c>
      <c r="H466" s="147">
        <f t="shared" si="87"/>
        <v>1617.6029197345481</v>
      </c>
      <c r="I466" s="290">
        <f t="shared" si="84"/>
        <v>659926.41393341171</v>
      </c>
      <c r="J466" s="172">
        <f t="shared" si="86"/>
        <v>2.7503648989181562E-2</v>
      </c>
      <c r="K466" s="291">
        <f t="shared" si="85"/>
        <v>2.4511868074699743E-3</v>
      </c>
      <c r="M466" s="170"/>
      <c r="P466" s="155"/>
      <c r="Q466" s="155"/>
      <c r="R466" s="155"/>
      <c r="S466" s="155"/>
      <c r="T466" s="155"/>
    </row>
    <row r="467" spans="1:20" x14ac:dyDescent="0.2">
      <c r="A467" s="147">
        <v>2039</v>
      </c>
      <c r="B467" s="147">
        <v>10</v>
      </c>
      <c r="C467" s="147" t="str">
        <f t="shared" si="83"/>
        <v>203910</v>
      </c>
      <c r="D467" s="147" t="str">
        <f t="shared" si="88"/>
        <v>Q4</v>
      </c>
      <c r="E467" s="147">
        <f t="shared" si="87"/>
        <v>88887.536242389018</v>
      </c>
      <c r="F467" s="147" t="e">
        <f t="shared" si="87"/>
        <v>#N/A</v>
      </c>
      <c r="G467" s="147">
        <f t="shared" si="87"/>
        <v>76695.004703515413</v>
      </c>
      <c r="H467" s="147">
        <f t="shared" si="87"/>
        <v>1620.4951949773053</v>
      </c>
      <c r="I467" s="290">
        <f t="shared" si="84"/>
        <v>661031.53954447573</v>
      </c>
      <c r="J467" s="172">
        <f t="shared" si="86"/>
        <v>2.6860003220781525E-2</v>
      </c>
      <c r="K467" s="291">
        <f t="shared" si="85"/>
        <v>2.4514642615903119E-3</v>
      </c>
      <c r="M467" s="170"/>
      <c r="P467" s="155"/>
      <c r="Q467" s="155"/>
      <c r="R467" s="155"/>
      <c r="S467" s="155"/>
      <c r="T467" s="155"/>
    </row>
    <row r="468" spans="1:20" x14ac:dyDescent="0.2">
      <c r="A468" s="147">
        <v>2039</v>
      </c>
      <c r="B468" s="147">
        <v>11</v>
      </c>
      <c r="C468" s="147" t="str">
        <f t="shared" si="83"/>
        <v>203911</v>
      </c>
      <c r="D468" s="147" t="str">
        <f t="shared" si="88"/>
        <v>Q4</v>
      </c>
      <c r="E468" s="147">
        <f t="shared" si="87"/>
        <v>88887.536242389018</v>
      </c>
      <c r="F468" s="147" t="e">
        <f t="shared" si="87"/>
        <v>#N/A</v>
      </c>
      <c r="G468" s="147">
        <f t="shared" si="87"/>
        <v>76695.004703515413</v>
      </c>
      <c r="H468" s="147">
        <f t="shared" si="87"/>
        <v>1620.4951949773053</v>
      </c>
      <c r="I468" s="290">
        <f t="shared" si="84"/>
        <v>661031.53954447573</v>
      </c>
      <c r="J468" s="172">
        <f t="shared" si="86"/>
        <v>2.6860003220781525E-2</v>
      </c>
      <c r="K468" s="291">
        <f t="shared" si="85"/>
        <v>2.4514642615903119E-3</v>
      </c>
      <c r="M468" s="170"/>
      <c r="P468" s="155"/>
      <c r="Q468" s="155"/>
      <c r="R468" s="155"/>
      <c r="S468" s="155"/>
      <c r="T468" s="155"/>
    </row>
    <row r="469" spans="1:20" x14ac:dyDescent="0.2">
      <c r="A469" s="147">
        <v>2039</v>
      </c>
      <c r="B469" s="147">
        <v>12</v>
      </c>
      <c r="C469" s="147" t="str">
        <f t="shared" si="83"/>
        <v>203912</v>
      </c>
      <c r="D469" s="147" t="str">
        <f t="shared" si="88"/>
        <v>Q4</v>
      </c>
      <c r="E469" s="147">
        <f t="shared" si="87"/>
        <v>88887.536242389018</v>
      </c>
      <c r="F469" s="147" t="e">
        <f t="shared" si="87"/>
        <v>#N/A</v>
      </c>
      <c r="G469" s="147">
        <f t="shared" si="87"/>
        <v>76695.004703515413</v>
      </c>
      <c r="H469" s="147">
        <f t="shared" si="87"/>
        <v>1620.4951949773053</v>
      </c>
      <c r="I469" s="290">
        <f t="shared" si="84"/>
        <v>661031.53954447573</v>
      </c>
      <c r="J469" s="172">
        <f t="shared" si="86"/>
        <v>2.6860003220781525E-2</v>
      </c>
      <c r="K469" s="291">
        <f t="shared" si="85"/>
        <v>2.4514642615903119E-3</v>
      </c>
      <c r="M469" s="170"/>
      <c r="P469" s="155"/>
      <c r="Q469" s="155"/>
      <c r="R469" s="155"/>
      <c r="S469" s="155"/>
      <c r="T469" s="155"/>
    </row>
    <row r="470" spans="1:20" x14ac:dyDescent="0.2">
      <c r="A470" s="147">
        <v>2040</v>
      </c>
      <c r="B470" s="147">
        <v>1</v>
      </c>
      <c r="C470" s="147" t="str">
        <f t="shared" si="83"/>
        <v>20401</v>
      </c>
      <c r="D470" s="147" t="str">
        <f t="shared" si="88"/>
        <v>Q1</v>
      </c>
      <c r="E470" s="147">
        <f t="shared" si="87"/>
        <v>89929.271494689019</v>
      </c>
      <c r="F470" s="147" t="e">
        <f t="shared" si="87"/>
        <v>#N/A</v>
      </c>
      <c r="G470" s="147">
        <f t="shared" si="87"/>
        <v>77513.638711835636</v>
      </c>
      <c r="H470" s="147">
        <f t="shared" si="87"/>
        <v>1623.7853490545465</v>
      </c>
      <c r="I470" s="290">
        <f t="shared" si="84"/>
        <v>662492.88821517304</v>
      </c>
      <c r="J470" s="172">
        <f t="shared" si="86"/>
        <v>2.8273379242078178E-2</v>
      </c>
      <c r="K470" s="291">
        <f t="shared" si="85"/>
        <v>2.4510230644576407E-3</v>
      </c>
      <c r="M470" s="170"/>
    </row>
    <row r="471" spans="1:20" x14ac:dyDescent="0.2">
      <c r="A471" s="147">
        <v>2040</v>
      </c>
      <c r="B471" s="147">
        <v>2</v>
      </c>
      <c r="C471" s="147" t="str">
        <f t="shared" si="83"/>
        <v>20402</v>
      </c>
      <c r="D471" s="147" t="str">
        <f t="shared" si="88"/>
        <v>Q1</v>
      </c>
      <c r="E471" s="147">
        <f t="shared" si="87"/>
        <v>89929.271494689019</v>
      </c>
      <c r="F471" s="147" t="e">
        <f t="shared" si="87"/>
        <v>#N/A</v>
      </c>
      <c r="G471" s="147">
        <f t="shared" si="87"/>
        <v>77513.638711835636</v>
      </c>
      <c r="H471" s="147">
        <f t="shared" si="87"/>
        <v>1623.7853490545465</v>
      </c>
      <c r="I471" s="290">
        <f t="shared" si="84"/>
        <v>662492.88821517304</v>
      </c>
      <c r="J471" s="172">
        <f t="shared" si="86"/>
        <v>2.8273379242078178E-2</v>
      </c>
      <c r="K471" s="291">
        <f t="shared" si="85"/>
        <v>2.4510230644576407E-3</v>
      </c>
      <c r="M471" s="170"/>
    </row>
    <row r="472" spans="1:20" x14ac:dyDescent="0.2">
      <c r="A472" s="147">
        <v>2040</v>
      </c>
      <c r="B472" s="147">
        <v>3</v>
      </c>
      <c r="C472" s="147" t="str">
        <f t="shared" si="83"/>
        <v>20403</v>
      </c>
      <c r="D472" s="147" t="str">
        <f t="shared" si="88"/>
        <v>Q1</v>
      </c>
      <c r="E472" s="147">
        <f t="shared" si="87"/>
        <v>89929.271494689019</v>
      </c>
      <c r="F472" s="147" t="e">
        <f t="shared" si="87"/>
        <v>#N/A</v>
      </c>
      <c r="G472" s="147">
        <f t="shared" si="87"/>
        <v>77513.638711835636</v>
      </c>
      <c r="H472" s="147">
        <f t="shared" si="87"/>
        <v>1623.7853490545465</v>
      </c>
      <c r="I472" s="290">
        <f t="shared" si="84"/>
        <v>662492.88821517304</v>
      </c>
      <c r="J472" s="172">
        <f t="shared" si="86"/>
        <v>2.8273379242078178E-2</v>
      </c>
      <c r="K472" s="291">
        <f t="shared" si="85"/>
        <v>2.4510230644576407E-3</v>
      </c>
      <c r="M472" s="170"/>
    </row>
    <row r="473" spans="1:20" x14ac:dyDescent="0.2">
      <c r="A473" s="147">
        <v>2040</v>
      </c>
      <c r="B473" s="147">
        <v>4</v>
      </c>
      <c r="C473" s="147" t="str">
        <f t="shared" si="83"/>
        <v>20404</v>
      </c>
      <c r="D473" s="147" t="str">
        <f t="shared" si="88"/>
        <v>Q2</v>
      </c>
      <c r="E473" s="147">
        <f t="shared" si="87"/>
        <v>90329.691805004448</v>
      </c>
      <c r="F473" s="147" t="e">
        <f t="shared" si="87"/>
        <v>#N/A</v>
      </c>
      <c r="G473" s="147">
        <f t="shared" si="87"/>
        <v>77841.976074505961</v>
      </c>
      <c r="H473" s="147">
        <f t="shared" si="87"/>
        <v>1626.6764251669936</v>
      </c>
      <c r="I473" s="290">
        <f t="shared" si="84"/>
        <v>663698.99615692697</v>
      </c>
      <c r="J473" s="172">
        <f t="shared" si="86"/>
        <v>2.4067965468776542E-2</v>
      </c>
      <c r="K473" s="291">
        <f t="shared" si="85"/>
        <v>2.4509249442685272E-3</v>
      </c>
      <c r="M473" s="170"/>
    </row>
    <row r="474" spans="1:20" x14ac:dyDescent="0.2">
      <c r="A474" s="147">
        <v>2040</v>
      </c>
      <c r="B474" s="147">
        <v>5</v>
      </c>
      <c r="C474" s="147" t="str">
        <f t="shared" si="83"/>
        <v>20405</v>
      </c>
      <c r="D474" s="147" t="str">
        <f t="shared" si="88"/>
        <v>Q2</v>
      </c>
      <c r="E474" s="147">
        <f t="shared" si="87"/>
        <v>90329.691805004448</v>
      </c>
      <c r="F474" s="147" t="e">
        <f t="shared" si="87"/>
        <v>#N/A</v>
      </c>
      <c r="G474" s="147">
        <f t="shared" si="87"/>
        <v>77841.976074505961</v>
      </c>
      <c r="H474" s="147">
        <f t="shared" si="87"/>
        <v>1626.6764251669936</v>
      </c>
      <c r="I474" s="290">
        <f t="shared" si="84"/>
        <v>663698.99615692697</v>
      </c>
      <c r="J474" s="172">
        <f t="shared" si="86"/>
        <v>2.4067965468776542E-2</v>
      </c>
      <c r="K474" s="291">
        <f t="shared" si="85"/>
        <v>2.4509249442685272E-3</v>
      </c>
      <c r="M474" s="170"/>
    </row>
    <row r="475" spans="1:20" x14ac:dyDescent="0.2">
      <c r="A475" s="147">
        <v>2040</v>
      </c>
      <c r="B475" s="147">
        <v>6</v>
      </c>
      <c r="C475" s="147" t="str">
        <f t="shared" si="83"/>
        <v>20406</v>
      </c>
      <c r="D475" s="147" t="str">
        <f t="shared" si="88"/>
        <v>Q2</v>
      </c>
      <c r="E475" s="147">
        <f t="shared" si="87"/>
        <v>90329.691805004448</v>
      </c>
      <c r="F475" s="147" t="e">
        <f t="shared" si="87"/>
        <v>#N/A</v>
      </c>
      <c r="G475" s="147">
        <f t="shared" si="87"/>
        <v>77841.976074505961</v>
      </c>
      <c r="H475" s="147">
        <f t="shared" si="87"/>
        <v>1626.6764251669936</v>
      </c>
      <c r="I475" s="290">
        <f t="shared" si="84"/>
        <v>663698.99615692697</v>
      </c>
      <c r="J475" s="172">
        <f t="shared" si="86"/>
        <v>2.4067965468776542E-2</v>
      </c>
      <c r="K475" s="291">
        <f t="shared" si="85"/>
        <v>2.4509249442685272E-3</v>
      </c>
      <c r="M475" s="170"/>
    </row>
    <row r="476" spans="1:20" x14ac:dyDescent="0.2">
      <c r="A476" s="147">
        <v>2040</v>
      </c>
      <c r="B476" s="147">
        <v>7</v>
      </c>
      <c r="C476" s="147" t="str">
        <f t="shared" si="83"/>
        <v>20407</v>
      </c>
      <c r="D476" s="147" t="str">
        <f t="shared" si="88"/>
        <v>Q3</v>
      </c>
      <c r="E476" s="147">
        <f t="shared" si="87"/>
        <v>90764.476101317385</v>
      </c>
      <c r="F476" s="147" t="e">
        <f t="shared" si="87"/>
        <v>#N/A</v>
      </c>
      <c r="G476" s="147">
        <f t="shared" si="87"/>
        <v>78204.146715535113</v>
      </c>
      <c r="H476" s="147">
        <f t="shared" si="87"/>
        <v>1628.3660504644736</v>
      </c>
      <c r="I476" s="290">
        <f t="shared" si="84"/>
        <v>664486.03050452599</v>
      </c>
      <c r="J476" s="172">
        <f t="shared" si="86"/>
        <v>2.4036312421737316E-2</v>
      </c>
      <c r="K476" s="291">
        <f t="shared" si="85"/>
        <v>2.4505647608996386E-3</v>
      </c>
      <c r="M476" s="170"/>
    </row>
    <row r="477" spans="1:20" x14ac:dyDescent="0.2">
      <c r="A477" s="147">
        <v>2040</v>
      </c>
      <c r="B477" s="147">
        <v>8</v>
      </c>
      <c r="C477" s="147" t="str">
        <f t="shared" si="83"/>
        <v>20408</v>
      </c>
      <c r="D477" s="147" t="str">
        <f t="shared" si="88"/>
        <v>Q3</v>
      </c>
      <c r="E477" s="147">
        <f t="shared" si="87"/>
        <v>90764.476101317385</v>
      </c>
      <c r="F477" s="147" t="e">
        <f t="shared" si="87"/>
        <v>#N/A</v>
      </c>
      <c r="G477" s="147">
        <f t="shared" si="87"/>
        <v>78204.146715535113</v>
      </c>
      <c r="H477" s="147">
        <f t="shared" si="87"/>
        <v>1628.3660504644736</v>
      </c>
      <c r="I477" s="290">
        <f t="shared" si="84"/>
        <v>664486.03050452599</v>
      </c>
      <c r="J477" s="172">
        <f t="shared" si="86"/>
        <v>2.4036312421737316E-2</v>
      </c>
      <c r="K477" s="291">
        <f t="shared" si="85"/>
        <v>2.4505647608996386E-3</v>
      </c>
      <c r="M477" s="170"/>
    </row>
    <row r="478" spans="1:20" x14ac:dyDescent="0.2">
      <c r="A478" s="147">
        <v>2040</v>
      </c>
      <c r="B478" s="147">
        <v>9</v>
      </c>
      <c r="C478" s="147" t="str">
        <f t="shared" si="83"/>
        <v>20409</v>
      </c>
      <c r="D478" s="147" t="str">
        <f t="shared" si="88"/>
        <v>Q3</v>
      </c>
      <c r="E478" s="147">
        <f t="shared" si="87"/>
        <v>90764.476101317385</v>
      </c>
      <c r="F478" s="147" t="e">
        <f t="shared" si="87"/>
        <v>#N/A</v>
      </c>
      <c r="G478" s="147">
        <f t="shared" si="87"/>
        <v>78204.146715535113</v>
      </c>
      <c r="H478" s="147">
        <f t="shared" si="87"/>
        <v>1628.3660504644736</v>
      </c>
      <c r="I478" s="290">
        <f t="shared" si="84"/>
        <v>664486.03050452599</v>
      </c>
      <c r="J478" s="172">
        <f t="shared" si="86"/>
        <v>2.4036312421737316E-2</v>
      </c>
      <c r="K478" s="291">
        <f t="shared" si="85"/>
        <v>2.4505647608996386E-3</v>
      </c>
      <c r="M478" s="170"/>
    </row>
    <row r="479" spans="1:20" x14ac:dyDescent="0.2">
      <c r="A479" s="147">
        <v>2040</v>
      </c>
      <c r="B479" s="147">
        <v>10</v>
      </c>
      <c r="C479" s="147" t="str">
        <f t="shared" si="83"/>
        <v>204010</v>
      </c>
      <c r="D479" s="147" t="str">
        <f t="shared" si="88"/>
        <v>Q4</v>
      </c>
      <c r="E479" s="147">
        <f t="shared" si="87"/>
        <v>90903.90560777206</v>
      </c>
      <c r="F479" s="147" t="e">
        <f t="shared" si="87"/>
        <v>#N/A</v>
      </c>
      <c r="G479" s="147">
        <f t="shared" si="87"/>
        <v>78353.210632927832</v>
      </c>
      <c r="H479" s="147">
        <f t="shared" si="87"/>
        <v>1631.2593703972593</v>
      </c>
      <c r="I479" s="290">
        <f t="shared" si="84"/>
        <v>665493.04020964284</v>
      </c>
      <c r="J479" s="172">
        <f t="shared" si="86"/>
        <v>2.2684500556799936E-2</v>
      </c>
      <c r="K479" s="291">
        <f t="shared" si="85"/>
        <v>2.4512042528399424E-3</v>
      </c>
      <c r="M479" s="170"/>
    </row>
    <row r="480" spans="1:20" x14ac:dyDescent="0.2">
      <c r="A480" s="147">
        <v>2040</v>
      </c>
      <c r="B480" s="147">
        <v>11</v>
      </c>
      <c r="C480" s="147" t="str">
        <f t="shared" si="83"/>
        <v>204011</v>
      </c>
      <c r="D480" s="147" t="str">
        <f t="shared" si="88"/>
        <v>Q4</v>
      </c>
      <c r="E480" s="147">
        <f t="shared" si="87"/>
        <v>90903.90560777206</v>
      </c>
      <c r="F480" s="147" t="e">
        <f t="shared" si="87"/>
        <v>#N/A</v>
      </c>
      <c r="G480" s="147">
        <f t="shared" si="87"/>
        <v>78353.210632927832</v>
      </c>
      <c r="H480" s="147">
        <f t="shared" si="87"/>
        <v>1631.2593703972593</v>
      </c>
      <c r="I480" s="290">
        <f t="shared" si="84"/>
        <v>665493.04020964284</v>
      </c>
      <c r="J480" s="172">
        <f t="shared" si="86"/>
        <v>2.2684500556799936E-2</v>
      </c>
      <c r="K480" s="291">
        <f t="shared" si="85"/>
        <v>2.4512042528399424E-3</v>
      </c>
      <c r="M480" s="170"/>
    </row>
    <row r="481" spans="1:13" x14ac:dyDescent="0.2">
      <c r="A481" s="147">
        <v>2040</v>
      </c>
      <c r="B481" s="147">
        <v>12</v>
      </c>
      <c r="C481" s="147" t="str">
        <f t="shared" si="83"/>
        <v>204012</v>
      </c>
      <c r="D481" s="147" t="str">
        <f t="shared" si="88"/>
        <v>Q4</v>
      </c>
      <c r="E481" s="147">
        <f t="shared" si="87"/>
        <v>90903.90560777206</v>
      </c>
      <c r="F481" s="147" t="e">
        <f t="shared" si="87"/>
        <v>#N/A</v>
      </c>
      <c r="G481" s="147">
        <f t="shared" si="87"/>
        <v>78353.210632927832</v>
      </c>
      <c r="H481" s="147">
        <f t="shared" si="87"/>
        <v>1631.2593703972593</v>
      </c>
      <c r="I481" s="290">
        <f t="shared" si="84"/>
        <v>665493.04020964284</v>
      </c>
      <c r="J481" s="172">
        <f t="shared" si="86"/>
        <v>2.2684500556799936E-2</v>
      </c>
      <c r="K481" s="291">
        <f t="shared" si="85"/>
        <v>2.4512042528399424E-3</v>
      </c>
      <c r="M481" s="170"/>
    </row>
    <row r="482" spans="1:13" x14ac:dyDescent="0.2">
      <c r="A482" s="147">
        <v>2041</v>
      </c>
      <c r="B482" s="147">
        <v>1</v>
      </c>
      <c r="C482" s="147" t="str">
        <f t="shared" si="83"/>
        <v>20411</v>
      </c>
      <c r="D482" s="147" t="str">
        <f t="shared" si="88"/>
        <v>Q1</v>
      </c>
      <c r="E482" s="147">
        <f t="shared" ref="E482:H501" si="89">VLOOKUP($A482&amp;$D482,$O$1:$W$189,MATCH(E$1,$O$1:$W$1,0),0)</f>
        <v>91922.650964035478</v>
      </c>
      <c r="F482" s="147" t="e">
        <f t="shared" si="89"/>
        <v>#N/A</v>
      </c>
      <c r="G482" s="147">
        <f t="shared" si="89"/>
        <v>79359.287038077135</v>
      </c>
      <c r="H482" s="147">
        <f t="shared" si="89"/>
        <v>1634.9550126437005</v>
      </c>
      <c r="I482" s="290">
        <f t="shared" si="84"/>
        <v>667399.20936805604</v>
      </c>
      <c r="J482" s="172">
        <f t="shared" si="86"/>
        <v>2.2166080478748018E-2</v>
      </c>
      <c r="K482" s="291">
        <f t="shared" si="85"/>
        <v>2.4497407094500444E-3</v>
      </c>
      <c r="M482" s="170"/>
    </row>
    <row r="483" spans="1:13" x14ac:dyDescent="0.2">
      <c r="A483" s="147">
        <v>2041</v>
      </c>
      <c r="B483" s="147">
        <v>2</v>
      </c>
      <c r="C483" s="147" t="str">
        <f t="shared" si="83"/>
        <v>20412</v>
      </c>
      <c r="D483" s="147" t="str">
        <f t="shared" si="88"/>
        <v>Q1</v>
      </c>
      <c r="E483" s="147">
        <f t="shared" si="89"/>
        <v>91922.650964035478</v>
      </c>
      <c r="F483" s="147" t="e">
        <f t="shared" si="89"/>
        <v>#N/A</v>
      </c>
      <c r="G483" s="147">
        <f t="shared" si="89"/>
        <v>79359.287038077135</v>
      </c>
      <c r="H483" s="147">
        <f t="shared" si="89"/>
        <v>1634.9550126437005</v>
      </c>
      <c r="I483" s="290">
        <f t="shared" si="84"/>
        <v>667399.20936805604</v>
      </c>
      <c r="J483" s="172">
        <f t="shared" si="86"/>
        <v>2.2166080478748018E-2</v>
      </c>
      <c r="K483" s="291">
        <f t="shared" si="85"/>
        <v>2.4497407094500444E-3</v>
      </c>
      <c r="M483" s="170"/>
    </row>
    <row r="484" spans="1:13" x14ac:dyDescent="0.2">
      <c r="A484" s="147">
        <v>2041</v>
      </c>
      <c r="B484" s="147">
        <v>3</v>
      </c>
      <c r="C484" s="147" t="str">
        <f t="shared" si="83"/>
        <v>20413</v>
      </c>
      <c r="D484" s="147" t="str">
        <f t="shared" si="88"/>
        <v>Q1</v>
      </c>
      <c r="E484" s="147">
        <f t="shared" si="89"/>
        <v>91922.650964035478</v>
      </c>
      <c r="F484" s="147" t="e">
        <f t="shared" si="89"/>
        <v>#N/A</v>
      </c>
      <c r="G484" s="147">
        <f t="shared" si="89"/>
        <v>79359.287038077135</v>
      </c>
      <c r="H484" s="147">
        <f t="shared" si="89"/>
        <v>1634.9550126437005</v>
      </c>
      <c r="I484" s="290">
        <f t="shared" si="84"/>
        <v>667399.20936805604</v>
      </c>
      <c r="J484" s="172">
        <f t="shared" si="86"/>
        <v>2.2166080478748018E-2</v>
      </c>
      <c r="K484" s="291">
        <f t="shared" si="85"/>
        <v>2.4497407094500444E-3</v>
      </c>
      <c r="M484" s="170"/>
    </row>
    <row r="485" spans="1:13" x14ac:dyDescent="0.2">
      <c r="A485" s="147">
        <v>2041</v>
      </c>
      <c r="B485" s="147">
        <v>4</v>
      </c>
      <c r="C485" s="147" t="str">
        <f t="shared" si="83"/>
        <v>20414</v>
      </c>
      <c r="D485" s="147" t="str">
        <f t="shared" si="88"/>
        <v>Q2</v>
      </c>
      <c r="E485" s="147">
        <f t="shared" si="89"/>
        <v>92291.411671340684</v>
      </c>
      <c r="F485" s="147" t="e">
        <f t="shared" si="89"/>
        <v>#N/A</v>
      </c>
      <c r="G485" s="147">
        <f t="shared" si="89"/>
        <v>79663.055240366433</v>
      </c>
      <c r="H485" s="147">
        <f t="shared" si="89"/>
        <v>1637.8500459704619</v>
      </c>
      <c r="I485" s="290">
        <f t="shared" si="84"/>
        <v>668694.2509246082</v>
      </c>
      <c r="J485" s="172">
        <f t="shared" si="86"/>
        <v>2.1717331556616148E-2</v>
      </c>
      <c r="K485" s="291">
        <f t="shared" si="85"/>
        <v>2.4493257474635008E-3</v>
      </c>
      <c r="M485" s="170"/>
    </row>
    <row r="486" spans="1:13" x14ac:dyDescent="0.2">
      <c r="A486" s="147">
        <v>2041</v>
      </c>
      <c r="B486" s="147">
        <v>5</v>
      </c>
      <c r="C486" s="147" t="str">
        <f t="shared" si="83"/>
        <v>20415</v>
      </c>
      <c r="D486" s="147" t="str">
        <f t="shared" si="88"/>
        <v>Q2</v>
      </c>
      <c r="E486" s="147">
        <f t="shared" si="89"/>
        <v>92291.411671340684</v>
      </c>
      <c r="F486" s="147" t="e">
        <f t="shared" si="89"/>
        <v>#N/A</v>
      </c>
      <c r="G486" s="147">
        <f t="shared" si="89"/>
        <v>79663.055240366433</v>
      </c>
      <c r="H486" s="147">
        <f t="shared" si="89"/>
        <v>1637.8500459704619</v>
      </c>
      <c r="I486" s="290">
        <f t="shared" si="84"/>
        <v>668694.2509246082</v>
      </c>
      <c r="J486" s="172">
        <f t="shared" si="86"/>
        <v>2.1717331556616148E-2</v>
      </c>
      <c r="K486" s="291">
        <f t="shared" si="85"/>
        <v>2.4493257474635008E-3</v>
      </c>
      <c r="M486" s="170"/>
    </row>
    <row r="487" spans="1:13" x14ac:dyDescent="0.2">
      <c r="A487" s="147">
        <v>2041</v>
      </c>
      <c r="B487" s="147">
        <v>6</v>
      </c>
      <c r="C487" s="147" t="str">
        <f t="shared" si="83"/>
        <v>20416</v>
      </c>
      <c r="D487" s="147" t="str">
        <f t="shared" si="88"/>
        <v>Q2</v>
      </c>
      <c r="E487" s="147">
        <f t="shared" si="89"/>
        <v>92291.411671340684</v>
      </c>
      <c r="F487" s="147" t="e">
        <f t="shared" si="89"/>
        <v>#N/A</v>
      </c>
      <c r="G487" s="147">
        <f t="shared" si="89"/>
        <v>79663.055240366433</v>
      </c>
      <c r="H487" s="147">
        <f t="shared" si="89"/>
        <v>1637.8500459704619</v>
      </c>
      <c r="I487" s="290">
        <f t="shared" si="84"/>
        <v>668694.2509246082</v>
      </c>
      <c r="J487" s="172">
        <f t="shared" si="86"/>
        <v>2.1717331556616148E-2</v>
      </c>
      <c r="K487" s="291">
        <f t="shared" si="85"/>
        <v>2.4493257474635008E-3</v>
      </c>
      <c r="M487" s="170"/>
    </row>
    <row r="488" spans="1:13" x14ac:dyDescent="0.2">
      <c r="A488" s="147">
        <v>2041</v>
      </c>
      <c r="B488" s="147">
        <v>7</v>
      </c>
      <c r="C488" s="147" t="str">
        <f t="shared" si="83"/>
        <v>20417</v>
      </c>
      <c r="D488" s="147" t="str">
        <f t="shared" si="88"/>
        <v>Q3</v>
      </c>
      <c r="E488" s="147">
        <f t="shared" si="89"/>
        <v>92778.190601653056</v>
      </c>
      <c r="F488" s="147" t="e">
        <f t="shared" si="89"/>
        <v>#N/A</v>
      </c>
      <c r="G488" s="147">
        <f t="shared" si="89"/>
        <v>80091.173605845252</v>
      </c>
      <c r="H488" s="147">
        <f t="shared" si="89"/>
        <v>1639.1353340251969</v>
      </c>
      <c r="I488" s="290">
        <f t="shared" si="84"/>
        <v>669451.62021647452</v>
      </c>
      <c r="J488" s="172">
        <f t="shared" si="86"/>
        <v>2.2186152411520776E-2</v>
      </c>
      <c r="K488" s="291">
        <f t="shared" si="85"/>
        <v>2.4484746687074483E-3</v>
      </c>
      <c r="M488" s="170"/>
    </row>
    <row r="489" spans="1:13" x14ac:dyDescent="0.2">
      <c r="A489" s="147">
        <v>2041</v>
      </c>
      <c r="B489" s="147">
        <v>8</v>
      </c>
      <c r="C489" s="147" t="str">
        <f t="shared" si="83"/>
        <v>20418</v>
      </c>
      <c r="D489" s="147" t="str">
        <f t="shared" si="88"/>
        <v>Q3</v>
      </c>
      <c r="E489" s="147">
        <f t="shared" si="89"/>
        <v>92778.190601653056</v>
      </c>
      <c r="F489" s="147" t="e">
        <f t="shared" si="89"/>
        <v>#N/A</v>
      </c>
      <c r="G489" s="147">
        <f t="shared" si="89"/>
        <v>80091.173605845252</v>
      </c>
      <c r="H489" s="147">
        <f t="shared" si="89"/>
        <v>1639.1353340251969</v>
      </c>
      <c r="I489" s="290">
        <f t="shared" si="84"/>
        <v>669451.62021647452</v>
      </c>
      <c r="J489" s="172">
        <f t="shared" si="86"/>
        <v>2.2186152411520776E-2</v>
      </c>
      <c r="K489" s="291">
        <f t="shared" si="85"/>
        <v>2.4484746687074483E-3</v>
      </c>
      <c r="M489" s="170"/>
    </row>
    <row r="490" spans="1:13" x14ac:dyDescent="0.2">
      <c r="A490" s="147">
        <v>2041</v>
      </c>
      <c r="B490" s="147">
        <v>9</v>
      </c>
      <c r="C490" s="147" t="str">
        <f t="shared" si="83"/>
        <v>20419</v>
      </c>
      <c r="D490" s="147" t="str">
        <f t="shared" si="88"/>
        <v>Q3</v>
      </c>
      <c r="E490" s="147">
        <f t="shared" si="89"/>
        <v>92778.190601653056</v>
      </c>
      <c r="F490" s="147" t="e">
        <f t="shared" si="89"/>
        <v>#N/A</v>
      </c>
      <c r="G490" s="147">
        <f t="shared" si="89"/>
        <v>80091.173605845252</v>
      </c>
      <c r="H490" s="147">
        <f t="shared" si="89"/>
        <v>1639.1353340251969</v>
      </c>
      <c r="I490" s="290">
        <f t="shared" si="84"/>
        <v>669451.62021647452</v>
      </c>
      <c r="J490" s="172">
        <f t="shared" si="86"/>
        <v>2.2186152411520776E-2</v>
      </c>
      <c r="K490" s="291">
        <f t="shared" si="85"/>
        <v>2.4484746687074483E-3</v>
      </c>
      <c r="M490" s="170"/>
    </row>
    <row r="491" spans="1:13" x14ac:dyDescent="0.2">
      <c r="A491" s="147">
        <v>2041</v>
      </c>
      <c r="B491" s="147">
        <v>10</v>
      </c>
      <c r="C491" s="147" t="str">
        <f t="shared" si="83"/>
        <v>204110</v>
      </c>
      <c r="D491" s="147" t="str">
        <f t="shared" si="88"/>
        <v>Q4</v>
      </c>
      <c r="E491" s="147">
        <f t="shared" si="89"/>
        <v>92961.552784635947</v>
      </c>
      <c r="F491" s="147" t="e">
        <f t="shared" si="89"/>
        <v>#N/A</v>
      </c>
      <c r="G491" s="147">
        <f t="shared" si="89"/>
        <v>80240.833138693764</v>
      </c>
      <c r="H491" s="147">
        <f t="shared" si="89"/>
        <v>1642.0358310005879</v>
      </c>
      <c r="I491" s="290">
        <f t="shared" si="84"/>
        <v>670469.86568743165</v>
      </c>
      <c r="J491" s="172">
        <f t="shared" si="86"/>
        <v>2.2635410031139225E-2</v>
      </c>
      <c r="K491" s="291">
        <f t="shared" si="85"/>
        <v>2.4490822258163851E-3</v>
      </c>
      <c r="M491" s="170"/>
    </row>
    <row r="492" spans="1:13" x14ac:dyDescent="0.2">
      <c r="A492" s="147">
        <v>2041</v>
      </c>
      <c r="B492" s="147">
        <v>11</v>
      </c>
      <c r="C492" s="147" t="str">
        <f t="shared" si="83"/>
        <v>204111</v>
      </c>
      <c r="D492" s="147" t="str">
        <f t="shared" si="88"/>
        <v>Q4</v>
      </c>
      <c r="E492" s="147">
        <f t="shared" si="89"/>
        <v>92961.552784635947</v>
      </c>
      <c r="F492" s="147" t="e">
        <f t="shared" si="89"/>
        <v>#N/A</v>
      </c>
      <c r="G492" s="147">
        <f t="shared" si="89"/>
        <v>80240.833138693764</v>
      </c>
      <c r="H492" s="147">
        <f t="shared" si="89"/>
        <v>1642.0358310005879</v>
      </c>
      <c r="I492" s="290">
        <f t="shared" si="84"/>
        <v>670469.86568743165</v>
      </c>
      <c r="J492" s="172">
        <f t="shared" si="86"/>
        <v>2.2635410031139225E-2</v>
      </c>
      <c r="K492" s="291">
        <f t="shared" si="85"/>
        <v>2.4490822258163851E-3</v>
      </c>
      <c r="M492" s="170"/>
    </row>
    <row r="493" spans="1:13" x14ac:dyDescent="0.2">
      <c r="A493" s="147">
        <v>2041</v>
      </c>
      <c r="B493" s="147">
        <v>12</v>
      </c>
      <c r="C493" s="147" t="str">
        <f t="shared" si="83"/>
        <v>204112</v>
      </c>
      <c r="D493" s="147" t="str">
        <f t="shared" si="88"/>
        <v>Q4</v>
      </c>
      <c r="E493" s="147">
        <f t="shared" si="89"/>
        <v>92961.552784635947</v>
      </c>
      <c r="F493" s="147" t="e">
        <f t="shared" si="89"/>
        <v>#N/A</v>
      </c>
      <c r="G493" s="147">
        <f t="shared" si="89"/>
        <v>80240.833138693764</v>
      </c>
      <c r="H493" s="147">
        <f t="shared" si="89"/>
        <v>1642.0358310005879</v>
      </c>
      <c r="I493" s="290">
        <f t="shared" si="84"/>
        <v>670469.86568743165</v>
      </c>
      <c r="J493" s="172">
        <f t="shared" si="86"/>
        <v>2.2635410031139225E-2</v>
      </c>
      <c r="K493" s="291">
        <f t="shared" si="85"/>
        <v>2.4490822258163851E-3</v>
      </c>
      <c r="M493" s="170"/>
    </row>
    <row r="494" spans="1:13" x14ac:dyDescent="0.2">
      <c r="A494" s="147">
        <f>A482+1</f>
        <v>2042</v>
      </c>
      <c r="B494" s="147">
        <v>1</v>
      </c>
      <c r="C494" s="147" t="str">
        <f t="shared" si="83"/>
        <v>20421</v>
      </c>
      <c r="D494" s="147" t="str">
        <f t="shared" si="88"/>
        <v>Q1</v>
      </c>
      <c r="E494" s="147">
        <f t="shared" si="89"/>
        <v>93678.386795921557</v>
      </c>
      <c r="F494" s="147" t="e">
        <f t="shared" si="89"/>
        <v>#N/A</v>
      </c>
      <c r="G494" s="147">
        <f t="shared" si="89"/>
        <v>81263.909926990993</v>
      </c>
      <c r="H494" s="147">
        <f t="shared" si="89"/>
        <v>1642.0256822418812</v>
      </c>
      <c r="I494" s="290">
        <f t="shared" si="84"/>
        <v>670484.23801121523</v>
      </c>
      <c r="J494" s="172">
        <f t="shared" si="86"/>
        <v>1.9100143582380102E-2</v>
      </c>
      <c r="K494" s="291">
        <f t="shared" si="85"/>
        <v>2.4490145914726411E-3</v>
      </c>
      <c r="M494" s="170"/>
    </row>
    <row r="495" spans="1:13" x14ac:dyDescent="0.2">
      <c r="A495" s="147">
        <f t="shared" ref="A495:A517" si="90">A483+1</f>
        <v>2042</v>
      </c>
      <c r="B495" s="147">
        <v>2</v>
      </c>
      <c r="C495" s="147" t="str">
        <f t="shared" si="83"/>
        <v>20422</v>
      </c>
      <c r="D495" s="147" t="str">
        <f t="shared" si="88"/>
        <v>Q1</v>
      </c>
      <c r="E495" s="147">
        <f t="shared" si="89"/>
        <v>93678.386795921557</v>
      </c>
      <c r="F495" s="147" t="e">
        <f t="shared" si="89"/>
        <v>#N/A</v>
      </c>
      <c r="G495" s="147">
        <f t="shared" si="89"/>
        <v>81263.909926990993</v>
      </c>
      <c r="H495" s="147">
        <f t="shared" si="89"/>
        <v>1642.0256822418812</v>
      </c>
      <c r="I495" s="290">
        <f t="shared" si="84"/>
        <v>670484.23801121523</v>
      </c>
      <c r="J495" s="172">
        <f t="shared" si="86"/>
        <v>1.9100143582380102E-2</v>
      </c>
      <c r="K495" s="291">
        <f t="shared" si="85"/>
        <v>2.4490145914726411E-3</v>
      </c>
      <c r="M495" s="170"/>
    </row>
    <row r="496" spans="1:13" x14ac:dyDescent="0.2">
      <c r="A496" s="147">
        <f t="shared" si="90"/>
        <v>2042</v>
      </c>
      <c r="B496" s="147">
        <v>3</v>
      </c>
      <c r="C496" s="147" t="str">
        <f t="shared" si="83"/>
        <v>20423</v>
      </c>
      <c r="D496" s="147" t="str">
        <f t="shared" si="88"/>
        <v>Q1</v>
      </c>
      <c r="E496" s="147">
        <f t="shared" si="89"/>
        <v>93678.386795921557</v>
      </c>
      <c r="F496" s="147" t="e">
        <f t="shared" si="89"/>
        <v>#N/A</v>
      </c>
      <c r="G496" s="147">
        <f t="shared" si="89"/>
        <v>81263.909926990993</v>
      </c>
      <c r="H496" s="147">
        <f t="shared" si="89"/>
        <v>1642.0256822418812</v>
      </c>
      <c r="I496" s="290">
        <f t="shared" si="84"/>
        <v>670484.23801121523</v>
      </c>
      <c r="J496" s="172">
        <f t="shared" si="86"/>
        <v>1.9100143582380102E-2</v>
      </c>
      <c r="K496" s="291">
        <f t="shared" si="85"/>
        <v>2.4490145914726411E-3</v>
      </c>
      <c r="M496" s="170"/>
    </row>
    <row r="497" spans="1:13" x14ac:dyDescent="0.2">
      <c r="A497" s="147">
        <f t="shared" si="90"/>
        <v>2042</v>
      </c>
      <c r="B497" s="147">
        <v>4</v>
      </c>
      <c r="C497" s="147" t="str">
        <f t="shared" si="83"/>
        <v>20424</v>
      </c>
      <c r="D497" s="147" t="str">
        <f t="shared" si="88"/>
        <v>Q2</v>
      </c>
      <c r="E497" s="147">
        <f t="shared" si="89"/>
        <v>94451.024769586162</v>
      </c>
      <c r="F497" s="147" t="e">
        <f t="shared" si="89"/>
        <v>#N/A</v>
      </c>
      <c r="G497" s="147">
        <f t="shared" si="89"/>
        <v>81574.968566135227</v>
      </c>
      <c r="H497" s="147">
        <f t="shared" si="89"/>
        <v>1645.7457157271488</v>
      </c>
      <c r="I497" s="290">
        <f t="shared" si="84"/>
        <v>672404.70343831647</v>
      </c>
      <c r="J497" s="172">
        <f t="shared" si="86"/>
        <v>2.3399935694299323E-2</v>
      </c>
      <c r="K497" s="291">
        <f t="shared" si="85"/>
        <v>2.4475523554664167E-3</v>
      </c>
      <c r="M497" s="170"/>
    </row>
    <row r="498" spans="1:13" x14ac:dyDescent="0.2">
      <c r="A498" s="147">
        <f t="shared" si="90"/>
        <v>2042</v>
      </c>
      <c r="B498" s="147">
        <v>5</v>
      </c>
      <c r="C498" s="147" t="str">
        <f t="shared" si="83"/>
        <v>20425</v>
      </c>
      <c r="D498" s="147" t="str">
        <f t="shared" si="88"/>
        <v>Q2</v>
      </c>
      <c r="E498" s="147">
        <f t="shared" si="89"/>
        <v>94451.024769586162</v>
      </c>
      <c r="F498" s="147" t="e">
        <f t="shared" si="89"/>
        <v>#N/A</v>
      </c>
      <c r="G498" s="147">
        <f t="shared" si="89"/>
        <v>81574.968566135227</v>
      </c>
      <c r="H498" s="147">
        <f t="shared" si="89"/>
        <v>1645.7457157271488</v>
      </c>
      <c r="I498" s="290">
        <f t="shared" si="84"/>
        <v>672404.70343831647</v>
      </c>
      <c r="J498" s="172">
        <f t="shared" si="86"/>
        <v>2.3399935694299323E-2</v>
      </c>
      <c r="K498" s="291">
        <f t="shared" si="85"/>
        <v>2.4475523554664167E-3</v>
      </c>
      <c r="M498" s="170"/>
    </row>
    <row r="499" spans="1:13" x14ac:dyDescent="0.2">
      <c r="A499" s="147">
        <f t="shared" si="90"/>
        <v>2042</v>
      </c>
      <c r="B499" s="147">
        <v>6</v>
      </c>
      <c r="C499" s="147" t="str">
        <f t="shared" si="83"/>
        <v>20426</v>
      </c>
      <c r="D499" s="147" t="str">
        <f t="shared" si="88"/>
        <v>Q2</v>
      </c>
      <c r="E499" s="147">
        <f t="shared" si="89"/>
        <v>94451.024769586162</v>
      </c>
      <c r="F499" s="147" t="e">
        <f t="shared" si="89"/>
        <v>#N/A</v>
      </c>
      <c r="G499" s="147">
        <f t="shared" si="89"/>
        <v>81574.968566135227</v>
      </c>
      <c r="H499" s="147">
        <f t="shared" si="89"/>
        <v>1645.7457157271488</v>
      </c>
      <c r="I499" s="290">
        <f t="shared" si="84"/>
        <v>672404.70343831647</v>
      </c>
      <c r="J499" s="172">
        <f t="shared" si="86"/>
        <v>2.3399935694299323E-2</v>
      </c>
      <c r="K499" s="291">
        <f t="shared" si="85"/>
        <v>2.4475523554664167E-3</v>
      </c>
      <c r="M499" s="170"/>
    </row>
    <row r="500" spans="1:13" x14ac:dyDescent="0.2">
      <c r="A500" s="147">
        <f t="shared" si="90"/>
        <v>2042</v>
      </c>
      <c r="B500" s="147">
        <v>7</v>
      </c>
      <c r="C500" s="147" t="str">
        <f t="shared" si="83"/>
        <v>20427</v>
      </c>
      <c r="D500" s="147" t="str">
        <f t="shared" si="88"/>
        <v>Q3</v>
      </c>
      <c r="E500" s="147">
        <f t="shared" si="89"/>
        <v>94968.198506691057</v>
      </c>
      <c r="F500" s="147" t="e">
        <f t="shared" si="89"/>
        <v>#N/A</v>
      </c>
      <c r="G500" s="147">
        <f t="shared" si="89"/>
        <v>82013.361772385542</v>
      </c>
      <c r="H500" s="147">
        <f t="shared" si="89"/>
        <v>1648.6598562738668</v>
      </c>
      <c r="I500" s="290">
        <f t="shared" si="84"/>
        <v>673709.45780654275</v>
      </c>
      <c r="J500" s="172">
        <f t="shared" si="86"/>
        <v>2.3604770591408641E-2</v>
      </c>
      <c r="K500" s="291">
        <f t="shared" si="85"/>
        <v>2.4471377641655185E-3</v>
      </c>
      <c r="M500" s="170"/>
    </row>
    <row r="501" spans="1:13" x14ac:dyDescent="0.2">
      <c r="A501" s="147">
        <f t="shared" si="90"/>
        <v>2042</v>
      </c>
      <c r="B501" s="147">
        <v>8</v>
      </c>
      <c r="C501" s="147" t="str">
        <f t="shared" si="83"/>
        <v>20428</v>
      </c>
      <c r="D501" s="147" t="str">
        <f t="shared" si="88"/>
        <v>Q3</v>
      </c>
      <c r="E501" s="147">
        <f t="shared" si="89"/>
        <v>94968.198506691057</v>
      </c>
      <c r="F501" s="147" t="e">
        <f t="shared" si="89"/>
        <v>#N/A</v>
      </c>
      <c r="G501" s="147">
        <f t="shared" si="89"/>
        <v>82013.361772385542</v>
      </c>
      <c r="H501" s="147">
        <f t="shared" si="89"/>
        <v>1648.6598562738668</v>
      </c>
      <c r="I501" s="290">
        <f t="shared" si="84"/>
        <v>673709.45780654275</v>
      </c>
      <c r="J501" s="172">
        <f t="shared" si="86"/>
        <v>2.3604770591408641E-2</v>
      </c>
      <c r="K501" s="291">
        <f t="shared" si="85"/>
        <v>2.4471377641655185E-3</v>
      </c>
      <c r="M501" s="170"/>
    </row>
    <row r="502" spans="1:13" x14ac:dyDescent="0.2">
      <c r="A502" s="147">
        <f t="shared" si="90"/>
        <v>2042</v>
      </c>
      <c r="B502" s="147">
        <v>9</v>
      </c>
      <c r="C502" s="147" t="str">
        <f t="shared" si="83"/>
        <v>20429</v>
      </c>
      <c r="D502" s="147" t="str">
        <f t="shared" si="88"/>
        <v>Q3</v>
      </c>
      <c r="E502" s="147">
        <f t="shared" ref="E502:H517" si="91">VLOOKUP($A502&amp;$D502,$O$1:$W$189,MATCH(E$1,$O$1:$W$1,0),0)</f>
        <v>94968.198506691057</v>
      </c>
      <c r="F502" s="147" t="e">
        <f t="shared" si="91"/>
        <v>#N/A</v>
      </c>
      <c r="G502" s="147">
        <f t="shared" si="91"/>
        <v>82013.361772385542</v>
      </c>
      <c r="H502" s="147">
        <f t="shared" si="91"/>
        <v>1648.6598562738668</v>
      </c>
      <c r="I502" s="290">
        <f t="shared" si="84"/>
        <v>673709.45780654275</v>
      </c>
      <c r="J502" s="172">
        <f t="shared" si="86"/>
        <v>2.3604770591408641E-2</v>
      </c>
      <c r="K502" s="291">
        <f t="shared" si="85"/>
        <v>2.4471377641655185E-3</v>
      </c>
      <c r="M502" s="170"/>
    </row>
    <row r="503" spans="1:13" x14ac:dyDescent="0.2">
      <c r="A503" s="147">
        <f>A491+1</f>
        <v>2042</v>
      </c>
      <c r="B503" s="147">
        <v>10</v>
      </c>
      <c r="C503" s="147" t="str">
        <f t="shared" si="83"/>
        <v>204210</v>
      </c>
      <c r="D503" s="147" t="str">
        <f t="shared" si="88"/>
        <v>Q4</v>
      </c>
      <c r="E503" s="147">
        <f t="shared" si="91"/>
        <v>95155.888911938397</v>
      </c>
      <c r="F503" s="147" t="e">
        <f t="shared" si="91"/>
        <v>#N/A</v>
      </c>
      <c r="G503" s="147">
        <f t="shared" si="91"/>
        <v>82166.613134022409</v>
      </c>
      <c r="H503" s="147">
        <f t="shared" si="91"/>
        <v>1649.953627229763</v>
      </c>
      <c r="I503" s="290">
        <f t="shared" si="84"/>
        <v>674472.50736809813</v>
      </c>
      <c r="J503" s="172">
        <f t="shared" si="86"/>
        <v>2.3604770591408641E-2</v>
      </c>
      <c r="K503" s="291">
        <f t="shared" si="85"/>
        <v>2.4462874456783294E-3</v>
      </c>
      <c r="M503" s="170"/>
    </row>
    <row r="504" spans="1:13" x14ac:dyDescent="0.2">
      <c r="A504" s="147">
        <f t="shared" si="90"/>
        <v>2042</v>
      </c>
      <c r="B504" s="147">
        <v>11</v>
      </c>
      <c r="C504" s="147" t="str">
        <f t="shared" si="83"/>
        <v>204211</v>
      </c>
      <c r="D504" s="147" t="str">
        <f t="shared" si="88"/>
        <v>Q4</v>
      </c>
      <c r="E504" s="147">
        <f t="shared" si="91"/>
        <v>95155.888911938397</v>
      </c>
      <c r="F504" s="147" t="e">
        <f t="shared" si="91"/>
        <v>#N/A</v>
      </c>
      <c r="G504" s="147">
        <f t="shared" si="91"/>
        <v>82166.613134022409</v>
      </c>
      <c r="H504" s="147">
        <f t="shared" si="91"/>
        <v>1649.953627229763</v>
      </c>
      <c r="I504" s="290">
        <f t="shared" si="84"/>
        <v>674472.50736809813</v>
      </c>
      <c r="J504" s="172">
        <f t="shared" si="86"/>
        <v>2.3604770591408641E-2</v>
      </c>
      <c r="K504" s="291">
        <f t="shared" si="85"/>
        <v>2.4462874456783294E-3</v>
      </c>
      <c r="M504" s="170"/>
    </row>
    <row r="505" spans="1:13" x14ac:dyDescent="0.2">
      <c r="A505" s="147">
        <f t="shared" si="90"/>
        <v>2042</v>
      </c>
      <c r="B505" s="147">
        <v>12</v>
      </c>
      <c r="C505" s="147" t="str">
        <f t="shared" si="83"/>
        <v>204212</v>
      </c>
      <c r="D505" s="147" t="str">
        <f t="shared" si="88"/>
        <v>Q4</v>
      </c>
      <c r="E505" s="147">
        <f t="shared" si="91"/>
        <v>95155.888911938397</v>
      </c>
      <c r="F505" s="147" t="e">
        <f t="shared" si="91"/>
        <v>#N/A</v>
      </c>
      <c r="G505" s="147">
        <f t="shared" si="91"/>
        <v>82166.613134022409</v>
      </c>
      <c r="H505" s="147">
        <f t="shared" si="91"/>
        <v>1649.953627229763</v>
      </c>
      <c r="I505" s="290">
        <f t="shared" si="84"/>
        <v>674472.50736809813</v>
      </c>
      <c r="J505" s="172">
        <f t="shared" si="86"/>
        <v>2.3604770591408641E-2</v>
      </c>
      <c r="K505" s="291">
        <f t="shared" si="85"/>
        <v>2.4462874456783294E-3</v>
      </c>
      <c r="M505" s="170"/>
    </row>
    <row r="506" spans="1:13" x14ac:dyDescent="0.2">
      <c r="A506" s="147">
        <f t="shared" si="90"/>
        <v>2043</v>
      </c>
      <c r="B506" s="147">
        <f>B494</f>
        <v>1</v>
      </c>
      <c r="C506" s="147" t="str">
        <f t="shared" si="83"/>
        <v>20431</v>
      </c>
      <c r="D506" s="147" t="str">
        <f t="shared" si="88"/>
        <v>Q1</v>
      </c>
      <c r="E506" s="147">
        <f t="shared" si="91"/>
        <v>96233.826179893134</v>
      </c>
      <c r="F506" s="147" t="e">
        <f t="shared" si="91"/>
        <v>#N/A</v>
      </c>
      <c r="G506" s="147">
        <f t="shared" si="91"/>
        <v>83214.243765238774</v>
      </c>
      <c r="H506" s="147">
        <f t="shared" si="91"/>
        <v>1652.8732674851917</v>
      </c>
      <c r="I506" s="290">
        <f t="shared" si="84"/>
        <v>675498.38968008745</v>
      </c>
      <c r="J506" s="172">
        <f t="shared" si="86"/>
        <v>2.7278857710675508E-2</v>
      </c>
      <c r="K506" s="291">
        <f t="shared" si="85"/>
        <v>2.4468944600563505E-3</v>
      </c>
    </row>
    <row r="507" spans="1:13" x14ac:dyDescent="0.2">
      <c r="A507" s="147">
        <f t="shared" si="90"/>
        <v>2043</v>
      </c>
      <c r="B507" s="147">
        <f t="shared" ref="B507:B517" si="92">B495</f>
        <v>2</v>
      </c>
      <c r="C507" s="147" t="str">
        <f t="shared" si="83"/>
        <v>20432</v>
      </c>
      <c r="D507" s="147" t="str">
        <f t="shared" si="88"/>
        <v>Q1</v>
      </c>
      <c r="E507" s="147">
        <f t="shared" si="91"/>
        <v>96233.826179893134</v>
      </c>
      <c r="F507" s="147" t="e">
        <f t="shared" si="91"/>
        <v>#N/A</v>
      </c>
      <c r="G507" s="147">
        <f t="shared" si="91"/>
        <v>83214.243765238774</v>
      </c>
      <c r="H507" s="147">
        <f t="shared" si="91"/>
        <v>1652.8732674851917</v>
      </c>
      <c r="I507" s="290">
        <f t="shared" si="84"/>
        <v>675498.38968008745</v>
      </c>
      <c r="J507" s="172">
        <f t="shared" si="86"/>
        <v>2.7278857710675508E-2</v>
      </c>
      <c r="K507" s="291">
        <f t="shared" si="85"/>
        <v>2.4468944600563505E-3</v>
      </c>
    </row>
    <row r="508" spans="1:13" x14ac:dyDescent="0.2">
      <c r="A508" s="147">
        <f t="shared" si="90"/>
        <v>2043</v>
      </c>
      <c r="B508" s="147">
        <f t="shared" si="92"/>
        <v>3</v>
      </c>
      <c r="C508" s="147" t="str">
        <f t="shared" si="83"/>
        <v>20433</v>
      </c>
      <c r="D508" s="147" t="str">
        <f t="shared" si="88"/>
        <v>Q1</v>
      </c>
      <c r="E508" s="147">
        <f t="shared" si="91"/>
        <v>96233.826179893134</v>
      </c>
      <c r="F508" s="147" t="e">
        <f t="shared" si="91"/>
        <v>#N/A</v>
      </c>
      <c r="G508" s="147">
        <f t="shared" si="91"/>
        <v>83214.243765238774</v>
      </c>
      <c r="H508" s="147">
        <f t="shared" si="91"/>
        <v>1652.8732674851917</v>
      </c>
      <c r="I508" s="290">
        <f t="shared" si="84"/>
        <v>675498.38968008745</v>
      </c>
      <c r="J508" s="172">
        <f t="shared" si="86"/>
        <v>2.7278857710675508E-2</v>
      </c>
      <c r="K508" s="291">
        <f t="shared" si="85"/>
        <v>2.4468944600563505E-3</v>
      </c>
    </row>
    <row r="509" spans="1:13" x14ac:dyDescent="0.2">
      <c r="A509" s="147">
        <f t="shared" si="90"/>
        <v>2043</v>
      </c>
      <c r="B509" s="147">
        <f t="shared" si="92"/>
        <v>4</v>
      </c>
      <c r="C509" s="147" t="str">
        <f t="shared" si="83"/>
        <v>20434</v>
      </c>
      <c r="D509" s="147" t="str">
        <f t="shared" si="88"/>
        <v>Q2</v>
      </c>
      <c r="E509" s="147">
        <f t="shared" si="91"/>
        <v>96970.214604174762</v>
      </c>
      <c r="F509" s="147" t="e">
        <f t="shared" si="91"/>
        <v>#N/A</v>
      </c>
      <c r="G509" s="147">
        <f t="shared" si="91"/>
        <v>83532.767811722471</v>
      </c>
      <c r="H509" s="147">
        <f t="shared" si="91"/>
        <v>1652.8630517446775</v>
      </c>
      <c r="I509" s="290">
        <f t="shared" si="84"/>
        <v>675512.86979629926</v>
      </c>
      <c r="J509" s="172">
        <f t="shared" si="86"/>
        <v>2.667191637924704E-2</v>
      </c>
      <c r="K509" s="291">
        <f t="shared" si="85"/>
        <v>2.4468268861303826E-3</v>
      </c>
    </row>
    <row r="510" spans="1:13" x14ac:dyDescent="0.2">
      <c r="A510" s="147">
        <f t="shared" si="90"/>
        <v>2043</v>
      </c>
      <c r="B510" s="147">
        <f t="shared" si="92"/>
        <v>5</v>
      </c>
      <c r="C510" s="147" t="str">
        <f t="shared" si="83"/>
        <v>20435</v>
      </c>
      <c r="D510" s="147" t="str">
        <f t="shared" si="88"/>
        <v>Q2</v>
      </c>
      <c r="E510" s="147">
        <f t="shared" si="91"/>
        <v>96970.214604174762</v>
      </c>
      <c r="F510" s="147" t="e">
        <f t="shared" si="91"/>
        <v>#N/A</v>
      </c>
      <c r="G510" s="147">
        <f t="shared" si="91"/>
        <v>83532.767811722471</v>
      </c>
      <c r="H510" s="147">
        <f t="shared" si="91"/>
        <v>1652.8630517446775</v>
      </c>
      <c r="I510" s="290">
        <f t="shared" si="84"/>
        <v>675512.86979629926</v>
      </c>
      <c r="J510" s="172">
        <f t="shared" si="86"/>
        <v>2.667191637924704E-2</v>
      </c>
      <c r="K510" s="291">
        <f t="shared" si="85"/>
        <v>2.4468268861303826E-3</v>
      </c>
    </row>
    <row r="511" spans="1:13" x14ac:dyDescent="0.2">
      <c r="A511" s="147">
        <f t="shared" si="90"/>
        <v>2043</v>
      </c>
      <c r="B511" s="147">
        <f t="shared" si="92"/>
        <v>6</v>
      </c>
      <c r="C511" s="147" t="str">
        <f t="shared" si="83"/>
        <v>20436</v>
      </c>
      <c r="D511" s="147" t="str">
        <f t="shared" si="88"/>
        <v>Q2</v>
      </c>
      <c r="E511" s="147">
        <f t="shared" si="91"/>
        <v>96970.214604174762</v>
      </c>
      <c r="F511" s="147" t="e">
        <f t="shared" si="91"/>
        <v>#N/A</v>
      </c>
      <c r="G511" s="147">
        <f t="shared" si="91"/>
        <v>83532.767811722471</v>
      </c>
      <c r="H511" s="147">
        <f t="shared" si="91"/>
        <v>1652.8630517446775</v>
      </c>
      <c r="I511" s="290">
        <f t="shared" si="84"/>
        <v>675512.86979629926</v>
      </c>
      <c r="J511" s="172">
        <f t="shared" si="86"/>
        <v>2.667191637924704E-2</v>
      </c>
      <c r="K511" s="291">
        <f t="shared" si="85"/>
        <v>2.4468268861303826E-3</v>
      </c>
    </row>
    <row r="512" spans="1:13" x14ac:dyDescent="0.2">
      <c r="A512" s="147">
        <f t="shared" si="90"/>
        <v>2043</v>
      </c>
      <c r="B512" s="147">
        <f t="shared" si="92"/>
        <v>7</v>
      </c>
      <c r="C512" s="147" t="str">
        <f t="shared" si="83"/>
        <v>20437</v>
      </c>
      <c r="D512" s="147" t="str">
        <f t="shared" si="88"/>
        <v>Q3</v>
      </c>
      <c r="E512" s="147">
        <f t="shared" si="91"/>
        <v>97501.182355949262</v>
      </c>
      <c r="F512" s="147" t="e">
        <f t="shared" si="91"/>
        <v>#N/A</v>
      </c>
      <c r="G512" s="147">
        <f t="shared" si="91"/>
        <v>83981.682454922804</v>
      </c>
      <c r="H512" s="147">
        <f t="shared" si="91"/>
        <v>1656.6076374509478</v>
      </c>
      <c r="I512" s="290">
        <f t="shared" si="84"/>
        <v>677447.73871410394</v>
      </c>
      <c r="J512" s="172">
        <f t="shared" si="86"/>
        <v>2.667191637924704E-2</v>
      </c>
      <c r="K512" s="291">
        <f t="shared" si="85"/>
        <v>2.4453659563399449E-3</v>
      </c>
    </row>
    <row r="513" spans="1:11" x14ac:dyDescent="0.2">
      <c r="A513" s="147">
        <f t="shared" si="90"/>
        <v>2043</v>
      </c>
      <c r="B513" s="147">
        <f t="shared" si="92"/>
        <v>8</v>
      </c>
      <c r="C513" s="147" t="str">
        <f t="shared" si="83"/>
        <v>20438</v>
      </c>
      <c r="D513" s="147" t="str">
        <f t="shared" si="88"/>
        <v>Q3</v>
      </c>
      <c r="E513" s="147">
        <f t="shared" si="91"/>
        <v>97501.182355949262</v>
      </c>
      <c r="F513" s="147" t="e">
        <f t="shared" si="91"/>
        <v>#N/A</v>
      </c>
      <c r="G513" s="147">
        <f t="shared" si="91"/>
        <v>83981.682454922804</v>
      </c>
      <c r="H513" s="147">
        <f t="shared" si="91"/>
        <v>1656.6076374509478</v>
      </c>
      <c r="I513" s="290">
        <f t="shared" si="84"/>
        <v>677447.73871410394</v>
      </c>
      <c r="J513" s="172">
        <f t="shared" si="86"/>
        <v>2.667191637924704E-2</v>
      </c>
      <c r="K513" s="291">
        <f t="shared" si="85"/>
        <v>2.4453659563399449E-3</v>
      </c>
    </row>
    <row r="514" spans="1:11" x14ac:dyDescent="0.2">
      <c r="A514" s="147">
        <f t="shared" si="90"/>
        <v>2043</v>
      </c>
      <c r="B514" s="147">
        <f t="shared" si="92"/>
        <v>9</v>
      </c>
      <c r="C514" s="147" t="str">
        <f t="shared" si="83"/>
        <v>20439</v>
      </c>
      <c r="D514" s="147" t="str">
        <f t="shared" si="88"/>
        <v>Q3</v>
      </c>
      <c r="E514" s="147">
        <f t="shared" si="91"/>
        <v>97501.182355949262</v>
      </c>
      <c r="F514" s="147" t="e">
        <f t="shared" si="91"/>
        <v>#N/A</v>
      </c>
      <c r="G514" s="147">
        <f t="shared" si="91"/>
        <v>83981.682454922804</v>
      </c>
      <c r="H514" s="147">
        <f t="shared" si="91"/>
        <v>1656.6076374509478</v>
      </c>
      <c r="I514" s="290">
        <f t="shared" si="84"/>
        <v>677447.73871410394</v>
      </c>
      <c r="J514" s="172">
        <f t="shared" si="86"/>
        <v>2.667191637924704E-2</v>
      </c>
      <c r="K514" s="291">
        <f t="shared" si="85"/>
        <v>2.4453659563399449E-3</v>
      </c>
    </row>
    <row r="515" spans="1:11" x14ac:dyDescent="0.2">
      <c r="A515" s="147">
        <f t="shared" si="90"/>
        <v>2043</v>
      </c>
      <c r="B515" s="147">
        <f t="shared" si="92"/>
        <v>10</v>
      </c>
      <c r="C515" s="147" t="str">
        <f t="shared" ref="C515:C517" si="93">A515&amp;B515</f>
        <v>204310</v>
      </c>
      <c r="D515" s="147" t="str">
        <f t="shared" si="88"/>
        <v>Q4</v>
      </c>
      <c r="E515" s="147">
        <f t="shared" si="91"/>
        <v>97780.72742814252</v>
      </c>
      <c r="F515" s="147" t="e">
        <f t="shared" si="91"/>
        <v>#N/A</v>
      </c>
      <c r="G515" s="147">
        <f t="shared" si="91"/>
        <v>84138.611849238951</v>
      </c>
      <c r="H515" s="147">
        <f t="shared" si="91"/>
        <v>1659.5410113252742</v>
      </c>
      <c r="I515" s="290">
        <f t="shared" ref="I515:I517" si="94">VLOOKUP($A515&amp;$D515,$O$1:$W$189,MATCH(I$1,$O$1:$W$1,0),0)*1000</f>
        <v>678762.27874009195</v>
      </c>
      <c r="J515" s="172">
        <f t="shared" si="86"/>
        <v>2.7584614533245233E-2</v>
      </c>
      <c r="K515" s="291">
        <f t="shared" ref="K515:K517" si="95">H515/I515</f>
        <v>2.4449517353935589E-3</v>
      </c>
    </row>
    <row r="516" spans="1:11" x14ac:dyDescent="0.2">
      <c r="A516" s="147">
        <f t="shared" si="90"/>
        <v>2043</v>
      </c>
      <c r="B516" s="147">
        <f t="shared" si="92"/>
        <v>11</v>
      </c>
      <c r="C516" s="147" t="str">
        <f t="shared" si="93"/>
        <v>204311</v>
      </c>
      <c r="D516" s="147" t="str">
        <f t="shared" si="88"/>
        <v>Q4</v>
      </c>
      <c r="E516" s="147">
        <f t="shared" si="91"/>
        <v>97780.72742814252</v>
      </c>
      <c r="F516" s="147" t="e">
        <f t="shared" si="91"/>
        <v>#N/A</v>
      </c>
      <c r="G516" s="147">
        <f t="shared" si="91"/>
        <v>84138.611849238951</v>
      </c>
      <c r="H516" s="147">
        <f t="shared" si="91"/>
        <v>1659.5410113252742</v>
      </c>
      <c r="I516" s="290">
        <f t="shared" si="94"/>
        <v>678762.27874009195</v>
      </c>
      <c r="J516" s="172">
        <f t="shared" si="86"/>
        <v>2.7584614533245233E-2</v>
      </c>
      <c r="K516" s="291">
        <f t="shared" si="95"/>
        <v>2.4449517353935589E-3</v>
      </c>
    </row>
    <row r="517" spans="1:11" x14ac:dyDescent="0.2">
      <c r="A517" s="147">
        <f t="shared" si="90"/>
        <v>2043</v>
      </c>
      <c r="B517" s="147">
        <f t="shared" si="92"/>
        <v>12</v>
      </c>
      <c r="C517" s="147" t="str">
        <f t="shared" si="93"/>
        <v>204312</v>
      </c>
      <c r="D517" s="147" t="str">
        <f t="shared" si="88"/>
        <v>Q4</v>
      </c>
      <c r="E517" s="147">
        <f t="shared" si="91"/>
        <v>97780.72742814252</v>
      </c>
      <c r="F517" s="147" t="e">
        <f t="shared" si="91"/>
        <v>#N/A</v>
      </c>
      <c r="G517" s="147">
        <f t="shared" si="91"/>
        <v>84138.611849238951</v>
      </c>
      <c r="H517" s="147">
        <f t="shared" si="91"/>
        <v>1659.5410113252742</v>
      </c>
      <c r="I517" s="290">
        <f t="shared" si="94"/>
        <v>678762.27874009195</v>
      </c>
      <c r="J517" s="172">
        <f t="shared" si="86"/>
        <v>2.7584614533245233E-2</v>
      </c>
      <c r="K517" s="291">
        <f t="shared" si="95"/>
        <v>2.4449517353935589E-3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48"/>
  <sheetViews>
    <sheetView workbookViewId="0"/>
  </sheetViews>
  <sheetFormatPr defaultRowHeight="12.75" x14ac:dyDescent="0.2"/>
  <cols>
    <col min="1" max="1" width="11.7109375" style="170" bestFit="1" customWidth="1"/>
    <col min="2" max="2" width="30.140625" style="170" bestFit="1" customWidth="1"/>
    <col min="3" max="3" width="33.42578125" style="170" bestFit="1" customWidth="1"/>
    <col min="4" max="5" width="9.140625" style="170"/>
    <col min="6" max="6" width="40.28515625" style="170" customWidth="1"/>
    <col min="7" max="7" width="10" style="170" customWidth="1"/>
    <col min="8" max="8" width="32.5703125" style="170" customWidth="1"/>
    <col min="9" max="10" width="37.7109375" style="170" bestFit="1" customWidth="1"/>
    <col min="11" max="16384" width="9.140625" style="170"/>
  </cols>
  <sheetData>
    <row r="3" spans="1:9" x14ac:dyDescent="0.2">
      <c r="B3" s="170" t="s">
        <v>221</v>
      </c>
      <c r="F3" s="170" t="s">
        <v>242</v>
      </c>
      <c r="H3"/>
    </row>
    <row r="4" spans="1:9" x14ac:dyDescent="0.2">
      <c r="A4" s="170" t="s">
        <v>183</v>
      </c>
      <c r="B4" s="170" t="s">
        <v>243</v>
      </c>
      <c r="C4" s="170" t="s">
        <v>244</v>
      </c>
      <c r="F4" s="170" t="s">
        <v>183</v>
      </c>
      <c r="G4" s="170" t="s">
        <v>193</v>
      </c>
      <c r="H4"/>
    </row>
    <row r="5" spans="1:9" x14ac:dyDescent="0.2">
      <c r="A5" s="170">
        <v>2001</v>
      </c>
      <c r="B5" s="260">
        <v>469.01572286297949</v>
      </c>
      <c r="C5" s="260">
        <v>469.01572286297949</v>
      </c>
      <c r="F5" s="170">
        <v>2014</v>
      </c>
      <c r="G5" s="267">
        <v>188767.78567667154</v>
      </c>
      <c r="H5"/>
    </row>
    <row r="6" spans="1:9" x14ac:dyDescent="0.2">
      <c r="A6" s="170">
        <v>2002</v>
      </c>
      <c r="B6" s="260">
        <v>474.1403937426486</v>
      </c>
      <c r="C6" s="260">
        <v>474.1403937426486</v>
      </c>
      <c r="F6" s="170">
        <v>2015</v>
      </c>
      <c r="G6" s="267">
        <v>193913.10019542163</v>
      </c>
      <c r="H6"/>
    </row>
    <row r="7" spans="1:9" x14ac:dyDescent="0.2">
      <c r="A7" s="170">
        <v>2003</v>
      </c>
      <c r="B7" s="260">
        <v>480.04261977452012</v>
      </c>
      <c r="C7" s="260">
        <v>480.04261977452012</v>
      </c>
      <c r="F7" s="170">
        <v>2016</v>
      </c>
      <c r="G7" s="267">
        <v>199021.79891860203</v>
      </c>
      <c r="H7" s="173">
        <f t="shared" ref="H7:H8" si="0">G7/G6-1</f>
        <v>2.6345299611176154E-2</v>
      </c>
      <c r="I7" s="173"/>
    </row>
    <row r="8" spans="1:9" x14ac:dyDescent="0.2">
      <c r="A8" s="170">
        <v>2004</v>
      </c>
      <c r="B8" s="260">
        <v>486.01110607398061</v>
      </c>
      <c r="C8" s="260">
        <v>486.01110607398061</v>
      </c>
      <c r="F8" s="170">
        <v>2017</v>
      </c>
      <c r="G8" s="267">
        <v>203446.44980873197</v>
      </c>
      <c r="H8" s="173">
        <f t="shared" si="0"/>
        <v>2.2231991240012849E-2</v>
      </c>
      <c r="I8" s="173"/>
    </row>
    <row r="9" spans="1:9" x14ac:dyDescent="0.2">
      <c r="A9" s="170">
        <v>2005</v>
      </c>
      <c r="B9" s="260">
        <v>491.35835441576796</v>
      </c>
      <c r="C9" s="260">
        <v>491.35835441576796</v>
      </c>
      <c r="F9" s="170">
        <v>2018</v>
      </c>
      <c r="G9" s="267">
        <v>208589.18778008211</v>
      </c>
      <c r="H9" s="173">
        <f>G9/G8-1</f>
        <v>2.5278091488866172E-2</v>
      </c>
      <c r="I9" s="173"/>
    </row>
    <row r="10" spans="1:9" x14ac:dyDescent="0.2">
      <c r="A10" s="170">
        <v>2006</v>
      </c>
      <c r="B10" s="260">
        <v>494.4743861889807</v>
      </c>
      <c r="C10" s="260">
        <v>494.4743861889807</v>
      </c>
      <c r="F10" s="170">
        <v>2019</v>
      </c>
      <c r="G10" s="267">
        <v>214351.98175207339</v>
      </c>
      <c r="H10" s="173">
        <f t="shared" ref="H10:H14" si="1">G10/G9-1</f>
        <v>2.7627481718117908E-2</v>
      </c>
    </row>
    <row r="11" spans="1:9" x14ac:dyDescent="0.2">
      <c r="A11" s="170">
        <v>2007</v>
      </c>
      <c r="B11" s="260">
        <v>497.69687626040223</v>
      </c>
      <c r="C11" s="260">
        <v>497.69687626040223</v>
      </c>
      <c r="F11" s="170">
        <v>2020</v>
      </c>
      <c r="G11" s="267">
        <v>219967.00873103132</v>
      </c>
      <c r="H11" s="173">
        <f t="shared" si="1"/>
        <v>2.6195358368332977E-2</v>
      </c>
    </row>
    <row r="12" spans="1:9" x14ac:dyDescent="0.2">
      <c r="A12" s="170">
        <v>2008</v>
      </c>
      <c r="B12" s="260">
        <v>504.51956861312931</v>
      </c>
      <c r="C12" s="260">
        <v>504.51956861312931</v>
      </c>
      <c r="F12" s="170">
        <v>2021</v>
      </c>
      <c r="G12" s="267">
        <v>224488.1078216499</v>
      </c>
      <c r="H12" s="173">
        <f t="shared" si="1"/>
        <v>2.0553532626098603E-2</v>
      </c>
    </row>
    <row r="13" spans="1:9" x14ac:dyDescent="0.2">
      <c r="A13" s="170">
        <v>2009</v>
      </c>
      <c r="B13" s="260">
        <v>509.30726314868986</v>
      </c>
      <c r="C13" s="260">
        <v>509.30726314868986</v>
      </c>
      <c r="F13" s="170">
        <v>2022</v>
      </c>
      <c r="G13" s="267">
        <v>229767.3900615407</v>
      </c>
      <c r="H13" s="173">
        <f t="shared" si="1"/>
        <v>2.3516979545682881E-2</v>
      </c>
    </row>
    <row r="14" spans="1:9" x14ac:dyDescent="0.2">
      <c r="A14" s="170">
        <v>2010</v>
      </c>
      <c r="B14" s="260">
        <v>514.45070434236538</v>
      </c>
      <c r="C14" s="260">
        <v>515.51143388527134</v>
      </c>
      <c r="F14" s="170">
        <v>2023</v>
      </c>
      <c r="G14" s="267">
        <v>236052.50789136178</v>
      </c>
      <c r="H14" s="173">
        <f t="shared" si="1"/>
        <v>2.735426392813034E-2</v>
      </c>
    </row>
    <row r="15" spans="1:9" x14ac:dyDescent="0.2">
      <c r="A15" s="170">
        <v>2011</v>
      </c>
      <c r="B15" s="260">
        <v>513.19236800133854</v>
      </c>
      <c r="C15" s="260">
        <v>518.9120344079688</v>
      </c>
      <c r="D15" s="170">
        <f t="shared" ref="D15:D28" si="2">B15-C15</f>
        <v>-5.7196664066302674</v>
      </c>
      <c r="F15" s="170" t="s">
        <v>194</v>
      </c>
      <c r="G15" s="267">
        <v>2118365.3186371666</v>
      </c>
      <c r="H15" s="173"/>
    </row>
    <row r="16" spans="1:9" x14ac:dyDescent="0.2">
      <c r="A16" s="170">
        <v>2012</v>
      </c>
      <c r="B16" s="260">
        <v>516.55345023435598</v>
      </c>
      <c r="C16" s="260">
        <v>523.25877968705311</v>
      </c>
      <c r="D16" s="170">
        <f t="shared" si="2"/>
        <v>-6.7053294526971285</v>
      </c>
      <c r="F16"/>
      <c r="G16"/>
      <c r="H16"/>
    </row>
    <row r="17" spans="1:8" x14ac:dyDescent="0.2">
      <c r="A17" s="170">
        <v>2013</v>
      </c>
      <c r="B17" s="260">
        <v>521.38801694453969</v>
      </c>
      <c r="C17" s="260">
        <v>528.02224159307116</v>
      </c>
      <c r="D17" s="170">
        <f t="shared" si="2"/>
        <v>-6.6342246485314718</v>
      </c>
      <c r="F17"/>
      <c r="G17"/>
      <c r="H17"/>
    </row>
    <row r="18" spans="1:8" x14ac:dyDescent="0.2">
      <c r="A18" s="170">
        <v>2014</v>
      </c>
      <c r="B18" s="260">
        <v>527.73301159535708</v>
      </c>
      <c r="C18" s="260">
        <v>533.31987261278562</v>
      </c>
      <c r="D18" s="170">
        <f t="shared" si="2"/>
        <v>-5.5868610174285323</v>
      </c>
      <c r="F18"/>
      <c r="G18"/>
      <c r="H18"/>
    </row>
    <row r="19" spans="1:8" x14ac:dyDescent="0.2">
      <c r="A19" s="170">
        <v>2015</v>
      </c>
      <c r="B19" s="260">
        <v>534.4447087859163</v>
      </c>
      <c r="C19" s="260">
        <v>539.02058319178218</v>
      </c>
      <c r="D19" s="170">
        <f t="shared" si="2"/>
        <v>-4.5758744058658749</v>
      </c>
      <c r="F19"/>
      <c r="G19"/>
      <c r="H19"/>
    </row>
    <row r="20" spans="1:8" x14ac:dyDescent="0.2">
      <c r="A20" s="170">
        <v>2016</v>
      </c>
      <c r="B20" s="260">
        <v>540.53500799412609</v>
      </c>
      <c r="C20" s="260">
        <v>544.00771554227936</v>
      </c>
      <c r="D20" s="170">
        <f t="shared" si="2"/>
        <v>-3.4727075481532665</v>
      </c>
      <c r="F20"/>
      <c r="G20"/>
      <c r="H20"/>
    </row>
    <row r="21" spans="1:8" x14ac:dyDescent="0.2">
      <c r="A21" s="170">
        <v>2017</v>
      </c>
      <c r="B21" s="260">
        <v>546.65996950336671</v>
      </c>
      <c r="C21" s="260">
        <v>548.1308521617475</v>
      </c>
      <c r="D21" s="170">
        <f t="shared" si="2"/>
        <v>-1.4708826583807877</v>
      </c>
      <c r="F21"/>
      <c r="G21"/>
      <c r="H21"/>
    </row>
    <row r="22" spans="1:8" x14ac:dyDescent="0.2">
      <c r="A22" s="170">
        <v>2018</v>
      </c>
      <c r="B22" s="260">
        <v>552.676676443406</v>
      </c>
      <c r="C22" s="260">
        <v>552.24252656430212</v>
      </c>
      <c r="D22" s="170">
        <f t="shared" si="2"/>
        <v>0.43414987910387026</v>
      </c>
      <c r="F22"/>
      <c r="G22"/>
      <c r="H22"/>
    </row>
    <row r="23" spans="1:8" x14ac:dyDescent="0.2">
      <c r="A23" s="170">
        <v>2019</v>
      </c>
      <c r="B23" s="260">
        <v>558.30711506002876</v>
      </c>
      <c r="C23" s="260">
        <v>556.91012093768677</v>
      </c>
      <c r="D23" s="170">
        <f t="shared" si="2"/>
        <v>1.3969941223419937</v>
      </c>
      <c r="F23"/>
      <c r="G23"/>
      <c r="H23"/>
    </row>
    <row r="24" spans="1:8" x14ac:dyDescent="0.2">
      <c r="A24" s="170">
        <v>2020</v>
      </c>
      <c r="B24" s="260">
        <v>563.77654981407557</v>
      </c>
      <c r="C24" s="260">
        <v>561.68076242609686</v>
      </c>
      <c r="D24" s="170">
        <f t="shared" si="2"/>
        <v>2.095787387978703</v>
      </c>
      <c r="F24"/>
      <c r="G24"/>
      <c r="H24"/>
    </row>
    <row r="25" spans="1:8" x14ac:dyDescent="0.2">
      <c r="A25" s="170">
        <v>2021</v>
      </c>
      <c r="B25" s="260">
        <v>569.36779445327682</v>
      </c>
      <c r="C25" s="260">
        <v>566.42577331778591</v>
      </c>
      <c r="D25" s="170">
        <f t="shared" si="2"/>
        <v>2.9420211354909043</v>
      </c>
      <c r="F25"/>
      <c r="G25"/>
      <c r="H25"/>
    </row>
    <row r="26" spans="1:8" x14ac:dyDescent="0.2">
      <c r="A26" s="170">
        <v>2022</v>
      </c>
      <c r="B26" s="260">
        <v>574.38603798890199</v>
      </c>
      <c r="C26" s="260">
        <v>571.10691726614994</v>
      </c>
      <c r="D26" s="170">
        <f t="shared" si="2"/>
        <v>3.2791207227520545</v>
      </c>
      <c r="F26"/>
      <c r="G26"/>
      <c r="H26"/>
    </row>
    <row r="27" spans="1:8" x14ac:dyDescent="0.2">
      <c r="A27" s="170">
        <v>2023</v>
      </c>
      <c r="B27" s="260">
        <v>578.77694462476734</v>
      </c>
      <c r="C27" s="260">
        <v>575.98601624793298</v>
      </c>
      <c r="D27" s="170">
        <f t="shared" si="2"/>
        <v>2.7909283768343585</v>
      </c>
      <c r="F27"/>
      <c r="G27"/>
      <c r="H27"/>
    </row>
    <row r="28" spans="1:8" x14ac:dyDescent="0.2">
      <c r="A28" s="170">
        <v>2024</v>
      </c>
      <c r="B28" s="260">
        <v>583.1277472040764</v>
      </c>
      <c r="C28" s="260">
        <v>580.95005428908269</v>
      </c>
      <c r="D28" s="170">
        <f t="shared" si="2"/>
        <v>2.1776929149937132</v>
      </c>
      <c r="F28"/>
      <c r="G28"/>
      <c r="H28"/>
    </row>
    <row r="29" spans="1:8" x14ac:dyDescent="0.2">
      <c r="A29" s="170">
        <v>2025</v>
      </c>
      <c r="B29" s="260">
        <v>588.22893131651415</v>
      </c>
      <c r="C29" s="260">
        <v>586.03218800895547</v>
      </c>
      <c r="D29" s="170">
        <f>B29-C29</f>
        <v>2.1967433075586769</v>
      </c>
      <c r="F29"/>
      <c r="G29"/>
      <c r="H29"/>
    </row>
    <row r="30" spans="1:8" x14ac:dyDescent="0.2">
      <c r="A30" s="170">
        <v>2026</v>
      </c>
      <c r="B30" s="260">
        <v>593.6414538792925</v>
      </c>
      <c r="C30" s="260">
        <v>591.42449748447518</v>
      </c>
      <c r="D30" s="170">
        <f t="shared" ref="D30:D48" si="3">B30-C30</f>
        <v>2.2169563948173163</v>
      </c>
      <c r="F30"/>
      <c r="G30"/>
      <c r="H30"/>
    </row>
    <row r="31" spans="1:8" x14ac:dyDescent="0.2">
      <c r="A31" s="170">
        <v>2027</v>
      </c>
      <c r="B31" s="260">
        <v>599.32574163440358</v>
      </c>
      <c r="C31" s="260">
        <v>597.08755724412481</v>
      </c>
      <c r="D31" s="170">
        <f t="shared" si="3"/>
        <v>2.238184390278775</v>
      </c>
      <c r="F31"/>
      <c r="G31"/>
      <c r="H31"/>
    </row>
    <row r="32" spans="1:8" x14ac:dyDescent="0.2">
      <c r="A32" s="170">
        <v>2028</v>
      </c>
      <c r="B32" s="260">
        <v>604.19240574424816</v>
      </c>
      <c r="C32" s="260">
        <v>601.93604677729638</v>
      </c>
      <c r="D32" s="170">
        <f t="shared" si="3"/>
        <v>2.2563589669517796</v>
      </c>
      <c r="F32"/>
      <c r="G32"/>
      <c r="H32"/>
    </row>
    <row r="33" spans="1:8" x14ac:dyDescent="0.2">
      <c r="A33" s="170">
        <v>2029</v>
      </c>
      <c r="B33" s="260">
        <v>609.15383409356457</v>
      </c>
      <c r="C33" s="260">
        <v>606.87894665250678</v>
      </c>
      <c r="D33" s="170">
        <f t="shared" si="3"/>
        <v>2.2748874410577855</v>
      </c>
      <c r="F33"/>
      <c r="G33"/>
      <c r="H33"/>
    </row>
    <row r="34" spans="1:8" x14ac:dyDescent="0.2">
      <c r="A34" s="170">
        <v>2030</v>
      </c>
      <c r="B34" s="260">
        <v>614.36410340118675</v>
      </c>
      <c r="C34" s="260">
        <v>612.06975818846445</v>
      </c>
      <c r="D34" s="170">
        <f t="shared" si="3"/>
        <v>2.2943452127223054</v>
      </c>
      <c r="F34"/>
      <c r="G34"/>
      <c r="H34"/>
    </row>
    <row r="35" spans="1:8" x14ac:dyDescent="0.2">
      <c r="A35" s="170">
        <v>2031</v>
      </c>
      <c r="B35" s="260">
        <v>619.50252515097168</v>
      </c>
      <c r="C35" s="260">
        <v>617.18899048157823</v>
      </c>
      <c r="D35" s="170">
        <f t="shared" si="3"/>
        <v>2.313534669393448</v>
      </c>
      <c r="F35"/>
      <c r="G35"/>
      <c r="H35"/>
    </row>
    <row r="36" spans="1:8" x14ac:dyDescent="0.2">
      <c r="A36" s="170">
        <v>2032</v>
      </c>
      <c r="B36" s="260">
        <v>624.78324443271595</v>
      </c>
      <c r="C36" s="260">
        <v>622.44998889594626</v>
      </c>
      <c r="D36" s="170">
        <f t="shared" si="3"/>
        <v>2.3332555367696841</v>
      </c>
      <c r="F36"/>
      <c r="G36"/>
      <c r="H36"/>
    </row>
    <row r="37" spans="1:8" x14ac:dyDescent="0.2">
      <c r="A37" s="170">
        <v>2033</v>
      </c>
      <c r="B37" s="260">
        <v>629.93280296316789</v>
      </c>
      <c r="C37" s="260">
        <v>627.58031637937495</v>
      </c>
      <c r="D37" s="170">
        <f t="shared" si="3"/>
        <v>2.3524865837929383</v>
      </c>
      <c r="F37"/>
      <c r="G37"/>
      <c r="H37"/>
    </row>
    <row r="38" spans="1:8" x14ac:dyDescent="0.2">
      <c r="A38" s="170">
        <v>2034</v>
      </c>
      <c r="B38" s="260">
        <v>635.20220282649495</v>
      </c>
      <c r="C38" s="260">
        <v>632.83003764773935</v>
      </c>
      <c r="D38" s="170">
        <f t="shared" si="3"/>
        <v>2.3721651787556084</v>
      </c>
      <c r="F38"/>
      <c r="G38"/>
      <c r="H38"/>
    </row>
    <row r="39" spans="1:8" x14ac:dyDescent="0.2">
      <c r="A39" s="170">
        <v>2035</v>
      </c>
      <c r="B39" s="260">
        <v>640.27502654106661</v>
      </c>
      <c r="C39" s="260">
        <v>637.88391688176591</v>
      </c>
      <c r="D39" s="170">
        <f t="shared" si="3"/>
        <v>2.391109659300696</v>
      </c>
      <c r="F39"/>
      <c r="G39"/>
      <c r="H39"/>
    </row>
    <row r="40" spans="1:8" x14ac:dyDescent="0.2">
      <c r="A40" s="170">
        <v>2036</v>
      </c>
      <c r="B40" s="260">
        <v>645.17881602835791</v>
      </c>
      <c r="C40" s="260">
        <v>642.76939314751303</v>
      </c>
      <c r="D40" s="170">
        <f t="shared" si="3"/>
        <v>2.4094228808448861</v>
      </c>
      <c r="F40"/>
      <c r="G40"/>
      <c r="H40"/>
    </row>
    <row r="41" spans="1:8" x14ac:dyDescent="0.2">
      <c r="A41" s="170">
        <v>2037</v>
      </c>
      <c r="B41" s="260">
        <v>650.28592649404959</v>
      </c>
      <c r="C41" s="260">
        <v>647.85743108864972</v>
      </c>
      <c r="D41" s="170">
        <f t="shared" si="3"/>
        <v>2.4284954053998717</v>
      </c>
      <c r="F41"/>
      <c r="G41"/>
      <c r="H41"/>
    </row>
    <row r="42" spans="1:8" x14ac:dyDescent="0.2">
      <c r="A42" s="170">
        <v>2038</v>
      </c>
      <c r="B42" s="260">
        <v>654.81050635582744</v>
      </c>
      <c r="C42" s="260">
        <v>652.36511388875374</v>
      </c>
      <c r="D42" s="170">
        <f t="shared" si="3"/>
        <v>2.4453924670737024</v>
      </c>
      <c r="F42"/>
      <c r="G42"/>
      <c r="H42"/>
    </row>
    <row r="43" spans="1:8" x14ac:dyDescent="0.2">
      <c r="A43" s="170">
        <v>2039</v>
      </c>
      <c r="B43" s="260">
        <v>659.42592717790353</v>
      </c>
      <c r="C43" s="260">
        <v>656.96329840322448</v>
      </c>
      <c r="D43" s="170">
        <f t="shared" si="3"/>
        <v>2.4626287746790467</v>
      </c>
      <c r="F43"/>
      <c r="G43"/>
      <c r="H43"/>
    </row>
    <row r="44" spans="1:8" x14ac:dyDescent="0.2">
      <c r="A44" s="170">
        <v>2040</v>
      </c>
      <c r="B44" s="260">
        <v>664.0427387715672</v>
      </c>
      <c r="C44" s="260">
        <v>661.56286849544085</v>
      </c>
      <c r="D44" s="170">
        <f t="shared" si="3"/>
        <v>2.4798702761263485</v>
      </c>
      <c r="F44"/>
      <c r="G44"/>
      <c r="H44"/>
    </row>
    <row r="45" spans="1:8" x14ac:dyDescent="0.2">
      <c r="A45" s="170">
        <v>2041</v>
      </c>
      <c r="B45" s="260">
        <v>669.00373654914267</v>
      </c>
      <c r="C45" s="260">
        <v>666.50533940688229</v>
      </c>
      <c r="D45" s="170">
        <f t="shared" si="3"/>
        <v>2.4983971422603872</v>
      </c>
      <c r="F45"/>
      <c r="G45"/>
      <c r="H45"/>
    </row>
    <row r="46" spans="1:8" x14ac:dyDescent="0.2">
      <c r="A46" s="170">
        <v>2042</v>
      </c>
      <c r="B46" s="260">
        <v>672.76772665604312</v>
      </c>
      <c r="C46" s="260">
        <v>670.25527287760451</v>
      </c>
      <c r="D46" s="170">
        <f t="shared" si="3"/>
        <v>2.5124537784386121</v>
      </c>
      <c r="F46"/>
      <c r="G46"/>
      <c r="H46"/>
    </row>
    <row r="47" spans="1:8" x14ac:dyDescent="0.2">
      <c r="A47" s="170">
        <v>2043</v>
      </c>
      <c r="B47" s="260">
        <v>676.80531923264562</v>
      </c>
      <c r="C47" s="260">
        <v>674.2777870485063</v>
      </c>
      <c r="D47" s="170">
        <f t="shared" si="3"/>
        <v>2.5275321841393179</v>
      </c>
      <c r="F47"/>
      <c r="G47"/>
      <c r="H47"/>
    </row>
    <row r="48" spans="1:8" x14ac:dyDescent="0.2">
      <c r="A48" s="170" t="s">
        <v>194</v>
      </c>
      <c r="B48" s="260">
        <v>573.32245030977174</v>
      </c>
      <c r="C48" s="260">
        <v>572.74350521420649</v>
      </c>
      <c r="D48" s="170">
        <f t="shared" si="3"/>
        <v>0.57894509556524554</v>
      </c>
      <c r="F48"/>
      <c r="G48"/>
      <c r="H48"/>
    </row>
  </sheetData>
  <pageMargins left="0.7" right="0.7" top="0.75" bottom="0.75" header="0.3" footer="0.3"/>
  <pageSetup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7"/>
  <sheetViews>
    <sheetView workbookViewId="0">
      <selection activeCell="L2" sqref="L2:L13"/>
    </sheetView>
  </sheetViews>
  <sheetFormatPr defaultRowHeight="12.75" x14ac:dyDescent="0.2"/>
  <cols>
    <col min="1" max="1" width="10.28515625" style="170" bestFit="1" customWidth="1"/>
    <col min="2" max="2" width="17.5703125" style="170" bestFit="1" customWidth="1"/>
    <col min="3" max="3" width="18.5703125" style="170" bestFit="1" customWidth="1"/>
    <col min="4" max="4" width="25.140625" style="170" customWidth="1"/>
    <col min="5" max="16384" width="9.140625" style="170"/>
  </cols>
  <sheetData>
    <row r="2" spans="1:6" x14ac:dyDescent="0.2">
      <c r="B2" s="170" t="s">
        <v>245</v>
      </c>
      <c r="C2" s="170" t="s">
        <v>246</v>
      </c>
    </row>
    <row r="3" spans="1:6" x14ac:dyDescent="0.2">
      <c r="B3" s="170" t="s">
        <v>221</v>
      </c>
    </row>
    <row r="4" spans="1:6" x14ac:dyDescent="0.2">
      <c r="A4" s="170" t="s">
        <v>15</v>
      </c>
      <c r="B4" s="170" t="s">
        <v>247</v>
      </c>
      <c r="C4" s="170" t="s">
        <v>248</v>
      </c>
      <c r="D4" s="170" t="s">
        <v>222</v>
      </c>
    </row>
    <row r="5" spans="1:6" x14ac:dyDescent="0.2">
      <c r="A5" s="170">
        <v>2005</v>
      </c>
      <c r="B5" s="180">
        <v>6.4065135612233277</v>
      </c>
      <c r="C5" s="180">
        <v>6.4065135612233277</v>
      </c>
      <c r="D5" s="180">
        <v>6.4065135612233277</v>
      </c>
    </row>
    <row r="6" spans="1:6" x14ac:dyDescent="0.2">
      <c r="A6" s="170">
        <v>2006</v>
      </c>
      <c r="B6" s="180">
        <v>6.6378619567564625</v>
      </c>
      <c r="C6" s="180">
        <v>6.6378619567564625</v>
      </c>
      <c r="D6" s="180">
        <v>6.6378619567564625</v>
      </c>
    </row>
    <row r="7" spans="1:6" x14ac:dyDescent="0.2">
      <c r="A7" s="170">
        <v>2007</v>
      </c>
      <c r="B7" s="180">
        <v>6.8778619567564609</v>
      </c>
      <c r="C7" s="180">
        <v>6.8778619567564609</v>
      </c>
      <c r="D7" s="180">
        <v>6.8778619567564609</v>
      </c>
    </row>
    <row r="8" spans="1:6" x14ac:dyDescent="0.2">
      <c r="A8" s="170">
        <v>2008</v>
      </c>
      <c r="B8" s="180">
        <v>7.1562642176594835</v>
      </c>
      <c r="C8" s="180">
        <v>7.1562642176594835</v>
      </c>
      <c r="D8" s="180">
        <v>7.1562642176594835</v>
      </c>
      <c r="E8" s="171">
        <f t="shared" ref="E8:F12" si="0">B8/B$5-1</f>
        <v>0.11702943407068833</v>
      </c>
      <c r="F8" s="171">
        <f t="shared" si="0"/>
        <v>0.11702943407068833</v>
      </c>
    </row>
    <row r="9" spans="1:6" x14ac:dyDescent="0.2">
      <c r="A9" s="170">
        <v>2009</v>
      </c>
      <c r="B9" s="180">
        <v>7.2900558232403219</v>
      </c>
      <c r="C9" s="180">
        <v>7.2900558232403219</v>
      </c>
      <c r="D9" s="180">
        <v>7.2900558232403219</v>
      </c>
      <c r="E9" s="171">
        <f t="shared" si="0"/>
        <v>0.13791311819970309</v>
      </c>
      <c r="F9" s="171">
        <f t="shared" si="0"/>
        <v>0.13791311819970309</v>
      </c>
    </row>
    <row r="10" spans="1:6" x14ac:dyDescent="0.2">
      <c r="A10" s="170">
        <v>2010</v>
      </c>
      <c r="B10" s="180">
        <v>7.4759202235333779</v>
      </c>
      <c r="C10" s="180">
        <v>7.4759202235333779</v>
      </c>
      <c r="D10" s="180">
        <v>7.4759202235333779</v>
      </c>
      <c r="E10" s="171">
        <f t="shared" si="0"/>
        <v>0.16692490417609385</v>
      </c>
      <c r="F10" s="171">
        <f t="shared" si="0"/>
        <v>0.16692490417609385</v>
      </c>
    </row>
    <row r="11" spans="1:6" x14ac:dyDescent="0.2">
      <c r="A11" s="170">
        <v>2011</v>
      </c>
      <c r="B11" s="180">
        <v>8.2894638037513477</v>
      </c>
      <c r="C11" s="180">
        <v>8.2894638037513477</v>
      </c>
      <c r="D11" s="180">
        <v>8.2894638037513477</v>
      </c>
      <c r="E11" s="171">
        <f t="shared" si="0"/>
        <v>0.2939118483920713</v>
      </c>
      <c r="F11" s="171">
        <f t="shared" si="0"/>
        <v>0.2939118483920713</v>
      </c>
    </row>
    <row r="12" spans="1:6" x14ac:dyDescent="0.2">
      <c r="A12" s="170">
        <v>2012</v>
      </c>
      <c r="B12" s="180">
        <v>8.8999885401544248</v>
      </c>
      <c r="C12" s="180">
        <v>8.5772101877244911</v>
      </c>
      <c r="D12" s="180">
        <v>8.8300509383118992</v>
      </c>
      <c r="E12" s="171">
        <f t="shared" si="0"/>
        <v>0.38920935000018431</v>
      </c>
      <c r="F12" s="171">
        <f t="shared" si="0"/>
        <v>0.33882650926390423</v>
      </c>
    </row>
    <row r="13" spans="1:6" x14ac:dyDescent="0.2">
      <c r="A13" s="170">
        <v>2013</v>
      </c>
      <c r="B13" s="180">
        <v>9.7259169494704008</v>
      </c>
      <c r="C13" s="180">
        <v>9.5861743542818498</v>
      </c>
      <c r="D13" s="180">
        <v>9.145248787594797</v>
      </c>
      <c r="E13" s="171">
        <f>B13/B$5-1</f>
        <v>0.51812945629872842</v>
      </c>
      <c r="F13" s="171">
        <f>C13/C$5-1</f>
        <v>0.49631687542254488</v>
      </c>
    </row>
    <row r="14" spans="1:6" x14ac:dyDescent="0.2">
      <c r="A14" s="170">
        <v>2014</v>
      </c>
      <c r="B14" s="180">
        <v>11.003830034113447</v>
      </c>
      <c r="C14" s="180">
        <v>10.291964184589402</v>
      </c>
      <c r="D14" s="180">
        <v>9.4872430219052877</v>
      </c>
      <c r="E14" s="171">
        <f t="shared" ref="E14:F15" si="1">B14/B$5-1</f>
        <v>0.71760036546496586</v>
      </c>
      <c r="F14" s="171">
        <f t="shared" si="1"/>
        <v>0.60648441406313736</v>
      </c>
    </row>
    <row r="15" spans="1:6" x14ac:dyDescent="0.2">
      <c r="A15" s="170">
        <v>2015</v>
      </c>
      <c r="B15" s="180">
        <v>12.063906523553113</v>
      </c>
      <c r="C15" s="180">
        <v>11.410251224331203</v>
      </c>
      <c r="D15" s="180">
        <v>10.3149120957642</v>
      </c>
      <c r="E15" s="171">
        <f t="shared" si="1"/>
        <v>0.88306891232889284</v>
      </c>
      <c r="F15" s="171">
        <f t="shared" si="1"/>
        <v>0.7810391120365332</v>
      </c>
    </row>
    <row r="16" spans="1:6" x14ac:dyDescent="0.2">
      <c r="A16" s="170">
        <v>2016</v>
      </c>
      <c r="B16" s="180">
        <v>12.772604561174989</v>
      </c>
      <c r="C16" s="180">
        <v>12.3600856287173</v>
      </c>
      <c r="D16" s="180">
        <v>10.9739050105853</v>
      </c>
    </row>
    <row r="17" spans="1:4" x14ac:dyDescent="0.2">
      <c r="A17" s="170">
        <v>2017</v>
      </c>
      <c r="B17" s="180">
        <v>13.276189156742456</v>
      </c>
      <c r="C17" s="180">
        <v>12.60728734129165</v>
      </c>
      <c r="D17" s="180">
        <v>11.193383110797003</v>
      </c>
    </row>
    <row r="18" spans="1:4" x14ac:dyDescent="0.2">
      <c r="A18" s="170">
        <v>2018</v>
      </c>
      <c r="B18" s="180">
        <v>13.372037505036209</v>
      </c>
      <c r="C18" s="180">
        <v>12.859433088117479</v>
      </c>
      <c r="D18" s="180">
        <v>11.417250773012951</v>
      </c>
    </row>
    <row r="19" spans="1:4" x14ac:dyDescent="0.2">
      <c r="A19" s="170" t="s">
        <v>194</v>
      </c>
      <c r="B19" s="260">
        <v>9.3748867723689919</v>
      </c>
      <c r="C19" s="260">
        <v>9.1304533965695711</v>
      </c>
      <c r="D19" s="260">
        <v>8.6782810914922877</v>
      </c>
    </row>
    <row r="20" spans="1:4" x14ac:dyDescent="0.2">
      <c r="A20"/>
      <c r="B20"/>
      <c r="C20"/>
      <c r="D20"/>
    </row>
    <row r="21" spans="1:4" x14ac:dyDescent="0.2">
      <c r="A21"/>
      <c r="B21"/>
      <c r="C21"/>
      <c r="D21"/>
    </row>
    <row r="22" spans="1:4" x14ac:dyDescent="0.2">
      <c r="A22"/>
      <c r="B22"/>
      <c r="C22"/>
      <c r="D22"/>
    </row>
    <row r="23" spans="1:4" x14ac:dyDescent="0.2">
      <c r="A23"/>
      <c r="B23"/>
      <c r="C23"/>
      <c r="D23"/>
    </row>
    <row r="24" spans="1:4" x14ac:dyDescent="0.2">
      <c r="A24"/>
      <c r="B24"/>
      <c r="C24"/>
      <c r="D24"/>
    </row>
    <row r="25" spans="1:4" x14ac:dyDescent="0.2">
      <c r="A25"/>
      <c r="B25"/>
      <c r="C25"/>
      <c r="D25"/>
    </row>
    <row r="26" spans="1:4" x14ac:dyDescent="0.2">
      <c r="A26"/>
      <c r="B26"/>
      <c r="C26"/>
      <c r="D26"/>
    </row>
    <row r="27" spans="1:4" x14ac:dyDescent="0.2">
      <c r="A27"/>
      <c r="B27"/>
      <c r="C27"/>
      <c r="D27"/>
    </row>
    <row r="28" spans="1:4" x14ac:dyDescent="0.2">
      <c r="A28"/>
      <c r="B28"/>
      <c r="C28"/>
      <c r="D28"/>
    </row>
    <row r="29" spans="1:4" x14ac:dyDescent="0.2">
      <c r="A29"/>
      <c r="B29"/>
      <c r="C29"/>
      <c r="D29"/>
    </row>
    <row r="30" spans="1:4" x14ac:dyDescent="0.2">
      <c r="A30"/>
      <c r="B30"/>
      <c r="C30"/>
      <c r="D30"/>
    </row>
    <row r="31" spans="1:4" x14ac:dyDescent="0.2">
      <c r="A31"/>
      <c r="B31"/>
      <c r="C31"/>
      <c r="D31"/>
    </row>
    <row r="32" spans="1:4" x14ac:dyDescent="0.2">
      <c r="A32"/>
      <c r="B32"/>
      <c r="C32"/>
      <c r="D32"/>
    </row>
    <row r="33" spans="1:4" x14ac:dyDescent="0.2">
      <c r="A33"/>
      <c r="B33"/>
      <c r="C33"/>
      <c r="D33"/>
    </row>
    <row r="34" spans="1:4" x14ac:dyDescent="0.2">
      <c r="A34"/>
      <c r="B34"/>
      <c r="C34"/>
      <c r="D34"/>
    </row>
    <row r="35" spans="1:4" x14ac:dyDescent="0.2">
      <c r="A35"/>
      <c r="B35"/>
      <c r="C35"/>
      <c r="D35"/>
    </row>
    <row r="36" spans="1:4" x14ac:dyDescent="0.2">
      <c r="A36"/>
      <c r="B36"/>
      <c r="C36"/>
      <c r="D36"/>
    </row>
    <row r="37" spans="1:4" x14ac:dyDescent="0.2">
      <c r="A37"/>
      <c r="B37"/>
      <c r="C37"/>
      <c r="D37"/>
    </row>
    <row r="38" spans="1:4" x14ac:dyDescent="0.2">
      <c r="A38"/>
      <c r="B38"/>
      <c r="C38"/>
      <c r="D38"/>
    </row>
    <row r="39" spans="1:4" x14ac:dyDescent="0.2">
      <c r="A39"/>
      <c r="B39"/>
      <c r="C39"/>
      <c r="D39"/>
    </row>
    <row r="40" spans="1:4" x14ac:dyDescent="0.2">
      <c r="A40"/>
      <c r="B40"/>
      <c r="C40"/>
      <c r="D40"/>
    </row>
    <row r="41" spans="1:4" x14ac:dyDescent="0.2">
      <c r="A41"/>
      <c r="B41"/>
      <c r="C41"/>
      <c r="D41"/>
    </row>
    <row r="42" spans="1:4" x14ac:dyDescent="0.2">
      <c r="A42"/>
      <c r="B42"/>
      <c r="C42"/>
      <c r="D42"/>
    </row>
    <row r="43" spans="1:4" x14ac:dyDescent="0.2">
      <c r="A43"/>
      <c r="B43"/>
      <c r="C43"/>
      <c r="D43"/>
    </row>
    <row r="44" spans="1:4" x14ac:dyDescent="0.2">
      <c r="A44"/>
      <c r="B44"/>
      <c r="C44"/>
      <c r="D44"/>
    </row>
    <row r="45" spans="1:4" x14ac:dyDescent="0.2">
      <c r="A45"/>
      <c r="B45"/>
      <c r="C45"/>
      <c r="D45"/>
    </row>
    <row r="46" spans="1:4" x14ac:dyDescent="0.2">
      <c r="A46"/>
      <c r="B46"/>
      <c r="C46"/>
      <c r="D46"/>
    </row>
    <row r="47" spans="1:4" x14ac:dyDescent="0.2">
      <c r="A47"/>
      <c r="B47"/>
      <c r="C47"/>
      <c r="D47"/>
    </row>
  </sheetData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17"/>
  <sheetViews>
    <sheetView tabSelected="1" workbookViewId="0">
      <pane xSplit="2" ySplit="1" topLeftCell="C130" activePane="bottomRight" state="frozen"/>
      <selection pane="topRight"/>
      <selection pane="bottomLeft"/>
      <selection pane="bottomRight"/>
    </sheetView>
  </sheetViews>
  <sheetFormatPr defaultColWidth="15.7109375" defaultRowHeight="12.75" x14ac:dyDescent="0.2"/>
  <cols>
    <col min="1" max="1" width="6" style="147" bestFit="1" customWidth="1"/>
    <col min="2" max="2" width="7.140625" style="147" bestFit="1" customWidth="1"/>
    <col min="3" max="3" width="9.140625" style="162" bestFit="1" customWidth="1"/>
    <col min="4" max="4" width="10.7109375" style="162" bestFit="1" customWidth="1"/>
    <col min="5" max="5" width="10.85546875" style="167" bestFit="1" customWidth="1"/>
    <col min="6" max="6" width="10.85546875" style="167" customWidth="1"/>
    <col min="7" max="7" width="16.140625" style="167" bestFit="1" customWidth="1"/>
    <col min="8" max="8" width="11.140625" style="166" bestFit="1" customWidth="1"/>
    <col min="9" max="9" width="18.42578125" style="156" bestFit="1" customWidth="1"/>
    <col min="10" max="10" width="10.85546875" style="156" customWidth="1"/>
    <col min="11" max="11" width="19.7109375" style="156" bestFit="1" customWidth="1"/>
    <col min="12" max="12" width="18.7109375" style="157" hidden="1" customWidth="1"/>
    <col min="13" max="13" width="15.7109375" style="147"/>
    <col min="14" max="14" width="22.85546875" style="150" bestFit="1" customWidth="1"/>
    <col min="15" max="15" width="27.28515625" customWidth="1"/>
    <col min="16" max="16" width="27.28515625" hidden="1" customWidth="1"/>
    <col min="17" max="17" width="6.7109375" style="162" bestFit="1" customWidth="1"/>
    <col min="18" max="18" width="5.5703125" style="162" bestFit="1" customWidth="1"/>
    <col min="19" max="20" width="5.5703125" style="162" customWidth="1"/>
    <col min="21" max="21" width="14.42578125" style="159" bestFit="1" customWidth="1"/>
    <col min="22" max="22" width="14.28515625" style="159" bestFit="1" customWidth="1"/>
    <col min="23" max="24" width="14.28515625" style="159" customWidth="1"/>
    <col min="25" max="26" width="0" style="147" hidden="1" customWidth="1"/>
    <col min="27" max="265" width="15.7109375" style="147"/>
    <col min="266" max="266" width="6" style="147" bestFit="1" customWidth="1"/>
    <col min="267" max="267" width="7.140625" style="147" bestFit="1" customWidth="1"/>
    <col min="268" max="268" width="9.140625" style="147" bestFit="1" customWidth="1"/>
    <col min="269" max="269" width="10.85546875" style="147" bestFit="1" customWidth="1"/>
    <col min="270" max="270" width="10.85546875" style="147" customWidth="1"/>
    <col min="271" max="271" width="11.140625" style="147" bestFit="1" customWidth="1"/>
    <col min="272" max="272" width="10.85546875" style="147" bestFit="1" customWidth="1"/>
    <col min="273" max="273" width="11.42578125" style="147" bestFit="1" customWidth="1"/>
    <col min="274" max="274" width="15.85546875" style="147" bestFit="1" customWidth="1"/>
    <col min="275" max="275" width="6.7109375" style="147" bestFit="1" customWidth="1"/>
    <col min="276" max="276" width="5.5703125" style="147" bestFit="1" customWidth="1"/>
    <col min="277" max="277" width="14.42578125" style="147" bestFit="1" customWidth="1"/>
    <col min="278" max="278" width="14.28515625" style="147" bestFit="1" customWidth="1"/>
    <col min="279" max="279" width="14.28515625" style="147" customWidth="1"/>
    <col min="280" max="521" width="15.7109375" style="147"/>
    <col min="522" max="522" width="6" style="147" bestFit="1" customWidth="1"/>
    <col min="523" max="523" width="7.140625" style="147" bestFit="1" customWidth="1"/>
    <col min="524" max="524" width="9.140625" style="147" bestFit="1" customWidth="1"/>
    <col min="525" max="525" width="10.85546875" style="147" bestFit="1" customWidth="1"/>
    <col min="526" max="526" width="10.85546875" style="147" customWidth="1"/>
    <col min="527" max="527" width="11.140625" style="147" bestFit="1" customWidth="1"/>
    <col min="528" max="528" width="10.85546875" style="147" bestFit="1" customWidth="1"/>
    <col min="529" max="529" width="11.42578125" style="147" bestFit="1" customWidth="1"/>
    <col min="530" max="530" width="15.85546875" style="147" bestFit="1" customWidth="1"/>
    <col min="531" max="531" width="6.7109375" style="147" bestFit="1" customWidth="1"/>
    <col min="532" max="532" width="5.5703125" style="147" bestFit="1" customWidth="1"/>
    <col min="533" max="533" width="14.42578125" style="147" bestFit="1" customWidth="1"/>
    <col min="534" max="534" width="14.28515625" style="147" bestFit="1" customWidth="1"/>
    <col min="535" max="535" width="14.28515625" style="147" customWidth="1"/>
    <col min="536" max="777" width="15.7109375" style="147"/>
    <col min="778" max="778" width="6" style="147" bestFit="1" customWidth="1"/>
    <col min="779" max="779" width="7.140625" style="147" bestFit="1" customWidth="1"/>
    <col min="780" max="780" width="9.140625" style="147" bestFit="1" customWidth="1"/>
    <col min="781" max="781" width="10.85546875" style="147" bestFit="1" customWidth="1"/>
    <col min="782" max="782" width="10.85546875" style="147" customWidth="1"/>
    <col min="783" max="783" width="11.140625" style="147" bestFit="1" customWidth="1"/>
    <col min="784" max="784" width="10.85546875" style="147" bestFit="1" customWidth="1"/>
    <col min="785" max="785" width="11.42578125" style="147" bestFit="1" customWidth="1"/>
    <col min="786" max="786" width="15.85546875" style="147" bestFit="1" customWidth="1"/>
    <col min="787" max="787" width="6.7109375" style="147" bestFit="1" customWidth="1"/>
    <col min="788" max="788" width="5.5703125" style="147" bestFit="1" customWidth="1"/>
    <col min="789" max="789" width="14.42578125" style="147" bestFit="1" customWidth="1"/>
    <col min="790" max="790" width="14.28515625" style="147" bestFit="1" customWidth="1"/>
    <col min="791" max="791" width="14.28515625" style="147" customWidth="1"/>
    <col min="792" max="1033" width="15.7109375" style="147"/>
    <col min="1034" max="1034" width="6" style="147" bestFit="1" customWidth="1"/>
    <col min="1035" max="1035" width="7.140625" style="147" bestFit="1" customWidth="1"/>
    <col min="1036" max="1036" width="9.140625" style="147" bestFit="1" customWidth="1"/>
    <col min="1037" max="1037" width="10.85546875" style="147" bestFit="1" customWidth="1"/>
    <col min="1038" max="1038" width="10.85546875" style="147" customWidth="1"/>
    <col min="1039" max="1039" width="11.140625" style="147" bestFit="1" customWidth="1"/>
    <col min="1040" max="1040" width="10.85546875" style="147" bestFit="1" customWidth="1"/>
    <col min="1041" max="1041" width="11.42578125" style="147" bestFit="1" customWidth="1"/>
    <col min="1042" max="1042" width="15.85546875" style="147" bestFit="1" customWidth="1"/>
    <col min="1043" max="1043" width="6.7109375" style="147" bestFit="1" customWidth="1"/>
    <col min="1044" max="1044" width="5.5703125" style="147" bestFit="1" customWidth="1"/>
    <col min="1045" max="1045" width="14.42578125" style="147" bestFit="1" customWidth="1"/>
    <col min="1046" max="1046" width="14.28515625" style="147" bestFit="1" customWidth="1"/>
    <col min="1047" max="1047" width="14.28515625" style="147" customWidth="1"/>
    <col min="1048" max="1289" width="15.7109375" style="147"/>
    <col min="1290" max="1290" width="6" style="147" bestFit="1" customWidth="1"/>
    <col min="1291" max="1291" width="7.140625" style="147" bestFit="1" customWidth="1"/>
    <col min="1292" max="1292" width="9.140625" style="147" bestFit="1" customWidth="1"/>
    <col min="1293" max="1293" width="10.85546875" style="147" bestFit="1" customWidth="1"/>
    <col min="1294" max="1294" width="10.85546875" style="147" customWidth="1"/>
    <col min="1295" max="1295" width="11.140625" style="147" bestFit="1" customWidth="1"/>
    <col min="1296" max="1296" width="10.85546875" style="147" bestFit="1" customWidth="1"/>
    <col min="1297" max="1297" width="11.42578125" style="147" bestFit="1" customWidth="1"/>
    <col min="1298" max="1298" width="15.85546875" style="147" bestFit="1" customWidth="1"/>
    <col min="1299" max="1299" width="6.7109375" style="147" bestFit="1" customWidth="1"/>
    <col min="1300" max="1300" width="5.5703125" style="147" bestFit="1" customWidth="1"/>
    <col min="1301" max="1301" width="14.42578125" style="147" bestFit="1" customWidth="1"/>
    <col min="1302" max="1302" width="14.28515625" style="147" bestFit="1" customWidth="1"/>
    <col min="1303" max="1303" width="14.28515625" style="147" customWidth="1"/>
    <col min="1304" max="1545" width="15.7109375" style="147"/>
    <col min="1546" max="1546" width="6" style="147" bestFit="1" customWidth="1"/>
    <col min="1547" max="1547" width="7.140625" style="147" bestFit="1" customWidth="1"/>
    <col min="1548" max="1548" width="9.140625" style="147" bestFit="1" customWidth="1"/>
    <col min="1549" max="1549" width="10.85546875" style="147" bestFit="1" customWidth="1"/>
    <col min="1550" max="1550" width="10.85546875" style="147" customWidth="1"/>
    <col min="1551" max="1551" width="11.140625" style="147" bestFit="1" customWidth="1"/>
    <col min="1552" max="1552" width="10.85546875" style="147" bestFit="1" customWidth="1"/>
    <col min="1553" max="1553" width="11.42578125" style="147" bestFit="1" customWidth="1"/>
    <col min="1554" max="1554" width="15.85546875" style="147" bestFit="1" customWidth="1"/>
    <col min="1555" max="1555" width="6.7109375" style="147" bestFit="1" customWidth="1"/>
    <col min="1556" max="1556" width="5.5703125" style="147" bestFit="1" customWidth="1"/>
    <col min="1557" max="1557" width="14.42578125" style="147" bestFit="1" customWidth="1"/>
    <col min="1558" max="1558" width="14.28515625" style="147" bestFit="1" customWidth="1"/>
    <col min="1559" max="1559" width="14.28515625" style="147" customWidth="1"/>
    <col min="1560" max="1801" width="15.7109375" style="147"/>
    <col min="1802" max="1802" width="6" style="147" bestFit="1" customWidth="1"/>
    <col min="1803" max="1803" width="7.140625" style="147" bestFit="1" customWidth="1"/>
    <col min="1804" max="1804" width="9.140625" style="147" bestFit="1" customWidth="1"/>
    <col min="1805" max="1805" width="10.85546875" style="147" bestFit="1" customWidth="1"/>
    <col min="1806" max="1806" width="10.85546875" style="147" customWidth="1"/>
    <col min="1807" max="1807" width="11.140625" style="147" bestFit="1" customWidth="1"/>
    <col min="1808" max="1808" width="10.85546875" style="147" bestFit="1" customWidth="1"/>
    <col min="1809" max="1809" width="11.42578125" style="147" bestFit="1" customWidth="1"/>
    <col min="1810" max="1810" width="15.85546875" style="147" bestFit="1" customWidth="1"/>
    <col min="1811" max="1811" width="6.7109375" style="147" bestFit="1" customWidth="1"/>
    <col min="1812" max="1812" width="5.5703125" style="147" bestFit="1" customWidth="1"/>
    <col min="1813" max="1813" width="14.42578125" style="147" bestFit="1" customWidth="1"/>
    <col min="1814" max="1814" width="14.28515625" style="147" bestFit="1" customWidth="1"/>
    <col min="1815" max="1815" width="14.28515625" style="147" customWidth="1"/>
    <col min="1816" max="2057" width="15.7109375" style="147"/>
    <col min="2058" max="2058" width="6" style="147" bestFit="1" customWidth="1"/>
    <col min="2059" max="2059" width="7.140625" style="147" bestFit="1" customWidth="1"/>
    <col min="2060" max="2060" width="9.140625" style="147" bestFit="1" customWidth="1"/>
    <col min="2061" max="2061" width="10.85546875" style="147" bestFit="1" customWidth="1"/>
    <col min="2062" max="2062" width="10.85546875" style="147" customWidth="1"/>
    <col min="2063" max="2063" width="11.140625" style="147" bestFit="1" customWidth="1"/>
    <col min="2064" max="2064" width="10.85546875" style="147" bestFit="1" customWidth="1"/>
    <col min="2065" max="2065" width="11.42578125" style="147" bestFit="1" customWidth="1"/>
    <col min="2066" max="2066" width="15.85546875" style="147" bestFit="1" customWidth="1"/>
    <col min="2067" max="2067" width="6.7109375" style="147" bestFit="1" customWidth="1"/>
    <col min="2068" max="2068" width="5.5703125" style="147" bestFit="1" customWidth="1"/>
    <col min="2069" max="2069" width="14.42578125" style="147" bestFit="1" customWidth="1"/>
    <col min="2070" max="2070" width="14.28515625" style="147" bestFit="1" customWidth="1"/>
    <col min="2071" max="2071" width="14.28515625" style="147" customWidth="1"/>
    <col min="2072" max="2313" width="15.7109375" style="147"/>
    <col min="2314" max="2314" width="6" style="147" bestFit="1" customWidth="1"/>
    <col min="2315" max="2315" width="7.140625" style="147" bestFit="1" customWidth="1"/>
    <col min="2316" max="2316" width="9.140625" style="147" bestFit="1" customWidth="1"/>
    <col min="2317" max="2317" width="10.85546875" style="147" bestFit="1" customWidth="1"/>
    <col min="2318" max="2318" width="10.85546875" style="147" customWidth="1"/>
    <col min="2319" max="2319" width="11.140625" style="147" bestFit="1" customWidth="1"/>
    <col min="2320" max="2320" width="10.85546875" style="147" bestFit="1" customWidth="1"/>
    <col min="2321" max="2321" width="11.42578125" style="147" bestFit="1" customWidth="1"/>
    <col min="2322" max="2322" width="15.85546875" style="147" bestFit="1" customWidth="1"/>
    <col min="2323" max="2323" width="6.7109375" style="147" bestFit="1" customWidth="1"/>
    <col min="2324" max="2324" width="5.5703125" style="147" bestFit="1" customWidth="1"/>
    <col min="2325" max="2325" width="14.42578125" style="147" bestFit="1" customWidth="1"/>
    <col min="2326" max="2326" width="14.28515625" style="147" bestFit="1" customWidth="1"/>
    <col min="2327" max="2327" width="14.28515625" style="147" customWidth="1"/>
    <col min="2328" max="2569" width="15.7109375" style="147"/>
    <col min="2570" max="2570" width="6" style="147" bestFit="1" customWidth="1"/>
    <col min="2571" max="2571" width="7.140625" style="147" bestFit="1" customWidth="1"/>
    <col min="2572" max="2572" width="9.140625" style="147" bestFit="1" customWidth="1"/>
    <col min="2573" max="2573" width="10.85546875" style="147" bestFit="1" customWidth="1"/>
    <col min="2574" max="2574" width="10.85546875" style="147" customWidth="1"/>
    <col min="2575" max="2575" width="11.140625" style="147" bestFit="1" customWidth="1"/>
    <col min="2576" max="2576" width="10.85546875" style="147" bestFit="1" customWidth="1"/>
    <col min="2577" max="2577" width="11.42578125" style="147" bestFit="1" customWidth="1"/>
    <col min="2578" max="2578" width="15.85546875" style="147" bestFit="1" customWidth="1"/>
    <col min="2579" max="2579" width="6.7109375" style="147" bestFit="1" customWidth="1"/>
    <col min="2580" max="2580" width="5.5703125" style="147" bestFit="1" customWidth="1"/>
    <col min="2581" max="2581" width="14.42578125" style="147" bestFit="1" customWidth="1"/>
    <col min="2582" max="2582" width="14.28515625" style="147" bestFit="1" customWidth="1"/>
    <col min="2583" max="2583" width="14.28515625" style="147" customWidth="1"/>
    <col min="2584" max="2825" width="15.7109375" style="147"/>
    <col min="2826" max="2826" width="6" style="147" bestFit="1" customWidth="1"/>
    <col min="2827" max="2827" width="7.140625" style="147" bestFit="1" customWidth="1"/>
    <col min="2828" max="2828" width="9.140625" style="147" bestFit="1" customWidth="1"/>
    <col min="2829" max="2829" width="10.85546875" style="147" bestFit="1" customWidth="1"/>
    <col min="2830" max="2830" width="10.85546875" style="147" customWidth="1"/>
    <col min="2831" max="2831" width="11.140625" style="147" bestFit="1" customWidth="1"/>
    <col min="2832" max="2832" width="10.85546875" style="147" bestFit="1" customWidth="1"/>
    <col min="2833" max="2833" width="11.42578125" style="147" bestFit="1" customWidth="1"/>
    <col min="2834" max="2834" width="15.85546875" style="147" bestFit="1" customWidth="1"/>
    <col min="2835" max="2835" width="6.7109375" style="147" bestFit="1" customWidth="1"/>
    <col min="2836" max="2836" width="5.5703125" style="147" bestFit="1" customWidth="1"/>
    <col min="2837" max="2837" width="14.42578125" style="147" bestFit="1" customWidth="1"/>
    <col min="2838" max="2838" width="14.28515625" style="147" bestFit="1" customWidth="1"/>
    <col min="2839" max="2839" width="14.28515625" style="147" customWidth="1"/>
    <col min="2840" max="3081" width="15.7109375" style="147"/>
    <col min="3082" max="3082" width="6" style="147" bestFit="1" customWidth="1"/>
    <col min="3083" max="3083" width="7.140625" style="147" bestFit="1" customWidth="1"/>
    <col min="3084" max="3084" width="9.140625" style="147" bestFit="1" customWidth="1"/>
    <col min="3085" max="3085" width="10.85546875" style="147" bestFit="1" customWidth="1"/>
    <col min="3086" max="3086" width="10.85546875" style="147" customWidth="1"/>
    <col min="3087" max="3087" width="11.140625" style="147" bestFit="1" customWidth="1"/>
    <col min="3088" max="3088" width="10.85546875" style="147" bestFit="1" customWidth="1"/>
    <col min="3089" max="3089" width="11.42578125" style="147" bestFit="1" customWidth="1"/>
    <col min="3090" max="3090" width="15.85546875" style="147" bestFit="1" customWidth="1"/>
    <col min="3091" max="3091" width="6.7109375" style="147" bestFit="1" customWidth="1"/>
    <col min="3092" max="3092" width="5.5703125" style="147" bestFit="1" customWidth="1"/>
    <col min="3093" max="3093" width="14.42578125" style="147" bestFit="1" customWidth="1"/>
    <col min="3094" max="3094" width="14.28515625" style="147" bestFit="1" customWidth="1"/>
    <col min="3095" max="3095" width="14.28515625" style="147" customWidth="1"/>
    <col min="3096" max="3337" width="15.7109375" style="147"/>
    <col min="3338" max="3338" width="6" style="147" bestFit="1" customWidth="1"/>
    <col min="3339" max="3339" width="7.140625" style="147" bestFit="1" customWidth="1"/>
    <col min="3340" max="3340" width="9.140625" style="147" bestFit="1" customWidth="1"/>
    <col min="3341" max="3341" width="10.85546875" style="147" bestFit="1" customWidth="1"/>
    <col min="3342" max="3342" width="10.85546875" style="147" customWidth="1"/>
    <col min="3343" max="3343" width="11.140625" style="147" bestFit="1" customWidth="1"/>
    <col min="3344" max="3344" width="10.85546875" style="147" bestFit="1" customWidth="1"/>
    <col min="3345" max="3345" width="11.42578125" style="147" bestFit="1" customWidth="1"/>
    <col min="3346" max="3346" width="15.85546875" style="147" bestFit="1" customWidth="1"/>
    <col min="3347" max="3347" width="6.7109375" style="147" bestFit="1" customWidth="1"/>
    <col min="3348" max="3348" width="5.5703125" style="147" bestFit="1" customWidth="1"/>
    <col min="3349" max="3349" width="14.42578125" style="147" bestFit="1" customWidth="1"/>
    <col min="3350" max="3350" width="14.28515625" style="147" bestFit="1" customWidth="1"/>
    <col min="3351" max="3351" width="14.28515625" style="147" customWidth="1"/>
    <col min="3352" max="3593" width="15.7109375" style="147"/>
    <col min="3594" max="3594" width="6" style="147" bestFit="1" customWidth="1"/>
    <col min="3595" max="3595" width="7.140625" style="147" bestFit="1" customWidth="1"/>
    <col min="3596" max="3596" width="9.140625" style="147" bestFit="1" customWidth="1"/>
    <col min="3597" max="3597" width="10.85546875" style="147" bestFit="1" customWidth="1"/>
    <col min="3598" max="3598" width="10.85546875" style="147" customWidth="1"/>
    <col min="3599" max="3599" width="11.140625" style="147" bestFit="1" customWidth="1"/>
    <col min="3600" max="3600" width="10.85546875" style="147" bestFit="1" customWidth="1"/>
    <col min="3601" max="3601" width="11.42578125" style="147" bestFit="1" customWidth="1"/>
    <col min="3602" max="3602" width="15.85546875" style="147" bestFit="1" customWidth="1"/>
    <col min="3603" max="3603" width="6.7109375" style="147" bestFit="1" customWidth="1"/>
    <col min="3604" max="3604" width="5.5703125" style="147" bestFit="1" customWidth="1"/>
    <col min="3605" max="3605" width="14.42578125" style="147" bestFit="1" customWidth="1"/>
    <col min="3606" max="3606" width="14.28515625" style="147" bestFit="1" customWidth="1"/>
    <col min="3607" max="3607" width="14.28515625" style="147" customWidth="1"/>
    <col min="3608" max="3849" width="15.7109375" style="147"/>
    <col min="3850" max="3850" width="6" style="147" bestFit="1" customWidth="1"/>
    <col min="3851" max="3851" width="7.140625" style="147" bestFit="1" customWidth="1"/>
    <col min="3852" max="3852" width="9.140625" style="147" bestFit="1" customWidth="1"/>
    <col min="3853" max="3853" width="10.85546875" style="147" bestFit="1" customWidth="1"/>
    <col min="3854" max="3854" width="10.85546875" style="147" customWidth="1"/>
    <col min="3855" max="3855" width="11.140625" style="147" bestFit="1" customWidth="1"/>
    <col min="3856" max="3856" width="10.85546875" style="147" bestFit="1" customWidth="1"/>
    <col min="3857" max="3857" width="11.42578125" style="147" bestFit="1" customWidth="1"/>
    <col min="3858" max="3858" width="15.85546875" style="147" bestFit="1" customWidth="1"/>
    <col min="3859" max="3859" width="6.7109375" style="147" bestFit="1" customWidth="1"/>
    <col min="3860" max="3860" width="5.5703125" style="147" bestFit="1" customWidth="1"/>
    <col min="3861" max="3861" width="14.42578125" style="147" bestFit="1" customWidth="1"/>
    <col min="3862" max="3862" width="14.28515625" style="147" bestFit="1" customWidth="1"/>
    <col min="3863" max="3863" width="14.28515625" style="147" customWidth="1"/>
    <col min="3864" max="4105" width="15.7109375" style="147"/>
    <col min="4106" max="4106" width="6" style="147" bestFit="1" customWidth="1"/>
    <col min="4107" max="4107" width="7.140625" style="147" bestFit="1" customWidth="1"/>
    <col min="4108" max="4108" width="9.140625" style="147" bestFit="1" customWidth="1"/>
    <col min="4109" max="4109" width="10.85546875" style="147" bestFit="1" customWidth="1"/>
    <col min="4110" max="4110" width="10.85546875" style="147" customWidth="1"/>
    <col min="4111" max="4111" width="11.140625" style="147" bestFit="1" customWidth="1"/>
    <col min="4112" max="4112" width="10.85546875" style="147" bestFit="1" customWidth="1"/>
    <col min="4113" max="4113" width="11.42578125" style="147" bestFit="1" customWidth="1"/>
    <col min="4114" max="4114" width="15.85546875" style="147" bestFit="1" customWidth="1"/>
    <col min="4115" max="4115" width="6.7109375" style="147" bestFit="1" customWidth="1"/>
    <col min="4116" max="4116" width="5.5703125" style="147" bestFit="1" customWidth="1"/>
    <col min="4117" max="4117" width="14.42578125" style="147" bestFit="1" customWidth="1"/>
    <col min="4118" max="4118" width="14.28515625" style="147" bestFit="1" customWidth="1"/>
    <col min="4119" max="4119" width="14.28515625" style="147" customWidth="1"/>
    <col min="4120" max="4361" width="15.7109375" style="147"/>
    <col min="4362" max="4362" width="6" style="147" bestFit="1" customWidth="1"/>
    <col min="4363" max="4363" width="7.140625" style="147" bestFit="1" customWidth="1"/>
    <col min="4364" max="4364" width="9.140625" style="147" bestFit="1" customWidth="1"/>
    <col min="4365" max="4365" width="10.85546875" style="147" bestFit="1" customWidth="1"/>
    <col min="4366" max="4366" width="10.85546875" style="147" customWidth="1"/>
    <col min="4367" max="4367" width="11.140625" style="147" bestFit="1" customWidth="1"/>
    <col min="4368" max="4368" width="10.85546875" style="147" bestFit="1" customWidth="1"/>
    <col min="4369" max="4369" width="11.42578125" style="147" bestFit="1" customWidth="1"/>
    <col min="4370" max="4370" width="15.85546875" style="147" bestFit="1" customWidth="1"/>
    <col min="4371" max="4371" width="6.7109375" style="147" bestFit="1" customWidth="1"/>
    <col min="4372" max="4372" width="5.5703125" style="147" bestFit="1" customWidth="1"/>
    <col min="4373" max="4373" width="14.42578125" style="147" bestFit="1" customWidth="1"/>
    <col min="4374" max="4374" width="14.28515625" style="147" bestFit="1" customWidth="1"/>
    <col min="4375" max="4375" width="14.28515625" style="147" customWidth="1"/>
    <col min="4376" max="4617" width="15.7109375" style="147"/>
    <col min="4618" max="4618" width="6" style="147" bestFit="1" customWidth="1"/>
    <col min="4619" max="4619" width="7.140625" style="147" bestFit="1" customWidth="1"/>
    <col min="4620" max="4620" width="9.140625" style="147" bestFit="1" customWidth="1"/>
    <col min="4621" max="4621" width="10.85546875" style="147" bestFit="1" customWidth="1"/>
    <col min="4622" max="4622" width="10.85546875" style="147" customWidth="1"/>
    <col min="4623" max="4623" width="11.140625" style="147" bestFit="1" customWidth="1"/>
    <col min="4624" max="4624" width="10.85546875" style="147" bestFit="1" customWidth="1"/>
    <col min="4625" max="4625" width="11.42578125" style="147" bestFit="1" customWidth="1"/>
    <col min="4626" max="4626" width="15.85546875" style="147" bestFit="1" customWidth="1"/>
    <col min="4627" max="4627" width="6.7109375" style="147" bestFit="1" customWidth="1"/>
    <col min="4628" max="4628" width="5.5703125" style="147" bestFit="1" customWidth="1"/>
    <col min="4629" max="4629" width="14.42578125" style="147" bestFit="1" customWidth="1"/>
    <col min="4630" max="4630" width="14.28515625" style="147" bestFit="1" customWidth="1"/>
    <col min="4631" max="4631" width="14.28515625" style="147" customWidth="1"/>
    <col min="4632" max="4873" width="15.7109375" style="147"/>
    <col min="4874" max="4874" width="6" style="147" bestFit="1" customWidth="1"/>
    <col min="4875" max="4875" width="7.140625" style="147" bestFit="1" customWidth="1"/>
    <col min="4876" max="4876" width="9.140625" style="147" bestFit="1" customWidth="1"/>
    <col min="4877" max="4877" width="10.85546875" style="147" bestFit="1" customWidth="1"/>
    <col min="4878" max="4878" width="10.85546875" style="147" customWidth="1"/>
    <col min="4879" max="4879" width="11.140625" style="147" bestFit="1" customWidth="1"/>
    <col min="4880" max="4880" width="10.85546875" style="147" bestFit="1" customWidth="1"/>
    <col min="4881" max="4881" width="11.42578125" style="147" bestFit="1" customWidth="1"/>
    <col min="4882" max="4882" width="15.85546875" style="147" bestFit="1" customWidth="1"/>
    <col min="4883" max="4883" width="6.7109375" style="147" bestFit="1" customWidth="1"/>
    <col min="4884" max="4884" width="5.5703125" style="147" bestFit="1" customWidth="1"/>
    <col min="4885" max="4885" width="14.42578125" style="147" bestFit="1" customWidth="1"/>
    <col min="4886" max="4886" width="14.28515625" style="147" bestFit="1" customWidth="1"/>
    <col min="4887" max="4887" width="14.28515625" style="147" customWidth="1"/>
    <col min="4888" max="5129" width="15.7109375" style="147"/>
    <col min="5130" max="5130" width="6" style="147" bestFit="1" customWidth="1"/>
    <col min="5131" max="5131" width="7.140625" style="147" bestFit="1" customWidth="1"/>
    <col min="5132" max="5132" width="9.140625" style="147" bestFit="1" customWidth="1"/>
    <col min="5133" max="5133" width="10.85546875" style="147" bestFit="1" customWidth="1"/>
    <col min="5134" max="5134" width="10.85546875" style="147" customWidth="1"/>
    <col min="5135" max="5135" width="11.140625" style="147" bestFit="1" customWidth="1"/>
    <col min="5136" max="5136" width="10.85546875" style="147" bestFit="1" customWidth="1"/>
    <col min="5137" max="5137" width="11.42578125" style="147" bestFit="1" customWidth="1"/>
    <col min="5138" max="5138" width="15.85546875" style="147" bestFit="1" customWidth="1"/>
    <col min="5139" max="5139" width="6.7109375" style="147" bestFit="1" customWidth="1"/>
    <col min="5140" max="5140" width="5.5703125" style="147" bestFit="1" customWidth="1"/>
    <col min="5141" max="5141" width="14.42578125" style="147" bestFit="1" customWidth="1"/>
    <col min="5142" max="5142" width="14.28515625" style="147" bestFit="1" customWidth="1"/>
    <col min="5143" max="5143" width="14.28515625" style="147" customWidth="1"/>
    <col min="5144" max="5385" width="15.7109375" style="147"/>
    <col min="5386" max="5386" width="6" style="147" bestFit="1" customWidth="1"/>
    <col min="5387" max="5387" width="7.140625" style="147" bestFit="1" customWidth="1"/>
    <col min="5388" max="5388" width="9.140625" style="147" bestFit="1" customWidth="1"/>
    <col min="5389" max="5389" width="10.85546875" style="147" bestFit="1" customWidth="1"/>
    <col min="5390" max="5390" width="10.85546875" style="147" customWidth="1"/>
    <col min="5391" max="5391" width="11.140625" style="147" bestFit="1" customWidth="1"/>
    <col min="5392" max="5392" width="10.85546875" style="147" bestFit="1" customWidth="1"/>
    <col min="5393" max="5393" width="11.42578125" style="147" bestFit="1" customWidth="1"/>
    <col min="5394" max="5394" width="15.85546875" style="147" bestFit="1" customWidth="1"/>
    <col min="5395" max="5395" width="6.7109375" style="147" bestFit="1" customWidth="1"/>
    <col min="5396" max="5396" width="5.5703125" style="147" bestFit="1" customWidth="1"/>
    <col min="5397" max="5397" width="14.42578125" style="147" bestFit="1" customWidth="1"/>
    <col min="5398" max="5398" width="14.28515625" style="147" bestFit="1" customWidth="1"/>
    <col min="5399" max="5399" width="14.28515625" style="147" customWidth="1"/>
    <col min="5400" max="5641" width="15.7109375" style="147"/>
    <col min="5642" max="5642" width="6" style="147" bestFit="1" customWidth="1"/>
    <col min="5643" max="5643" width="7.140625" style="147" bestFit="1" customWidth="1"/>
    <col min="5644" max="5644" width="9.140625" style="147" bestFit="1" customWidth="1"/>
    <col min="5645" max="5645" width="10.85546875" style="147" bestFit="1" customWidth="1"/>
    <col min="5646" max="5646" width="10.85546875" style="147" customWidth="1"/>
    <col min="5647" max="5647" width="11.140625" style="147" bestFit="1" customWidth="1"/>
    <col min="5648" max="5648" width="10.85546875" style="147" bestFit="1" customWidth="1"/>
    <col min="5649" max="5649" width="11.42578125" style="147" bestFit="1" customWidth="1"/>
    <col min="5650" max="5650" width="15.85546875" style="147" bestFit="1" customWidth="1"/>
    <col min="5651" max="5651" width="6.7109375" style="147" bestFit="1" customWidth="1"/>
    <col min="5652" max="5652" width="5.5703125" style="147" bestFit="1" customWidth="1"/>
    <col min="5653" max="5653" width="14.42578125" style="147" bestFit="1" customWidth="1"/>
    <col min="5654" max="5654" width="14.28515625" style="147" bestFit="1" customWidth="1"/>
    <col min="5655" max="5655" width="14.28515625" style="147" customWidth="1"/>
    <col min="5656" max="5897" width="15.7109375" style="147"/>
    <col min="5898" max="5898" width="6" style="147" bestFit="1" customWidth="1"/>
    <col min="5899" max="5899" width="7.140625" style="147" bestFit="1" customWidth="1"/>
    <col min="5900" max="5900" width="9.140625" style="147" bestFit="1" customWidth="1"/>
    <col min="5901" max="5901" width="10.85546875" style="147" bestFit="1" customWidth="1"/>
    <col min="5902" max="5902" width="10.85546875" style="147" customWidth="1"/>
    <col min="5903" max="5903" width="11.140625" style="147" bestFit="1" customWidth="1"/>
    <col min="5904" max="5904" width="10.85546875" style="147" bestFit="1" customWidth="1"/>
    <col min="5905" max="5905" width="11.42578125" style="147" bestFit="1" customWidth="1"/>
    <col min="5906" max="5906" width="15.85546875" style="147" bestFit="1" customWidth="1"/>
    <col min="5907" max="5907" width="6.7109375" style="147" bestFit="1" customWidth="1"/>
    <col min="5908" max="5908" width="5.5703125" style="147" bestFit="1" customWidth="1"/>
    <col min="5909" max="5909" width="14.42578125" style="147" bestFit="1" customWidth="1"/>
    <col min="5910" max="5910" width="14.28515625" style="147" bestFit="1" customWidth="1"/>
    <col min="5911" max="5911" width="14.28515625" style="147" customWidth="1"/>
    <col min="5912" max="6153" width="15.7109375" style="147"/>
    <col min="6154" max="6154" width="6" style="147" bestFit="1" customWidth="1"/>
    <col min="6155" max="6155" width="7.140625" style="147" bestFit="1" customWidth="1"/>
    <col min="6156" max="6156" width="9.140625" style="147" bestFit="1" customWidth="1"/>
    <col min="6157" max="6157" width="10.85546875" style="147" bestFit="1" customWidth="1"/>
    <col min="6158" max="6158" width="10.85546875" style="147" customWidth="1"/>
    <col min="6159" max="6159" width="11.140625" style="147" bestFit="1" customWidth="1"/>
    <col min="6160" max="6160" width="10.85546875" style="147" bestFit="1" customWidth="1"/>
    <col min="6161" max="6161" width="11.42578125" style="147" bestFit="1" customWidth="1"/>
    <col min="6162" max="6162" width="15.85546875" style="147" bestFit="1" customWidth="1"/>
    <col min="6163" max="6163" width="6.7109375" style="147" bestFit="1" customWidth="1"/>
    <col min="6164" max="6164" width="5.5703125" style="147" bestFit="1" customWidth="1"/>
    <col min="6165" max="6165" width="14.42578125" style="147" bestFit="1" customWidth="1"/>
    <col min="6166" max="6166" width="14.28515625" style="147" bestFit="1" customWidth="1"/>
    <col min="6167" max="6167" width="14.28515625" style="147" customWidth="1"/>
    <col min="6168" max="6409" width="15.7109375" style="147"/>
    <col min="6410" max="6410" width="6" style="147" bestFit="1" customWidth="1"/>
    <col min="6411" max="6411" width="7.140625" style="147" bestFit="1" customWidth="1"/>
    <col min="6412" max="6412" width="9.140625" style="147" bestFit="1" customWidth="1"/>
    <col min="6413" max="6413" width="10.85546875" style="147" bestFit="1" customWidth="1"/>
    <col min="6414" max="6414" width="10.85546875" style="147" customWidth="1"/>
    <col min="6415" max="6415" width="11.140625" style="147" bestFit="1" customWidth="1"/>
    <col min="6416" max="6416" width="10.85546875" style="147" bestFit="1" customWidth="1"/>
    <col min="6417" max="6417" width="11.42578125" style="147" bestFit="1" customWidth="1"/>
    <col min="6418" max="6418" width="15.85546875" style="147" bestFit="1" customWidth="1"/>
    <col min="6419" max="6419" width="6.7109375" style="147" bestFit="1" customWidth="1"/>
    <col min="6420" max="6420" width="5.5703125" style="147" bestFit="1" customWidth="1"/>
    <col min="6421" max="6421" width="14.42578125" style="147" bestFit="1" customWidth="1"/>
    <col min="6422" max="6422" width="14.28515625" style="147" bestFit="1" customWidth="1"/>
    <col min="6423" max="6423" width="14.28515625" style="147" customWidth="1"/>
    <col min="6424" max="6665" width="15.7109375" style="147"/>
    <col min="6666" max="6666" width="6" style="147" bestFit="1" customWidth="1"/>
    <col min="6667" max="6667" width="7.140625" style="147" bestFit="1" customWidth="1"/>
    <col min="6668" max="6668" width="9.140625" style="147" bestFit="1" customWidth="1"/>
    <col min="6669" max="6669" width="10.85546875" style="147" bestFit="1" customWidth="1"/>
    <col min="6670" max="6670" width="10.85546875" style="147" customWidth="1"/>
    <col min="6671" max="6671" width="11.140625" style="147" bestFit="1" customWidth="1"/>
    <col min="6672" max="6672" width="10.85546875" style="147" bestFit="1" customWidth="1"/>
    <col min="6673" max="6673" width="11.42578125" style="147" bestFit="1" customWidth="1"/>
    <col min="6674" max="6674" width="15.85546875" style="147" bestFit="1" customWidth="1"/>
    <col min="6675" max="6675" width="6.7109375" style="147" bestFit="1" customWidth="1"/>
    <col min="6676" max="6676" width="5.5703125" style="147" bestFit="1" customWidth="1"/>
    <col min="6677" max="6677" width="14.42578125" style="147" bestFit="1" customWidth="1"/>
    <col min="6678" max="6678" width="14.28515625" style="147" bestFit="1" customWidth="1"/>
    <col min="6679" max="6679" width="14.28515625" style="147" customWidth="1"/>
    <col min="6680" max="6921" width="15.7109375" style="147"/>
    <col min="6922" max="6922" width="6" style="147" bestFit="1" customWidth="1"/>
    <col min="6923" max="6923" width="7.140625" style="147" bestFit="1" customWidth="1"/>
    <col min="6924" max="6924" width="9.140625" style="147" bestFit="1" customWidth="1"/>
    <col min="6925" max="6925" width="10.85546875" style="147" bestFit="1" customWidth="1"/>
    <col min="6926" max="6926" width="10.85546875" style="147" customWidth="1"/>
    <col min="6927" max="6927" width="11.140625" style="147" bestFit="1" customWidth="1"/>
    <col min="6928" max="6928" width="10.85546875" style="147" bestFit="1" customWidth="1"/>
    <col min="6929" max="6929" width="11.42578125" style="147" bestFit="1" customWidth="1"/>
    <col min="6930" max="6930" width="15.85546875" style="147" bestFit="1" customWidth="1"/>
    <col min="6931" max="6931" width="6.7109375" style="147" bestFit="1" customWidth="1"/>
    <col min="6932" max="6932" width="5.5703125" style="147" bestFit="1" customWidth="1"/>
    <col min="6933" max="6933" width="14.42578125" style="147" bestFit="1" customWidth="1"/>
    <col min="6934" max="6934" width="14.28515625" style="147" bestFit="1" customWidth="1"/>
    <col min="6935" max="6935" width="14.28515625" style="147" customWidth="1"/>
    <col min="6936" max="7177" width="15.7109375" style="147"/>
    <col min="7178" max="7178" width="6" style="147" bestFit="1" customWidth="1"/>
    <col min="7179" max="7179" width="7.140625" style="147" bestFit="1" customWidth="1"/>
    <col min="7180" max="7180" width="9.140625" style="147" bestFit="1" customWidth="1"/>
    <col min="7181" max="7181" width="10.85546875" style="147" bestFit="1" customWidth="1"/>
    <col min="7182" max="7182" width="10.85546875" style="147" customWidth="1"/>
    <col min="7183" max="7183" width="11.140625" style="147" bestFit="1" customWidth="1"/>
    <col min="7184" max="7184" width="10.85546875" style="147" bestFit="1" customWidth="1"/>
    <col min="7185" max="7185" width="11.42578125" style="147" bestFit="1" customWidth="1"/>
    <col min="7186" max="7186" width="15.85546875" style="147" bestFit="1" customWidth="1"/>
    <col min="7187" max="7187" width="6.7109375" style="147" bestFit="1" customWidth="1"/>
    <col min="7188" max="7188" width="5.5703125" style="147" bestFit="1" customWidth="1"/>
    <col min="7189" max="7189" width="14.42578125" style="147" bestFit="1" customWidth="1"/>
    <col min="7190" max="7190" width="14.28515625" style="147" bestFit="1" customWidth="1"/>
    <col min="7191" max="7191" width="14.28515625" style="147" customWidth="1"/>
    <col min="7192" max="7433" width="15.7109375" style="147"/>
    <col min="7434" max="7434" width="6" style="147" bestFit="1" customWidth="1"/>
    <col min="7435" max="7435" width="7.140625" style="147" bestFit="1" customWidth="1"/>
    <col min="7436" max="7436" width="9.140625" style="147" bestFit="1" customWidth="1"/>
    <col min="7437" max="7437" width="10.85546875" style="147" bestFit="1" customWidth="1"/>
    <col min="7438" max="7438" width="10.85546875" style="147" customWidth="1"/>
    <col min="7439" max="7439" width="11.140625" style="147" bestFit="1" customWidth="1"/>
    <col min="7440" max="7440" width="10.85546875" style="147" bestFit="1" customWidth="1"/>
    <col min="7441" max="7441" width="11.42578125" style="147" bestFit="1" customWidth="1"/>
    <col min="7442" max="7442" width="15.85546875" style="147" bestFit="1" customWidth="1"/>
    <col min="7443" max="7443" width="6.7109375" style="147" bestFit="1" customWidth="1"/>
    <col min="7444" max="7444" width="5.5703125" style="147" bestFit="1" customWidth="1"/>
    <col min="7445" max="7445" width="14.42578125" style="147" bestFit="1" customWidth="1"/>
    <col min="7446" max="7446" width="14.28515625" style="147" bestFit="1" customWidth="1"/>
    <col min="7447" max="7447" width="14.28515625" style="147" customWidth="1"/>
    <col min="7448" max="7689" width="15.7109375" style="147"/>
    <col min="7690" max="7690" width="6" style="147" bestFit="1" customWidth="1"/>
    <col min="7691" max="7691" width="7.140625" style="147" bestFit="1" customWidth="1"/>
    <col min="7692" max="7692" width="9.140625" style="147" bestFit="1" customWidth="1"/>
    <col min="7693" max="7693" width="10.85546875" style="147" bestFit="1" customWidth="1"/>
    <col min="7694" max="7694" width="10.85546875" style="147" customWidth="1"/>
    <col min="7695" max="7695" width="11.140625" style="147" bestFit="1" customWidth="1"/>
    <col min="7696" max="7696" width="10.85546875" style="147" bestFit="1" customWidth="1"/>
    <col min="7697" max="7697" width="11.42578125" style="147" bestFit="1" customWidth="1"/>
    <col min="7698" max="7698" width="15.85546875" style="147" bestFit="1" customWidth="1"/>
    <col min="7699" max="7699" width="6.7109375" style="147" bestFit="1" customWidth="1"/>
    <col min="7700" max="7700" width="5.5703125" style="147" bestFit="1" customWidth="1"/>
    <col min="7701" max="7701" width="14.42578125" style="147" bestFit="1" customWidth="1"/>
    <col min="7702" max="7702" width="14.28515625" style="147" bestFit="1" customWidth="1"/>
    <col min="7703" max="7703" width="14.28515625" style="147" customWidth="1"/>
    <col min="7704" max="7945" width="15.7109375" style="147"/>
    <col min="7946" max="7946" width="6" style="147" bestFit="1" customWidth="1"/>
    <col min="7947" max="7947" width="7.140625" style="147" bestFit="1" customWidth="1"/>
    <col min="7948" max="7948" width="9.140625" style="147" bestFit="1" customWidth="1"/>
    <col min="7949" max="7949" width="10.85546875" style="147" bestFit="1" customWidth="1"/>
    <col min="7950" max="7950" width="10.85546875" style="147" customWidth="1"/>
    <col min="7951" max="7951" width="11.140625" style="147" bestFit="1" customWidth="1"/>
    <col min="7952" max="7952" width="10.85546875" style="147" bestFit="1" customWidth="1"/>
    <col min="7953" max="7953" width="11.42578125" style="147" bestFit="1" customWidth="1"/>
    <col min="7954" max="7954" width="15.85546875" style="147" bestFit="1" customWidth="1"/>
    <col min="7955" max="7955" width="6.7109375" style="147" bestFit="1" customWidth="1"/>
    <col min="7956" max="7956" width="5.5703125" style="147" bestFit="1" customWidth="1"/>
    <col min="7957" max="7957" width="14.42578125" style="147" bestFit="1" customWidth="1"/>
    <col min="7958" max="7958" width="14.28515625" style="147" bestFit="1" customWidth="1"/>
    <col min="7959" max="7959" width="14.28515625" style="147" customWidth="1"/>
    <col min="7960" max="8201" width="15.7109375" style="147"/>
    <col min="8202" max="8202" width="6" style="147" bestFit="1" customWidth="1"/>
    <col min="8203" max="8203" width="7.140625" style="147" bestFit="1" customWidth="1"/>
    <col min="8204" max="8204" width="9.140625" style="147" bestFit="1" customWidth="1"/>
    <col min="8205" max="8205" width="10.85546875" style="147" bestFit="1" customWidth="1"/>
    <col min="8206" max="8206" width="10.85546875" style="147" customWidth="1"/>
    <col min="8207" max="8207" width="11.140625" style="147" bestFit="1" customWidth="1"/>
    <col min="8208" max="8208" width="10.85546875" style="147" bestFit="1" customWidth="1"/>
    <col min="8209" max="8209" width="11.42578125" style="147" bestFit="1" customWidth="1"/>
    <col min="8210" max="8210" width="15.85546875" style="147" bestFit="1" customWidth="1"/>
    <col min="8211" max="8211" width="6.7109375" style="147" bestFit="1" customWidth="1"/>
    <col min="8212" max="8212" width="5.5703125" style="147" bestFit="1" customWidth="1"/>
    <col min="8213" max="8213" width="14.42578125" style="147" bestFit="1" customWidth="1"/>
    <col min="8214" max="8214" width="14.28515625" style="147" bestFit="1" customWidth="1"/>
    <col min="8215" max="8215" width="14.28515625" style="147" customWidth="1"/>
    <col min="8216" max="8457" width="15.7109375" style="147"/>
    <col min="8458" max="8458" width="6" style="147" bestFit="1" customWidth="1"/>
    <col min="8459" max="8459" width="7.140625" style="147" bestFit="1" customWidth="1"/>
    <col min="8460" max="8460" width="9.140625" style="147" bestFit="1" customWidth="1"/>
    <col min="8461" max="8461" width="10.85546875" style="147" bestFit="1" customWidth="1"/>
    <col min="8462" max="8462" width="10.85546875" style="147" customWidth="1"/>
    <col min="8463" max="8463" width="11.140625" style="147" bestFit="1" customWidth="1"/>
    <col min="8464" max="8464" width="10.85546875" style="147" bestFit="1" customWidth="1"/>
    <col min="8465" max="8465" width="11.42578125" style="147" bestFit="1" customWidth="1"/>
    <col min="8466" max="8466" width="15.85546875" style="147" bestFit="1" customWidth="1"/>
    <col min="8467" max="8467" width="6.7109375" style="147" bestFit="1" customWidth="1"/>
    <col min="8468" max="8468" width="5.5703125" style="147" bestFit="1" customWidth="1"/>
    <col min="8469" max="8469" width="14.42578125" style="147" bestFit="1" customWidth="1"/>
    <col min="8470" max="8470" width="14.28515625" style="147" bestFit="1" customWidth="1"/>
    <col min="8471" max="8471" width="14.28515625" style="147" customWidth="1"/>
    <col min="8472" max="8713" width="15.7109375" style="147"/>
    <col min="8714" max="8714" width="6" style="147" bestFit="1" customWidth="1"/>
    <col min="8715" max="8715" width="7.140625" style="147" bestFit="1" customWidth="1"/>
    <col min="8716" max="8716" width="9.140625" style="147" bestFit="1" customWidth="1"/>
    <col min="8717" max="8717" width="10.85546875" style="147" bestFit="1" customWidth="1"/>
    <col min="8718" max="8718" width="10.85546875" style="147" customWidth="1"/>
    <col min="8719" max="8719" width="11.140625" style="147" bestFit="1" customWidth="1"/>
    <col min="8720" max="8720" width="10.85546875" style="147" bestFit="1" customWidth="1"/>
    <col min="8721" max="8721" width="11.42578125" style="147" bestFit="1" customWidth="1"/>
    <col min="8722" max="8722" width="15.85546875" style="147" bestFit="1" customWidth="1"/>
    <col min="8723" max="8723" width="6.7109375" style="147" bestFit="1" customWidth="1"/>
    <col min="8724" max="8724" width="5.5703125" style="147" bestFit="1" customWidth="1"/>
    <col min="8725" max="8725" width="14.42578125" style="147" bestFit="1" customWidth="1"/>
    <col min="8726" max="8726" width="14.28515625" style="147" bestFit="1" customWidth="1"/>
    <col min="8727" max="8727" width="14.28515625" style="147" customWidth="1"/>
    <col min="8728" max="8969" width="15.7109375" style="147"/>
    <col min="8970" max="8970" width="6" style="147" bestFit="1" customWidth="1"/>
    <col min="8971" max="8971" width="7.140625" style="147" bestFit="1" customWidth="1"/>
    <col min="8972" max="8972" width="9.140625" style="147" bestFit="1" customWidth="1"/>
    <col min="8973" max="8973" width="10.85546875" style="147" bestFit="1" customWidth="1"/>
    <col min="8974" max="8974" width="10.85546875" style="147" customWidth="1"/>
    <col min="8975" max="8975" width="11.140625" style="147" bestFit="1" customWidth="1"/>
    <col min="8976" max="8976" width="10.85546875" style="147" bestFit="1" customWidth="1"/>
    <col min="8977" max="8977" width="11.42578125" style="147" bestFit="1" customWidth="1"/>
    <col min="8978" max="8978" width="15.85546875" style="147" bestFit="1" customWidth="1"/>
    <col min="8979" max="8979" width="6.7109375" style="147" bestFit="1" customWidth="1"/>
    <col min="8980" max="8980" width="5.5703125" style="147" bestFit="1" customWidth="1"/>
    <col min="8981" max="8981" width="14.42578125" style="147" bestFit="1" customWidth="1"/>
    <col min="8982" max="8982" width="14.28515625" style="147" bestFit="1" customWidth="1"/>
    <col min="8983" max="8983" width="14.28515625" style="147" customWidth="1"/>
    <col min="8984" max="9225" width="15.7109375" style="147"/>
    <col min="9226" max="9226" width="6" style="147" bestFit="1" customWidth="1"/>
    <col min="9227" max="9227" width="7.140625" style="147" bestFit="1" customWidth="1"/>
    <col min="9228" max="9228" width="9.140625" style="147" bestFit="1" customWidth="1"/>
    <col min="9229" max="9229" width="10.85546875" style="147" bestFit="1" customWidth="1"/>
    <col min="9230" max="9230" width="10.85546875" style="147" customWidth="1"/>
    <col min="9231" max="9231" width="11.140625" style="147" bestFit="1" customWidth="1"/>
    <col min="9232" max="9232" width="10.85546875" style="147" bestFit="1" customWidth="1"/>
    <col min="9233" max="9233" width="11.42578125" style="147" bestFit="1" customWidth="1"/>
    <col min="9234" max="9234" width="15.85546875" style="147" bestFit="1" customWidth="1"/>
    <col min="9235" max="9235" width="6.7109375" style="147" bestFit="1" customWidth="1"/>
    <col min="9236" max="9236" width="5.5703125" style="147" bestFit="1" customWidth="1"/>
    <col min="9237" max="9237" width="14.42578125" style="147" bestFit="1" customWidth="1"/>
    <col min="9238" max="9238" width="14.28515625" style="147" bestFit="1" customWidth="1"/>
    <col min="9239" max="9239" width="14.28515625" style="147" customWidth="1"/>
    <col min="9240" max="9481" width="15.7109375" style="147"/>
    <col min="9482" max="9482" width="6" style="147" bestFit="1" customWidth="1"/>
    <col min="9483" max="9483" width="7.140625" style="147" bestFit="1" customWidth="1"/>
    <col min="9484" max="9484" width="9.140625" style="147" bestFit="1" customWidth="1"/>
    <col min="9485" max="9485" width="10.85546875" style="147" bestFit="1" customWidth="1"/>
    <col min="9486" max="9486" width="10.85546875" style="147" customWidth="1"/>
    <col min="9487" max="9487" width="11.140625" style="147" bestFit="1" customWidth="1"/>
    <col min="9488" max="9488" width="10.85546875" style="147" bestFit="1" customWidth="1"/>
    <col min="9489" max="9489" width="11.42578125" style="147" bestFit="1" customWidth="1"/>
    <col min="9490" max="9490" width="15.85546875" style="147" bestFit="1" customWidth="1"/>
    <col min="9491" max="9491" width="6.7109375" style="147" bestFit="1" customWidth="1"/>
    <col min="9492" max="9492" width="5.5703125" style="147" bestFit="1" customWidth="1"/>
    <col min="9493" max="9493" width="14.42578125" style="147" bestFit="1" customWidth="1"/>
    <col min="9494" max="9494" width="14.28515625" style="147" bestFit="1" customWidth="1"/>
    <col min="9495" max="9495" width="14.28515625" style="147" customWidth="1"/>
    <col min="9496" max="9737" width="15.7109375" style="147"/>
    <col min="9738" max="9738" width="6" style="147" bestFit="1" customWidth="1"/>
    <col min="9739" max="9739" width="7.140625" style="147" bestFit="1" customWidth="1"/>
    <col min="9740" max="9740" width="9.140625" style="147" bestFit="1" customWidth="1"/>
    <col min="9741" max="9741" width="10.85546875" style="147" bestFit="1" customWidth="1"/>
    <col min="9742" max="9742" width="10.85546875" style="147" customWidth="1"/>
    <col min="9743" max="9743" width="11.140625" style="147" bestFit="1" customWidth="1"/>
    <col min="9744" max="9744" width="10.85546875" style="147" bestFit="1" customWidth="1"/>
    <col min="9745" max="9745" width="11.42578125" style="147" bestFit="1" customWidth="1"/>
    <col min="9746" max="9746" width="15.85546875" style="147" bestFit="1" customWidth="1"/>
    <col min="9747" max="9747" width="6.7109375" style="147" bestFit="1" customWidth="1"/>
    <col min="9748" max="9748" width="5.5703125" style="147" bestFit="1" customWidth="1"/>
    <col min="9749" max="9749" width="14.42578125" style="147" bestFit="1" customWidth="1"/>
    <col min="9750" max="9750" width="14.28515625" style="147" bestFit="1" customWidth="1"/>
    <col min="9751" max="9751" width="14.28515625" style="147" customWidth="1"/>
    <col min="9752" max="9993" width="15.7109375" style="147"/>
    <col min="9994" max="9994" width="6" style="147" bestFit="1" customWidth="1"/>
    <col min="9995" max="9995" width="7.140625" style="147" bestFit="1" customWidth="1"/>
    <col min="9996" max="9996" width="9.140625" style="147" bestFit="1" customWidth="1"/>
    <col min="9997" max="9997" width="10.85546875" style="147" bestFit="1" customWidth="1"/>
    <col min="9998" max="9998" width="10.85546875" style="147" customWidth="1"/>
    <col min="9999" max="9999" width="11.140625" style="147" bestFit="1" customWidth="1"/>
    <col min="10000" max="10000" width="10.85546875" style="147" bestFit="1" customWidth="1"/>
    <col min="10001" max="10001" width="11.42578125" style="147" bestFit="1" customWidth="1"/>
    <col min="10002" max="10002" width="15.85546875" style="147" bestFit="1" customWidth="1"/>
    <col min="10003" max="10003" width="6.7109375" style="147" bestFit="1" customWidth="1"/>
    <col min="10004" max="10004" width="5.5703125" style="147" bestFit="1" customWidth="1"/>
    <col min="10005" max="10005" width="14.42578125" style="147" bestFit="1" customWidth="1"/>
    <col min="10006" max="10006" width="14.28515625" style="147" bestFit="1" customWidth="1"/>
    <col min="10007" max="10007" width="14.28515625" style="147" customWidth="1"/>
    <col min="10008" max="10249" width="15.7109375" style="147"/>
    <col min="10250" max="10250" width="6" style="147" bestFit="1" customWidth="1"/>
    <col min="10251" max="10251" width="7.140625" style="147" bestFit="1" customWidth="1"/>
    <col min="10252" max="10252" width="9.140625" style="147" bestFit="1" customWidth="1"/>
    <col min="10253" max="10253" width="10.85546875" style="147" bestFit="1" customWidth="1"/>
    <col min="10254" max="10254" width="10.85546875" style="147" customWidth="1"/>
    <col min="10255" max="10255" width="11.140625" style="147" bestFit="1" customWidth="1"/>
    <col min="10256" max="10256" width="10.85546875" style="147" bestFit="1" customWidth="1"/>
    <col min="10257" max="10257" width="11.42578125" style="147" bestFit="1" customWidth="1"/>
    <col min="10258" max="10258" width="15.85546875" style="147" bestFit="1" customWidth="1"/>
    <col min="10259" max="10259" width="6.7109375" style="147" bestFit="1" customWidth="1"/>
    <col min="10260" max="10260" width="5.5703125" style="147" bestFit="1" customWidth="1"/>
    <col min="10261" max="10261" width="14.42578125" style="147" bestFit="1" customWidth="1"/>
    <col min="10262" max="10262" width="14.28515625" style="147" bestFit="1" customWidth="1"/>
    <col min="10263" max="10263" width="14.28515625" style="147" customWidth="1"/>
    <col min="10264" max="10505" width="15.7109375" style="147"/>
    <col min="10506" max="10506" width="6" style="147" bestFit="1" customWidth="1"/>
    <col min="10507" max="10507" width="7.140625" style="147" bestFit="1" customWidth="1"/>
    <col min="10508" max="10508" width="9.140625" style="147" bestFit="1" customWidth="1"/>
    <col min="10509" max="10509" width="10.85546875" style="147" bestFit="1" customWidth="1"/>
    <col min="10510" max="10510" width="10.85546875" style="147" customWidth="1"/>
    <col min="10511" max="10511" width="11.140625" style="147" bestFit="1" customWidth="1"/>
    <col min="10512" max="10512" width="10.85546875" style="147" bestFit="1" customWidth="1"/>
    <col min="10513" max="10513" width="11.42578125" style="147" bestFit="1" customWidth="1"/>
    <col min="10514" max="10514" width="15.85546875" style="147" bestFit="1" customWidth="1"/>
    <col min="10515" max="10515" width="6.7109375" style="147" bestFit="1" customWidth="1"/>
    <col min="10516" max="10516" width="5.5703125" style="147" bestFit="1" customWidth="1"/>
    <col min="10517" max="10517" width="14.42578125" style="147" bestFit="1" customWidth="1"/>
    <col min="10518" max="10518" width="14.28515625" style="147" bestFit="1" customWidth="1"/>
    <col min="10519" max="10519" width="14.28515625" style="147" customWidth="1"/>
    <col min="10520" max="10761" width="15.7109375" style="147"/>
    <col min="10762" max="10762" width="6" style="147" bestFit="1" customWidth="1"/>
    <col min="10763" max="10763" width="7.140625" style="147" bestFit="1" customWidth="1"/>
    <col min="10764" max="10764" width="9.140625" style="147" bestFit="1" customWidth="1"/>
    <col min="10765" max="10765" width="10.85546875" style="147" bestFit="1" customWidth="1"/>
    <col min="10766" max="10766" width="10.85546875" style="147" customWidth="1"/>
    <col min="10767" max="10767" width="11.140625" style="147" bestFit="1" customWidth="1"/>
    <col min="10768" max="10768" width="10.85546875" style="147" bestFit="1" customWidth="1"/>
    <col min="10769" max="10769" width="11.42578125" style="147" bestFit="1" customWidth="1"/>
    <col min="10770" max="10770" width="15.85546875" style="147" bestFit="1" customWidth="1"/>
    <col min="10771" max="10771" width="6.7109375" style="147" bestFit="1" customWidth="1"/>
    <col min="10772" max="10772" width="5.5703125" style="147" bestFit="1" customWidth="1"/>
    <col min="10773" max="10773" width="14.42578125" style="147" bestFit="1" customWidth="1"/>
    <col min="10774" max="10774" width="14.28515625" style="147" bestFit="1" customWidth="1"/>
    <col min="10775" max="10775" width="14.28515625" style="147" customWidth="1"/>
    <col min="10776" max="11017" width="15.7109375" style="147"/>
    <col min="11018" max="11018" width="6" style="147" bestFit="1" customWidth="1"/>
    <col min="11019" max="11019" width="7.140625" style="147" bestFit="1" customWidth="1"/>
    <col min="11020" max="11020" width="9.140625" style="147" bestFit="1" customWidth="1"/>
    <col min="11021" max="11021" width="10.85546875" style="147" bestFit="1" customWidth="1"/>
    <col min="11022" max="11022" width="10.85546875" style="147" customWidth="1"/>
    <col min="11023" max="11023" width="11.140625" style="147" bestFit="1" customWidth="1"/>
    <col min="11024" max="11024" width="10.85546875" style="147" bestFit="1" customWidth="1"/>
    <col min="11025" max="11025" width="11.42578125" style="147" bestFit="1" customWidth="1"/>
    <col min="11026" max="11026" width="15.85546875" style="147" bestFit="1" customWidth="1"/>
    <col min="11027" max="11027" width="6.7109375" style="147" bestFit="1" customWidth="1"/>
    <col min="11028" max="11028" width="5.5703125" style="147" bestFit="1" customWidth="1"/>
    <col min="11029" max="11029" width="14.42578125" style="147" bestFit="1" customWidth="1"/>
    <col min="11030" max="11030" width="14.28515625" style="147" bestFit="1" customWidth="1"/>
    <col min="11031" max="11031" width="14.28515625" style="147" customWidth="1"/>
    <col min="11032" max="11273" width="15.7109375" style="147"/>
    <col min="11274" max="11274" width="6" style="147" bestFit="1" customWidth="1"/>
    <col min="11275" max="11275" width="7.140625" style="147" bestFit="1" customWidth="1"/>
    <col min="11276" max="11276" width="9.140625" style="147" bestFit="1" customWidth="1"/>
    <col min="11277" max="11277" width="10.85546875" style="147" bestFit="1" customWidth="1"/>
    <col min="11278" max="11278" width="10.85546875" style="147" customWidth="1"/>
    <col min="11279" max="11279" width="11.140625" style="147" bestFit="1" customWidth="1"/>
    <col min="11280" max="11280" width="10.85546875" style="147" bestFit="1" customWidth="1"/>
    <col min="11281" max="11281" width="11.42578125" style="147" bestFit="1" customWidth="1"/>
    <col min="11282" max="11282" width="15.85546875" style="147" bestFit="1" customWidth="1"/>
    <col min="11283" max="11283" width="6.7109375" style="147" bestFit="1" customWidth="1"/>
    <col min="11284" max="11284" width="5.5703125" style="147" bestFit="1" customWidth="1"/>
    <col min="11285" max="11285" width="14.42578125" style="147" bestFit="1" customWidth="1"/>
    <col min="11286" max="11286" width="14.28515625" style="147" bestFit="1" customWidth="1"/>
    <col min="11287" max="11287" width="14.28515625" style="147" customWidth="1"/>
    <col min="11288" max="11529" width="15.7109375" style="147"/>
    <col min="11530" max="11530" width="6" style="147" bestFit="1" customWidth="1"/>
    <col min="11531" max="11531" width="7.140625" style="147" bestFit="1" customWidth="1"/>
    <col min="11532" max="11532" width="9.140625" style="147" bestFit="1" customWidth="1"/>
    <col min="11533" max="11533" width="10.85546875" style="147" bestFit="1" customWidth="1"/>
    <col min="11534" max="11534" width="10.85546875" style="147" customWidth="1"/>
    <col min="11535" max="11535" width="11.140625" style="147" bestFit="1" customWidth="1"/>
    <col min="11536" max="11536" width="10.85546875" style="147" bestFit="1" customWidth="1"/>
    <col min="11537" max="11537" width="11.42578125" style="147" bestFit="1" customWidth="1"/>
    <col min="11538" max="11538" width="15.85546875" style="147" bestFit="1" customWidth="1"/>
    <col min="11539" max="11539" width="6.7109375" style="147" bestFit="1" customWidth="1"/>
    <col min="11540" max="11540" width="5.5703125" style="147" bestFit="1" customWidth="1"/>
    <col min="11541" max="11541" width="14.42578125" style="147" bestFit="1" customWidth="1"/>
    <col min="11542" max="11542" width="14.28515625" style="147" bestFit="1" customWidth="1"/>
    <col min="11543" max="11543" width="14.28515625" style="147" customWidth="1"/>
    <col min="11544" max="11785" width="15.7109375" style="147"/>
    <col min="11786" max="11786" width="6" style="147" bestFit="1" customWidth="1"/>
    <col min="11787" max="11787" width="7.140625" style="147" bestFit="1" customWidth="1"/>
    <col min="11788" max="11788" width="9.140625" style="147" bestFit="1" customWidth="1"/>
    <col min="11789" max="11789" width="10.85546875" style="147" bestFit="1" customWidth="1"/>
    <col min="11790" max="11790" width="10.85546875" style="147" customWidth="1"/>
    <col min="11791" max="11791" width="11.140625" style="147" bestFit="1" customWidth="1"/>
    <col min="11792" max="11792" width="10.85546875" style="147" bestFit="1" customWidth="1"/>
    <col min="11793" max="11793" width="11.42578125" style="147" bestFit="1" customWidth="1"/>
    <col min="11794" max="11794" width="15.85546875" style="147" bestFit="1" customWidth="1"/>
    <col min="11795" max="11795" width="6.7109375" style="147" bestFit="1" customWidth="1"/>
    <col min="11796" max="11796" width="5.5703125" style="147" bestFit="1" customWidth="1"/>
    <col min="11797" max="11797" width="14.42578125" style="147" bestFit="1" customWidth="1"/>
    <col min="11798" max="11798" width="14.28515625" style="147" bestFit="1" customWidth="1"/>
    <col min="11799" max="11799" width="14.28515625" style="147" customWidth="1"/>
    <col min="11800" max="12041" width="15.7109375" style="147"/>
    <col min="12042" max="12042" width="6" style="147" bestFit="1" customWidth="1"/>
    <col min="12043" max="12043" width="7.140625" style="147" bestFit="1" customWidth="1"/>
    <col min="12044" max="12044" width="9.140625" style="147" bestFit="1" customWidth="1"/>
    <col min="12045" max="12045" width="10.85546875" style="147" bestFit="1" customWidth="1"/>
    <col min="12046" max="12046" width="10.85546875" style="147" customWidth="1"/>
    <col min="12047" max="12047" width="11.140625" style="147" bestFit="1" customWidth="1"/>
    <col min="12048" max="12048" width="10.85546875" style="147" bestFit="1" customWidth="1"/>
    <col min="12049" max="12049" width="11.42578125" style="147" bestFit="1" customWidth="1"/>
    <col min="12050" max="12050" width="15.85546875" style="147" bestFit="1" customWidth="1"/>
    <col min="12051" max="12051" width="6.7109375" style="147" bestFit="1" customWidth="1"/>
    <col min="12052" max="12052" width="5.5703125" style="147" bestFit="1" customWidth="1"/>
    <col min="12053" max="12053" width="14.42578125" style="147" bestFit="1" customWidth="1"/>
    <col min="12054" max="12054" width="14.28515625" style="147" bestFit="1" customWidth="1"/>
    <col min="12055" max="12055" width="14.28515625" style="147" customWidth="1"/>
    <col min="12056" max="12297" width="15.7109375" style="147"/>
    <col min="12298" max="12298" width="6" style="147" bestFit="1" customWidth="1"/>
    <col min="12299" max="12299" width="7.140625" style="147" bestFit="1" customWidth="1"/>
    <col min="12300" max="12300" width="9.140625" style="147" bestFit="1" customWidth="1"/>
    <col min="12301" max="12301" width="10.85546875" style="147" bestFit="1" customWidth="1"/>
    <col min="12302" max="12302" width="10.85546875" style="147" customWidth="1"/>
    <col min="12303" max="12303" width="11.140625" style="147" bestFit="1" customWidth="1"/>
    <col min="12304" max="12304" width="10.85546875" style="147" bestFit="1" customWidth="1"/>
    <col min="12305" max="12305" width="11.42578125" style="147" bestFit="1" customWidth="1"/>
    <col min="12306" max="12306" width="15.85546875" style="147" bestFit="1" customWidth="1"/>
    <col min="12307" max="12307" width="6.7109375" style="147" bestFit="1" customWidth="1"/>
    <col min="12308" max="12308" width="5.5703125" style="147" bestFit="1" customWidth="1"/>
    <col min="12309" max="12309" width="14.42578125" style="147" bestFit="1" customWidth="1"/>
    <col min="12310" max="12310" width="14.28515625" style="147" bestFit="1" customWidth="1"/>
    <col min="12311" max="12311" width="14.28515625" style="147" customWidth="1"/>
    <col min="12312" max="12553" width="15.7109375" style="147"/>
    <col min="12554" max="12554" width="6" style="147" bestFit="1" customWidth="1"/>
    <col min="12555" max="12555" width="7.140625" style="147" bestFit="1" customWidth="1"/>
    <col min="12556" max="12556" width="9.140625" style="147" bestFit="1" customWidth="1"/>
    <col min="12557" max="12557" width="10.85546875" style="147" bestFit="1" customWidth="1"/>
    <col min="12558" max="12558" width="10.85546875" style="147" customWidth="1"/>
    <col min="12559" max="12559" width="11.140625" style="147" bestFit="1" customWidth="1"/>
    <col min="12560" max="12560" width="10.85546875" style="147" bestFit="1" customWidth="1"/>
    <col min="12561" max="12561" width="11.42578125" style="147" bestFit="1" customWidth="1"/>
    <col min="12562" max="12562" width="15.85546875" style="147" bestFit="1" customWidth="1"/>
    <col min="12563" max="12563" width="6.7109375" style="147" bestFit="1" customWidth="1"/>
    <col min="12564" max="12564" width="5.5703125" style="147" bestFit="1" customWidth="1"/>
    <col min="12565" max="12565" width="14.42578125" style="147" bestFit="1" customWidth="1"/>
    <col min="12566" max="12566" width="14.28515625" style="147" bestFit="1" customWidth="1"/>
    <col min="12567" max="12567" width="14.28515625" style="147" customWidth="1"/>
    <col min="12568" max="12809" width="15.7109375" style="147"/>
    <col min="12810" max="12810" width="6" style="147" bestFit="1" customWidth="1"/>
    <col min="12811" max="12811" width="7.140625" style="147" bestFit="1" customWidth="1"/>
    <col min="12812" max="12812" width="9.140625" style="147" bestFit="1" customWidth="1"/>
    <col min="12813" max="12813" width="10.85546875" style="147" bestFit="1" customWidth="1"/>
    <col min="12814" max="12814" width="10.85546875" style="147" customWidth="1"/>
    <col min="12815" max="12815" width="11.140625" style="147" bestFit="1" customWidth="1"/>
    <col min="12816" max="12816" width="10.85546875" style="147" bestFit="1" customWidth="1"/>
    <col min="12817" max="12817" width="11.42578125" style="147" bestFit="1" customWidth="1"/>
    <col min="12818" max="12818" width="15.85546875" style="147" bestFit="1" customWidth="1"/>
    <col min="12819" max="12819" width="6.7109375" style="147" bestFit="1" customWidth="1"/>
    <col min="12820" max="12820" width="5.5703125" style="147" bestFit="1" customWidth="1"/>
    <col min="12821" max="12821" width="14.42578125" style="147" bestFit="1" customWidth="1"/>
    <col min="12822" max="12822" width="14.28515625" style="147" bestFit="1" customWidth="1"/>
    <col min="12823" max="12823" width="14.28515625" style="147" customWidth="1"/>
    <col min="12824" max="13065" width="15.7109375" style="147"/>
    <col min="13066" max="13066" width="6" style="147" bestFit="1" customWidth="1"/>
    <col min="13067" max="13067" width="7.140625" style="147" bestFit="1" customWidth="1"/>
    <col min="13068" max="13068" width="9.140625" style="147" bestFit="1" customWidth="1"/>
    <col min="13069" max="13069" width="10.85546875" style="147" bestFit="1" customWidth="1"/>
    <col min="13070" max="13070" width="10.85546875" style="147" customWidth="1"/>
    <col min="13071" max="13071" width="11.140625" style="147" bestFit="1" customWidth="1"/>
    <col min="13072" max="13072" width="10.85546875" style="147" bestFit="1" customWidth="1"/>
    <col min="13073" max="13073" width="11.42578125" style="147" bestFit="1" customWidth="1"/>
    <col min="13074" max="13074" width="15.85546875" style="147" bestFit="1" customWidth="1"/>
    <col min="13075" max="13075" width="6.7109375" style="147" bestFit="1" customWidth="1"/>
    <col min="13076" max="13076" width="5.5703125" style="147" bestFit="1" customWidth="1"/>
    <col min="13077" max="13077" width="14.42578125" style="147" bestFit="1" customWidth="1"/>
    <col min="13078" max="13078" width="14.28515625" style="147" bestFit="1" customWidth="1"/>
    <col min="13079" max="13079" width="14.28515625" style="147" customWidth="1"/>
    <col min="13080" max="13321" width="15.7109375" style="147"/>
    <col min="13322" max="13322" width="6" style="147" bestFit="1" customWidth="1"/>
    <col min="13323" max="13323" width="7.140625" style="147" bestFit="1" customWidth="1"/>
    <col min="13324" max="13324" width="9.140625" style="147" bestFit="1" customWidth="1"/>
    <col min="13325" max="13325" width="10.85546875" style="147" bestFit="1" customWidth="1"/>
    <col min="13326" max="13326" width="10.85546875" style="147" customWidth="1"/>
    <col min="13327" max="13327" width="11.140625" style="147" bestFit="1" customWidth="1"/>
    <col min="13328" max="13328" width="10.85546875" style="147" bestFit="1" customWidth="1"/>
    <col min="13329" max="13329" width="11.42578125" style="147" bestFit="1" customWidth="1"/>
    <col min="13330" max="13330" width="15.85546875" style="147" bestFit="1" customWidth="1"/>
    <col min="13331" max="13331" width="6.7109375" style="147" bestFit="1" customWidth="1"/>
    <col min="13332" max="13332" width="5.5703125" style="147" bestFit="1" customWidth="1"/>
    <col min="13333" max="13333" width="14.42578125" style="147" bestFit="1" customWidth="1"/>
    <col min="13334" max="13334" width="14.28515625" style="147" bestFit="1" customWidth="1"/>
    <col min="13335" max="13335" width="14.28515625" style="147" customWidth="1"/>
    <col min="13336" max="13577" width="15.7109375" style="147"/>
    <col min="13578" max="13578" width="6" style="147" bestFit="1" customWidth="1"/>
    <col min="13579" max="13579" width="7.140625" style="147" bestFit="1" customWidth="1"/>
    <col min="13580" max="13580" width="9.140625" style="147" bestFit="1" customWidth="1"/>
    <col min="13581" max="13581" width="10.85546875" style="147" bestFit="1" customWidth="1"/>
    <col min="13582" max="13582" width="10.85546875" style="147" customWidth="1"/>
    <col min="13583" max="13583" width="11.140625" style="147" bestFit="1" customWidth="1"/>
    <col min="13584" max="13584" width="10.85546875" style="147" bestFit="1" customWidth="1"/>
    <col min="13585" max="13585" width="11.42578125" style="147" bestFit="1" customWidth="1"/>
    <col min="13586" max="13586" width="15.85546875" style="147" bestFit="1" customWidth="1"/>
    <col min="13587" max="13587" width="6.7109375" style="147" bestFit="1" customWidth="1"/>
    <col min="13588" max="13588" width="5.5703125" style="147" bestFit="1" customWidth="1"/>
    <col min="13589" max="13589" width="14.42578125" style="147" bestFit="1" customWidth="1"/>
    <col min="13590" max="13590" width="14.28515625" style="147" bestFit="1" customWidth="1"/>
    <col min="13591" max="13591" width="14.28515625" style="147" customWidth="1"/>
    <col min="13592" max="13833" width="15.7109375" style="147"/>
    <col min="13834" max="13834" width="6" style="147" bestFit="1" customWidth="1"/>
    <col min="13835" max="13835" width="7.140625" style="147" bestFit="1" customWidth="1"/>
    <col min="13836" max="13836" width="9.140625" style="147" bestFit="1" customWidth="1"/>
    <col min="13837" max="13837" width="10.85546875" style="147" bestFit="1" customWidth="1"/>
    <col min="13838" max="13838" width="10.85546875" style="147" customWidth="1"/>
    <col min="13839" max="13839" width="11.140625" style="147" bestFit="1" customWidth="1"/>
    <col min="13840" max="13840" width="10.85546875" style="147" bestFit="1" customWidth="1"/>
    <col min="13841" max="13841" width="11.42578125" style="147" bestFit="1" customWidth="1"/>
    <col min="13842" max="13842" width="15.85546875" style="147" bestFit="1" customWidth="1"/>
    <col min="13843" max="13843" width="6.7109375" style="147" bestFit="1" customWidth="1"/>
    <col min="13844" max="13844" width="5.5703125" style="147" bestFit="1" customWidth="1"/>
    <col min="13845" max="13845" width="14.42578125" style="147" bestFit="1" customWidth="1"/>
    <col min="13846" max="13846" width="14.28515625" style="147" bestFit="1" customWidth="1"/>
    <col min="13847" max="13847" width="14.28515625" style="147" customWidth="1"/>
    <col min="13848" max="14089" width="15.7109375" style="147"/>
    <col min="14090" max="14090" width="6" style="147" bestFit="1" customWidth="1"/>
    <col min="14091" max="14091" width="7.140625" style="147" bestFit="1" customWidth="1"/>
    <col min="14092" max="14092" width="9.140625" style="147" bestFit="1" customWidth="1"/>
    <col min="14093" max="14093" width="10.85546875" style="147" bestFit="1" customWidth="1"/>
    <col min="14094" max="14094" width="10.85546875" style="147" customWidth="1"/>
    <col min="14095" max="14095" width="11.140625" style="147" bestFit="1" customWidth="1"/>
    <col min="14096" max="14096" width="10.85546875" style="147" bestFit="1" customWidth="1"/>
    <col min="14097" max="14097" width="11.42578125" style="147" bestFit="1" customWidth="1"/>
    <col min="14098" max="14098" width="15.85546875" style="147" bestFit="1" customWidth="1"/>
    <col min="14099" max="14099" width="6.7109375" style="147" bestFit="1" customWidth="1"/>
    <col min="14100" max="14100" width="5.5703125" style="147" bestFit="1" customWidth="1"/>
    <col min="14101" max="14101" width="14.42578125" style="147" bestFit="1" customWidth="1"/>
    <col min="14102" max="14102" width="14.28515625" style="147" bestFit="1" customWidth="1"/>
    <col min="14103" max="14103" width="14.28515625" style="147" customWidth="1"/>
    <col min="14104" max="14345" width="15.7109375" style="147"/>
    <col min="14346" max="14346" width="6" style="147" bestFit="1" customWidth="1"/>
    <col min="14347" max="14347" width="7.140625" style="147" bestFit="1" customWidth="1"/>
    <col min="14348" max="14348" width="9.140625" style="147" bestFit="1" customWidth="1"/>
    <col min="14349" max="14349" width="10.85546875" style="147" bestFit="1" customWidth="1"/>
    <col min="14350" max="14350" width="10.85546875" style="147" customWidth="1"/>
    <col min="14351" max="14351" width="11.140625" style="147" bestFit="1" customWidth="1"/>
    <col min="14352" max="14352" width="10.85546875" style="147" bestFit="1" customWidth="1"/>
    <col min="14353" max="14353" width="11.42578125" style="147" bestFit="1" customWidth="1"/>
    <col min="14354" max="14354" width="15.85546875" style="147" bestFit="1" customWidth="1"/>
    <col min="14355" max="14355" width="6.7109375" style="147" bestFit="1" customWidth="1"/>
    <col min="14356" max="14356" width="5.5703125" style="147" bestFit="1" customWidth="1"/>
    <col min="14357" max="14357" width="14.42578125" style="147" bestFit="1" customWidth="1"/>
    <col min="14358" max="14358" width="14.28515625" style="147" bestFit="1" customWidth="1"/>
    <col min="14359" max="14359" width="14.28515625" style="147" customWidth="1"/>
    <col min="14360" max="14601" width="15.7109375" style="147"/>
    <col min="14602" max="14602" width="6" style="147" bestFit="1" customWidth="1"/>
    <col min="14603" max="14603" width="7.140625" style="147" bestFit="1" customWidth="1"/>
    <col min="14604" max="14604" width="9.140625" style="147" bestFit="1" customWidth="1"/>
    <col min="14605" max="14605" width="10.85546875" style="147" bestFit="1" customWidth="1"/>
    <col min="14606" max="14606" width="10.85546875" style="147" customWidth="1"/>
    <col min="14607" max="14607" width="11.140625" style="147" bestFit="1" customWidth="1"/>
    <col min="14608" max="14608" width="10.85546875" style="147" bestFit="1" customWidth="1"/>
    <col min="14609" max="14609" width="11.42578125" style="147" bestFit="1" customWidth="1"/>
    <col min="14610" max="14610" width="15.85546875" style="147" bestFit="1" customWidth="1"/>
    <col min="14611" max="14611" width="6.7109375" style="147" bestFit="1" customWidth="1"/>
    <col min="14612" max="14612" width="5.5703125" style="147" bestFit="1" customWidth="1"/>
    <col min="14613" max="14613" width="14.42578125" style="147" bestFit="1" customWidth="1"/>
    <col min="14614" max="14614" width="14.28515625" style="147" bestFit="1" customWidth="1"/>
    <col min="14615" max="14615" width="14.28515625" style="147" customWidth="1"/>
    <col min="14616" max="14857" width="15.7109375" style="147"/>
    <col min="14858" max="14858" width="6" style="147" bestFit="1" customWidth="1"/>
    <col min="14859" max="14859" width="7.140625" style="147" bestFit="1" customWidth="1"/>
    <col min="14860" max="14860" width="9.140625" style="147" bestFit="1" customWidth="1"/>
    <col min="14861" max="14861" width="10.85546875" style="147" bestFit="1" customWidth="1"/>
    <col min="14862" max="14862" width="10.85546875" style="147" customWidth="1"/>
    <col min="14863" max="14863" width="11.140625" style="147" bestFit="1" customWidth="1"/>
    <col min="14864" max="14864" width="10.85546875" style="147" bestFit="1" customWidth="1"/>
    <col min="14865" max="14865" width="11.42578125" style="147" bestFit="1" customWidth="1"/>
    <col min="14866" max="14866" width="15.85546875" style="147" bestFit="1" customWidth="1"/>
    <col min="14867" max="14867" width="6.7109375" style="147" bestFit="1" customWidth="1"/>
    <col min="14868" max="14868" width="5.5703125" style="147" bestFit="1" customWidth="1"/>
    <col min="14869" max="14869" width="14.42578125" style="147" bestFit="1" customWidth="1"/>
    <col min="14870" max="14870" width="14.28515625" style="147" bestFit="1" customWidth="1"/>
    <col min="14871" max="14871" width="14.28515625" style="147" customWidth="1"/>
    <col min="14872" max="15113" width="15.7109375" style="147"/>
    <col min="15114" max="15114" width="6" style="147" bestFit="1" customWidth="1"/>
    <col min="15115" max="15115" width="7.140625" style="147" bestFit="1" customWidth="1"/>
    <col min="15116" max="15116" width="9.140625" style="147" bestFit="1" customWidth="1"/>
    <col min="15117" max="15117" width="10.85546875" style="147" bestFit="1" customWidth="1"/>
    <col min="15118" max="15118" width="10.85546875" style="147" customWidth="1"/>
    <col min="15119" max="15119" width="11.140625" style="147" bestFit="1" customWidth="1"/>
    <col min="15120" max="15120" width="10.85546875" style="147" bestFit="1" customWidth="1"/>
    <col min="15121" max="15121" width="11.42578125" style="147" bestFit="1" customWidth="1"/>
    <col min="15122" max="15122" width="15.85546875" style="147" bestFit="1" customWidth="1"/>
    <col min="15123" max="15123" width="6.7109375" style="147" bestFit="1" customWidth="1"/>
    <col min="15124" max="15124" width="5.5703125" style="147" bestFit="1" customWidth="1"/>
    <col min="15125" max="15125" width="14.42578125" style="147" bestFit="1" customWidth="1"/>
    <col min="15126" max="15126" width="14.28515625" style="147" bestFit="1" customWidth="1"/>
    <col min="15127" max="15127" width="14.28515625" style="147" customWidth="1"/>
    <col min="15128" max="15369" width="15.7109375" style="147"/>
    <col min="15370" max="15370" width="6" style="147" bestFit="1" customWidth="1"/>
    <col min="15371" max="15371" width="7.140625" style="147" bestFit="1" customWidth="1"/>
    <col min="15372" max="15372" width="9.140625" style="147" bestFit="1" customWidth="1"/>
    <col min="15373" max="15373" width="10.85546875" style="147" bestFit="1" customWidth="1"/>
    <col min="15374" max="15374" width="10.85546875" style="147" customWidth="1"/>
    <col min="15375" max="15375" width="11.140625" style="147" bestFit="1" customWidth="1"/>
    <col min="15376" max="15376" width="10.85546875" style="147" bestFit="1" customWidth="1"/>
    <col min="15377" max="15377" width="11.42578125" style="147" bestFit="1" customWidth="1"/>
    <col min="15378" max="15378" width="15.85546875" style="147" bestFit="1" customWidth="1"/>
    <col min="15379" max="15379" width="6.7109375" style="147" bestFit="1" customWidth="1"/>
    <col min="15380" max="15380" width="5.5703125" style="147" bestFit="1" customWidth="1"/>
    <col min="15381" max="15381" width="14.42578125" style="147" bestFit="1" customWidth="1"/>
    <col min="15382" max="15382" width="14.28515625" style="147" bestFit="1" customWidth="1"/>
    <col min="15383" max="15383" width="14.28515625" style="147" customWidth="1"/>
    <col min="15384" max="15625" width="15.7109375" style="147"/>
    <col min="15626" max="15626" width="6" style="147" bestFit="1" customWidth="1"/>
    <col min="15627" max="15627" width="7.140625" style="147" bestFit="1" customWidth="1"/>
    <col min="15628" max="15628" width="9.140625" style="147" bestFit="1" customWidth="1"/>
    <col min="15629" max="15629" width="10.85546875" style="147" bestFit="1" customWidth="1"/>
    <col min="15630" max="15630" width="10.85546875" style="147" customWidth="1"/>
    <col min="15631" max="15631" width="11.140625" style="147" bestFit="1" customWidth="1"/>
    <col min="15632" max="15632" width="10.85546875" style="147" bestFit="1" customWidth="1"/>
    <col min="15633" max="15633" width="11.42578125" style="147" bestFit="1" customWidth="1"/>
    <col min="15634" max="15634" width="15.85546875" style="147" bestFit="1" customWidth="1"/>
    <col min="15635" max="15635" width="6.7109375" style="147" bestFit="1" customWidth="1"/>
    <col min="15636" max="15636" width="5.5703125" style="147" bestFit="1" customWidth="1"/>
    <col min="15637" max="15637" width="14.42578125" style="147" bestFit="1" customWidth="1"/>
    <col min="15638" max="15638" width="14.28515625" style="147" bestFit="1" customWidth="1"/>
    <col min="15639" max="15639" width="14.28515625" style="147" customWidth="1"/>
    <col min="15640" max="15881" width="15.7109375" style="147"/>
    <col min="15882" max="15882" width="6" style="147" bestFit="1" customWidth="1"/>
    <col min="15883" max="15883" width="7.140625" style="147" bestFit="1" customWidth="1"/>
    <col min="15884" max="15884" width="9.140625" style="147" bestFit="1" customWidth="1"/>
    <col min="15885" max="15885" width="10.85546875" style="147" bestFit="1" customWidth="1"/>
    <col min="15886" max="15886" width="10.85546875" style="147" customWidth="1"/>
    <col min="15887" max="15887" width="11.140625" style="147" bestFit="1" customWidth="1"/>
    <col min="15888" max="15888" width="10.85546875" style="147" bestFit="1" customWidth="1"/>
    <col min="15889" max="15889" width="11.42578125" style="147" bestFit="1" customWidth="1"/>
    <col min="15890" max="15890" width="15.85546875" style="147" bestFit="1" customWidth="1"/>
    <col min="15891" max="15891" width="6.7109375" style="147" bestFit="1" customWidth="1"/>
    <col min="15892" max="15892" width="5.5703125" style="147" bestFit="1" customWidth="1"/>
    <col min="15893" max="15893" width="14.42578125" style="147" bestFit="1" customWidth="1"/>
    <col min="15894" max="15894" width="14.28515625" style="147" bestFit="1" customWidth="1"/>
    <col min="15895" max="15895" width="14.28515625" style="147" customWidth="1"/>
    <col min="15896" max="16137" width="15.7109375" style="147"/>
    <col min="16138" max="16138" width="6" style="147" bestFit="1" customWidth="1"/>
    <col min="16139" max="16139" width="7.140625" style="147" bestFit="1" customWidth="1"/>
    <col min="16140" max="16140" width="9.140625" style="147" bestFit="1" customWidth="1"/>
    <col min="16141" max="16141" width="10.85546875" style="147" bestFit="1" customWidth="1"/>
    <col min="16142" max="16142" width="10.85546875" style="147" customWidth="1"/>
    <col min="16143" max="16143" width="11.140625" style="147" bestFit="1" customWidth="1"/>
    <col min="16144" max="16144" width="10.85546875" style="147" bestFit="1" customWidth="1"/>
    <col min="16145" max="16145" width="11.42578125" style="147" bestFit="1" customWidth="1"/>
    <col min="16146" max="16146" width="15.85546875" style="147" bestFit="1" customWidth="1"/>
    <col min="16147" max="16147" width="6.7109375" style="147" bestFit="1" customWidth="1"/>
    <col min="16148" max="16148" width="5.5703125" style="147" bestFit="1" customWidth="1"/>
    <col min="16149" max="16149" width="14.42578125" style="147" bestFit="1" customWidth="1"/>
    <col min="16150" max="16150" width="14.28515625" style="147" bestFit="1" customWidth="1"/>
    <col min="16151" max="16151" width="14.28515625" style="147" customWidth="1"/>
    <col min="16152" max="16384" width="15.7109375" style="147"/>
  </cols>
  <sheetData>
    <row r="1" spans="1:26" x14ac:dyDescent="0.2">
      <c r="A1" s="144" t="s">
        <v>15</v>
      </c>
      <c r="B1" s="144" t="s">
        <v>18</v>
      </c>
      <c r="C1" s="168" t="s">
        <v>249</v>
      </c>
      <c r="D1" s="168" t="s">
        <v>155</v>
      </c>
      <c r="E1" s="165" t="s">
        <v>156</v>
      </c>
      <c r="F1" s="165" t="s">
        <v>250</v>
      </c>
      <c r="G1" s="165" t="s">
        <v>220</v>
      </c>
      <c r="H1" s="165" t="s">
        <v>157</v>
      </c>
      <c r="I1" s="145" t="s">
        <v>189</v>
      </c>
      <c r="J1" s="145" t="s">
        <v>158</v>
      </c>
      <c r="K1" s="146" t="s">
        <v>251</v>
      </c>
      <c r="L1" s="294" t="s">
        <v>252</v>
      </c>
      <c r="M1" s="147" t="s">
        <v>196</v>
      </c>
      <c r="N1" s="146" t="s">
        <v>253</v>
      </c>
      <c r="O1" s="146" t="s">
        <v>235</v>
      </c>
      <c r="P1" s="146" t="s">
        <v>236</v>
      </c>
      <c r="Q1" s="158" t="s">
        <v>159</v>
      </c>
      <c r="R1" s="158" t="s">
        <v>160</v>
      </c>
      <c r="S1" s="158" t="s">
        <v>254</v>
      </c>
      <c r="T1" s="158" t="s">
        <v>255</v>
      </c>
      <c r="U1" s="163" t="s">
        <v>161</v>
      </c>
      <c r="V1" s="163" t="s">
        <v>162</v>
      </c>
      <c r="W1" s="163" t="s">
        <v>256</v>
      </c>
      <c r="X1" s="163" t="s">
        <v>257</v>
      </c>
      <c r="Z1" s="147" t="s">
        <v>176</v>
      </c>
    </row>
    <row r="2" spans="1:26" x14ac:dyDescent="0.2">
      <c r="A2" s="147">
        <v>2001</v>
      </c>
      <c r="B2" s="147">
        <v>1</v>
      </c>
      <c r="C2" s="157">
        <v>364664.49900000001</v>
      </c>
      <c r="D2" s="295">
        <v>364664.49900000001</v>
      </c>
      <c r="E2" s="166">
        <v>5.6</v>
      </c>
      <c r="F2" s="166">
        <v>5.6</v>
      </c>
      <c r="G2" s="256">
        <f>F2</f>
        <v>5.6</v>
      </c>
      <c r="H2" s="166">
        <v>32.33</v>
      </c>
      <c r="I2" s="148">
        <f t="shared" ref="I2:I12" si="0">I3-100</f>
        <v>683695</v>
      </c>
      <c r="J2" s="181">
        <f>VLOOKUP($A2&amp;$B2,'LE Inputs'!$C$2:$J$505,MATCH('LE UtilityData'!J$1,'LE Inputs'!$C$1:$J$1,0),0)*1000</f>
        <v>1173209</v>
      </c>
      <c r="K2" s="181">
        <v>467184.74541524117</v>
      </c>
      <c r="L2" s="157">
        <v>314404</v>
      </c>
      <c r="M2" s="296">
        <v>314402.21502399998</v>
      </c>
      <c r="N2" s="150">
        <v>35553.777046329102</v>
      </c>
      <c r="O2" s="181">
        <f>VLOOKUP($A2&amp;$B2,'LE Inputs'!$C$2:$J$525,MATCH('LE UtilityData'!O$1,'LE Inputs'!$C$1:$J$1,0),0)</f>
        <v>39483.908577839124</v>
      </c>
      <c r="P2" s="181" t="e">
        <f>VLOOKUP($A2&amp;$B2,'LE Inputs'!$C$2:$J$525,MATCH('LE UtilityData'!P$1,'LE Inputs'!$C$1:$J$1,0),0)</f>
        <v>#N/A</v>
      </c>
      <c r="Q2" s="297">
        <v>1224</v>
      </c>
      <c r="R2" s="297">
        <v>0</v>
      </c>
      <c r="S2" s="298">
        <f>Q2</f>
        <v>1224</v>
      </c>
      <c r="T2" s="298">
        <f>R2</f>
        <v>0</v>
      </c>
      <c r="U2" s="159">
        <v>4124</v>
      </c>
      <c r="V2" s="159">
        <v>1696</v>
      </c>
      <c r="W2" s="159">
        <f>D2/M2*1000</f>
        <v>1159.8661891493455</v>
      </c>
      <c r="X2" s="159">
        <f t="shared" ref="X2:X65" si="1">C2/L2*1000</f>
        <v>1159.859604203509</v>
      </c>
      <c r="Y2" s="147" t="e">
        <f>#REF!+1</f>
        <v>#REF!</v>
      </c>
      <c r="Z2" s="151">
        <f t="shared" ref="Z2:Z32" si="2">SUMIF(A$2:A$493,Y$2:Y$31,L$2:L$493)/12</f>
        <v>0</v>
      </c>
    </row>
    <row r="3" spans="1:26" x14ac:dyDescent="0.2">
      <c r="A3" s="147">
        <v>2001</v>
      </c>
      <c r="B3" s="147">
        <v>2</v>
      </c>
      <c r="C3" s="157">
        <v>281238.44300000003</v>
      </c>
      <c r="D3" s="295">
        <v>281238.44300000003</v>
      </c>
      <c r="E3" s="166">
        <v>5.6</v>
      </c>
      <c r="F3" s="166">
        <v>5.6</v>
      </c>
      <c r="G3" s="256">
        <f t="shared" ref="G3:G66" si="3">F3</f>
        <v>5.6</v>
      </c>
      <c r="H3" s="166">
        <v>29.81</v>
      </c>
      <c r="I3" s="148">
        <f t="shared" si="0"/>
        <v>683795</v>
      </c>
      <c r="J3" s="181">
        <f>VLOOKUP($A3&amp;$B3,'LE Inputs'!$C$2:$J$505,MATCH('LE UtilityData'!J$1,'LE Inputs'!$C$1:$J$1,0),0)*1000</f>
        <v>1173209</v>
      </c>
      <c r="K3" s="181">
        <v>467184.74541524117</v>
      </c>
      <c r="L3" s="157">
        <v>316189</v>
      </c>
      <c r="M3" s="296">
        <v>316187.449456</v>
      </c>
      <c r="N3" s="150">
        <v>35553.777046329102</v>
      </c>
      <c r="O3" s="181">
        <f>VLOOKUP($A3&amp;$B3,'LE Inputs'!$C$2:$J$525,MATCH('LE UtilityData'!O$1,'LE Inputs'!$C$1:$J$1,0),0)</f>
        <v>39483.908577839124</v>
      </c>
      <c r="P3" s="181" t="e">
        <f>VLOOKUP($A3&amp;$B3,'LE Inputs'!$C$2:$J$505,MATCH('LE UtilityData'!P$1,'LE Inputs'!$C$1:$J$1,0),0)</f>
        <v>#N/A</v>
      </c>
      <c r="Q3" s="297">
        <v>828</v>
      </c>
      <c r="R3" s="297">
        <v>0</v>
      </c>
      <c r="S3" s="298">
        <f t="shared" ref="S3:T66" si="4">Q3</f>
        <v>828</v>
      </c>
      <c r="T3" s="298">
        <f t="shared" si="4"/>
        <v>0</v>
      </c>
      <c r="U3" s="159">
        <v>4124</v>
      </c>
      <c r="V3" s="159">
        <v>1696</v>
      </c>
      <c r="W3" s="159">
        <f t="shared" ref="W3:W66" si="5">D3/M3*1000</f>
        <v>889.46744560503691</v>
      </c>
      <c r="X3" s="159">
        <f t="shared" si="1"/>
        <v>889.46308378849369</v>
      </c>
      <c r="Y3" s="147" t="e">
        <f t="shared" ref="Y3:Y32" si="6">Y2+1</f>
        <v>#REF!</v>
      </c>
      <c r="Z3" s="151">
        <f t="shared" si="2"/>
        <v>0</v>
      </c>
    </row>
    <row r="4" spans="1:26" x14ac:dyDescent="0.2">
      <c r="A4" s="147">
        <v>2001</v>
      </c>
      <c r="B4" s="147">
        <v>3</v>
      </c>
      <c r="C4" s="157">
        <v>259489.12100000001</v>
      </c>
      <c r="D4" s="295">
        <v>259489.12100000001</v>
      </c>
      <c r="E4" s="166">
        <v>5.6</v>
      </c>
      <c r="F4" s="166">
        <v>5.6</v>
      </c>
      <c r="G4" s="256">
        <f t="shared" si="3"/>
        <v>5.6</v>
      </c>
      <c r="H4" s="166">
        <v>30.29</v>
      </c>
      <c r="I4" s="148">
        <f t="shared" si="0"/>
        <v>683895</v>
      </c>
      <c r="J4" s="181">
        <f>VLOOKUP($A4&amp;$B4,'LE Inputs'!$C$2:$J$505,MATCH('LE UtilityData'!J$1,'LE Inputs'!$C$1:$J$1,0),0)*1000</f>
        <v>1173209</v>
      </c>
      <c r="K4" s="181">
        <v>467184.74541524117</v>
      </c>
      <c r="L4" s="157">
        <v>315857</v>
      </c>
      <c r="M4" s="296">
        <v>315854.64174399996</v>
      </c>
      <c r="N4" s="150">
        <v>35553.777046329102</v>
      </c>
      <c r="O4" s="181">
        <f>VLOOKUP($A4&amp;$B4,'LE Inputs'!$C$2:$J$525,MATCH('LE UtilityData'!O$1,'LE Inputs'!$C$1:$J$1,0),0)</f>
        <v>39483.908577839124</v>
      </c>
      <c r="P4" s="181" t="e">
        <f>VLOOKUP($A4&amp;$B4,'LE Inputs'!$C$2:$J$505,MATCH('LE UtilityData'!P$1,'LE Inputs'!$C$1:$J$1,0),0)</f>
        <v>#N/A</v>
      </c>
      <c r="Q4" s="297">
        <v>704</v>
      </c>
      <c r="R4" s="297">
        <v>0</v>
      </c>
      <c r="S4" s="298">
        <f t="shared" si="4"/>
        <v>704</v>
      </c>
      <c r="T4" s="298">
        <f t="shared" si="4"/>
        <v>0</v>
      </c>
      <c r="U4" s="159">
        <v>4124</v>
      </c>
      <c r="V4" s="159">
        <v>1696</v>
      </c>
      <c r="W4" s="159">
        <f t="shared" si="5"/>
        <v>821.54601106136602</v>
      </c>
      <c r="X4" s="159">
        <f t="shared" si="1"/>
        <v>821.5398772229205</v>
      </c>
      <c r="Y4" s="147" t="e">
        <f t="shared" si="6"/>
        <v>#REF!</v>
      </c>
      <c r="Z4" s="151">
        <f t="shared" si="2"/>
        <v>0</v>
      </c>
    </row>
    <row r="5" spans="1:26" x14ac:dyDescent="0.2">
      <c r="A5" s="147">
        <v>2001</v>
      </c>
      <c r="B5" s="147">
        <v>4</v>
      </c>
      <c r="C5" s="157">
        <v>245529.92300000001</v>
      </c>
      <c r="D5" s="295">
        <v>245529.92300000004</v>
      </c>
      <c r="E5" s="166">
        <v>5.6</v>
      </c>
      <c r="F5" s="166">
        <v>5.6</v>
      </c>
      <c r="G5" s="256">
        <f t="shared" si="3"/>
        <v>5.6</v>
      </c>
      <c r="H5" s="166">
        <v>30.29</v>
      </c>
      <c r="I5" s="148">
        <f t="shared" si="0"/>
        <v>683995</v>
      </c>
      <c r="J5" s="181">
        <f>VLOOKUP($A5&amp;$B5,'LE Inputs'!$C$2:$J$505,MATCH('LE UtilityData'!J$1,'LE Inputs'!$C$1:$J$1,0),0)*1000</f>
        <v>1175506</v>
      </c>
      <c r="K5" s="181">
        <v>468393.6583914088</v>
      </c>
      <c r="L5" s="157">
        <v>316835</v>
      </c>
      <c r="M5" s="296">
        <v>316832.86556800001</v>
      </c>
      <c r="N5" s="150">
        <v>35386.853965188398</v>
      </c>
      <c r="O5" s="181">
        <f>VLOOKUP($A5&amp;$B5,'LE Inputs'!$C$2:$J$525,MATCH('LE UtilityData'!O$1,'LE Inputs'!$C$1:$J$1,0),0)</f>
        <v>39298.039700595262</v>
      </c>
      <c r="P5" s="181" t="e">
        <f>VLOOKUP($A5&amp;$B5,'LE Inputs'!$C$2:$J$505,MATCH('LE UtilityData'!P$1,'LE Inputs'!$C$1:$J$1,0),0)</f>
        <v>#N/A</v>
      </c>
      <c r="Q5" s="297">
        <v>419</v>
      </c>
      <c r="R5" s="297">
        <v>58</v>
      </c>
      <c r="S5" s="298">
        <f t="shared" si="4"/>
        <v>419</v>
      </c>
      <c r="T5" s="298">
        <f t="shared" si="4"/>
        <v>58</v>
      </c>
      <c r="U5" s="159">
        <v>4124</v>
      </c>
      <c r="V5" s="159">
        <v>1696</v>
      </c>
      <c r="W5" s="159">
        <f t="shared" si="5"/>
        <v>774.9509273914116</v>
      </c>
      <c r="X5" s="159">
        <f t="shared" si="1"/>
        <v>774.9457067558825</v>
      </c>
      <c r="Y5" s="147" t="e">
        <f t="shared" si="6"/>
        <v>#REF!</v>
      </c>
      <c r="Z5" s="151">
        <f t="shared" si="2"/>
        <v>0</v>
      </c>
    </row>
    <row r="6" spans="1:26" x14ac:dyDescent="0.2">
      <c r="A6" s="147">
        <v>2001</v>
      </c>
      <c r="B6" s="147">
        <v>5</v>
      </c>
      <c r="C6" s="157">
        <v>267979.59899999999</v>
      </c>
      <c r="D6" s="295">
        <v>267979.59899999999</v>
      </c>
      <c r="E6" s="166">
        <v>5.6</v>
      </c>
      <c r="F6" s="166">
        <v>5.6</v>
      </c>
      <c r="G6" s="256">
        <f t="shared" si="3"/>
        <v>5.6</v>
      </c>
      <c r="H6" s="166">
        <v>30.05</v>
      </c>
      <c r="I6" s="148">
        <f t="shared" si="0"/>
        <v>684095</v>
      </c>
      <c r="J6" s="181">
        <f>VLOOKUP($A6&amp;$B6,'LE Inputs'!$C$2:$J$505,MATCH('LE UtilityData'!J$1,'LE Inputs'!$C$1:$J$1,0),0)*1000</f>
        <v>1175506</v>
      </c>
      <c r="K6" s="181">
        <v>468393.6583914088</v>
      </c>
      <c r="L6" s="157">
        <v>316869</v>
      </c>
      <c r="M6" s="296">
        <v>316866.53108799999</v>
      </c>
      <c r="N6" s="150">
        <v>35386.853965188398</v>
      </c>
      <c r="O6" s="181">
        <f>VLOOKUP($A6&amp;$B6,'LE Inputs'!$C$2:$J$525,MATCH('LE UtilityData'!O$1,'LE Inputs'!$C$1:$J$1,0),0)</f>
        <v>39298.039700595262</v>
      </c>
      <c r="P6" s="181" t="e">
        <f>VLOOKUP($A6&amp;$B6,'LE Inputs'!$C$2:$J$505,MATCH('LE UtilityData'!P$1,'LE Inputs'!$C$1:$J$1,0),0)</f>
        <v>#N/A</v>
      </c>
      <c r="Q6" s="297">
        <v>93</v>
      </c>
      <c r="R6" s="297">
        <v>119</v>
      </c>
      <c r="S6" s="298">
        <f t="shared" si="4"/>
        <v>93</v>
      </c>
      <c r="T6" s="298">
        <f t="shared" si="4"/>
        <v>119</v>
      </c>
      <c r="U6" s="159">
        <v>4124</v>
      </c>
      <c r="V6" s="159">
        <v>1696</v>
      </c>
      <c r="W6" s="159">
        <f t="shared" si="5"/>
        <v>845.71758992614104</v>
      </c>
      <c r="X6" s="159">
        <f t="shared" si="1"/>
        <v>845.71100044497882</v>
      </c>
      <c r="Y6" s="147" t="e">
        <f t="shared" si="6"/>
        <v>#REF!</v>
      </c>
      <c r="Z6" s="151">
        <f t="shared" si="2"/>
        <v>0</v>
      </c>
    </row>
    <row r="7" spans="1:26" x14ac:dyDescent="0.2">
      <c r="A7" s="147">
        <v>2001</v>
      </c>
      <c r="B7" s="147">
        <v>6</v>
      </c>
      <c r="C7" s="157">
        <v>316797.81800000003</v>
      </c>
      <c r="D7" s="295">
        <v>316797.81800000003</v>
      </c>
      <c r="E7" s="166">
        <v>5.6</v>
      </c>
      <c r="F7" s="166">
        <v>5.6</v>
      </c>
      <c r="G7" s="256">
        <f t="shared" si="3"/>
        <v>5.6</v>
      </c>
      <c r="H7" s="166">
        <v>30.62</v>
      </c>
      <c r="I7" s="148">
        <f t="shared" si="0"/>
        <v>684195</v>
      </c>
      <c r="J7" s="181">
        <f>VLOOKUP($A7&amp;$B7,'LE Inputs'!$C$2:$J$505,MATCH('LE UtilityData'!J$1,'LE Inputs'!$C$1:$J$1,0),0)*1000</f>
        <v>1175506</v>
      </c>
      <c r="K7" s="181">
        <v>468393.6583914088</v>
      </c>
      <c r="L7" s="157">
        <v>318441</v>
      </c>
      <c r="M7" s="296">
        <v>318439.19180799997</v>
      </c>
      <c r="N7" s="150">
        <v>35386.853965188398</v>
      </c>
      <c r="O7" s="181">
        <f>VLOOKUP($A7&amp;$B7,'LE Inputs'!$C$2:$J$525,MATCH('LE UtilityData'!O$1,'LE Inputs'!$C$1:$J$1,0),0)</f>
        <v>39298.039700595262</v>
      </c>
      <c r="P7" s="181" t="e">
        <f>VLOOKUP($A7&amp;$B7,'LE Inputs'!$C$2:$J$505,MATCH('LE UtilityData'!P$1,'LE Inputs'!$C$1:$J$1,0),0)</f>
        <v>#N/A</v>
      </c>
      <c r="Q7" s="297">
        <v>41</v>
      </c>
      <c r="R7" s="297">
        <v>166</v>
      </c>
      <c r="S7" s="298">
        <f t="shared" si="4"/>
        <v>41</v>
      </c>
      <c r="T7" s="298">
        <f t="shared" si="4"/>
        <v>166</v>
      </c>
      <c r="U7" s="159">
        <v>4124</v>
      </c>
      <c r="V7" s="159">
        <v>1696</v>
      </c>
      <c r="W7" s="159">
        <f t="shared" si="5"/>
        <v>994.84556596604602</v>
      </c>
      <c r="X7" s="159">
        <f t="shared" si="1"/>
        <v>994.83991697049066</v>
      </c>
      <c r="Y7" s="147" t="e">
        <f t="shared" si="6"/>
        <v>#REF!</v>
      </c>
      <c r="Z7" s="151">
        <f t="shared" si="2"/>
        <v>0</v>
      </c>
    </row>
    <row r="8" spans="1:26" x14ac:dyDescent="0.2">
      <c r="A8" s="147">
        <v>2001</v>
      </c>
      <c r="B8" s="147">
        <v>7</v>
      </c>
      <c r="C8" s="157">
        <v>432588.71</v>
      </c>
      <c r="D8" s="295">
        <v>432588.71</v>
      </c>
      <c r="E8" s="166">
        <v>5.6</v>
      </c>
      <c r="F8" s="166">
        <v>5.6</v>
      </c>
      <c r="G8" s="256">
        <f t="shared" si="3"/>
        <v>5.6</v>
      </c>
      <c r="H8" s="166">
        <v>30.76</v>
      </c>
      <c r="I8" s="148">
        <f t="shared" si="0"/>
        <v>684295</v>
      </c>
      <c r="J8" s="181">
        <f>VLOOKUP($A8&amp;$B8,'LE Inputs'!$C$2:$J$505,MATCH('LE UtilityData'!J$1,'LE Inputs'!$C$1:$J$1,0),0)*1000</f>
        <v>1177757.25</v>
      </c>
      <c r="K8" s="181">
        <v>469625.08778390288</v>
      </c>
      <c r="L8" s="157">
        <v>318773</v>
      </c>
      <c r="M8" s="296">
        <v>318771.037648</v>
      </c>
      <c r="N8" s="150">
        <v>35357.645532071598</v>
      </c>
      <c r="O8" s="181">
        <f>VLOOKUP($A8&amp;$B8,'LE Inputs'!$C$2:$J$525,MATCH('LE UtilityData'!O$1,'LE Inputs'!$C$1:$J$1,0),0)</f>
        <v>39277.008421259088</v>
      </c>
      <c r="P8" s="181" t="e">
        <f>VLOOKUP($A8&amp;$B8,'LE Inputs'!$C$2:$J$505,MATCH('LE UtilityData'!P$1,'LE Inputs'!$C$1:$J$1,0),0)</f>
        <v>#N/A</v>
      </c>
      <c r="Q8" s="297">
        <v>0</v>
      </c>
      <c r="R8" s="297">
        <v>325</v>
      </c>
      <c r="S8" s="298">
        <f t="shared" si="4"/>
        <v>0</v>
      </c>
      <c r="T8" s="298">
        <f t="shared" si="4"/>
        <v>325</v>
      </c>
      <c r="U8" s="159">
        <v>4124</v>
      </c>
      <c r="V8" s="159">
        <v>1696</v>
      </c>
      <c r="W8" s="159">
        <f t="shared" si="5"/>
        <v>1357.0514849522876</v>
      </c>
      <c r="X8" s="159">
        <f t="shared" si="1"/>
        <v>1357.0431310054491</v>
      </c>
      <c r="Y8" s="147" t="e">
        <f t="shared" si="6"/>
        <v>#REF!</v>
      </c>
      <c r="Z8" s="151">
        <f t="shared" si="2"/>
        <v>0</v>
      </c>
    </row>
    <row r="9" spans="1:26" x14ac:dyDescent="0.2">
      <c r="A9" s="147">
        <v>2001</v>
      </c>
      <c r="B9" s="147">
        <v>8</v>
      </c>
      <c r="C9" s="157">
        <v>482261.65899999999</v>
      </c>
      <c r="D9" s="295">
        <v>482261.65899999999</v>
      </c>
      <c r="E9" s="166">
        <v>5.6</v>
      </c>
      <c r="F9" s="166">
        <v>5.6</v>
      </c>
      <c r="G9" s="256">
        <f t="shared" si="3"/>
        <v>5.6</v>
      </c>
      <c r="H9" s="166">
        <v>29.48</v>
      </c>
      <c r="I9" s="148">
        <f t="shared" si="0"/>
        <v>684395</v>
      </c>
      <c r="J9" s="181">
        <f>VLOOKUP($A9&amp;$B9,'LE Inputs'!$C$2:$J$505,MATCH('LE UtilityData'!J$1,'LE Inputs'!$C$1:$J$1,0),0)*1000</f>
        <v>1177757.25</v>
      </c>
      <c r="K9" s="181">
        <v>469625.08778390288</v>
      </c>
      <c r="L9" s="157">
        <v>318223</v>
      </c>
      <c r="M9" s="296">
        <v>318220.84686399996</v>
      </c>
      <c r="N9" s="150">
        <v>35357.645532071598</v>
      </c>
      <c r="O9" s="181">
        <f>VLOOKUP($A9&amp;$B9,'LE Inputs'!$C$2:$J$525,MATCH('LE UtilityData'!O$1,'LE Inputs'!$C$1:$J$1,0),0)</f>
        <v>39277.008421259088</v>
      </c>
      <c r="P9" s="181" t="e">
        <f>VLOOKUP($A9&amp;$B9,'LE Inputs'!$C$2:$J$505,MATCH('LE UtilityData'!P$1,'LE Inputs'!$C$1:$J$1,0),0)</f>
        <v>#N/A</v>
      </c>
      <c r="Q9" s="297">
        <v>0</v>
      </c>
      <c r="R9" s="297">
        <v>414</v>
      </c>
      <c r="S9" s="298">
        <f t="shared" si="4"/>
        <v>0</v>
      </c>
      <c r="T9" s="298">
        <f t="shared" si="4"/>
        <v>414</v>
      </c>
      <c r="U9" s="159">
        <v>4124</v>
      </c>
      <c r="V9" s="159">
        <v>1696</v>
      </c>
      <c r="W9" s="159">
        <f t="shared" si="5"/>
        <v>1515.4936068852435</v>
      </c>
      <c r="X9" s="159">
        <f t="shared" si="1"/>
        <v>1515.4833528689001</v>
      </c>
      <c r="Y9" s="147" t="e">
        <f t="shared" si="6"/>
        <v>#REF!</v>
      </c>
      <c r="Z9" s="151">
        <f t="shared" si="2"/>
        <v>0</v>
      </c>
    </row>
    <row r="10" spans="1:26" x14ac:dyDescent="0.2">
      <c r="A10" s="147">
        <v>2001</v>
      </c>
      <c r="B10" s="147">
        <v>9</v>
      </c>
      <c r="C10" s="157">
        <v>412942.93400000001</v>
      </c>
      <c r="D10" s="295">
        <v>412942.93400000001</v>
      </c>
      <c r="E10" s="166">
        <v>5.6</v>
      </c>
      <c r="F10" s="166">
        <v>5.6</v>
      </c>
      <c r="G10" s="256">
        <f t="shared" si="3"/>
        <v>5.6</v>
      </c>
      <c r="H10" s="166">
        <v>30.62</v>
      </c>
      <c r="I10" s="148">
        <f t="shared" si="0"/>
        <v>684495</v>
      </c>
      <c r="J10" s="181">
        <f>VLOOKUP($A10&amp;$B10,'LE Inputs'!$C$2:$J$505,MATCH('LE UtilityData'!J$1,'LE Inputs'!$C$1:$J$1,0),0)*1000</f>
        <v>1177757.25</v>
      </c>
      <c r="K10" s="181">
        <v>469625.08778390288</v>
      </c>
      <c r="L10" s="157">
        <v>318469</v>
      </c>
      <c r="M10" s="296">
        <v>318467.08609599998</v>
      </c>
      <c r="N10" s="150">
        <v>35357.645532071598</v>
      </c>
      <c r="O10" s="181">
        <f>VLOOKUP($A10&amp;$B10,'LE Inputs'!$C$2:$J$525,MATCH('LE UtilityData'!O$1,'LE Inputs'!$C$1:$J$1,0),0)</f>
        <v>39277.008421259088</v>
      </c>
      <c r="P10" s="181" t="e">
        <f>VLOOKUP($A10&amp;$B10,'LE Inputs'!$C$2:$J$505,MATCH('LE UtilityData'!P$1,'LE Inputs'!$C$1:$J$1,0),0)</f>
        <v>#N/A</v>
      </c>
      <c r="Q10" s="297">
        <v>10</v>
      </c>
      <c r="R10" s="297">
        <v>301</v>
      </c>
      <c r="S10" s="298">
        <f t="shared" si="4"/>
        <v>10</v>
      </c>
      <c r="T10" s="298">
        <f t="shared" si="4"/>
        <v>301</v>
      </c>
      <c r="U10" s="159">
        <v>4124</v>
      </c>
      <c r="V10" s="159">
        <v>1696</v>
      </c>
      <c r="W10" s="159">
        <f t="shared" si="5"/>
        <v>1296.6581227032073</v>
      </c>
      <c r="X10" s="159">
        <f t="shared" si="1"/>
        <v>1296.6503301734235</v>
      </c>
      <c r="Y10" s="147" t="e">
        <f t="shared" si="6"/>
        <v>#REF!</v>
      </c>
      <c r="Z10" s="151">
        <f t="shared" si="2"/>
        <v>0</v>
      </c>
    </row>
    <row r="11" spans="1:26" x14ac:dyDescent="0.2">
      <c r="A11" s="147">
        <v>2001</v>
      </c>
      <c r="B11" s="147">
        <v>10</v>
      </c>
      <c r="C11" s="157">
        <v>241862.98800000001</v>
      </c>
      <c r="D11" s="295">
        <v>241862.98800000004</v>
      </c>
      <c r="E11" s="166">
        <v>5.6</v>
      </c>
      <c r="F11" s="166">
        <v>5.6</v>
      </c>
      <c r="G11" s="256">
        <f t="shared" si="3"/>
        <v>5.6</v>
      </c>
      <c r="H11" s="166">
        <v>29.67</v>
      </c>
      <c r="I11" s="148">
        <f t="shared" si="0"/>
        <v>684595</v>
      </c>
      <c r="J11" s="181">
        <f>VLOOKUP($A11&amp;$B11,'LE Inputs'!$C$2:$J$505,MATCH('LE UtilityData'!J$1,'LE Inputs'!$C$1:$J$1,0),0)*1000</f>
        <v>1180008.5</v>
      </c>
      <c r="K11" s="181">
        <v>470859.39986136515</v>
      </c>
      <c r="L11" s="157">
        <v>317873</v>
      </c>
      <c r="M11" s="296">
        <v>317870.72545599996</v>
      </c>
      <c r="N11" s="150">
        <v>35573.138087862797</v>
      </c>
      <c r="O11" s="181">
        <f>VLOOKUP($A11&amp;$B11,'LE Inputs'!$C$2:$J$525,MATCH('LE UtilityData'!O$1,'LE Inputs'!$C$1:$J$1,0),0)</f>
        <v>39494.717310260203</v>
      </c>
      <c r="P11" s="181" t="e">
        <f>VLOOKUP($A11&amp;$B11,'LE Inputs'!$C$2:$J$505,MATCH('LE UtilityData'!P$1,'LE Inputs'!$C$1:$J$1,0),0)</f>
        <v>#N/A</v>
      </c>
      <c r="Q11" s="297">
        <v>148</v>
      </c>
      <c r="R11" s="297">
        <v>50</v>
      </c>
      <c r="S11" s="298">
        <f t="shared" si="4"/>
        <v>148</v>
      </c>
      <c r="T11" s="298">
        <f t="shared" si="4"/>
        <v>50</v>
      </c>
      <c r="U11" s="159">
        <v>4124</v>
      </c>
      <c r="V11" s="159">
        <v>1696</v>
      </c>
      <c r="W11" s="159">
        <f t="shared" si="5"/>
        <v>760.88475166449075</v>
      </c>
      <c r="X11" s="159">
        <f t="shared" si="1"/>
        <v>760.87930714467734</v>
      </c>
      <c r="Y11" s="147" t="e">
        <f t="shared" si="6"/>
        <v>#REF!</v>
      </c>
      <c r="Z11" s="151">
        <f t="shared" si="2"/>
        <v>0</v>
      </c>
    </row>
    <row r="12" spans="1:26" x14ac:dyDescent="0.2">
      <c r="A12" s="147">
        <v>2001</v>
      </c>
      <c r="B12" s="147">
        <v>11</v>
      </c>
      <c r="C12" s="157">
        <v>222305.33499999999</v>
      </c>
      <c r="D12" s="295">
        <v>222305.33499999999</v>
      </c>
      <c r="E12" s="166">
        <v>5.6</v>
      </c>
      <c r="F12" s="166">
        <v>5.6</v>
      </c>
      <c r="G12" s="256">
        <f t="shared" si="3"/>
        <v>5.6</v>
      </c>
      <c r="H12" s="166">
        <v>30</v>
      </c>
      <c r="I12" s="148">
        <f t="shared" si="0"/>
        <v>684695</v>
      </c>
      <c r="J12" s="181">
        <f>VLOOKUP($A12&amp;$B12,'LE Inputs'!$C$2:$J$505,MATCH('LE UtilityData'!J$1,'LE Inputs'!$C$1:$J$1,0),0)*1000</f>
        <v>1180008.5</v>
      </c>
      <c r="K12" s="181">
        <v>470859.39986136515</v>
      </c>
      <c r="L12" s="157">
        <v>318400</v>
      </c>
      <c r="M12" s="296">
        <v>318397.83131199999</v>
      </c>
      <c r="N12" s="150">
        <v>35573.138087862797</v>
      </c>
      <c r="O12" s="181">
        <f>VLOOKUP($A12&amp;$B12,'LE Inputs'!$C$2:$J$525,MATCH('LE UtilityData'!O$1,'LE Inputs'!$C$1:$J$1,0),0)</f>
        <v>39494.717310260203</v>
      </c>
      <c r="P12" s="181" t="e">
        <f>VLOOKUP($A12&amp;$B12,'LE Inputs'!$C$2:$J$505,MATCH('LE UtilityData'!P$1,'LE Inputs'!$C$1:$J$1,0),0)</f>
        <v>#N/A</v>
      </c>
      <c r="Q12" s="297">
        <v>345</v>
      </c>
      <c r="R12" s="297">
        <v>8</v>
      </c>
      <c r="S12" s="298">
        <f t="shared" si="4"/>
        <v>345</v>
      </c>
      <c r="T12" s="298">
        <f t="shared" si="4"/>
        <v>8</v>
      </c>
      <c r="U12" s="159">
        <v>4124</v>
      </c>
      <c r="V12" s="159">
        <v>1696</v>
      </c>
      <c r="W12" s="159">
        <f t="shared" si="5"/>
        <v>698.19990319645615</v>
      </c>
      <c r="X12" s="159">
        <f t="shared" si="1"/>
        <v>698.19514761306539</v>
      </c>
      <c r="Y12" s="147" t="e">
        <f t="shared" si="6"/>
        <v>#REF!</v>
      </c>
      <c r="Z12" s="151">
        <f t="shared" si="2"/>
        <v>0</v>
      </c>
    </row>
    <row r="13" spans="1:26" x14ac:dyDescent="0.2">
      <c r="A13" s="147">
        <v>2001</v>
      </c>
      <c r="B13" s="147">
        <v>12</v>
      </c>
      <c r="C13" s="157">
        <v>258446.606</v>
      </c>
      <c r="D13" s="295">
        <v>258446.606</v>
      </c>
      <c r="E13" s="166">
        <v>5.6</v>
      </c>
      <c r="F13" s="166">
        <v>5.6</v>
      </c>
      <c r="G13" s="256">
        <f t="shared" si="3"/>
        <v>5.6</v>
      </c>
      <c r="H13" s="166">
        <v>31.43</v>
      </c>
      <c r="I13" s="148">
        <f>I14-100</f>
        <v>684795</v>
      </c>
      <c r="J13" s="181">
        <f>VLOOKUP($A13&amp;$B13,'LE Inputs'!$C$2:$J$505,MATCH('LE UtilityData'!J$1,'LE Inputs'!$C$1:$J$1,0),0)*1000</f>
        <v>1180008.5</v>
      </c>
      <c r="K13" s="181">
        <v>470859.39986136515</v>
      </c>
      <c r="L13" s="157">
        <v>319039</v>
      </c>
      <c r="M13" s="296">
        <v>319037.47619199997</v>
      </c>
      <c r="N13" s="150">
        <v>35573.138087862797</v>
      </c>
      <c r="O13" s="181">
        <f>VLOOKUP($A13&amp;$B13,'LE Inputs'!$C$2:$J$525,MATCH('LE UtilityData'!O$1,'LE Inputs'!$C$1:$J$1,0),0)</f>
        <v>39494.717310260203</v>
      </c>
      <c r="P13" s="181" t="e">
        <f>VLOOKUP($A13&amp;$B13,'LE Inputs'!$C$2:$J$505,MATCH('LE UtilityData'!P$1,'LE Inputs'!$C$1:$J$1,0),0)</f>
        <v>#N/A</v>
      </c>
      <c r="Q13" s="297">
        <v>500</v>
      </c>
      <c r="R13" s="297">
        <v>0</v>
      </c>
      <c r="S13" s="298">
        <f t="shared" si="4"/>
        <v>500</v>
      </c>
      <c r="T13" s="298">
        <f t="shared" si="4"/>
        <v>0</v>
      </c>
      <c r="U13" s="159">
        <v>4124</v>
      </c>
      <c r="V13" s="159">
        <v>1696</v>
      </c>
      <c r="W13" s="159">
        <f t="shared" si="5"/>
        <v>810.08227962681167</v>
      </c>
      <c r="X13" s="159">
        <f t="shared" si="1"/>
        <v>810.07841047646207</v>
      </c>
      <c r="Y13" s="147" t="e">
        <f t="shared" si="6"/>
        <v>#REF!</v>
      </c>
      <c r="Z13" s="151">
        <f t="shared" si="2"/>
        <v>0</v>
      </c>
    </row>
    <row r="14" spans="1:26" x14ac:dyDescent="0.2">
      <c r="A14" s="147">
        <v>2002</v>
      </c>
      <c r="B14" s="147">
        <v>1</v>
      </c>
      <c r="C14" s="157">
        <v>330148.39799999999</v>
      </c>
      <c r="D14" s="295">
        <v>330148.39799999999</v>
      </c>
      <c r="E14" s="166">
        <v>5.8</v>
      </c>
      <c r="F14" s="166">
        <v>5.8</v>
      </c>
      <c r="G14" s="256">
        <f t="shared" si="3"/>
        <v>5.8</v>
      </c>
      <c r="H14" s="166">
        <v>32.380000000000003</v>
      </c>
      <c r="I14" s="148">
        <v>684895</v>
      </c>
      <c r="J14" s="181">
        <f>VLOOKUP($A14&amp;$B14,'LE Inputs'!$C$2:$J$505,MATCH('LE UtilityData'!J$1,'LE Inputs'!$C$1:$J$1,0),0)*1000</f>
        <v>1182259.75</v>
      </c>
      <c r="K14" s="181">
        <v>472096.60259149229</v>
      </c>
      <c r="L14" s="157">
        <v>318966</v>
      </c>
      <c r="M14" s="296">
        <v>318964.37391999998</v>
      </c>
      <c r="N14" s="150">
        <v>35885.6415535993</v>
      </c>
      <c r="O14" s="181">
        <f>VLOOKUP($A14&amp;$B14,'LE Inputs'!$C$2:$J$525,MATCH('LE UtilityData'!O$1,'LE Inputs'!$C$1:$J$1,0),0)</f>
        <v>39818.735873652178</v>
      </c>
      <c r="P14" s="181" t="e">
        <f>VLOOKUP($A14&amp;$B14,'LE Inputs'!$C$2:$J$505,MATCH('LE UtilityData'!P$1,'LE Inputs'!$C$1:$J$1,0),0)</f>
        <v>#N/A</v>
      </c>
      <c r="Q14" s="297">
        <v>911</v>
      </c>
      <c r="R14" s="297">
        <v>0</v>
      </c>
      <c r="S14" s="298">
        <f t="shared" si="4"/>
        <v>911</v>
      </c>
      <c r="T14" s="298">
        <f t="shared" si="4"/>
        <v>0</v>
      </c>
      <c r="U14" s="159">
        <v>4124</v>
      </c>
      <c r="V14" s="159">
        <v>1696</v>
      </c>
      <c r="W14" s="159">
        <f t="shared" si="5"/>
        <v>1035.0635525295534</v>
      </c>
      <c r="X14" s="159">
        <f t="shared" si="1"/>
        <v>1035.0582758036905</v>
      </c>
      <c r="Y14" s="147" t="e">
        <f t="shared" si="6"/>
        <v>#REF!</v>
      </c>
      <c r="Z14" s="151">
        <f t="shared" si="2"/>
        <v>0</v>
      </c>
    </row>
    <row r="15" spans="1:26" x14ac:dyDescent="0.2">
      <c r="A15" s="147">
        <v>2002</v>
      </c>
      <c r="B15" s="147">
        <v>2</v>
      </c>
      <c r="C15" s="157">
        <v>268736.10800000001</v>
      </c>
      <c r="D15" s="295">
        <v>268736.10800000001</v>
      </c>
      <c r="E15" s="166">
        <v>5.8</v>
      </c>
      <c r="F15" s="166">
        <v>5.8</v>
      </c>
      <c r="G15" s="256">
        <f t="shared" si="3"/>
        <v>5.8</v>
      </c>
      <c r="H15" s="166">
        <v>29.9</v>
      </c>
      <c r="I15" s="148">
        <v>684973</v>
      </c>
      <c r="J15" s="181">
        <f>VLOOKUP($A15&amp;$B15,'LE Inputs'!$C$2:$J$505,MATCH('LE UtilityData'!J$1,'LE Inputs'!$C$1:$J$1,0),0)*1000</f>
        <v>1182259.75</v>
      </c>
      <c r="K15" s="181">
        <v>472096.60259149229</v>
      </c>
      <c r="L15" s="157">
        <v>321486</v>
      </c>
      <c r="M15" s="296">
        <v>321483.516688</v>
      </c>
      <c r="N15" s="150">
        <v>35885.6415535993</v>
      </c>
      <c r="O15" s="181">
        <f>VLOOKUP($A15&amp;$B15,'LE Inputs'!$C$2:$J$525,MATCH('LE UtilityData'!O$1,'LE Inputs'!$C$1:$J$1,0),0)</f>
        <v>39818.735873652178</v>
      </c>
      <c r="P15" s="181" t="e">
        <f>VLOOKUP($A15&amp;$B15,'LE Inputs'!$C$2:$J$505,MATCH('LE UtilityData'!P$1,'LE Inputs'!$C$1:$J$1,0),0)</f>
        <v>#N/A</v>
      </c>
      <c r="Q15" s="297">
        <v>659</v>
      </c>
      <c r="R15" s="297">
        <v>0</v>
      </c>
      <c r="S15" s="298">
        <f t="shared" si="4"/>
        <v>659</v>
      </c>
      <c r="T15" s="298">
        <f t="shared" si="4"/>
        <v>0</v>
      </c>
      <c r="U15" s="159">
        <v>4124</v>
      </c>
      <c r="V15" s="159">
        <v>1696</v>
      </c>
      <c r="W15" s="159">
        <f t="shared" si="5"/>
        <v>835.92499786173664</v>
      </c>
      <c r="X15" s="159">
        <f t="shared" si="1"/>
        <v>835.91854077627022</v>
      </c>
      <c r="Y15" s="147" t="e">
        <f t="shared" si="6"/>
        <v>#REF!</v>
      </c>
      <c r="Z15" s="151">
        <f t="shared" si="2"/>
        <v>0</v>
      </c>
    </row>
    <row r="16" spans="1:26" x14ac:dyDescent="0.2">
      <c r="A16" s="147">
        <v>2002</v>
      </c>
      <c r="B16" s="147">
        <v>3</v>
      </c>
      <c r="C16" s="157">
        <v>270097.016</v>
      </c>
      <c r="D16" s="295">
        <v>270097.016</v>
      </c>
      <c r="E16" s="166">
        <v>5.8</v>
      </c>
      <c r="F16" s="166">
        <v>5.8</v>
      </c>
      <c r="G16" s="256">
        <f t="shared" si="3"/>
        <v>5.8</v>
      </c>
      <c r="H16" s="166">
        <v>30.52</v>
      </c>
      <c r="I16" s="148">
        <v>685051</v>
      </c>
      <c r="J16" s="181">
        <f>VLOOKUP($A16&amp;$B16,'LE Inputs'!$C$2:$J$505,MATCH('LE UtilityData'!J$1,'LE Inputs'!$C$1:$J$1,0),0)*1000</f>
        <v>1182259.75</v>
      </c>
      <c r="K16" s="181">
        <v>472096.60259149229</v>
      </c>
      <c r="L16" s="157">
        <v>321325</v>
      </c>
      <c r="M16" s="296">
        <v>321322.88406399998</v>
      </c>
      <c r="N16" s="150">
        <v>35885.6415535993</v>
      </c>
      <c r="O16" s="181">
        <f>VLOOKUP($A16&amp;$B16,'LE Inputs'!$C$2:$J$525,MATCH('LE UtilityData'!O$1,'LE Inputs'!$C$1:$J$1,0),0)</f>
        <v>39818.735873652178</v>
      </c>
      <c r="P16" s="181" t="e">
        <f>VLOOKUP($A16&amp;$B16,'LE Inputs'!$C$2:$J$505,MATCH('LE UtilityData'!P$1,'LE Inputs'!$C$1:$J$1,0),0)</f>
        <v>#N/A</v>
      </c>
      <c r="Q16" s="297">
        <v>676</v>
      </c>
      <c r="R16" s="297">
        <v>0</v>
      </c>
      <c r="S16" s="298">
        <f t="shared" si="4"/>
        <v>676</v>
      </c>
      <c r="T16" s="298">
        <f t="shared" si="4"/>
        <v>0</v>
      </c>
      <c r="U16" s="159">
        <v>4124</v>
      </c>
      <c r="V16" s="159">
        <v>1696</v>
      </c>
      <c r="W16" s="159">
        <f t="shared" si="5"/>
        <v>840.57821398803026</v>
      </c>
      <c r="X16" s="159">
        <f t="shared" si="1"/>
        <v>840.57267875204229</v>
      </c>
      <c r="Y16" s="147" t="e">
        <f t="shared" si="6"/>
        <v>#REF!</v>
      </c>
      <c r="Z16" s="151">
        <f t="shared" si="2"/>
        <v>0</v>
      </c>
    </row>
    <row r="17" spans="1:26" x14ac:dyDescent="0.2">
      <c r="A17" s="147">
        <v>2002</v>
      </c>
      <c r="B17" s="147">
        <v>4</v>
      </c>
      <c r="C17" s="157">
        <v>247888.92600000001</v>
      </c>
      <c r="D17" s="295">
        <v>247888.92599999998</v>
      </c>
      <c r="E17" s="166">
        <v>5.8</v>
      </c>
      <c r="F17" s="166">
        <v>5.8</v>
      </c>
      <c r="G17" s="256">
        <f t="shared" si="3"/>
        <v>5.8</v>
      </c>
      <c r="H17" s="166">
        <v>30.57</v>
      </c>
      <c r="I17" s="148">
        <v>685129</v>
      </c>
      <c r="J17" s="181">
        <f>VLOOKUP($A17&amp;$B17,'LE Inputs'!$C$2:$J$505,MATCH('LE UtilityData'!J$1,'LE Inputs'!$C$1:$J$1,0),0)*1000</f>
        <v>1184511.0000000002</v>
      </c>
      <c r="K17" s="181">
        <v>473336.70396275487</v>
      </c>
      <c r="L17" s="157">
        <v>320723</v>
      </c>
      <c r="M17" s="296">
        <v>320720.75219199999</v>
      </c>
      <c r="N17" s="150">
        <v>36031.623764453499</v>
      </c>
      <c r="O17" s="181">
        <f>VLOOKUP($A17&amp;$B17,'LE Inputs'!$C$2:$J$525,MATCH('LE UtilityData'!O$1,'LE Inputs'!$C$1:$J$1,0),0)</f>
        <v>39982.012248495084</v>
      </c>
      <c r="P17" s="181" t="e">
        <f>VLOOKUP($A17&amp;$B17,'LE Inputs'!$C$2:$J$505,MATCH('LE UtilityData'!P$1,'LE Inputs'!$C$1:$J$1,0),0)</f>
        <v>#N/A</v>
      </c>
      <c r="Q17" s="297">
        <v>401</v>
      </c>
      <c r="R17" s="297">
        <v>34</v>
      </c>
      <c r="S17" s="298">
        <f t="shared" si="4"/>
        <v>401</v>
      </c>
      <c r="T17" s="298">
        <f t="shared" si="4"/>
        <v>34</v>
      </c>
      <c r="U17" s="159">
        <v>4124</v>
      </c>
      <c r="V17" s="159">
        <v>1696</v>
      </c>
      <c r="W17" s="159">
        <f t="shared" si="5"/>
        <v>772.91202488699855</v>
      </c>
      <c r="X17" s="159">
        <f t="shared" si="1"/>
        <v>772.90660788281468</v>
      </c>
      <c r="Y17" s="147" t="e">
        <f t="shared" si="6"/>
        <v>#REF!</v>
      </c>
      <c r="Z17" s="151">
        <f t="shared" si="2"/>
        <v>0</v>
      </c>
    </row>
    <row r="18" spans="1:26" x14ac:dyDescent="0.2">
      <c r="A18" s="147">
        <v>2002</v>
      </c>
      <c r="B18" s="147">
        <v>5</v>
      </c>
      <c r="C18" s="157">
        <v>237850.68599999999</v>
      </c>
      <c r="D18" s="295">
        <v>237850.68600000002</v>
      </c>
      <c r="E18" s="166">
        <v>5.8</v>
      </c>
      <c r="F18" s="166">
        <v>5.8</v>
      </c>
      <c r="G18" s="256">
        <f t="shared" si="3"/>
        <v>5.8</v>
      </c>
      <c r="H18" s="166">
        <v>29.57</v>
      </c>
      <c r="I18" s="148">
        <v>685207</v>
      </c>
      <c r="J18" s="181">
        <f>VLOOKUP($A18&amp;$B18,'LE Inputs'!$C$2:$J$505,MATCH('LE UtilityData'!J$1,'LE Inputs'!$C$1:$J$1,0),0)*1000</f>
        <v>1184511.0000000002</v>
      </c>
      <c r="K18" s="181">
        <v>473336.70396275487</v>
      </c>
      <c r="L18" s="157">
        <v>321005</v>
      </c>
      <c r="M18" s="296">
        <v>321002.58068799996</v>
      </c>
      <c r="N18" s="150">
        <v>36031.623764453499</v>
      </c>
      <c r="O18" s="181">
        <f>VLOOKUP($A18&amp;$B18,'LE Inputs'!$C$2:$J$525,MATCH('LE UtilityData'!O$1,'LE Inputs'!$C$1:$J$1,0),0)</f>
        <v>39982.012248495084</v>
      </c>
      <c r="P18" s="181" t="e">
        <f>VLOOKUP($A18&amp;$B18,'LE Inputs'!$C$2:$J$505,MATCH('LE UtilityData'!P$1,'LE Inputs'!$C$1:$J$1,0),0)</f>
        <v>#N/A</v>
      </c>
      <c r="Q18" s="297">
        <v>128</v>
      </c>
      <c r="R18" s="297">
        <v>67</v>
      </c>
      <c r="S18" s="298">
        <f t="shared" si="4"/>
        <v>128</v>
      </c>
      <c r="T18" s="298">
        <f t="shared" si="4"/>
        <v>67</v>
      </c>
      <c r="U18" s="159">
        <v>4124</v>
      </c>
      <c r="V18" s="159">
        <v>1696</v>
      </c>
      <c r="W18" s="159">
        <f t="shared" si="5"/>
        <v>740.96191217596515</v>
      </c>
      <c r="X18" s="159">
        <f t="shared" si="1"/>
        <v>740.95632778305628</v>
      </c>
      <c r="Y18" s="147" t="e">
        <f t="shared" si="6"/>
        <v>#REF!</v>
      </c>
      <c r="Z18" s="151">
        <f t="shared" si="2"/>
        <v>0</v>
      </c>
    </row>
    <row r="19" spans="1:26" x14ac:dyDescent="0.2">
      <c r="A19" s="147">
        <v>2002</v>
      </c>
      <c r="B19" s="147">
        <v>6</v>
      </c>
      <c r="C19" s="157">
        <v>365881.46299999999</v>
      </c>
      <c r="D19" s="295">
        <v>365881.46299999999</v>
      </c>
      <c r="E19" s="166">
        <v>5.8</v>
      </c>
      <c r="F19" s="166">
        <v>5.8</v>
      </c>
      <c r="G19" s="256">
        <f t="shared" si="3"/>
        <v>5.8</v>
      </c>
      <c r="H19" s="166">
        <v>30.67</v>
      </c>
      <c r="I19" s="148">
        <v>685285</v>
      </c>
      <c r="J19" s="181">
        <f>VLOOKUP($A19&amp;$B19,'LE Inputs'!$C$2:$J$505,MATCH('LE UtilityData'!J$1,'LE Inputs'!$C$1:$J$1,0),0)*1000</f>
        <v>1184511.0000000002</v>
      </c>
      <c r="K19" s="181">
        <v>473336.70396275487</v>
      </c>
      <c r="L19" s="157">
        <v>322324</v>
      </c>
      <c r="M19" s="296">
        <v>322322.269072</v>
      </c>
      <c r="N19" s="150">
        <v>36031.623764453499</v>
      </c>
      <c r="O19" s="181">
        <f>VLOOKUP($A19&amp;$B19,'LE Inputs'!$C$2:$J$525,MATCH('LE UtilityData'!O$1,'LE Inputs'!$C$1:$J$1,0),0)</f>
        <v>39982.012248495084</v>
      </c>
      <c r="P19" s="181" t="e">
        <f>VLOOKUP($A19&amp;$B19,'LE Inputs'!$C$2:$J$505,MATCH('LE UtilityData'!P$1,'LE Inputs'!$C$1:$J$1,0),0)</f>
        <v>#N/A</v>
      </c>
      <c r="Q19" s="297">
        <v>56</v>
      </c>
      <c r="R19" s="297">
        <v>252</v>
      </c>
      <c r="S19" s="298">
        <f t="shared" si="4"/>
        <v>56</v>
      </c>
      <c r="T19" s="298">
        <f t="shared" si="4"/>
        <v>252</v>
      </c>
      <c r="U19" s="159">
        <v>4124</v>
      </c>
      <c r="V19" s="159">
        <v>1696</v>
      </c>
      <c r="W19" s="159">
        <f t="shared" si="5"/>
        <v>1135.1417451031589</v>
      </c>
      <c r="X19" s="159">
        <f t="shared" si="1"/>
        <v>1135.1356492225214</v>
      </c>
      <c r="Y19" s="147" t="e">
        <f t="shared" si="6"/>
        <v>#REF!</v>
      </c>
      <c r="Z19" s="151">
        <f t="shared" si="2"/>
        <v>0</v>
      </c>
    </row>
    <row r="20" spans="1:26" x14ac:dyDescent="0.2">
      <c r="A20" s="147">
        <v>2002</v>
      </c>
      <c r="B20" s="147">
        <v>7</v>
      </c>
      <c r="C20" s="157">
        <v>503611.24300000002</v>
      </c>
      <c r="D20" s="295">
        <v>503611.24300000002</v>
      </c>
      <c r="E20" s="166">
        <v>5.8</v>
      </c>
      <c r="F20" s="166">
        <v>5.8</v>
      </c>
      <c r="G20" s="256">
        <f t="shared" si="3"/>
        <v>5.8</v>
      </c>
      <c r="H20" s="166">
        <v>30.67</v>
      </c>
      <c r="I20" s="148">
        <v>685363</v>
      </c>
      <c r="J20" s="181">
        <f>VLOOKUP($A20&amp;$B20,'LE Inputs'!$C$2:$J$505,MATCH('LE UtilityData'!J$1,'LE Inputs'!$C$1:$J$1,0),0)*1000</f>
        <v>1187469.2499999995</v>
      </c>
      <c r="K20" s="181">
        <v>474820.38433068863</v>
      </c>
      <c r="L20" s="157">
        <v>322090</v>
      </c>
      <c r="M20" s="296">
        <v>322087.57230399997</v>
      </c>
      <c r="N20" s="150">
        <v>35961.968120744699</v>
      </c>
      <c r="O20" s="181">
        <f>VLOOKUP($A20&amp;$B20,'LE Inputs'!$C$2:$J$525,MATCH('LE UtilityData'!O$1,'LE Inputs'!$C$1:$J$1,0),0)</f>
        <v>39908.418028152519</v>
      </c>
      <c r="P20" s="181" t="e">
        <f>VLOOKUP($A20&amp;$B20,'LE Inputs'!$C$2:$J$505,MATCH('LE UtilityData'!P$1,'LE Inputs'!$C$1:$J$1,0),0)</f>
        <v>#N/A</v>
      </c>
      <c r="Q20" s="297">
        <v>0</v>
      </c>
      <c r="R20" s="297">
        <v>466</v>
      </c>
      <c r="S20" s="298">
        <f t="shared" si="4"/>
        <v>0</v>
      </c>
      <c r="T20" s="298">
        <f t="shared" si="4"/>
        <v>466</v>
      </c>
      <c r="U20" s="159">
        <v>4124</v>
      </c>
      <c r="V20" s="159">
        <v>1696</v>
      </c>
      <c r="W20" s="159">
        <f t="shared" si="5"/>
        <v>1563.5848331480181</v>
      </c>
      <c r="X20" s="159">
        <f t="shared" si="1"/>
        <v>1563.573047905865</v>
      </c>
      <c r="Y20" s="147" t="e">
        <f t="shared" si="6"/>
        <v>#REF!</v>
      </c>
      <c r="Z20" s="151">
        <f t="shared" si="2"/>
        <v>0</v>
      </c>
    </row>
    <row r="21" spans="1:26" x14ac:dyDescent="0.2">
      <c r="A21" s="147">
        <v>2002</v>
      </c>
      <c r="B21" s="147">
        <v>8</v>
      </c>
      <c r="C21" s="157">
        <v>510080.17800000001</v>
      </c>
      <c r="D21" s="295">
        <v>510080.17800000001</v>
      </c>
      <c r="E21" s="166">
        <v>5.8</v>
      </c>
      <c r="F21" s="166">
        <v>5.8</v>
      </c>
      <c r="G21" s="256">
        <f t="shared" si="3"/>
        <v>5.8</v>
      </c>
      <c r="H21" s="166">
        <v>29.48</v>
      </c>
      <c r="I21" s="148">
        <v>685441</v>
      </c>
      <c r="J21" s="181">
        <f>VLOOKUP($A21&amp;$B21,'LE Inputs'!$C$2:$J$505,MATCH('LE UtilityData'!J$1,'LE Inputs'!$C$1:$J$1,0),0)*1000</f>
        <v>1187469.2499999995</v>
      </c>
      <c r="K21" s="181">
        <v>474820.38433068863</v>
      </c>
      <c r="L21" s="157">
        <v>322423</v>
      </c>
      <c r="M21" s="296">
        <v>322421.34188799997</v>
      </c>
      <c r="N21" s="150">
        <v>35961.968120744699</v>
      </c>
      <c r="O21" s="181">
        <f>VLOOKUP($A21&amp;$B21,'LE Inputs'!$C$2:$J$525,MATCH('LE UtilityData'!O$1,'LE Inputs'!$C$1:$J$1,0),0)</f>
        <v>39908.418028152519</v>
      </c>
      <c r="P21" s="181" t="e">
        <f>VLOOKUP($A21&amp;$B21,'LE Inputs'!$C$2:$J$505,MATCH('LE UtilityData'!P$1,'LE Inputs'!$C$1:$J$1,0),0)</f>
        <v>#N/A</v>
      </c>
      <c r="Q21" s="297">
        <v>0</v>
      </c>
      <c r="R21" s="297">
        <v>478</v>
      </c>
      <c r="S21" s="298">
        <f t="shared" si="4"/>
        <v>0</v>
      </c>
      <c r="T21" s="298">
        <f t="shared" si="4"/>
        <v>478</v>
      </c>
      <c r="U21" s="159">
        <v>4124</v>
      </c>
      <c r="V21" s="159">
        <v>1696</v>
      </c>
      <c r="W21" s="159">
        <f t="shared" si="5"/>
        <v>1582.0298216399938</v>
      </c>
      <c r="X21" s="159">
        <f t="shared" si="1"/>
        <v>1582.0216857978496</v>
      </c>
      <c r="Y21" s="147" t="e">
        <f t="shared" si="6"/>
        <v>#REF!</v>
      </c>
      <c r="Z21" s="151">
        <f t="shared" si="2"/>
        <v>0</v>
      </c>
    </row>
    <row r="22" spans="1:26" x14ac:dyDescent="0.2">
      <c r="A22" s="147">
        <v>2002</v>
      </c>
      <c r="B22" s="147">
        <v>9</v>
      </c>
      <c r="C22" s="157">
        <v>467652.859</v>
      </c>
      <c r="D22" s="295">
        <v>467652.859</v>
      </c>
      <c r="E22" s="166">
        <v>5.8</v>
      </c>
      <c r="F22" s="166">
        <v>5.8</v>
      </c>
      <c r="G22" s="256">
        <f t="shared" si="3"/>
        <v>5.8</v>
      </c>
      <c r="H22" s="166">
        <v>30.76</v>
      </c>
      <c r="I22" s="148">
        <v>685519</v>
      </c>
      <c r="J22" s="181">
        <f>VLOOKUP($A22&amp;$B22,'LE Inputs'!$C$2:$J$505,MATCH('LE UtilityData'!J$1,'LE Inputs'!$C$1:$J$1,0),0)*1000</f>
        <v>1187469.2499999995</v>
      </c>
      <c r="K22" s="181">
        <v>474820.38433068863</v>
      </c>
      <c r="L22" s="157">
        <v>322407</v>
      </c>
      <c r="M22" s="296">
        <v>322404.99006399995</v>
      </c>
      <c r="N22" s="150">
        <v>35961.968120744699</v>
      </c>
      <c r="O22" s="181">
        <f>VLOOKUP($A22&amp;$B22,'LE Inputs'!$C$2:$J$525,MATCH('LE UtilityData'!O$1,'LE Inputs'!$C$1:$J$1,0),0)</f>
        <v>39908.418028152519</v>
      </c>
      <c r="P22" s="181" t="e">
        <f>VLOOKUP($A22&amp;$B22,'LE Inputs'!$C$2:$J$505,MATCH('LE UtilityData'!P$1,'LE Inputs'!$C$1:$J$1,0),0)</f>
        <v>#N/A</v>
      </c>
      <c r="Q22" s="297">
        <v>3</v>
      </c>
      <c r="R22" s="297">
        <v>388</v>
      </c>
      <c r="S22" s="298">
        <f t="shared" si="4"/>
        <v>3</v>
      </c>
      <c r="T22" s="298">
        <f t="shared" si="4"/>
        <v>388</v>
      </c>
      <c r="U22" s="159">
        <v>4124</v>
      </c>
      <c r="V22" s="159">
        <v>1696</v>
      </c>
      <c r="W22" s="159">
        <f t="shared" si="5"/>
        <v>1450.5137122944877</v>
      </c>
      <c r="X22" s="159">
        <f t="shared" si="1"/>
        <v>1450.5046695636261</v>
      </c>
      <c r="Y22" s="147" t="e">
        <f t="shared" si="6"/>
        <v>#REF!</v>
      </c>
      <c r="Z22" s="151">
        <f t="shared" si="2"/>
        <v>0</v>
      </c>
    </row>
    <row r="23" spans="1:26" x14ac:dyDescent="0.2">
      <c r="A23" s="147">
        <v>2002</v>
      </c>
      <c r="B23" s="147">
        <v>10</v>
      </c>
      <c r="C23" s="157">
        <v>289474.06099999999</v>
      </c>
      <c r="D23" s="295">
        <v>289474.06099999999</v>
      </c>
      <c r="E23" s="166">
        <v>5.8</v>
      </c>
      <c r="F23" s="166">
        <v>5.8</v>
      </c>
      <c r="G23" s="256">
        <f t="shared" si="3"/>
        <v>5.8</v>
      </c>
      <c r="H23" s="166">
        <v>29.52</v>
      </c>
      <c r="I23" s="148">
        <v>685597</v>
      </c>
      <c r="J23" s="181">
        <f>VLOOKUP($A23&amp;$B23,'LE Inputs'!$C$2:$J$505,MATCH('LE UtilityData'!J$1,'LE Inputs'!$C$1:$J$1,0),0)*1000</f>
        <v>1190427.5</v>
      </c>
      <c r="K23" s="181">
        <v>476307.88408565888</v>
      </c>
      <c r="L23" s="157">
        <v>321702</v>
      </c>
      <c r="M23" s="296">
        <v>321699.93788799999</v>
      </c>
      <c r="N23" s="150">
        <v>36053.047729909398</v>
      </c>
      <c r="O23" s="181">
        <f>VLOOKUP($A23&amp;$B23,'LE Inputs'!$C$2:$J$525,MATCH('LE UtilityData'!O$1,'LE Inputs'!$C$1:$J$1,0),0)</f>
        <v>40011.42559552069</v>
      </c>
      <c r="P23" s="181" t="e">
        <f>VLOOKUP($A23&amp;$B23,'LE Inputs'!$C$2:$J$505,MATCH('LE UtilityData'!P$1,'LE Inputs'!$C$1:$J$1,0),0)</f>
        <v>#N/A</v>
      </c>
      <c r="Q23" s="297">
        <v>104</v>
      </c>
      <c r="R23" s="297">
        <v>125</v>
      </c>
      <c r="S23" s="298">
        <f t="shared" si="4"/>
        <v>104</v>
      </c>
      <c r="T23" s="298">
        <f t="shared" si="4"/>
        <v>125</v>
      </c>
      <c r="U23" s="159">
        <v>4124</v>
      </c>
      <c r="V23" s="159">
        <v>1696</v>
      </c>
      <c r="W23" s="159">
        <f t="shared" si="5"/>
        <v>899.82628812561518</v>
      </c>
      <c r="X23" s="159">
        <f t="shared" si="1"/>
        <v>899.8205202330106</v>
      </c>
      <c r="Y23" s="147" t="e">
        <f t="shared" si="6"/>
        <v>#REF!</v>
      </c>
      <c r="Z23" s="151">
        <f t="shared" si="2"/>
        <v>0</v>
      </c>
    </row>
    <row r="24" spans="1:26" x14ac:dyDescent="0.2">
      <c r="A24" s="147">
        <v>2002</v>
      </c>
      <c r="B24" s="147">
        <v>11</v>
      </c>
      <c r="C24" s="157">
        <v>234089.435</v>
      </c>
      <c r="D24" s="295">
        <v>234089.435</v>
      </c>
      <c r="E24" s="166">
        <v>5.8</v>
      </c>
      <c r="F24" s="166">
        <v>5.8</v>
      </c>
      <c r="G24" s="256">
        <f t="shared" si="3"/>
        <v>5.8</v>
      </c>
      <c r="H24" s="166">
        <v>29.43</v>
      </c>
      <c r="I24" s="148">
        <v>685675</v>
      </c>
      <c r="J24" s="181">
        <f>VLOOKUP($A24&amp;$B24,'LE Inputs'!$C$2:$J$505,MATCH('LE UtilityData'!J$1,'LE Inputs'!$C$1:$J$1,0),0)*1000</f>
        <v>1190427.5</v>
      </c>
      <c r="K24" s="181">
        <v>476307.88408565888</v>
      </c>
      <c r="L24" s="157">
        <v>322633</v>
      </c>
      <c r="M24" s="296">
        <v>322631.02998399996</v>
      </c>
      <c r="N24" s="150">
        <v>36053.047729909398</v>
      </c>
      <c r="O24" s="181">
        <f>VLOOKUP($A24&amp;$B24,'LE Inputs'!$C$2:$J$525,MATCH('LE UtilityData'!O$1,'LE Inputs'!$C$1:$J$1,0),0)</f>
        <v>40011.42559552069</v>
      </c>
      <c r="P24" s="181" t="e">
        <f>VLOOKUP($A24&amp;$B24,'LE Inputs'!$C$2:$J$505,MATCH('LE UtilityData'!P$1,'LE Inputs'!$C$1:$J$1,0),0)</f>
        <v>#N/A</v>
      </c>
      <c r="Q24" s="297">
        <v>443</v>
      </c>
      <c r="R24" s="297">
        <v>5</v>
      </c>
      <c r="S24" s="298">
        <f t="shared" si="4"/>
        <v>443</v>
      </c>
      <c r="T24" s="298">
        <f t="shared" si="4"/>
        <v>5</v>
      </c>
      <c r="U24" s="159">
        <v>4124</v>
      </c>
      <c r="V24" s="159">
        <v>1696</v>
      </c>
      <c r="W24" s="159">
        <f t="shared" si="5"/>
        <v>725.56392053054867</v>
      </c>
      <c r="X24" s="159">
        <f t="shared" si="1"/>
        <v>725.55949019474144</v>
      </c>
      <c r="Y24" s="147" t="e">
        <f t="shared" si="6"/>
        <v>#REF!</v>
      </c>
      <c r="Z24" s="151">
        <f t="shared" si="2"/>
        <v>0</v>
      </c>
    </row>
    <row r="25" spans="1:26" x14ac:dyDescent="0.2">
      <c r="A25" s="147">
        <v>2002</v>
      </c>
      <c r="B25" s="147">
        <v>12</v>
      </c>
      <c r="C25" s="157">
        <v>314236.15999999997</v>
      </c>
      <c r="D25" s="295">
        <v>314236.15999999997</v>
      </c>
      <c r="E25" s="166">
        <v>5.8</v>
      </c>
      <c r="F25" s="166">
        <v>5.8</v>
      </c>
      <c r="G25" s="256">
        <f t="shared" si="3"/>
        <v>5.8</v>
      </c>
      <c r="H25" s="166">
        <v>32.049999999999997</v>
      </c>
      <c r="I25" s="148">
        <v>685753</v>
      </c>
      <c r="J25" s="181">
        <f>VLOOKUP($A25&amp;$B25,'LE Inputs'!$C$2:$J$505,MATCH('LE UtilityData'!J$1,'LE Inputs'!$C$1:$J$1,0),0)*1000</f>
        <v>1190427.5</v>
      </c>
      <c r="K25" s="181">
        <v>476307.88408565888</v>
      </c>
      <c r="L25" s="157">
        <v>321892</v>
      </c>
      <c r="M25" s="296">
        <v>321890.38854399999</v>
      </c>
      <c r="N25" s="150">
        <v>36053.047729909398</v>
      </c>
      <c r="O25" s="181">
        <f>VLOOKUP($A25&amp;$B25,'LE Inputs'!$C$2:$J$525,MATCH('LE UtilityData'!O$1,'LE Inputs'!$C$1:$J$1,0),0)</f>
        <v>40011.42559552069</v>
      </c>
      <c r="P25" s="181" t="e">
        <f>VLOOKUP($A25&amp;$B25,'LE Inputs'!$C$2:$J$505,MATCH('LE UtilityData'!P$1,'LE Inputs'!$C$1:$J$1,0),0)</f>
        <v>#N/A</v>
      </c>
      <c r="Q25" s="297">
        <v>848</v>
      </c>
      <c r="R25" s="297">
        <v>1</v>
      </c>
      <c r="S25" s="298">
        <f t="shared" si="4"/>
        <v>848</v>
      </c>
      <c r="T25" s="298">
        <f t="shared" si="4"/>
        <v>1</v>
      </c>
      <c r="U25" s="159">
        <v>4124</v>
      </c>
      <c r="V25" s="159">
        <v>1696</v>
      </c>
      <c r="W25" s="159">
        <f t="shared" si="5"/>
        <v>976.22100933605941</v>
      </c>
      <c r="X25" s="159">
        <f t="shared" si="1"/>
        <v>976.21612217762481</v>
      </c>
      <c r="Y25" s="147" t="e">
        <f t="shared" si="6"/>
        <v>#REF!</v>
      </c>
      <c r="Z25" s="151">
        <f t="shared" si="2"/>
        <v>0</v>
      </c>
    </row>
    <row r="26" spans="1:26" x14ac:dyDescent="0.2">
      <c r="A26" s="147">
        <v>2003</v>
      </c>
      <c r="B26" s="147">
        <v>1</v>
      </c>
      <c r="C26" s="157">
        <v>342550.47899999999</v>
      </c>
      <c r="D26" s="295">
        <v>342550.47899999999</v>
      </c>
      <c r="E26" s="166">
        <v>5.9</v>
      </c>
      <c r="F26" s="166">
        <v>5.9</v>
      </c>
      <c r="G26" s="256">
        <f t="shared" si="3"/>
        <v>5.9</v>
      </c>
      <c r="H26" s="166">
        <v>33.33</v>
      </c>
      <c r="I26" s="148">
        <v>685831</v>
      </c>
      <c r="J26" s="181">
        <f>VLOOKUP($A26&amp;$B26,'LE Inputs'!$C$2:$J$505,MATCH('LE UtilityData'!J$1,'LE Inputs'!$C$1:$J$1,0),0)*1000</f>
        <v>1193385.75</v>
      </c>
      <c r="K26" s="181">
        <v>477799.21559285937</v>
      </c>
      <c r="L26" s="157">
        <v>321792</v>
      </c>
      <c r="M26" s="296">
        <v>321790.353856</v>
      </c>
      <c r="N26" s="150">
        <v>35759.195811236503</v>
      </c>
      <c r="O26" s="181">
        <f>VLOOKUP($A26&amp;$B26,'LE Inputs'!$C$2:$J$525,MATCH('LE UtilityData'!O$1,'LE Inputs'!$C$1:$J$1,0),0)</f>
        <v>39711.933683561663</v>
      </c>
      <c r="P26" s="181" t="e">
        <f>VLOOKUP($A26&amp;$B26,'LE Inputs'!$C$2:$J$505,MATCH('LE UtilityData'!P$1,'LE Inputs'!$C$1:$J$1,0),0)</f>
        <v>#N/A</v>
      </c>
      <c r="Q26" s="297">
        <v>994</v>
      </c>
      <c r="R26" s="297">
        <v>0</v>
      </c>
      <c r="S26" s="298">
        <f t="shared" si="4"/>
        <v>994</v>
      </c>
      <c r="T26" s="298">
        <f t="shared" si="4"/>
        <v>0</v>
      </c>
      <c r="U26" s="159">
        <v>4124</v>
      </c>
      <c r="V26" s="159">
        <v>1696</v>
      </c>
      <c r="W26" s="159">
        <f t="shared" si="5"/>
        <v>1064.5144420745753</v>
      </c>
      <c r="X26" s="159">
        <f t="shared" si="1"/>
        <v>1064.5089964946301</v>
      </c>
      <c r="Y26" s="147" t="e">
        <f t="shared" si="6"/>
        <v>#REF!</v>
      </c>
      <c r="Z26" s="151">
        <f t="shared" si="2"/>
        <v>0</v>
      </c>
    </row>
    <row r="27" spans="1:26" x14ac:dyDescent="0.2">
      <c r="A27" s="147">
        <v>2003</v>
      </c>
      <c r="B27" s="147">
        <v>2</v>
      </c>
      <c r="C27" s="157">
        <v>333820.06800000003</v>
      </c>
      <c r="D27" s="295">
        <v>333820.06800000003</v>
      </c>
      <c r="E27" s="166">
        <v>5.9</v>
      </c>
      <c r="F27" s="166">
        <v>5.9</v>
      </c>
      <c r="G27" s="256">
        <f t="shared" si="3"/>
        <v>5.9</v>
      </c>
      <c r="H27" s="166">
        <v>31</v>
      </c>
      <c r="I27" s="148">
        <v>685909</v>
      </c>
      <c r="J27" s="181">
        <f>VLOOKUP($A27&amp;$B27,'LE Inputs'!$C$2:$J$505,MATCH('LE UtilityData'!J$1,'LE Inputs'!$C$1:$J$1,0),0)*1000</f>
        <v>1193385.75</v>
      </c>
      <c r="K27" s="181">
        <v>477799.21559285937</v>
      </c>
      <c r="L27" s="157">
        <v>324061</v>
      </c>
      <c r="M27" s="296">
        <v>324059.409904</v>
      </c>
      <c r="N27" s="150">
        <v>35759.195811236503</v>
      </c>
      <c r="O27" s="181">
        <f>VLOOKUP($A27&amp;$B27,'LE Inputs'!$C$2:$J$525,MATCH('LE UtilityData'!O$1,'LE Inputs'!$C$1:$J$1,0),0)</f>
        <v>39711.933683561663</v>
      </c>
      <c r="P27" s="181" t="e">
        <f>VLOOKUP($A27&amp;$B27,'LE Inputs'!$C$2:$J$505,MATCH('LE UtilityData'!P$1,'LE Inputs'!$C$1:$J$1,0),0)</f>
        <v>#N/A</v>
      </c>
      <c r="Q27" s="297">
        <v>1113</v>
      </c>
      <c r="R27" s="297">
        <v>0</v>
      </c>
      <c r="S27" s="298">
        <f t="shared" si="4"/>
        <v>1113</v>
      </c>
      <c r="T27" s="298">
        <f t="shared" si="4"/>
        <v>0</v>
      </c>
      <c r="U27" s="159">
        <v>4124</v>
      </c>
      <c r="V27" s="159">
        <v>1696</v>
      </c>
      <c r="W27" s="159">
        <f t="shared" si="5"/>
        <v>1030.1199650363233</v>
      </c>
      <c r="X27" s="159">
        <f t="shared" si="1"/>
        <v>1030.1149104643878</v>
      </c>
      <c r="Y27" s="147" t="e">
        <f t="shared" si="6"/>
        <v>#REF!</v>
      </c>
      <c r="Z27" s="151">
        <f t="shared" si="2"/>
        <v>0</v>
      </c>
    </row>
    <row r="28" spans="1:26" x14ac:dyDescent="0.2">
      <c r="A28" s="147">
        <v>2003</v>
      </c>
      <c r="B28" s="147">
        <v>3</v>
      </c>
      <c r="C28" s="157">
        <v>285438.69199999998</v>
      </c>
      <c r="D28" s="295">
        <v>285438.69199999998</v>
      </c>
      <c r="E28" s="166">
        <v>5.9</v>
      </c>
      <c r="F28" s="166">
        <v>5.9</v>
      </c>
      <c r="G28" s="256">
        <f t="shared" si="3"/>
        <v>5.9</v>
      </c>
      <c r="H28" s="166">
        <v>31.19</v>
      </c>
      <c r="I28" s="148">
        <v>685987</v>
      </c>
      <c r="J28" s="181">
        <f>VLOOKUP($A28&amp;$B28,'LE Inputs'!$C$2:$J$505,MATCH('LE UtilityData'!J$1,'LE Inputs'!$C$1:$J$1,0),0)*1000</f>
        <v>1193385.75</v>
      </c>
      <c r="K28" s="181">
        <v>477799.21559285937</v>
      </c>
      <c r="L28" s="157">
        <v>323829</v>
      </c>
      <c r="M28" s="296">
        <v>323826.63688000001</v>
      </c>
      <c r="N28" s="150">
        <v>35759.195811236503</v>
      </c>
      <c r="O28" s="181">
        <f>VLOOKUP($A28&amp;$B28,'LE Inputs'!$C$2:$J$525,MATCH('LE UtilityData'!O$1,'LE Inputs'!$C$1:$J$1,0),0)</f>
        <v>39711.933683561663</v>
      </c>
      <c r="P28" s="181" t="e">
        <f>VLOOKUP($A28&amp;$B28,'LE Inputs'!$C$2:$J$505,MATCH('LE UtilityData'!P$1,'LE Inputs'!$C$1:$J$1,0),0)</f>
        <v>#N/A</v>
      </c>
      <c r="Q28" s="297">
        <v>799</v>
      </c>
      <c r="R28" s="297">
        <v>0</v>
      </c>
      <c r="S28" s="298">
        <f t="shared" si="4"/>
        <v>799</v>
      </c>
      <c r="T28" s="298">
        <f t="shared" si="4"/>
        <v>0</v>
      </c>
      <c r="U28" s="159">
        <v>4124</v>
      </c>
      <c r="V28" s="159">
        <v>1696</v>
      </c>
      <c r="W28" s="159">
        <f t="shared" si="5"/>
        <v>881.45525874628595</v>
      </c>
      <c r="X28" s="159">
        <f t="shared" si="1"/>
        <v>881.44882638676586</v>
      </c>
      <c r="Y28" s="147" t="e">
        <f t="shared" si="6"/>
        <v>#REF!</v>
      </c>
      <c r="Z28" s="151">
        <f t="shared" si="2"/>
        <v>0</v>
      </c>
    </row>
    <row r="29" spans="1:26" x14ac:dyDescent="0.2">
      <c r="A29" s="147">
        <v>2003</v>
      </c>
      <c r="B29" s="147">
        <v>4</v>
      </c>
      <c r="C29" s="157">
        <v>229678.17</v>
      </c>
      <c r="D29" s="295">
        <v>229678.17</v>
      </c>
      <c r="E29" s="166">
        <v>5.9</v>
      </c>
      <c r="F29" s="166">
        <v>5.9</v>
      </c>
      <c r="G29" s="256">
        <f t="shared" si="3"/>
        <v>5.9</v>
      </c>
      <c r="H29" s="166">
        <v>31</v>
      </c>
      <c r="I29" s="148">
        <v>686065</v>
      </c>
      <c r="J29" s="181">
        <f>VLOOKUP($A29&amp;$B29,'LE Inputs'!$C$2:$J$505,MATCH('LE UtilityData'!J$1,'LE Inputs'!$C$1:$J$1,0),0)*1000</f>
        <v>1196344</v>
      </c>
      <c r="K29" s="181">
        <v>479294.39124818373</v>
      </c>
      <c r="L29" s="157">
        <v>324062</v>
      </c>
      <c r="M29" s="296">
        <v>324060.37177599996</v>
      </c>
      <c r="N29" s="150">
        <v>35968.306955891698</v>
      </c>
      <c r="O29" s="181">
        <f>VLOOKUP($A29&amp;$B29,'LE Inputs'!$C$2:$J$525,MATCH('LE UtilityData'!O$1,'LE Inputs'!$C$1:$J$1,0),0)</f>
        <v>39930.557712818445</v>
      </c>
      <c r="P29" s="181" t="e">
        <f>VLOOKUP($A29&amp;$B29,'LE Inputs'!$C$2:$J$505,MATCH('LE UtilityData'!P$1,'LE Inputs'!$C$1:$J$1,0),0)</f>
        <v>#N/A</v>
      </c>
      <c r="Q29" s="297">
        <v>330</v>
      </c>
      <c r="R29" s="297">
        <v>14</v>
      </c>
      <c r="S29" s="298">
        <f t="shared" si="4"/>
        <v>330</v>
      </c>
      <c r="T29" s="298">
        <f t="shared" si="4"/>
        <v>14</v>
      </c>
      <c r="U29" s="159">
        <v>4124</v>
      </c>
      <c r="V29" s="159">
        <v>1696</v>
      </c>
      <c r="W29" s="159">
        <f t="shared" si="5"/>
        <v>708.75117726137876</v>
      </c>
      <c r="X29" s="159">
        <f t="shared" si="1"/>
        <v>708.74761619690059</v>
      </c>
      <c r="Y29" s="147" t="e">
        <f t="shared" si="6"/>
        <v>#REF!</v>
      </c>
      <c r="Z29" s="151">
        <f t="shared" si="2"/>
        <v>0</v>
      </c>
    </row>
    <row r="30" spans="1:26" x14ac:dyDescent="0.2">
      <c r="A30" s="147">
        <v>2003</v>
      </c>
      <c r="B30" s="147">
        <v>5</v>
      </c>
      <c r="C30" s="157">
        <v>251815.98199999999</v>
      </c>
      <c r="D30" s="295">
        <v>251815.98199999999</v>
      </c>
      <c r="E30" s="166">
        <v>5.9</v>
      </c>
      <c r="F30" s="166">
        <v>5.9</v>
      </c>
      <c r="G30" s="256">
        <f t="shared" si="3"/>
        <v>5.9</v>
      </c>
      <c r="H30" s="166">
        <v>31.48</v>
      </c>
      <c r="I30" s="148">
        <v>686143</v>
      </c>
      <c r="J30" s="181">
        <f>VLOOKUP($A30&amp;$B30,'LE Inputs'!$C$2:$J$505,MATCH('LE UtilityData'!J$1,'LE Inputs'!$C$1:$J$1,0),0)*1000</f>
        <v>1196344</v>
      </c>
      <c r="K30" s="181">
        <v>479294.39124818373</v>
      </c>
      <c r="L30" s="157">
        <v>325253</v>
      </c>
      <c r="M30" s="296">
        <v>325251.16931199998</v>
      </c>
      <c r="N30" s="150">
        <v>35968.306955891698</v>
      </c>
      <c r="O30" s="181">
        <f>VLOOKUP($A30&amp;$B30,'LE Inputs'!$C$2:$J$525,MATCH('LE UtilityData'!O$1,'LE Inputs'!$C$1:$J$1,0),0)</f>
        <v>39930.557712818445</v>
      </c>
      <c r="P30" s="181" t="e">
        <f>VLOOKUP($A30&amp;$B30,'LE Inputs'!$C$2:$J$505,MATCH('LE UtilityData'!P$1,'LE Inputs'!$C$1:$J$1,0),0)</f>
        <v>#N/A</v>
      </c>
      <c r="Q30" s="297">
        <v>130</v>
      </c>
      <c r="R30" s="297">
        <v>73</v>
      </c>
      <c r="S30" s="298">
        <f t="shared" si="4"/>
        <v>130</v>
      </c>
      <c r="T30" s="298">
        <f t="shared" si="4"/>
        <v>73</v>
      </c>
      <c r="U30" s="159">
        <v>4124</v>
      </c>
      <c r="V30" s="159">
        <v>1696</v>
      </c>
      <c r="W30" s="159">
        <f t="shared" si="5"/>
        <v>774.22006670310634</v>
      </c>
      <c r="X30" s="159">
        <f t="shared" si="1"/>
        <v>774.21570900191534</v>
      </c>
      <c r="Y30" s="147" t="e">
        <f t="shared" si="6"/>
        <v>#REF!</v>
      </c>
      <c r="Z30" s="151">
        <f t="shared" si="2"/>
        <v>0</v>
      </c>
    </row>
    <row r="31" spans="1:26" x14ac:dyDescent="0.2">
      <c r="A31" s="147">
        <v>2003</v>
      </c>
      <c r="B31" s="147">
        <v>6</v>
      </c>
      <c r="C31" s="157">
        <v>284019.36300000001</v>
      </c>
      <c r="D31" s="295">
        <v>284019.36300000001</v>
      </c>
      <c r="E31" s="166">
        <v>5.9</v>
      </c>
      <c r="F31" s="166">
        <v>5.9</v>
      </c>
      <c r="G31" s="256">
        <f t="shared" si="3"/>
        <v>5.9</v>
      </c>
      <c r="H31" s="166">
        <v>31.52</v>
      </c>
      <c r="I31" s="148">
        <v>686222</v>
      </c>
      <c r="J31" s="181">
        <f>VLOOKUP($A31&amp;$B31,'LE Inputs'!$C$2:$J$505,MATCH('LE UtilityData'!J$1,'LE Inputs'!$C$1:$J$1,0),0)*1000</f>
        <v>1196344</v>
      </c>
      <c r="K31" s="181">
        <v>479294.39124818373</v>
      </c>
      <c r="L31" s="157">
        <v>325679</v>
      </c>
      <c r="M31" s="296">
        <v>325677.27860799996</v>
      </c>
      <c r="N31" s="150">
        <v>35968.306955891698</v>
      </c>
      <c r="O31" s="181">
        <f>VLOOKUP($A31&amp;$B31,'LE Inputs'!$C$2:$J$525,MATCH('LE UtilityData'!O$1,'LE Inputs'!$C$1:$J$1,0),0)</f>
        <v>39930.557712818445</v>
      </c>
      <c r="P31" s="181" t="e">
        <f>VLOOKUP($A31&amp;$B31,'LE Inputs'!$C$2:$J$505,MATCH('LE UtilityData'!P$1,'LE Inputs'!$C$1:$J$1,0),0)</f>
        <v>#N/A</v>
      </c>
      <c r="Q31" s="297">
        <v>39</v>
      </c>
      <c r="R31" s="297">
        <v>110</v>
      </c>
      <c r="S31" s="298">
        <f t="shared" si="4"/>
        <v>39</v>
      </c>
      <c r="T31" s="298">
        <f t="shared" si="4"/>
        <v>110</v>
      </c>
      <c r="U31" s="159">
        <v>4124</v>
      </c>
      <c r="V31" s="159">
        <v>1696</v>
      </c>
      <c r="W31" s="159">
        <f t="shared" si="5"/>
        <v>872.08835757270833</v>
      </c>
      <c r="X31" s="159">
        <f t="shared" si="1"/>
        <v>872.08374810779947</v>
      </c>
      <c r="Y31" s="147" t="e">
        <f t="shared" si="6"/>
        <v>#REF!</v>
      </c>
      <c r="Z31" s="151">
        <f t="shared" si="2"/>
        <v>0</v>
      </c>
    </row>
    <row r="32" spans="1:26" x14ac:dyDescent="0.2">
      <c r="A32" s="147">
        <v>2003</v>
      </c>
      <c r="B32" s="147">
        <v>7</v>
      </c>
      <c r="C32" s="157">
        <v>447363.56900000002</v>
      </c>
      <c r="D32" s="295">
        <v>447363.56900000002</v>
      </c>
      <c r="E32" s="166">
        <v>5.9</v>
      </c>
      <c r="F32" s="166">
        <v>5.9</v>
      </c>
      <c r="G32" s="256">
        <f t="shared" si="3"/>
        <v>5.9</v>
      </c>
      <c r="H32" s="166">
        <v>31.67</v>
      </c>
      <c r="I32" s="148">
        <v>686306.41666666663</v>
      </c>
      <c r="J32" s="181">
        <f>VLOOKUP($A32&amp;$B32,'LE Inputs'!$C$2:$J$505,MATCH('LE UtilityData'!J$1,'LE Inputs'!$C$1:$J$1,0),0)*1000</f>
        <v>1199218.5</v>
      </c>
      <c r="K32" s="181">
        <v>480789.07780993736</v>
      </c>
      <c r="L32" s="157">
        <v>325620</v>
      </c>
      <c r="M32" s="296">
        <v>325617.642544</v>
      </c>
      <c r="N32" s="150">
        <v>36000.172123749799</v>
      </c>
      <c r="O32" s="181">
        <f>VLOOKUP($A32&amp;$B32,'LE Inputs'!$C$2:$J$525,MATCH('LE UtilityData'!O$1,'LE Inputs'!$C$1:$J$1,0),0)</f>
        <v>39963.069790089263</v>
      </c>
      <c r="P32" s="181" t="e">
        <f>VLOOKUP($A32&amp;$B32,'LE Inputs'!$C$2:$J$505,MATCH('LE UtilityData'!P$1,'LE Inputs'!$C$1:$J$1,0),0)</f>
        <v>#N/A</v>
      </c>
      <c r="Q32" s="297">
        <v>1</v>
      </c>
      <c r="R32" s="297">
        <v>335</v>
      </c>
      <c r="S32" s="298">
        <f t="shared" si="4"/>
        <v>1</v>
      </c>
      <c r="T32" s="298">
        <f t="shared" si="4"/>
        <v>335</v>
      </c>
      <c r="U32" s="159">
        <v>4124</v>
      </c>
      <c r="V32" s="159">
        <v>1696</v>
      </c>
      <c r="W32" s="159">
        <f t="shared" si="5"/>
        <v>1373.8922912923822</v>
      </c>
      <c r="X32" s="159">
        <f t="shared" si="1"/>
        <v>1373.8823444505865</v>
      </c>
      <c r="Y32" s="147" t="e">
        <f t="shared" si="6"/>
        <v>#REF!</v>
      </c>
      <c r="Z32" s="151">
        <f t="shared" si="2"/>
        <v>0</v>
      </c>
    </row>
    <row r="33" spans="1:24" x14ac:dyDescent="0.2">
      <c r="A33" s="147">
        <v>2003</v>
      </c>
      <c r="B33" s="147">
        <v>8</v>
      </c>
      <c r="C33" s="157">
        <v>440168.22200000001</v>
      </c>
      <c r="D33" s="295">
        <v>440168.22200000001</v>
      </c>
      <c r="E33" s="166">
        <v>5.9</v>
      </c>
      <c r="F33" s="166">
        <v>5.9</v>
      </c>
      <c r="G33" s="256">
        <f t="shared" si="3"/>
        <v>5.9</v>
      </c>
      <c r="H33" s="166">
        <v>30.48</v>
      </c>
      <c r="I33" s="148">
        <v>686390.83333333326</v>
      </c>
      <c r="J33" s="181">
        <f>VLOOKUP($A33&amp;$B33,'LE Inputs'!$C$2:$J$505,MATCH('LE UtilityData'!J$1,'LE Inputs'!$C$1:$J$1,0),0)*1000</f>
        <v>1199218.5</v>
      </c>
      <c r="K33" s="181">
        <v>480789.07780993736</v>
      </c>
      <c r="L33" s="157">
        <v>326151</v>
      </c>
      <c r="M33" s="296">
        <v>326148.59588799998</v>
      </c>
      <c r="N33" s="150">
        <v>36000.172123749799</v>
      </c>
      <c r="O33" s="181">
        <f>VLOOKUP($A33&amp;$B33,'LE Inputs'!$C$2:$J$525,MATCH('LE UtilityData'!O$1,'LE Inputs'!$C$1:$J$1,0),0)</f>
        <v>39963.069790089263</v>
      </c>
      <c r="P33" s="181" t="e">
        <f>VLOOKUP($A33&amp;$B33,'LE Inputs'!$C$2:$J$505,MATCH('LE UtilityData'!P$1,'LE Inputs'!$C$1:$J$1,0),0)</f>
        <v>#N/A</v>
      </c>
      <c r="Q33" s="297">
        <v>0</v>
      </c>
      <c r="R33" s="297">
        <v>340</v>
      </c>
      <c r="S33" s="298">
        <f t="shared" si="4"/>
        <v>0</v>
      </c>
      <c r="T33" s="298">
        <f t="shared" si="4"/>
        <v>340</v>
      </c>
      <c r="U33" s="159">
        <v>4124</v>
      </c>
      <c r="V33" s="159">
        <v>1696</v>
      </c>
      <c r="W33" s="159">
        <f t="shared" si="5"/>
        <v>1349.5941038824969</v>
      </c>
      <c r="X33" s="159">
        <f t="shared" si="1"/>
        <v>1349.5841558051332</v>
      </c>
    </row>
    <row r="34" spans="1:24" x14ac:dyDescent="0.2">
      <c r="A34" s="147">
        <v>2003</v>
      </c>
      <c r="B34" s="147">
        <v>9</v>
      </c>
      <c r="C34" s="157">
        <v>418421.82400000002</v>
      </c>
      <c r="D34" s="295">
        <v>418421.82400000002</v>
      </c>
      <c r="E34" s="166">
        <v>5.9</v>
      </c>
      <c r="F34" s="166">
        <v>5.9</v>
      </c>
      <c r="G34" s="256">
        <f t="shared" si="3"/>
        <v>5.9</v>
      </c>
      <c r="H34" s="166">
        <v>31.86</v>
      </c>
      <c r="I34" s="148">
        <v>686475.24999999988</v>
      </c>
      <c r="J34" s="181">
        <f>VLOOKUP($A34&amp;$B34,'LE Inputs'!$C$2:$J$505,MATCH('LE UtilityData'!J$1,'LE Inputs'!$C$1:$J$1,0),0)*1000</f>
        <v>1199218.5</v>
      </c>
      <c r="K34" s="181">
        <v>480789.07780993736</v>
      </c>
      <c r="L34" s="157">
        <v>325855</v>
      </c>
      <c r="M34" s="296">
        <v>325853.30118399998</v>
      </c>
      <c r="N34" s="150">
        <v>36000.172123749799</v>
      </c>
      <c r="O34" s="181">
        <f>VLOOKUP($A34&amp;$B34,'LE Inputs'!$C$2:$J$525,MATCH('LE UtilityData'!O$1,'LE Inputs'!$C$1:$J$1,0),0)</f>
        <v>39963.069790089263</v>
      </c>
      <c r="P34" s="181" t="e">
        <f>VLOOKUP($A34&amp;$B34,'LE Inputs'!$C$2:$J$505,MATCH('LE UtilityData'!P$1,'LE Inputs'!$C$1:$J$1,0),0)</f>
        <v>#N/A</v>
      </c>
      <c r="Q34" s="297">
        <v>6</v>
      </c>
      <c r="R34" s="297">
        <v>295</v>
      </c>
      <c r="S34" s="298">
        <f t="shared" si="4"/>
        <v>6</v>
      </c>
      <c r="T34" s="298">
        <f t="shared" si="4"/>
        <v>295</v>
      </c>
      <c r="U34" s="159">
        <v>4124</v>
      </c>
      <c r="V34" s="159">
        <v>1696</v>
      </c>
      <c r="W34" s="159">
        <f t="shared" si="5"/>
        <v>1284.0803591053057</v>
      </c>
      <c r="X34" s="159">
        <f t="shared" si="1"/>
        <v>1284.0736646667997</v>
      </c>
    </row>
    <row r="35" spans="1:24" x14ac:dyDescent="0.2">
      <c r="A35" s="147">
        <v>2003</v>
      </c>
      <c r="B35" s="147">
        <v>10</v>
      </c>
      <c r="C35" s="157">
        <v>244103.011</v>
      </c>
      <c r="D35" s="295">
        <v>244103.011</v>
      </c>
      <c r="E35" s="166">
        <v>5.9</v>
      </c>
      <c r="F35" s="166">
        <v>5.9</v>
      </c>
      <c r="G35" s="256">
        <f t="shared" si="3"/>
        <v>5.9</v>
      </c>
      <c r="H35" s="166">
        <v>30.38</v>
      </c>
      <c r="I35" s="148">
        <v>686559.66666666651</v>
      </c>
      <c r="J35" s="181">
        <f>VLOOKUP($A35&amp;$B35,'LE Inputs'!$C$2:$J$505,MATCH('LE UtilityData'!J$1,'LE Inputs'!$C$1:$J$1,0),0)*1000</f>
        <v>1202092.9999999998</v>
      </c>
      <c r="K35" s="181">
        <v>482287.79444709991</v>
      </c>
      <c r="L35" s="157">
        <v>324893</v>
      </c>
      <c r="M35" s="296">
        <v>324891.42918400001</v>
      </c>
      <c r="N35" s="150">
        <v>36510.954748367199</v>
      </c>
      <c r="O35" s="181">
        <f>VLOOKUP($A35&amp;$B35,'LE Inputs'!$C$2:$J$525,MATCH('LE UtilityData'!O$1,'LE Inputs'!$C$1:$J$1,0),0)</f>
        <v>40511.185528922178</v>
      </c>
      <c r="P35" s="181" t="e">
        <f>VLOOKUP($A35&amp;$B35,'LE Inputs'!$C$2:$J$505,MATCH('LE UtilityData'!P$1,'LE Inputs'!$C$1:$J$1,0),0)</f>
        <v>#N/A</v>
      </c>
      <c r="Q35" s="297">
        <v>147</v>
      </c>
      <c r="R35" s="297">
        <v>34</v>
      </c>
      <c r="S35" s="298">
        <f t="shared" si="4"/>
        <v>147</v>
      </c>
      <c r="T35" s="298">
        <f t="shared" si="4"/>
        <v>34</v>
      </c>
      <c r="U35" s="159">
        <v>4124</v>
      </c>
      <c r="V35" s="159">
        <v>1696</v>
      </c>
      <c r="W35" s="159">
        <f t="shared" si="5"/>
        <v>751.33718243380906</v>
      </c>
      <c r="X35" s="159">
        <f t="shared" si="1"/>
        <v>751.33354981486207</v>
      </c>
    </row>
    <row r="36" spans="1:24" x14ac:dyDescent="0.2">
      <c r="A36" s="147">
        <v>2003</v>
      </c>
      <c r="B36" s="147">
        <v>11</v>
      </c>
      <c r="C36" s="157">
        <v>233641.92300000001</v>
      </c>
      <c r="D36" s="295">
        <v>233641.92300000004</v>
      </c>
      <c r="E36" s="166">
        <v>5.9</v>
      </c>
      <c r="F36" s="166">
        <v>5.9</v>
      </c>
      <c r="G36" s="256">
        <f t="shared" si="3"/>
        <v>5.9</v>
      </c>
      <c r="H36" s="166">
        <v>30.62</v>
      </c>
      <c r="I36" s="148">
        <v>686644.08333333314</v>
      </c>
      <c r="J36" s="181">
        <f>VLOOKUP($A36&amp;$B36,'LE Inputs'!$C$2:$J$505,MATCH('LE UtilityData'!J$1,'LE Inputs'!$C$1:$J$1,0),0)*1000</f>
        <v>1202092.9999999998</v>
      </c>
      <c r="K36" s="181">
        <v>482287.79444709991</v>
      </c>
      <c r="L36" s="157">
        <v>327232</v>
      </c>
      <c r="M36" s="296">
        <v>327229.740016</v>
      </c>
      <c r="N36" s="150">
        <v>36510.954748367199</v>
      </c>
      <c r="O36" s="181">
        <f>VLOOKUP($A36&amp;$B36,'LE Inputs'!$C$2:$J$525,MATCH('LE UtilityData'!O$1,'LE Inputs'!$C$1:$J$1,0),0)</f>
        <v>40511.185528922178</v>
      </c>
      <c r="P36" s="181" t="e">
        <f>VLOOKUP($A36&amp;$B36,'LE Inputs'!$C$2:$J$505,MATCH('LE UtilityData'!P$1,'LE Inputs'!$C$1:$J$1,0),0)</f>
        <v>#N/A</v>
      </c>
      <c r="Q36" s="297">
        <v>298</v>
      </c>
      <c r="R36" s="297">
        <v>16</v>
      </c>
      <c r="S36" s="298">
        <f t="shared" si="4"/>
        <v>298</v>
      </c>
      <c r="T36" s="298">
        <f t="shared" si="4"/>
        <v>16</v>
      </c>
      <c r="U36" s="159">
        <v>4124</v>
      </c>
      <c r="V36" s="159">
        <v>1696</v>
      </c>
      <c r="W36" s="159">
        <f t="shared" si="5"/>
        <v>713.99965965372235</v>
      </c>
      <c r="X36" s="159">
        <f t="shared" si="1"/>
        <v>713.99472851065912</v>
      </c>
    </row>
    <row r="37" spans="1:24" x14ac:dyDescent="0.2">
      <c r="A37" s="147">
        <v>2003</v>
      </c>
      <c r="B37" s="147">
        <v>12</v>
      </c>
      <c r="C37" s="157">
        <v>304782.16700000002</v>
      </c>
      <c r="D37" s="295">
        <v>304782.16499999998</v>
      </c>
      <c r="E37" s="166">
        <v>5.9</v>
      </c>
      <c r="F37" s="166">
        <v>5.9</v>
      </c>
      <c r="G37" s="256">
        <f t="shared" si="3"/>
        <v>5.9</v>
      </c>
      <c r="H37" s="166">
        <v>32.81</v>
      </c>
      <c r="I37" s="148">
        <v>686728.49999999977</v>
      </c>
      <c r="J37" s="181">
        <f>VLOOKUP($A37&amp;$B37,'LE Inputs'!$C$2:$J$505,MATCH('LE UtilityData'!J$1,'LE Inputs'!$C$1:$J$1,0),0)*1000</f>
        <v>1202092.9999999998</v>
      </c>
      <c r="K37" s="181">
        <v>482287.79444709991</v>
      </c>
      <c r="L37" s="157">
        <v>324249</v>
      </c>
      <c r="M37" s="296">
        <v>324246.97494399996</v>
      </c>
      <c r="N37" s="150">
        <v>36510.954748367199</v>
      </c>
      <c r="O37" s="181">
        <f>VLOOKUP($A37&amp;$B37,'LE Inputs'!$C$2:$J$525,MATCH('LE UtilityData'!O$1,'LE Inputs'!$C$1:$J$1,0),0)</f>
        <v>40511.185528922178</v>
      </c>
      <c r="P37" s="181" t="e">
        <f>VLOOKUP($A37&amp;$B37,'LE Inputs'!$C$2:$J$505,MATCH('LE UtilityData'!P$1,'LE Inputs'!$C$1:$J$1,0),0)</f>
        <v>#N/A</v>
      </c>
      <c r="Q37" s="297">
        <v>692</v>
      </c>
      <c r="R37" s="297">
        <v>2</v>
      </c>
      <c r="S37" s="298">
        <f t="shared" si="4"/>
        <v>692</v>
      </c>
      <c r="T37" s="298">
        <f t="shared" si="4"/>
        <v>2</v>
      </c>
      <c r="U37" s="159">
        <v>4124</v>
      </c>
      <c r="V37" s="159">
        <v>1696</v>
      </c>
      <c r="W37" s="159">
        <f t="shared" si="5"/>
        <v>939.96918568828073</v>
      </c>
      <c r="X37" s="159">
        <f t="shared" si="1"/>
        <v>939.96332139806134</v>
      </c>
    </row>
    <row r="38" spans="1:24" x14ac:dyDescent="0.2">
      <c r="A38" s="147">
        <v>2004</v>
      </c>
      <c r="B38" s="147">
        <v>1</v>
      </c>
      <c r="C38" s="157">
        <v>348337.652</v>
      </c>
      <c r="D38" s="295">
        <v>348337.652</v>
      </c>
      <c r="E38" s="166">
        <v>6</v>
      </c>
      <c r="F38" s="166">
        <v>6</v>
      </c>
      <c r="G38" s="256">
        <f t="shared" si="3"/>
        <v>6</v>
      </c>
      <c r="H38" s="166">
        <v>32.450000000000003</v>
      </c>
      <c r="I38" s="148">
        <v>686812.9166666664</v>
      </c>
      <c r="J38" s="181">
        <f>VLOOKUP($A38&amp;$B38,'LE Inputs'!$C$2:$J$505,MATCH('LE UtilityData'!J$1,'LE Inputs'!$C$1:$J$1,0),0)*1000</f>
        <v>1204967.5</v>
      </c>
      <c r="K38" s="181">
        <v>483790.55407003406</v>
      </c>
      <c r="L38" s="157">
        <v>325724</v>
      </c>
      <c r="M38" s="296">
        <v>325722.486592</v>
      </c>
      <c r="N38" s="150">
        <v>36638.131098169601</v>
      </c>
      <c r="O38" s="181">
        <f>VLOOKUP($A38&amp;$B38,'LE Inputs'!$C$2:$J$525,MATCH('LE UtilityData'!O$1,'LE Inputs'!$C$1:$J$1,0),0)</f>
        <v>40639.963801491271</v>
      </c>
      <c r="P38" s="181" t="e">
        <f>VLOOKUP($A38&amp;$B38,'LE Inputs'!$C$2:$J$505,MATCH('LE UtilityData'!P$1,'LE Inputs'!$C$1:$J$1,0),0)</f>
        <v>#N/A</v>
      </c>
      <c r="Q38" s="297">
        <v>932</v>
      </c>
      <c r="R38" s="297">
        <v>0</v>
      </c>
      <c r="S38" s="298">
        <f t="shared" si="4"/>
        <v>932</v>
      </c>
      <c r="T38" s="298">
        <f t="shared" si="4"/>
        <v>0</v>
      </c>
      <c r="U38" s="159">
        <v>4124</v>
      </c>
      <c r="V38" s="159">
        <v>1696</v>
      </c>
      <c r="W38" s="159">
        <f t="shared" si="5"/>
        <v>1069.4307772380719</v>
      </c>
      <c r="X38" s="159">
        <f t="shared" si="1"/>
        <v>1069.4258083530842</v>
      </c>
    </row>
    <row r="39" spans="1:24" x14ac:dyDescent="0.2">
      <c r="A39" s="147">
        <v>2004</v>
      </c>
      <c r="B39" s="147">
        <v>2</v>
      </c>
      <c r="C39" s="157">
        <v>334621.136</v>
      </c>
      <c r="D39" s="295">
        <v>334621.136</v>
      </c>
      <c r="E39" s="166">
        <v>6</v>
      </c>
      <c r="F39" s="166">
        <v>6</v>
      </c>
      <c r="G39" s="256">
        <f t="shared" si="3"/>
        <v>6</v>
      </c>
      <c r="H39" s="166">
        <v>30.15</v>
      </c>
      <c r="I39" s="148">
        <v>686897.33333333302</v>
      </c>
      <c r="J39" s="181">
        <f>VLOOKUP($A39&amp;$B39,'LE Inputs'!$C$2:$J$505,MATCH('LE UtilityData'!J$1,'LE Inputs'!$C$1:$J$1,0),0)*1000</f>
        <v>1204967.5</v>
      </c>
      <c r="K39" s="181">
        <v>483790.55407003406</v>
      </c>
      <c r="L39" s="157">
        <v>327545</v>
      </c>
      <c r="M39" s="296">
        <v>327543.31028799998</v>
      </c>
      <c r="N39" s="150">
        <v>36638.131098169601</v>
      </c>
      <c r="O39" s="181">
        <f>VLOOKUP($A39&amp;$B39,'LE Inputs'!$C$2:$J$525,MATCH('LE UtilityData'!O$1,'LE Inputs'!$C$1:$J$1,0),0)</f>
        <v>40639.963801491271</v>
      </c>
      <c r="P39" s="181" t="e">
        <f>VLOOKUP($A39&amp;$B39,'LE Inputs'!$C$2:$J$505,MATCH('LE UtilityData'!P$1,'LE Inputs'!$C$1:$J$1,0),0)</f>
        <v>#N/A</v>
      </c>
      <c r="Q39" s="297">
        <v>1021</v>
      </c>
      <c r="R39" s="297">
        <v>0</v>
      </c>
      <c r="S39" s="298">
        <f t="shared" si="4"/>
        <v>1021</v>
      </c>
      <c r="T39" s="298">
        <f t="shared" si="4"/>
        <v>0</v>
      </c>
      <c r="U39" s="159">
        <v>4124</v>
      </c>
      <c r="V39" s="159">
        <v>1696</v>
      </c>
      <c r="W39" s="159">
        <f t="shared" si="5"/>
        <v>1021.6088239011101</v>
      </c>
      <c r="X39" s="159">
        <f t="shared" si="1"/>
        <v>1021.6035537101773</v>
      </c>
    </row>
    <row r="40" spans="1:24" x14ac:dyDescent="0.2">
      <c r="A40" s="147">
        <v>2004</v>
      </c>
      <c r="B40" s="147">
        <v>3</v>
      </c>
      <c r="C40" s="157">
        <v>268364.75099999999</v>
      </c>
      <c r="D40" s="295">
        <v>268364.75099999999</v>
      </c>
      <c r="E40" s="166">
        <v>6</v>
      </c>
      <c r="F40" s="166">
        <v>6</v>
      </c>
      <c r="G40" s="256">
        <f t="shared" si="3"/>
        <v>6</v>
      </c>
      <c r="H40" s="166">
        <v>30.05</v>
      </c>
      <c r="I40" s="148">
        <v>686981.74999999965</v>
      </c>
      <c r="J40" s="181">
        <f>VLOOKUP($A40&amp;$B40,'LE Inputs'!$C$2:$J$505,MATCH('LE UtilityData'!J$1,'LE Inputs'!$C$1:$J$1,0),0)*1000</f>
        <v>1204967.5</v>
      </c>
      <c r="K40" s="181">
        <v>483790.55407003406</v>
      </c>
      <c r="L40" s="157">
        <v>327288</v>
      </c>
      <c r="M40" s="296">
        <v>327285.52859199996</v>
      </c>
      <c r="N40" s="150">
        <v>36638.131098169601</v>
      </c>
      <c r="O40" s="181">
        <f>VLOOKUP($A40&amp;$B40,'LE Inputs'!$C$2:$J$525,MATCH('LE UtilityData'!O$1,'LE Inputs'!$C$1:$J$1,0),0)</f>
        <v>40639.963801491271</v>
      </c>
      <c r="P40" s="181" t="e">
        <f>VLOOKUP($A40&amp;$B40,'LE Inputs'!$C$2:$J$505,MATCH('LE UtilityData'!P$1,'LE Inputs'!$C$1:$J$1,0),0)</f>
        <v>#N/A</v>
      </c>
      <c r="Q40" s="297">
        <v>616</v>
      </c>
      <c r="R40" s="297">
        <v>2</v>
      </c>
      <c r="S40" s="298">
        <f t="shared" si="4"/>
        <v>616</v>
      </c>
      <c r="T40" s="298">
        <f t="shared" si="4"/>
        <v>2</v>
      </c>
      <c r="U40" s="159">
        <v>4124</v>
      </c>
      <c r="V40" s="159">
        <v>1696</v>
      </c>
      <c r="W40" s="159">
        <f t="shared" si="5"/>
        <v>819.97133253804304</v>
      </c>
      <c r="X40" s="159">
        <f t="shared" si="1"/>
        <v>819.96514079342967</v>
      </c>
    </row>
    <row r="41" spans="1:24" x14ac:dyDescent="0.2">
      <c r="A41" s="147">
        <v>2004</v>
      </c>
      <c r="B41" s="147">
        <v>4</v>
      </c>
      <c r="C41" s="157">
        <v>242512.565</v>
      </c>
      <c r="D41" s="295">
        <v>242512.56500000003</v>
      </c>
      <c r="E41" s="166">
        <v>6</v>
      </c>
      <c r="F41" s="166">
        <v>6</v>
      </c>
      <c r="G41" s="256">
        <f t="shared" si="3"/>
        <v>6</v>
      </c>
      <c r="H41" s="166">
        <v>30.45</v>
      </c>
      <c r="I41" s="148">
        <v>687066.16666666628</v>
      </c>
      <c r="J41" s="181">
        <f>VLOOKUP($A41&amp;$B41,'LE Inputs'!$C$2:$J$505,MATCH('LE UtilityData'!J$1,'LE Inputs'!$C$1:$J$1,0),0)*1000</f>
        <v>1207842</v>
      </c>
      <c r="K41" s="181">
        <v>485297.3696242302</v>
      </c>
      <c r="L41" s="157">
        <v>328226</v>
      </c>
      <c r="M41" s="296">
        <v>328224.31566399999</v>
      </c>
      <c r="N41" s="150">
        <v>36764.454945712103</v>
      </c>
      <c r="O41" s="181">
        <f>VLOOKUP($A41&amp;$B41,'LE Inputs'!$C$2:$J$525,MATCH('LE UtilityData'!O$1,'LE Inputs'!$C$1:$J$1,0),0)</f>
        <v>40767.05169480067</v>
      </c>
      <c r="P41" s="181" t="e">
        <f>VLOOKUP($A41&amp;$B41,'LE Inputs'!$C$2:$J$505,MATCH('LE UtilityData'!P$1,'LE Inputs'!$C$1:$J$1,0),0)</f>
        <v>#N/A</v>
      </c>
      <c r="Q41" s="297">
        <v>376</v>
      </c>
      <c r="R41" s="297">
        <v>15</v>
      </c>
      <c r="S41" s="298">
        <f t="shared" si="4"/>
        <v>376</v>
      </c>
      <c r="T41" s="298">
        <f t="shared" si="4"/>
        <v>15</v>
      </c>
      <c r="U41" s="159">
        <v>4124</v>
      </c>
      <c r="V41" s="159">
        <v>1696</v>
      </c>
      <c r="W41" s="159">
        <f t="shared" si="5"/>
        <v>738.86227627406424</v>
      </c>
      <c r="X41" s="159">
        <f t="shared" si="1"/>
        <v>738.85848470261351</v>
      </c>
    </row>
    <row r="42" spans="1:24" x14ac:dyDescent="0.2">
      <c r="A42" s="147">
        <v>2004</v>
      </c>
      <c r="B42" s="147">
        <v>5</v>
      </c>
      <c r="C42" s="157">
        <v>281369.45199999999</v>
      </c>
      <c r="D42" s="295">
        <v>281369.45199999999</v>
      </c>
      <c r="E42" s="166">
        <v>6</v>
      </c>
      <c r="F42" s="166">
        <v>6</v>
      </c>
      <c r="G42" s="256">
        <f t="shared" si="3"/>
        <v>6</v>
      </c>
      <c r="H42" s="166">
        <v>29.8</v>
      </c>
      <c r="I42" s="148">
        <v>687150.58333333291</v>
      </c>
      <c r="J42" s="181">
        <f>VLOOKUP($A42&amp;$B42,'LE Inputs'!$C$2:$J$505,MATCH('LE UtilityData'!J$1,'LE Inputs'!$C$1:$J$1,0),0)*1000</f>
        <v>1207842</v>
      </c>
      <c r="K42" s="181">
        <v>485297.3696242302</v>
      </c>
      <c r="L42" s="157">
        <v>328787</v>
      </c>
      <c r="M42" s="296">
        <v>328785.08703999995</v>
      </c>
      <c r="N42" s="150">
        <v>36764.454945712103</v>
      </c>
      <c r="O42" s="181">
        <f>VLOOKUP($A42&amp;$B42,'LE Inputs'!$C$2:$J$525,MATCH('LE UtilityData'!O$1,'LE Inputs'!$C$1:$J$1,0),0)</f>
        <v>40767.05169480067</v>
      </c>
      <c r="P42" s="181" t="e">
        <f>VLOOKUP($A42&amp;$B42,'LE Inputs'!$C$2:$J$505,MATCH('LE UtilityData'!P$1,'LE Inputs'!$C$1:$J$1,0),0)</f>
        <v>#N/A</v>
      </c>
      <c r="Q42" s="297">
        <v>117</v>
      </c>
      <c r="R42" s="297">
        <v>103</v>
      </c>
      <c r="S42" s="298">
        <f t="shared" si="4"/>
        <v>117</v>
      </c>
      <c r="T42" s="298">
        <f t="shared" si="4"/>
        <v>103</v>
      </c>
      <c r="U42" s="159">
        <v>4124</v>
      </c>
      <c r="V42" s="159">
        <v>1696</v>
      </c>
      <c r="W42" s="159">
        <f t="shared" si="5"/>
        <v>855.78532327340201</v>
      </c>
      <c r="X42" s="159">
        <f t="shared" si="1"/>
        <v>855.78034411336216</v>
      </c>
    </row>
    <row r="43" spans="1:24" x14ac:dyDescent="0.2">
      <c r="A43" s="147">
        <v>2004</v>
      </c>
      <c r="B43" s="147">
        <v>6</v>
      </c>
      <c r="C43" s="157">
        <v>403194.533</v>
      </c>
      <c r="D43" s="295">
        <v>403194.533</v>
      </c>
      <c r="E43" s="166">
        <v>6</v>
      </c>
      <c r="F43" s="166">
        <v>6</v>
      </c>
      <c r="G43" s="256">
        <f t="shared" si="3"/>
        <v>6</v>
      </c>
      <c r="H43" s="166">
        <v>30.75</v>
      </c>
      <c r="I43" s="148">
        <v>687235</v>
      </c>
      <c r="J43" s="181">
        <f>VLOOKUP($A43&amp;$B43,'LE Inputs'!$C$2:$J$505,MATCH('LE UtilityData'!J$1,'LE Inputs'!$C$1:$J$1,0),0)*1000</f>
        <v>1207842</v>
      </c>
      <c r="K43" s="181">
        <v>485297.3696242302</v>
      </c>
      <c r="L43" s="157">
        <v>329941</v>
      </c>
      <c r="M43" s="296">
        <v>329939.33343999996</v>
      </c>
      <c r="N43" s="150">
        <v>36764.454945712103</v>
      </c>
      <c r="O43" s="181">
        <f>VLOOKUP($A43&amp;$B43,'LE Inputs'!$C$2:$J$525,MATCH('LE UtilityData'!O$1,'LE Inputs'!$C$1:$J$1,0),0)</f>
        <v>40767.05169480067</v>
      </c>
      <c r="P43" s="181" t="e">
        <f>VLOOKUP($A43&amp;$B43,'LE Inputs'!$C$2:$J$505,MATCH('LE UtilityData'!P$1,'LE Inputs'!$C$1:$J$1,0),0)</f>
        <v>#N/A</v>
      </c>
      <c r="Q43" s="297">
        <v>2</v>
      </c>
      <c r="R43" s="297">
        <v>263</v>
      </c>
      <c r="S43" s="298">
        <f t="shared" si="4"/>
        <v>2</v>
      </c>
      <c r="T43" s="298">
        <f t="shared" si="4"/>
        <v>263</v>
      </c>
      <c r="U43" s="159">
        <v>4124</v>
      </c>
      <c r="V43" s="159">
        <v>1696</v>
      </c>
      <c r="W43" s="159">
        <f t="shared" si="5"/>
        <v>1222.0262700910184</v>
      </c>
      <c r="X43" s="159">
        <f t="shared" si="1"/>
        <v>1222.0200975325893</v>
      </c>
    </row>
    <row r="44" spans="1:24" x14ac:dyDescent="0.2">
      <c r="A44" s="147">
        <v>2004</v>
      </c>
      <c r="B44" s="147">
        <v>7</v>
      </c>
      <c r="C44" s="157">
        <v>440997.08600000001</v>
      </c>
      <c r="D44" s="295">
        <v>440997.08600000001</v>
      </c>
      <c r="E44" s="166">
        <v>6</v>
      </c>
      <c r="F44" s="166">
        <v>6</v>
      </c>
      <c r="G44" s="256">
        <f t="shared" si="3"/>
        <v>6</v>
      </c>
      <c r="H44" s="166">
        <v>30.65</v>
      </c>
      <c r="I44" s="148">
        <v>687032</v>
      </c>
      <c r="J44" s="181">
        <f>VLOOKUP($A44&amp;$B44,'LE Inputs'!$C$2:$J$505,MATCH('LE UtilityData'!J$1,'LE Inputs'!$C$1:$J$1,0),0)*1000</f>
        <v>1210640.5</v>
      </c>
      <c r="K44" s="181">
        <v>486749.8026609908</v>
      </c>
      <c r="L44" s="157">
        <v>329952</v>
      </c>
      <c r="M44" s="296">
        <v>329949.914032</v>
      </c>
      <c r="N44" s="150">
        <v>36957.023266870303</v>
      </c>
      <c r="O44" s="181">
        <f>VLOOKUP($A44&amp;$B44,'LE Inputs'!$C$2:$J$525,MATCH('LE UtilityData'!O$1,'LE Inputs'!$C$1:$J$1,0),0)</f>
        <v>40994.684732107613</v>
      </c>
      <c r="P44" s="181" t="e">
        <f>VLOOKUP($A44&amp;$B44,'LE Inputs'!$C$2:$J$505,MATCH('LE UtilityData'!P$1,'LE Inputs'!$C$1:$J$1,0),0)</f>
        <v>#N/A</v>
      </c>
      <c r="Q44" s="297">
        <v>0</v>
      </c>
      <c r="R44" s="297">
        <v>319</v>
      </c>
      <c r="S44" s="298">
        <f t="shared" si="4"/>
        <v>0</v>
      </c>
      <c r="T44" s="298">
        <f t="shared" si="4"/>
        <v>319</v>
      </c>
      <c r="U44" s="159">
        <v>4124</v>
      </c>
      <c r="V44" s="159">
        <v>1696</v>
      </c>
      <c r="W44" s="159">
        <f t="shared" si="5"/>
        <v>1336.5576629828436</v>
      </c>
      <c r="X44" s="159">
        <f t="shared" si="1"/>
        <v>1336.5492132188924</v>
      </c>
    </row>
    <row r="45" spans="1:24" x14ac:dyDescent="0.2">
      <c r="A45" s="147">
        <v>2004</v>
      </c>
      <c r="B45" s="147">
        <v>8</v>
      </c>
      <c r="C45" s="157">
        <v>398944.49699999997</v>
      </c>
      <c r="D45" s="295">
        <v>398944.49699999997</v>
      </c>
      <c r="E45" s="166">
        <v>6</v>
      </c>
      <c r="F45" s="166">
        <v>6</v>
      </c>
      <c r="G45" s="256">
        <f t="shared" si="3"/>
        <v>6</v>
      </c>
      <c r="H45" s="166">
        <v>29.55</v>
      </c>
      <c r="I45" s="148">
        <v>688221</v>
      </c>
      <c r="J45" s="181">
        <f>VLOOKUP($A45&amp;$B45,'LE Inputs'!$C$2:$J$505,MATCH('LE UtilityData'!J$1,'LE Inputs'!$C$1:$J$1,0),0)*1000</f>
        <v>1210640.5</v>
      </c>
      <c r="K45" s="181">
        <v>486749.8026609908</v>
      </c>
      <c r="L45" s="157">
        <v>331334</v>
      </c>
      <c r="M45" s="296">
        <v>331332.12409599999</v>
      </c>
      <c r="N45" s="150">
        <v>36957.023266870303</v>
      </c>
      <c r="O45" s="181">
        <f>VLOOKUP($A45&amp;$B45,'LE Inputs'!$C$2:$J$525,MATCH('LE UtilityData'!O$1,'LE Inputs'!$C$1:$J$1,0),0)</f>
        <v>40994.684732107613</v>
      </c>
      <c r="P45" s="181" t="e">
        <f>VLOOKUP($A45&amp;$B45,'LE Inputs'!$C$2:$J$505,MATCH('LE UtilityData'!P$1,'LE Inputs'!$C$1:$J$1,0),0)</f>
        <v>#N/A</v>
      </c>
      <c r="Q45" s="297">
        <v>2</v>
      </c>
      <c r="R45" s="297">
        <v>253</v>
      </c>
      <c r="S45" s="298">
        <f t="shared" si="4"/>
        <v>2</v>
      </c>
      <c r="T45" s="298">
        <f t="shared" si="4"/>
        <v>253</v>
      </c>
      <c r="U45" s="159">
        <v>4124</v>
      </c>
      <c r="V45" s="159">
        <v>1696</v>
      </c>
      <c r="W45" s="159">
        <f t="shared" si="5"/>
        <v>1204.0622323853211</v>
      </c>
      <c r="X45" s="159">
        <f t="shared" si="1"/>
        <v>1204.055415381458</v>
      </c>
    </row>
    <row r="46" spans="1:24" x14ac:dyDescent="0.2">
      <c r="A46" s="147">
        <v>2004</v>
      </c>
      <c r="B46" s="147">
        <v>9</v>
      </c>
      <c r="C46" s="157">
        <v>397391.65299999999</v>
      </c>
      <c r="D46" s="295">
        <v>397391.65300000005</v>
      </c>
      <c r="E46" s="166">
        <v>6</v>
      </c>
      <c r="F46" s="166">
        <v>6</v>
      </c>
      <c r="G46" s="256">
        <f t="shared" si="3"/>
        <v>6</v>
      </c>
      <c r="H46" s="166">
        <v>30.55</v>
      </c>
      <c r="I46" s="148">
        <v>689410</v>
      </c>
      <c r="J46" s="181">
        <f>VLOOKUP($A46&amp;$B46,'LE Inputs'!$C$2:$J$505,MATCH('LE UtilityData'!J$1,'LE Inputs'!$C$1:$J$1,0),0)*1000</f>
        <v>1210640.5</v>
      </c>
      <c r="K46" s="181">
        <v>486749.8026609908</v>
      </c>
      <c r="L46" s="157">
        <v>330190</v>
      </c>
      <c r="M46" s="296">
        <v>330188.45828799997</v>
      </c>
      <c r="N46" s="150">
        <v>36957.023266870303</v>
      </c>
      <c r="O46" s="181">
        <f>VLOOKUP($A46&amp;$B46,'LE Inputs'!$C$2:$J$525,MATCH('LE UtilityData'!O$1,'LE Inputs'!$C$1:$J$1,0),0)</f>
        <v>40994.684732107613</v>
      </c>
      <c r="P46" s="181" t="e">
        <f>VLOOKUP($A46&amp;$B46,'LE Inputs'!$C$2:$J$505,MATCH('LE UtilityData'!P$1,'LE Inputs'!$C$1:$J$1,0),0)</f>
        <v>#N/A</v>
      </c>
      <c r="Q46" s="297">
        <v>2</v>
      </c>
      <c r="R46" s="297">
        <v>259</v>
      </c>
      <c r="S46" s="298">
        <f t="shared" si="4"/>
        <v>2</v>
      </c>
      <c r="T46" s="298">
        <f t="shared" si="4"/>
        <v>259</v>
      </c>
      <c r="U46" s="159">
        <v>4124</v>
      </c>
      <c r="V46" s="159">
        <v>1696</v>
      </c>
      <c r="W46" s="159">
        <f t="shared" si="5"/>
        <v>1203.5298116125655</v>
      </c>
      <c r="X46" s="159">
        <f t="shared" si="1"/>
        <v>1203.5241921318029</v>
      </c>
    </row>
    <row r="47" spans="1:24" x14ac:dyDescent="0.2">
      <c r="A47" s="147">
        <v>2004</v>
      </c>
      <c r="B47" s="147">
        <v>10</v>
      </c>
      <c r="C47" s="157">
        <v>270269.25</v>
      </c>
      <c r="D47" s="295">
        <v>270269.25</v>
      </c>
      <c r="E47" s="166">
        <v>6</v>
      </c>
      <c r="F47" s="166">
        <v>6</v>
      </c>
      <c r="G47" s="256">
        <f t="shared" si="3"/>
        <v>6</v>
      </c>
      <c r="H47" s="166">
        <v>29.65</v>
      </c>
      <c r="I47" s="148">
        <v>690599</v>
      </c>
      <c r="J47" s="181">
        <f>VLOOKUP($A47&amp;$B47,'LE Inputs'!$C$2:$J$505,MATCH('LE UtilityData'!J$1,'LE Inputs'!$C$1:$J$1,0),0)*1000</f>
        <v>1213439</v>
      </c>
      <c r="K47" s="181">
        <v>488206.69794066739</v>
      </c>
      <c r="L47" s="157">
        <v>330011</v>
      </c>
      <c r="M47" s="296">
        <v>330008.58822400001</v>
      </c>
      <c r="N47" s="150">
        <v>37300.016897910602</v>
      </c>
      <c r="O47" s="181">
        <f>VLOOKUP($A47&amp;$B47,'LE Inputs'!$C$2:$J$525,MATCH('LE UtilityData'!O$1,'LE Inputs'!$C$1:$J$1,0),0)</f>
        <v>41362.573015698887</v>
      </c>
      <c r="P47" s="181" t="e">
        <f>VLOOKUP($A47&amp;$B47,'LE Inputs'!$C$2:$J$505,MATCH('LE UtilityData'!P$1,'LE Inputs'!$C$1:$J$1,0),0)</f>
        <v>#N/A</v>
      </c>
      <c r="Q47" s="297">
        <v>93</v>
      </c>
      <c r="R47" s="297">
        <v>74</v>
      </c>
      <c r="S47" s="298">
        <f t="shared" si="4"/>
        <v>93</v>
      </c>
      <c r="T47" s="298">
        <f t="shared" si="4"/>
        <v>74</v>
      </c>
      <c r="U47" s="159">
        <v>4124</v>
      </c>
      <c r="V47" s="159">
        <v>1696</v>
      </c>
      <c r="W47" s="159">
        <f t="shared" si="5"/>
        <v>818.97641347609192</v>
      </c>
      <c r="X47" s="159">
        <f t="shared" si="1"/>
        <v>818.97042825845199</v>
      </c>
    </row>
    <row r="48" spans="1:24" x14ac:dyDescent="0.2">
      <c r="A48" s="147">
        <v>2004</v>
      </c>
      <c r="B48" s="147">
        <v>11</v>
      </c>
      <c r="C48" s="157">
        <v>235611.85399999999</v>
      </c>
      <c r="D48" s="295">
        <v>235611.85399999999</v>
      </c>
      <c r="E48" s="166">
        <v>6</v>
      </c>
      <c r="F48" s="166">
        <v>6</v>
      </c>
      <c r="G48" s="256">
        <f t="shared" si="3"/>
        <v>6</v>
      </c>
      <c r="H48" s="166">
        <v>29.8</v>
      </c>
      <c r="I48" s="148">
        <v>691788</v>
      </c>
      <c r="J48" s="181">
        <f>VLOOKUP($A48&amp;$B48,'LE Inputs'!$C$2:$J$505,MATCH('LE UtilityData'!J$1,'LE Inputs'!$C$1:$J$1,0),0)*1000</f>
        <v>1213439</v>
      </c>
      <c r="K48" s="181">
        <v>488206.69794066739</v>
      </c>
      <c r="L48" s="157">
        <v>330750</v>
      </c>
      <c r="M48" s="296">
        <v>330748.26779199997</v>
      </c>
      <c r="N48" s="150">
        <v>37300.016897910602</v>
      </c>
      <c r="O48" s="181">
        <f>VLOOKUP($A48&amp;$B48,'LE Inputs'!$C$2:$J$525,MATCH('LE UtilityData'!O$1,'LE Inputs'!$C$1:$J$1,0),0)</f>
        <v>41362.573015698887</v>
      </c>
      <c r="P48" s="181" t="e">
        <f>VLOOKUP($A48&amp;$B48,'LE Inputs'!$C$2:$J$505,MATCH('LE UtilityData'!P$1,'LE Inputs'!$C$1:$J$1,0),0)</f>
        <v>#N/A</v>
      </c>
      <c r="Q48" s="297">
        <v>235</v>
      </c>
      <c r="R48" s="297">
        <v>20</v>
      </c>
      <c r="S48" s="298">
        <f t="shared" si="4"/>
        <v>235</v>
      </c>
      <c r="T48" s="298">
        <f t="shared" si="4"/>
        <v>20</v>
      </c>
      <c r="U48" s="159">
        <v>4124</v>
      </c>
      <c r="V48" s="159">
        <v>1696</v>
      </c>
      <c r="W48" s="159">
        <f t="shared" si="5"/>
        <v>712.36005428808744</v>
      </c>
      <c r="X48" s="159">
        <f t="shared" si="1"/>
        <v>712.3563235071806</v>
      </c>
    </row>
    <row r="49" spans="1:24" x14ac:dyDescent="0.2">
      <c r="A49" s="147">
        <v>2004</v>
      </c>
      <c r="B49" s="147">
        <v>12</v>
      </c>
      <c r="C49" s="157">
        <v>295532.299</v>
      </c>
      <c r="D49" s="295">
        <v>295532.299</v>
      </c>
      <c r="E49" s="166">
        <v>6</v>
      </c>
      <c r="F49" s="166">
        <v>6</v>
      </c>
      <c r="G49" s="256">
        <f t="shared" si="3"/>
        <v>6</v>
      </c>
      <c r="H49" s="166">
        <v>31.5</v>
      </c>
      <c r="I49" s="148">
        <v>692977</v>
      </c>
      <c r="J49" s="181">
        <f>VLOOKUP($A49&amp;$B49,'LE Inputs'!$C$2:$J$505,MATCH('LE UtilityData'!J$1,'LE Inputs'!$C$1:$J$1,0),0)*1000</f>
        <v>1213439</v>
      </c>
      <c r="K49" s="181">
        <v>488206.69794066739</v>
      </c>
      <c r="L49" s="157">
        <v>329946</v>
      </c>
      <c r="M49" s="296">
        <v>329944.14279999997</v>
      </c>
      <c r="N49" s="150">
        <v>37300.016897910602</v>
      </c>
      <c r="O49" s="181">
        <f>VLOOKUP($A49&amp;$B49,'LE Inputs'!$C$2:$J$525,MATCH('LE UtilityData'!O$1,'LE Inputs'!$C$1:$J$1,0),0)</f>
        <v>41362.573015698887</v>
      </c>
      <c r="P49" s="181" t="e">
        <f>VLOOKUP($A49&amp;$B49,'LE Inputs'!$C$2:$J$505,MATCH('LE UtilityData'!P$1,'LE Inputs'!$C$1:$J$1,0),0)</f>
        <v>#N/A</v>
      </c>
      <c r="Q49" s="297">
        <v>634</v>
      </c>
      <c r="R49" s="297">
        <v>0</v>
      </c>
      <c r="S49" s="298">
        <f t="shared" si="4"/>
        <v>634</v>
      </c>
      <c r="T49" s="298">
        <f t="shared" si="4"/>
        <v>0</v>
      </c>
      <c r="U49" s="159">
        <v>4124</v>
      </c>
      <c r="V49" s="159">
        <v>1696</v>
      </c>
      <c r="W49" s="159">
        <f t="shared" si="5"/>
        <v>895.70403187651311</v>
      </c>
      <c r="X49" s="159">
        <f t="shared" si="1"/>
        <v>895.69899013778013</v>
      </c>
    </row>
    <row r="50" spans="1:24" x14ac:dyDescent="0.2">
      <c r="A50" s="147">
        <v>2005</v>
      </c>
      <c r="B50" s="147">
        <v>1</v>
      </c>
      <c r="C50" s="157">
        <v>355374.79599999997</v>
      </c>
      <c r="D50" s="295">
        <v>355374.79599999997</v>
      </c>
      <c r="E50" s="166">
        <v>6.4065135612233277</v>
      </c>
      <c r="F50" s="166">
        <v>6.4065135612233277</v>
      </c>
      <c r="G50" s="256">
        <f t="shared" si="3"/>
        <v>6.4065135612233277</v>
      </c>
      <c r="H50" s="166">
        <v>32.5</v>
      </c>
      <c r="I50" s="148">
        <v>694166</v>
      </c>
      <c r="J50" s="181">
        <f>VLOOKUP($A50&amp;$B50,'LE Inputs'!$C$2:$J$505,MATCH('LE UtilityData'!J$1,'LE Inputs'!$C$1:$J$1,0),0)*1000</f>
        <v>1216237.5</v>
      </c>
      <c r="K50" s="181">
        <v>489668.06935047486</v>
      </c>
      <c r="L50" s="157">
        <v>329945</v>
      </c>
      <c r="M50" s="296">
        <v>329943.18092799996</v>
      </c>
      <c r="N50" s="150">
        <v>36764.479129179497</v>
      </c>
      <c r="O50" s="181">
        <f>VLOOKUP($A50&amp;$B50,'LE Inputs'!$C$2:$J$525,MATCH('LE UtilityData'!O$1,'LE Inputs'!$C$1:$J$1,0),0)</f>
        <v>40750.829383927514</v>
      </c>
      <c r="P50" s="181" t="e">
        <f>VLOOKUP($A50&amp;$B50,'LE Inputs'!$C$2:$J$505,MATCH('LE UtilityData'!P$1,'LE Inputs'!$C$1:$J$1,0),0)</f>
        <v>#N/A</v>
      </c>
      <c r="Q50" s="297">
        <v>860</v>
      </c>
      <c r="R50" s="297">
        <v>1</v>
      </c>
      <c r="S50" s="298">
        <f t="shared" si="4"/>
        <v>860</v>
      </c>
      <c r="T50" s="298">
        <f t="shared" si="4"/>
        <v>1</v>
      </c>
      <c r="U50" s="159">
        <v>4124</v>
      </c>
      <c r="V50" s="159">
        <v>1696</v>
      </c>
      <c r="W50" s="159">
        <f t="shared" si="5"/>
        <v>1077.0787715644583</v>
      </c>
      <c r="X50" s="159">
        <f t="shared" si="1"/>
        <v>1077.0728333510128</v>
      </c>
    </row>
    <row r="51" spans="1:24" x14ac:dyDescent="0.2">
      <c r="A51" s="147">
        <v>2005</v>
      </c>
      <c r="B51" s="147">
        <v>2</v>
      </c>
      <c r="C51" s="157">
        <v>304253.43800000002</v>
      </c>
      <c r="D51" s="295">
        <v>304253.43800000002</v>
      </c>
      <c r="E51" s="166">
        <v>6.4065135612233277</v>
      </c>
      <c r="F51" s="166">
        <v>6.4065135612233277</v>
      </c>
      <c r="G51" s="256">
        <f t="shared" si="3"/>
        <v>6.4065135612233277</v>
      </c>
      <c r="H51" s="166">
        <v>29.4</v>
      </c>
      <c r="I51" s="148">
        <v>695355</v>
      </c>
      <c r="J51" s="181">
        <f>VLOOKUP($A51&amp;$B51,'LE Inputs'!$C$2:$J$505,MATCH('LE UtilityData'!J$1,'LE Inputs'!$C$1:$J$1,0),0)*1000</f>
        <v>1216237.5</v>
      </c>
      <c r="K51" s="181">
        <v>489668.06935047486</v>
      </c>
      <c r="L51" s="157">
        <v>331843</v>
      </c>
      <c r="M51" s="296">
        <v>331840.95438399998</v>
      </c>
      <c r="N51" s="150">
        <v>36764.479129179497</v>
      </c>
      <c r="O51" s="181">
        <f>VLOOKUP($A51&amp;$B51,'LE Inputs'!$C$2:$J$525,MATCH('LE UtilityData'!O$1,'LE Inputs'!$C$1:$J$1,0),0)</f>
        <v>40750.829383927514</v>
      </c>
      <c r="P51" s="181" t="e">
        <f>VLOOKUP($A51&amp;$B51,'LE Inputs'!$C$2:$J$505,MATCH('LE UtilityData'!P$1,'LE Inputs'!$C$1:$J$1,0),0)</f>
        <v>#N/A</v>
      </c>
      <c r="Q51" s="297">
        <v>796</v>
      </c>
      <c r="R51" s="297">
        <v>0</v>
      </c>
      <c r="S51" s="298">
        <f t="shared" si="4"/>
        <v>796</v>
      </c>
      <c r="T51" s="298">
        <f t="shared" si="4"/>
        <v>0</v>
      </c>
      <c r="U51" s="159">
        <v>4124</v>
      </c>
      <c r="V51" s="159">
        <v>1696</v>
      </c>
      <c r="W51" s="159">
        <f t="shared" si="5"/>
        <v>916.86524517381838</v>
      </c>
      <c r="X51" s="159">
        <f t="shared" si="1"/>
        <v>916.8595932413823</v>
      </c>
    </row>
    <row r="52" spans="1:24" x14ac:dyDescent="0.2">
      <c r="A52" s="147">
        <v>2005</v>
      </c>
      <c r="B52" s="147">
        <v>3</v>
      </c>
      <c r="C52" s="157">
        <v>285168.32900000003</v>
      </c>
      <c r="D52" s="295">
        <v>285168.32900000003</v>
      </c>
      <c r="E52" s="166">
        <v>6.4065135612233277</v>
      </c>
      <c r="F52" s="166">
        <v>6.4065135612233277</v>
      </c>
      <c r="G52" s="256">
        <f t="shared" si="3"/>
        <v>6.4065135612233277</v>
      </c>
      <c r="H52" s="166">
        <v>29.7</v>
      </c>
      <c r="I52" s="148">
        <v>696544</v>
      </c>
      <c r="J52" s="181">
        <f>VLOOKUP($A52&amp;$B52,'LE Inputs'!$C$2:$J$505,MATCH('LE UtilityData'!J$1,'LE Inputs'!$C$1:$J$1,0),0)*1000</f>
        <v>1216237.5</v>
      </c>
      <c r="K52" s="181">
        <v>489668.06935047486</v>
      </c>
      <c r="L52" s="157">
        <v>331853</v>
      </c>
      <c r="M52" s="296">
        <v>331850.57310400001</v>
      </c>
      <c r="N52" s="150">
        <v>36764.479129179497</v>
      </c>
      <c r="O52" s="181">
        <f>VLOOKUP($A52&amp;$B52,'LE Inputs'!$C$2:$J$525,MATCH('LE UtilityData'!O$1,'LE Inputs'!$C$1:$J$1,0),0)</f>
        <v>40750.829383927514</v>
      </c>
      <c r="P52" s="181" t="e">
        <f>VLOOKUP($A52&amp;$B52,'LE Inputs'!$C$2:$J$505,MATCH('LE UtilityData'!P$1,'LE Inputs'!$C$1:$J$1,0),0)</f>
        <v>#N/A</v>
      </c>
      <c r="Q52" s="297">
        <v>712</v>
      </c>
      <c r="R52" s="297">
        <v>0</v>
      </c>
      <c r="S52" s="298">
        <f t="shared" si="4"/>
        <v>712</v>
      </c>
      <c r="T52" s="298">
        <f t="shared" si="4"/>
        <v>0</v>
      </c>
      <c r="U52" s="159">
        <v>4124</v>
      </c>
      <c r="V52" s="159">
        <v>1696</v>
      </c>
      <c r="W52" s="159">
        <f t="shared" si="5"/>
        <v>859.32751699853156</v>
      </c>
      <c r="X52" s="159">
        <f t="shared" si="1"/>
        <v>859.32123259394973</v>
      </c>
    </row>
    <row r="53" spans="1:24" x14ac:dyDescent="0.2">
      <c r="A53" s="147">
        <v>2005</v>
      </c>
      <c r="B53" s="147">
        <v>4</v>
      </c>
      <c r="C53" s="157">
        <v>247850.07199999999</v>
      </c>
      <c r="D53" s="295">
        <v>247850.07199999999</v>
      </c>
      <c r="E53" s="166">
        <v>6.4065135612233277</v>
      </c>
      <c r="F53" s="166">
        <v>6.4065135612233277</v>
      </c>
      <c r="G53" s="256">
        <f t="shared" si="3"/>
        <v>6.4065135612233277</v>
      </c>
      <c r="H53" s="166">
        <v>30.5</v>
      </c>
      <c r="I53" s="148">
        <v>697733</v>
      </c>
      <c r="J53" s="181">
        <f>VLOOKUP($A53&amp;$B53,'LE Inputs'!$C$2:$J$505,MATCH('LE UtilityData'!J$1,'LE Inputs'!$C$1:$J$1,0),0)*1000</f>
        <v>1219036</v>
      </c>
      <c r="K53" s="181">
        <v>491133.93082732341</v>
      </c>
      <c r="L53" s="157">
        <v>331308</v>
      </c>
      <c r="M53" s="296">
        <v>331306.153552</v>
      </c>
      <c r="N53" s="150">
        <v>37187.197449630999</v>
      </c>
      <c r="O53" s="181">
        <f>VLOOKUP($A53&amp;$B53,'LE Inputs'!$C$2:$J$525,MATCH('LE UtilityData'!O$1,'LE Inputs'!$C$1:$J$1,0),0)</f>
        <v>41225.451744819984</v>
      </c>
      <c r="P53" s="181" t="e">
        <f>VLOOKUP($A53&amp;$B53,'LE Inputs'!$C$2:$J$505,MATCH('LE UtilityData'!P$1,'LE Inputs'!$C$1:$J$1,0),0)</f>
        <v>#N/A</v>
      </c>
      <c r="Q53" s="297">
        <v>340</v>
      </c>
      <c r="R53" s="297">
        <v>15</v>
      </c>
      <c r="S53" s="298">
        <f t="shared" si="4"/>
        <v>340</v>
      </c>
      <c r="T53" s="298">
        <f t="shared" si="4"/>
        <v>15</v>
      </c>
      <c r="U53" s="159">
        <v>4124</v>
      </c>
      <c r="V53" s="159">
        <v>1696</v>
      </c>
      <c r="W53" s="159">
        <f t="shared" si="5"/>
        <v>748.09981445484618</v>
      </c>
      <c r="X53" s="159">
        <f t="shared" si="1"/>
        <v>748.09564513986982</v>
      </c>
    </row>
    <row r="54" spans="1:24" x14ac:dyDescent="0.2">
      <c r="A54" s="147">
        <v>2005</v>
      </c>
      <c r="B54" s="147">
        <v>5</v>
      </c>
      <c r="C54" s="157">
        <v>241191.90100000001</v>
      </c>
      <c r="D54" s="295">
        <v>241191.90100000001</v>
      </c>
      <c r="E54" s="166">
        <v>6.4065135612233277</v>
      </c>
      <c r="F54" s="166">
        <v>6.4065135612233277</v>
      </c>
      <c r="G54" s="256">
        <f t="shared" si="3"/>
        <v>6.4065135612233277</v>
      </c>
      <c r="H54" s="166">
        <v>28</v>
      </c>
      <c r="I54" s="148">
        <v>698922</v>
      </c>
      <c r="J54" s="181">
        <f>VLOOKUP($A54&amp;$B54,'LE Inputs'!$C$2:$J$505,MATCH('LE UtilityData'!J$1,'LE Inputs'!$C$1:$J$1,0),0)*1000</f>
        <v>1219036</v>
      </c>
      <c r="K54" s="181">
        <v>491133.93082732341</v>
      </c>
      <c r="L54" s="157">
        <v>332951</v>
      </c>
      <c r="M54" s="296">
        <v>332949.03092799999</v>
      </c>
      <c r="N54" s="150">
        <v>37187.197449630999</v>
      </c>
      <c r="O54" s="181">
        <f>VLOOKUP($A54&amp;$B54,'LE Inputs'!$C$2:$J$525,MATCH('LE UtilityData'!O$1,'LE Inputs'!$C$1:$J$1,0),0)</f>
        <v>41225.451744819984</v>
      </c>
      <c r="P54" s="181" t="e">
        <f>VLOOKUP($A54&amp;$B54,'LE Inputs'!$C$2:$J$505,MATCH('LE UtilityData'!P$1,'LE Inputs'!$C$1:$J$1,0),0)</f>
        <v>#N/A</v>
      </c>
      <c r="Q54" s="297">
        <v>204</v>
      </c>
      <c r="R54" s="297">
        <v>45</v>
      </c>
      <c r="S54" s="298">
        <f t="shared" si="4"/>
        <v>204</v>
      </c>
      <c r="T54" s="298">
        <f t="shared" si="4"/>
        <v>45</v>
      </c>
      <c r="U54" s="159">
        <v>4124</v>
      </c>
      <c r="V54" s="159">
        <v>1696</v>
      </c>
      <c r="W54" s="159">
        <f t="shared" si="5"/>
        <v>724.41088153266799</v>
      </c>
      <c r="X54" s="159">
        <f t="shared" si="1"/>
        <v>724.40659736718021</v>
      </c>
    </row>
    <row r="55" spans="1:24" x14ac:dyDescent="0.2">
      <c r="A55" s="147">
        <v>2005</v>
      </c>
      <c r="B55" s="147">
        <v>6</v>
      </c>
      <c r="C55" s="157">
        <v>355723.86</v>
      </c>
      <c r="D55" s="295">
        <v>355723.86</v>
      </c>
      <c r="E55" s="166">
        <v>6.4065135612233277</v>
      </c>
      <c r="F55" s="166">
        <v>6.4065135612233277</v>
      </c>
      <c r="G55" s="256">
        <f t="shared" si="3"/>
        <v>6.4065135612233277</v>
      </c>
      <c r="H55" s="166">
        <v>30.8</v>
      </c>
      <c r="I55" s="148">
        <v>701500</v>
      </c>
      <c r="J55" s="181">
        <f>VLOOKUP($A55&amp;$B55,'LE Inputs'!$C$2:$J$505,MATCH('LE UtilityData'!J$1,'LE Inputs'!$C$1:$J$1,0),0)*1000</f>
        <v>1219036</v>
      </c>
      <c r="K55" s="181">
        <v>491133.93082732341</v>
      </c>
      <c r="L55" s="157">
        <v>333772</v>
      </c>
      <c r="M55" s="296">
        <v>333770.46961599996</v>
      </c>
      <c r="N55" s="150">
        <v>37187.197449630999</v>
      </c>
      <c r="O55" s="181">
        <f>VLOOKUP($A55&amp;$B55,'LE Inputs'!$C$2:$J$525,MATCH('LE UtilityData'!O$1,'LE Inputs'!$C$1:$J$1,0),0)</f>
        <v>41225.451744819984</v>
      </c>
      <c r="P55" s="181" t="e">
        <f>VLOOKUP($A55&amp;$B55,'LE Inputs'!$C$2:$J$505,MATCH('LE UtilityData'!P$1,'LE Inputs'!$C$1:$J$1,0),0)</f>
        <v>#N/A</v>
      </c>
      <c r="Q55" s="297">
        <v>19</v>
      </c>
      <c r="R55" s="297">
        <v>189</v>
      </c>
      <c r="S55" s="298">
        <f t="shared" si="4"/>
        <v>19</v>
      </c>
      <c r="T55" s="298">
        <f t="shared" si="4"/>
        <v>189</v>
      </c>
      <c r="U55" s="159">
        <v>4124</v>
      </c>
      <c r="V55" s="159">
        <v>1696</v>
      </c>
      <c r="W55" s="159">
        <f t="shared" si="5"/>
        <v>1065.7739146583497</v>
      </c>
      <c r="X55" s="159">
        <f t="shared" si="1"/>
        <v>1065.7690279592057</v>
      </c>
    </row>
    <row r="56" spans="1:24" x14ac:dyDescent="0.2">
      <c r="A56" s="147">
        <v>2005</v>
      </c>
      <c r="B56" s="147">
        <v>7</v>
      </c>
      <c r="C56" s="157">
        <v>500098.848</v>
      </c>
      <c r="D56" s="295">
        <v>500098.848</v>
      </c>
      <c r="E56" s="166">
        <v>6.4065135612233277</v>
      </c>
      <c r="F56" s="166">
        <v>6.4065135612233277</v>
      </c>
      <c r="G56" s="256">
        <f t="shared" si="3"/>
        <v>6.4065135612233277</v>
      </c>
      <c r="H56" s="166">
        <v>30.6</v>
      </c>
      <c r="I56" s="148">
        <v>702147</v>
      </c>
      <c r="J56" s="181">
        <f>VLOOKUP($A56&amp;$B56,'LE Inputs'!$C$2:$J$505,MATCH('LE UtilityData'!J$1,'LE Inputs'!$C$1:$J$1,0),0)*1000</f>
        <v>1222784.2499999998</v>
      </c>
      <c r="K56" s="181">
        <v>491921.43505393527</v>
      </c>
      <c r="L56" s="157">
        <v>333883</v>
      </c>
      <c r="M56" s="296">
        <v>333881.08489599999</v>
      </c>
      <c r="N56" s="150">
        <v>37317.042595279701</v>
      </c>
      <c r="O56" s="181">
        <f>VLOOKUP($A56&amp;$B56,'LE Inputs'!$C$2:$J$525,MATCH('LE UtilityData'!O$1,'LE Inputs'!$C$1:$J$1,0),0)</f>
        <v>41377.384784571201</v>
      </c>
      <c r="P56" s="181" t="e">
        <f>VLOOKUP($A56&amp;$B56,'LE Inputs'!$C$2:$J$505,MATCH('LE UtilityData'!P$1,'LE Inputs'!$C$1:$J$1,0),0)</f>
        <v>#N/A</v>
      </c>
      <c r="Q56" s="297">
        <v>0</v>
      </c>
      <c r="R56" s="297">
        <v>408</v>
      </c>
      <c r="S56" s="298">
        <f t="shared" si="4"/>
        <v>0</v>
      </c>
      <c r="T56" s="298">
        <f t="shared" si="4"/>
        <v>408</v>
      </c>
      <c r="U56" s="159">
        <v>4124</v>
      </c>
      <c r="V56" s="159">
        <v>1696</v>
      </c>
      <c r="W56" s="159">
        <f t="shared" si="5"/>
        <v>1497.8352192541092</v>
      </c>
      <c r="X56" s="159">
        <f t="shared" si="1"/>
        <v>1497.8266278906083</v>
      </c>
    </row>
    <row r="57" spans="1:24" x14ac:dyDescent="0.2">
      <c r="A57" s="147">
        <v>2005</v>
      </c>
      <c r="B57" s="147">
        <v>8</v>
      </c>
      <c r="C57" s="157">
        <v>533566.43099999998</v>
      </c>
      <c r="D57" s="295">
        <v>533566.43099999998</v>
      </c>
      <c r="E57" s="166">
        <v>6.4065135612233277</v>
      </c>
      <c r="F57" s="166">
        <v>6.4065135612233277</v>
      </c>
      <c r="G57" s="256">
        <f t="shared" si="3"/>
        <v>6.4065135612233277</v>
      </c>
      <c r="H57" s="166">
        <v>29.6</v>
      </c>
      <c r="I57" s="148">
        <v>702794</v>
      </c>
      <c r="J57" s="181">
        <f>VLOOKUP($A57&amp;$B57,'LE Inputs'!$C$2:$J$505,MATCH('LE UtilityData'!J$1,'LE Inputs'!$C$1:$J$1,0),0)*1000</f>
        <v>1222784.2499999998</v>
      </c>
      <c r="K57" s="181">
        <v>491921.43505393527</v>
      </c>
      <c r="L57" s="157">
        <v>334406</v>
      </c>
      <c r="M57" s="296">
        <v>334404.34326399997</v>
      </c>
      <c r="N57" s="150">
        <v>37317.042595279701</v>
      </c>
      <c r="O57" s="181">
        <f>VLOOKUP($A57&amp;$B57,'LE Inputs'!$C$2:$J$525,MATCH('LE UtilityData'!O$1,'LE Inputs'!$C$1:$J$1,0),0)</f>
        <v>41377.384784571201</v>
      </c>
      <c r="P57" s="181" t="e">
        <f>VLOOKUP($A57&amp;$B57,'LE Inputs'!$C$2:$J$505,MATCH('LE UtilityData'!P$1,'LE Inputs'!$C$1:$J$1,0),0)</f>
        <v>#N/A</v>
      </c>
      <c r="Q57" s="297">
        <v>0</v>
      </c>
      <c r="R57" s="297">
        <v>471</v>
      </c>
      <c r="S57" s="298">
        <f t="shared" si="4"/>
        <v>0</v>
      </c>
      <c r="T57" s="298">
        <f t="shared" si="4"/>
        <v>471</v>
      </c>
      <c r="U57" s="159">
        <v>4124</v>
      </c>
      <c r="V57" s="159">
        <v>1696</v>
      </c>
      <c r="W57" s="159">
        <f t="shared" si="5"/>
        <v>1595.5726704744645</v>
      </c>
      <c r="X57" s="159">
        <f t="shared" si="1"/>
        <v>1595.5647655843495</v>
      </c>
    </row>
    <row r="58" spans="1:24" x14ac:dyDescent="0.2">
      <c r="A58" s="147">
        <v>2005</v>
      </c>
      <c r="B58" s="147">
        <v>9</v>
      </c>
      <c r="C58" s="157">
        <v>474347.99900000001</v>
      </c>
      <c r="D58" s="295">
        <v>474347.99900000001</v>
      </c>
      <c r="E58" s="166">
        <v>6.4065135612233277</v>
      </c>
      <c r="F58" s="166">
        <v>6.4065135612233277</v>
      </c>
      <c r="G58" s="256">
        <f t="shared" si="3"/>
        <v>6.4065135612233277</v>
      </c>
      <c r="H58" s="166">
        <v>30.55</v>
      </c>
      <c r="I58" s="148">
        <v>703441</v>
      </c>
      <c r="J58" s="181">
        <f>VLOOKUP($A58&amp;$B58,'LE Inputs'!$C$2:$J$505,MATCH('LE UtilityData'!J$1,'LE Inputs'!$C$1:$J$1,0),0)*1000</f>
        <v>1222784.2499999998</v>
      </c>
      <c r="K58" s="181">
        <v>491921.43505393527</v>
      </c>
      <c r="L58" s="157">
        <v>334355</v>
      </c>
      <c r="M58" s="296">
        <v>334353.36404799996</v>
      </c>
      <c r="N58" s="150">
        <v>37317.042595279701</v>
      </c>
      <c r="O58" s="181">
        <f>VLOOKUP($A58&amp;$B58,'LE Inputs'!$C$2:$J$525,MATCH('LE UtilityData'!O$1,'LE Inputs'!$C$1:$J$1,0),0)</f>
        <v>41377.384784571201</v>
      </c>
      <c r="P58" s="181" t="e">
        <f>VLOOKUP($A58&amp;$B58,'LE Inputs'!$C$2:$J$505,MATCH('LE UtilityData'!P$1,'LE Inputs'!$C$1:$J$1,0),0)</f>
        <v>#N/A</v>
      </c>
      <c r="Q58" s="297">
        <v>0</v>
      </c>
      <c r="R58" s="297">
        <v>374</v>
      </c>
      <c r="S58" s="298">
        <f t="shared" si="4"/>
        <v>0</v>
      </c>
      <c r="T58" s="298">
        <f t="shared" si="4"/>
        <v>374</v>
      </c>
      <c r="U58" s="159">
        <v>4124</v>
      </c>
      <c r="V58" s="159">
        <v>1696</v>
      </c>
      <c r="W58" s="159">
        <f t="shared" si="5"/>
        <v>1418.702636208267</v>
      </c>
      <c r="X58" s="159">
        <f t="shared" si="1"/>
        <v>1418.6956946957575</v>
      </c>
    </row>
    <row r="59" spans="1:24" x14ac:dyDescent="0.2">
      <c r="A59" s="147">
        <v>2005</v>
      </c>
      <c r="B59" s="147">
        <v>10</v>
      </c>
      <c r="C59" s="157">
        <v>337373.41100000002</v>
      </c>
      <c r="D59" s="295">
        <v>337373.41100000002</v>
      </c>
      <c r="E59" s="166">
        <v>6.4065135612233277</v>
      </c>
      <c r="F59" s="166">
        <v>6.4065135612233277</v>
      </c>
      <c r="G59" s="256">
        <f t="shared" si="3"/>
        <v>6.4065135612233277</v>
      </c>
      <c r="H59" s="166">
        <v>29.75</v>
      </c>
      <c r="I59" s="148">
        <v>704088</v>
      </c>
      <c r="J59" s="181">
        <f>VLOOKUP($A59&amp;$B59,'LE Inputs'!$C$2:$J$505,MATCH('LE UtilityData'!J$1,'LE Inputs'!$C$1:$J$1,0),0)*1000</f>
        <v>1226532.5</v>
      </c>
      <c r="K59" s="181">
        <v>492709.98243133829</v>
      </c>
      <c r="L59" s="157">
        <v>333864</v>
      </c>
      <c r="M59" s="296">
        <v>333861.84745599999</v>
      </c>
      <c r="N59" s="150">
        <v>37479.709452074501</v>
      </c>
      <c r="O59" s="181">
        <f>VLOOKUP($A59&amp;$B59,'LE Inputs'!$C$2:$J$525,MATCH('LE UtilityData'!O$1,'LE Inputs'!$C$1:$J$1,0),0)</f>
        <v>41556.193155002387</v>
      </c>
      <c r="P59" s="181" t="e">
        <f>VLOOKUP($A59&amp;$B59,'LE Inputs'!$C$2:$J$505,MATCH('LE UtilityData'!P$1,'LE Inputs'!$C$1:$J$1,0),0)</f>
        <v>#N/A</v>
      </c>
      <c r="Q59" s="297">
        <v>53</v>
      </c>
      <c r="R59" s="297">
        <v>177</v>
      </c>
      <c r="S59" s="298">
        <f t="shared" si="4"/>
        <v>53</v>
      </c>
      <c r="T59" s="298">
        <f t="shared" si="4"/>
        <v>177</v>
      </c>
      <c r="U59" s="159">
        <v>4124</v>
      </c>
      <c r="V59" s="159">
        <v>1696</v>
      </c>
      <c r="W59" s="159">
        <f t="shared" si="5"/>
        <v>1010.5180138753735</v>
      </c>
      <c r="X59" s="159">
        <f t="shared" si="1"/>
        <v>1010.5114986940791</v>
      </c>
    </row>
    <row r="60" spans="1:24" x14ac:dyDescent="0.2">
      <c r="A60" s="147">
        <v>2005</v>
      </c>
      <c r="B60" s="147">
        <v>11</v>
      </c>
      <c r="C60" s="157">
        <v>243130.55499999999</v>
      </c>
      <c r="D60" s="295">
        <v>243130.55499999999</v>
      </c>
      <c r="E60" s="166">
        <v>6.4065135612233277</v>
      </c>
      <c r="F60" s="166">
        <v>6.4065135612233277</v>
      </c>
      <c r="G60" s="256">
        <f t="shared" si="3"/>
        <v>6.4065135612233277</v>
      </c>
      <c r="H60" s="166">
        <v>29.75</v>
      </c>
      <c r="I60" s="148">
        <v>704735</v>
      </c>
      <c r="J60" s="181">
        <f>VLOOKUP($A60&amp;$B60,'LE Inputs'!$C$2:$J$505,MATCH('LE UtilityData'!J$1,'LE Inputs'!$C$1:$J$1,0),0)*1000</f>
        <v>1226532.5</v>
      </c>
      <c r="K60" s="181">
        <v>492709.98243133829</v>
      </c>
      <c r="L60" s="157">
        <v>334166</v>
      </c>
      <c r="M60" s="296">
        <v>334163.87526399997</v>
      </c>
      <c r="N60" s="150">
        <v>37479.709452074501</v>
      </c>
      <c r="O60" s="181">
        <f>VLOOKUP($A60&amp;$B60,'LE Inputs'!$C$2:$J$525,MATCH('LE UtilityData'!O$1,'LE Inputs'!$C$1:$J$1,0),0)</f>
        <v>41556.193155002387</v>
      </c>
      <c r="P60" s="181" t="e">
        <f>VLOOKUP($A60&amp;$B60,'LE Inputs'!$C$2:$J$505,MATCH('LE UtilityData'!P$1,'LE Inputs'!$C$1:$J$1,0),0)</f>
        <v>#N/A</v>
      </c>
      <c r="Q60" s="297">
        <v>317</v>
      </c>
      <c r="R60" s="297">
        <v>15</v>
      </c>
      <c r="S60" s="298">
        <f t="shared" si="4"/>
        <v>317</v>
      </c>
      <c r="T60" s="298">
        <f t="shared" si="4"/>
        <v>15</v>
      </c>
      <c r="U60" s="159">
        <v>4124</v>
      </c>
      <c r="V60" s="159">
        <v>1696</v>
      </c>
      <c r="W60" s="159">
        <f t="shared" si="5"/>
        <v>727.57881086912585</v>
      </c>
      <c r="X60" s="159">
        <f t="shared" si="1"/>
        <v>727.57418468665264</v>
      </c>
    </row>
    <row r="61" spans="1:24" x14ac:dyDescent="0.2">
      <c r="A61" s="147">
        <v>2005</v>
      </c>
      <c r="B61" s="147">
        <v>12</v>
      </c>
      <c r="C61" s="157">
        <v>343550.51799999998</v>
      </c>
      <c r="D61" s="295">
        <v>343550.51799999998</v>
      </c>
      <c r="E61" s="166">
        <v>6.4065135612233277</v>
      </c>
      <c r="F61" s="166">
        <v>6.4065135612233277</v>
      </c>
      <c r="G61" s="256">
        <f t="shared" si="3"/>
        <v>6.4065135612233277</v>
      </c>
      <c r="H61" s="166">
        <v>32.4</v>
      </c>
      <c r="I61" s="148">
        <v>705382</v>
      </c>
      <c r="J61" s="181">
        <f>VLOOKUP($A61&amp;$B61,'LE Inputs'!$C$2:$J$505,MATCH('LE UtilityData'!J$1,'LE Inputs'!$C$1:$J$1,0),0)*1000</f>
        <v>1226532.5</v>
      </c>
      <c r="K61" s="181">
        <v>492709.98243133829</v>
      </c>
      <c r="L61" s="157">
        <v>333237</v>
      </c>
      <c r="M61" s="296">
        <v>333234.70691199997</v>
      </c>
      <c r="N61" s="150">
        <v>37479.709452074501</v>
      </c>
      <c r="O61" s="181">
        <f>VLOOKUP($A61&amp;$B61,'LE Inputs'!$C$2:$J$525,MATCH('LE UtilityData'!O$1,'LE Inputs'!$C$1:$J$1,0),0)</f>
        <v>41556.193155002387</v>
      </c>
      <c r="P61" s="181" t="e">
        <f>VLOOKUP($A61&amp;$B61,'LE Inputs'!$C$2:$J$505,MATCH('LE UtilityData'!P$1,'LE Inputs'!$C$1:$J$1,0),0)</f>
        <v>#N/A</v>
      </c>
      <c r="Q61" s="297">
        <v>823</v>
      </c>
      <c r="R61" s="297">
        <v>1</v>
      </c>
      <c r="S61" s="298">
        <f t="shared" si="4"/>
        <v>823</v>
      </c>
      <c r="T61" s="298">
        <f t="shared" si="4"/>
        <v>1</v>
      </c>
      <c r="U61" s="159">
        <v>4124</v>
      </c>
      <c r="V61" s="159">
        <v>1696</v>
      </c>
      <c r="W61" s="159">
        <f t="shared" si="5"/>
        <v>1030.9565926778575</v>
      </c>
      <c r="X61" s="159">
        <f t="shared" si="1"/>
        <v>1030.9494984050389</v>
      </c>
    </row>
    <row r="62" spans="1:24" x14ac:dyDescent="0.2">
      <c r="A62" s="147">
        <v>2006</v>
      </c>
      <c r="B62" s="147">
        <v>1</v>
      </c>
      <c r="C62" s="157">
        <v>360831.30099999998</v>
      </c>
      <c r="D62" s="295">
        <v>360831.30099999998</v>
      </c>
      <c r="E62" s="166">
        <v>6.6378619567564607</v>
      </c>
      <c r="F62" s="166">
        <v>6.6378619567564607</v>
      </c>
      <c r="G62" s="256">
        <f t="shared" si="3"/>
        <v>6.6378619567564607</v>
      </c>
      <c r="H62" s="166">
        <v>33.25</v>
      </c>
      <c r="I62" s="148">
        <v>706029</v>
      </c>
      <c r="J62" s="181">
        <f>VLOOKUP($A62&amp;$B62,'LE Inputs'!$C$2:$J$505,MATCH('LE UtilityData'!J$1,'LE Inputs'!$C$1:$J$1,0),0)*1000</f>
        <v>1230280.75</v>
      </c>
      <c r="K62" s="181">
        <v>493499.57934292714</v>
      </c>
      <c r="L62" s="157">
        <v>334637</v>
      </c>
      <c r="M62" s="296">
        <v>347900</v>
      </c>
      <c r="N62" s="150">
        <v>38464.331832340198</v>
      </c>
      <c r="O62" s="181">
        <f>VLOOKUP($A62&amp;$B62,'LE Inputs'!$C$2:$J$525,MATCH('LE UtilityData'!O$1,'LE Inputs'!$C$1:$J$1,0),0)</f>
        <v>42737.212712675537</v>
      </c>
      <c r="P62" s="181" t="e">
        <f>VLOOKUP($A62&amp;$B62,'LE Inputs'!$C$2:$J$505,MATCH('LE UtilityData'!P$1,'LE Inputs'!$C$1:$J$1,0),0)</f>
        <v>#N/A</v>
      </c>
      <c r="Q62" s="297">
        <v>820</v>
      </c>
      <c r="R62" s="297">
        <v>0</v>
      </c>
      <c r="S62" s="298">
        <f t="shared" si="4"/>
        <v>820</v>
      </c>
      <c r="T62" s="298">
        <f t="shared" si="4"/>
        <v>0</v>
      </c>
      <c r="U62" s="159">
        <v>4124</v>
      </c>
      <c r="V62" s="159">
        <v>1696</v>
      </c>
      <c r="W62" s="159">
        <f t="shared" si="5"/>
        <v>1037.1695918367348</v>
      </c>
      <c r="X62" s="159">
        <f t="shared" si="1"/>
        <v>1078.2767625815434</v>
      </c>
    </row>
    <row r="63" spans="1:24" x14ac:dyDescent="0.2">
      <c r="A63" s="147">
        <v>2006</v>
      </c>
      <c r="B63" s="147">
        <v>2</v>
      </c>
      <c r="C63" s="157">
        <v>305128.41800000001</v>
      </c>
      <c r="D63" s="295">
        <v>305128.41800000001</v>
      </c>
      <c r="E63" s="166">
        <v>6.6378619567564607</v>
      </c>
      <c r="F63" s="166">
        <v>6.6378619567564607</v>
      </c>
      <c r="G63" s="256">
        <f t="shared" si="3"/>
        <v>6.6378619567564607</v>
      </c>
      <c r="H63" s="166">
        <v>29.35</v>
      </c>
      <c r="I63" s="148">
        <v>706676</v>
      </c>
      <c r="J63" s="181">
        <f>VLOOKUP($A63&amp;$B63,'LE Inputs'!$C$2:$J$505,MATCH('LE UtilityData'!J$1,'LE Inputs'!$C$1:$J$1,0),0)*1000</f>
        <v>1230280.75</v>
      </c>
      <c r="K63" s="181">
        <v>493499.57934292714</v>
      </c>
      <c r="L63" s="157">
        <v>334794</v>
      </c>
      <c r="M63" s="296">
        <v>348063</v>
      </c>
      <c r="N63" s="150">
        <v>38464.331832340198</v>
      </c>
      <c r="O63" s="181">
        <f>VLOOKUP($A63&amp;$B63,'LE Inputs'!$C$2:$J$525,MATCH('LE UtilityData'!O$1,'LE Inputs'!$C$1:$J$1,0),0)</f>
        <v>42737.212712675537</v>
      </c>
      <c r="P63" s="181" t="e">
        <f>VLOOKUP($A63&amp;$B63,'LE Inputs'!$C$2:$J$505,MATCH('LE UtilityData'!P$1,'LE Inputs'!$C$1:$J$1,0),0)</f>
        <v>#N/A</v>
      </c>
      <c r="Q63" s="297">
        <v>721</v>
      </c>
      <c r="R63" s="297">
        <v>0</v>
      </c>
      <c r="S63" s="298">
        <f t="shared" si="4"/>
        <v>721</v>
      </c>
      <c r="T63" s="298">
        <f t="shared" si="4"/>
        <v>0</v>
      </c>
      <c r="U63" s="159">
        <v>4124</v>
      </c>
      <c r="V63" s="159">
        <v>1696</v>
      </c>
      <c r="W63" s="159">
        <f t="shared" si="5"/>
        <v>876.64709549707948</v>
      </c>
      <c r="X63" s="159">
        <f t="shared" si="1"/>
        <v>911.39153628798613</v>
      </c>
    </row>
    <row r="64" spans="1:24" x14ac:dyDescent="0.2">
      <c r="A64" s="147">
        <v>2006</v>
      </c>
      <c r="B64" s="147">
        <v>3</v>
      </c>
      <c r="C64" s="157">
        <v>287521.62</v>
      </c>
      <c r="D64" s="295">
        <v>287521.62</v>
      </c>
      <c r="E64" s="166">
        <v>6.6378619567564607</v>
      </c>
      <c r="F64" s="166">
        <v>6.6378619567564607</v>
      </c>
      <c r="G64" s="256">
        <f t="shared" si="3"/>
        <v>6.6378619567564607</v>
      </c>
      <c r="H64" s="166">
        <v>29.45</v>
      </c>
      <c r="I64" s="148">
        <v>707323</v>
      </c>
      <c r="J64" s="181">
        <f>VLOOKUP($A64&amp;$B64,'LE Inputs'!$C$2:$J$505,MATCH('LE UtilityData'!J$1,'LE Inputs'!$C$1:$J$1,0),0)*1000</f>
        <v>1230280.75</v>
      </c>
      <c r="K64" s="181">
        <v>493499.57934292714</v>
      </c>
      <c r="L64" s="157">
        <v>335586</v>
      </c>
      <c r="M64" s="296">
        <v>348885.99433173711</v>
      </c>
      <c r="N64" s="150">
        <v>38464.331832340198</v>
      </c>
      <c r="O64" s="181">
        <f>VLOOKUP($A64&amp;$B64,'LE Inputs'!$C$2:$J$525,MATCH('LE UtilityData'!O$1,'LE Inputs'!$C$1:$J$1,0),0)</f>
        <v>42737.212712675537</v>
      </c>
      <c r="P64" s="181" t="e">
        <f>VLOOKUP($A64&amp;$B64,'LE Inputs'!$C$2:$J$505,MATCH('LE UtilityData'!P$1,'LE Inputs'!$C$1:$J$1,0),0)</f>
        <v>#N/A</v>
      </c>
      <c r="Q64" s="297">
        <v>650</v>
      </c>
      <c r="R64" s="297">
        <v>0</v>
      </c>
      <c r="S64" s="298">
        <f t="shared" si="4"/>
        <v>650</v>
      </c>
      <c r="T64" s="298">
        <f t="shared" si="4"/>
        <v>0</v>
      </c>
      <c r="U64" s="159">
        <v>4124</v>
      </c>
      <c r="V64" s="159">
        <v>1696</v>
      </c>
      <c r="W64" s="159">
        <f t="shared" si="5"/>
        <v>824.11339139802499</v>
      </c>
      <c r="X64" s="159">
        <f t="shared" si="1"/>
        <v>856.77477606336367</v>
      </c>
    </row>
    <row r="65" spans="1:24" x14ac:dyDescent="0.2">
      <c r="A65" s="147">
        <v>2006</v>
      </c>
      <c r="B65" s="147">
        <v>4</v>
      </c>
      <c r="C65" s="157">
        <v>261930.731</v>
      </c>
      <c r="D65" s="295">
        <v>261930.731</v>
      </c>
      <c r="E65" s="166">
        <v>6.6378619567564607</v>
      </c>
      <c r="F65" s="166">
        <v>6.6378619567564607</v>
      </c>
      <c r="G65" s="256">
        <f t="shared" si="3"/>
        <v>6.6378619567564607</v>
      </c>
      <c r="H65" s="166">
        <v>30</v>
      </c>
      <c r="I65" s="148">
        <v>707970</v>
      </c>
      <c r="J65" s="181">
        <f>VLOOKUP($A65&amp;$B65,'LE Inputs'!$C$2:$J$505,MATCH('LE UtilityData'!J$1,'LE Inputs'!$C$1:$J$1,0),0)*1000</f>
        <v>1234029</v>
      </c>
      <c r="K65" s="181">
        <v>494290.23214036977</v>
      </c>
      <c r="L65" s="157">
        <v>335830</v>
      </c>
      <c r="M65" s="296">
        <v>349139.99287155579</v>
      </c>
      <c r="N65" s="150">
        <v>38834.416095954097</v>
      </c>
      <c r="O65" s="181">
        <f>VLOOKUP($A65&amp;$B65,'LE Inputs'!$C$2:$J$525,MATCH('LE UtilityData'!O$1,'LE Inputs'!$C$1:$J$1,0),0)</f>
        <v>43080.838944551244</v>
      </c>
      <c r="P65" s="181" t="e">
        <f>VLOOKUP($A65&amp;$B65,'LE Inputs'!$C$2:$J$505,MATCH('LE UtilityData'!P$1,'LE Inputs'!$C$1:$J$1,0),0)</f>
        <v>#N/A</v>
      </c>
      <c r="Q65" s="297">
        <v>389</v>
      </c>
      <c r="R65" s="297">
        <v>24</v>
      </c>
      <c r="S65" s="298">
        <f t="shared" si="4"/>
        <v>389</v>
      </c>
      <c r="T65" s="298">
        <f t="shared" si="4"/>
        <v>24</v>
      </c>
      <c r="U65" s="159">
        <v>4124</v>
      </c>
      <c r="V65" s="159">
        <v>1696</v>
      </c>
      <c r="W65" s="159">
        <f t="shared" si="5"/>
        <v>750.21692257512598</v>
      </c>
      <c r="X65" s="159">
        <f t="shared" si="1"/>
        <v>779.95036476788846</v>
      </c>
    </row>
    <row r="66" spans="1:24" x14ac:dyDescent="0.2">
      <c r="A66" s="147">
        <v>2006</v>
      </c>
      <c r="B66" s="147">
        <v>5</v>
      </c>
      <c r="C66" s="157">
        <v>251222.03</v>
      </c>
      <c r="D66" s="295">
        <v>251222.03</v>
      </c>
      <c r="E66" s="166">
        <v>6.6378619567564607</v>
      </c>
      <c r="F66" s="166">
        <v>6.6378619567564607</v>
      </c>
      <c r="G66" s="256">
        <f t="shared" si="3"/>
        <v>6.6378619567564607</v>
      </c>
      <c r="H66" s="166">
        <v>30.95</v>
      </c>
      <c r="I66" s="148">
        <v>708617</v>
      </c>
      <c r="J66" s="181">
        <f>VLOOKUP($A66&amp;$B66,'LE Inputs'!$C$2:$J$505,MATCH('LE UtilityData'!J$1,'LE Inputs'!$C$1:$J$1,0),0)*1000</f>
        <v>1234029</v>
      </c>
      <c r="K66" s="181">
        <v>494290.23214036977</v>
      </c>
      <c r="L66" s="157">
        <v>336739</v>
      </c>
      <c r="M66" s="296">
        <v>350085</v>
      </c>
      <c r="N66" s="150">
        <v>38834.416095954097</v>
      </c>
      <c r="O66" s="181">
        <f>VLOOKUP($A66&amp;$B66,'LE Inputs'!$C$2:$J$525,MATCH('LE UtilityData'!O$1,'LE Inputs'!$C$1:$J$1,0),0)</f>
        <v>43080.838944551244</v>
      </c>
      <c r="P66" s="181" t="e">
        <f>VLOOKUP($A66&amp;$B66,'LE Inputs'!$C$2:$J$505,MATCH('LE UtilityData'!P$1,'LE Inputs'!$C$1:$J$1,0),0)</f>
        <v>#N/A</v>
      </c>
      <c r="Q66" s="297">
        <v>131</v>
      </c>
      <c r="R66" s="297">
        <v>34</v>
      </c>
      <c r="S66" s="298">
        <f t="shared" si="4"/>
        <v>131</v>
      </c>
      <c r="T66" s="298">
        <f t="shared" si="4"/>
        <v>34</v>
      </c>
      <c r="U66" s="159">
        <v>4124</v>
      </c>
      <c r="V66" s="159">
        <v>1696</v>
      </c>
      <c r="W66" s="159">
        <f t="shared" si="5"/>
        <v>717.60295356841903</v>
      </c>
      <c r="X66" s="159">
        <f t="shared" ref="X66:X129" si="7">C66/L66*1000</f>
        <v>746.04376089493644</v>
      </c>
    </row>
    <row r="67" spans="1:24" x14ac:dyDescent="0.2">
      <c r="A67" s="147">
        <v>2006</v>
      </c>
      <c r="B67" s="147">
        <v>6</v>
      </c>
      <c r="C67" s="157">
        <v>350937.63</v>
      </c>
      <c r="D67" s="295">
        <v>350937.63</v>
      </c>
      <c r="E67" s="166">
        <v>6.6378619567564607</v>
      </c>
      <c r="F67" s="166">
        <v>6.6378619567564607</v>
      </c>
      <c r="G67" s="256">
        <f t="shared" ref="G67:G130" si="8">F67</f>
        <v>6.6378619567564607</v>
      </c>
      <c r="H67" s="166">
        <v>31.35</v>
      </c>
      <c r="I67" s="148">
        <v>709264</v>
      </c>
      <c r="J67" s="181">
        <f>VLOOKUP($A67&amp;$B67,'LE Inputs'!$C$2:$J$505,MATCH('LE UtilityData'!J$1,'LE Inputs'!$C$1:$J$1,0),0)*1000</f>
        <v>1234029</v>
      </c>
      <c r="K67" s="181">
        <v>494290.23214036977</v>
      </c>
      <c r="L67" s="157">
        <v>336686</v>
      </c>
      <c r="M67" s="296">
        <v>350030</v>
      </c>
      <c r="N67" s="150">
        <v>38834.416095954097</v>
      </c>
      <c r="O67" s="181">
        <f>VLOOKUP($A67&amp;$B67,'LE Inputs'!$C$2:$J$525,MATCH('LE UtilityData'!O$1,'LE Inputs'!$C$1:$J$1,0),0)</f>
        <v>43080.838944551244</v>
      </c>
      <c r="P67" s="181" t="e">
        <f>VLOOKUP($A67&amp;$B67,'LE Inputs'!$C$2:$J$505,MATCH('LE UtilityData'!P$1,'LE Inputs'!$C$1:$J$1,0),0)</f>
        <v>#N/A</v>
      </c>
      <c r="Q67" s="297">
        <v>46</v>
      </c>
      <c r="R67" s="297">
        <v>196</v>
      </c>
      <c r="S67" s="298">
        <f t="shared" ref="S67:T127" si="9">Q67</f>
        <v>46</v>
      </c>
      <c r="T67" s="298">
        <f t="shared" si="9"/>
        <v>196</v>
      </c>
      <c r="U67" s="159">
        <v>4124</v>
      </c>
      <c r="V67" s="159">
        <v>1696</v>
      </c>
      <c r="W67" s="159">
        <f t="shared" ref="W67:W130" si="10">D67/M67*1000</f>
        <v>1002.5930063137445</v>
      </c>
      <c r="X67" s="159">
        <f t="shared" si="7"/>
        <v>1042.3291434749292</v>
      </c>
    </row>
    <row r="68" spans="1:24" x14ac:dyDescent="0.2">
      <c r="A68" s="147">
        <v>2006</v>
      </c>
      <c r="B68" s="147">
        <v>7</v>
      </c>
      <c r="C68" s="157">
        <v>463453.03700000001</v>
      </c>
      <c r="D68" s="295">
        <v>463453.03700000001</v>
      </c>
      <c r="E68" s="166">
        <v>6.6378619567564607</v>
      </c>
      <c r="F68" s="166">
        <v>6.6378619567564607</v>
      </c>
      <c r="G68" s="256">
        <f t="shared" si="8"/>
        <v>6.6378619567564607</v>
      </c>
      <c r="H68" s="166">
        <v>30.75</v>
      </c>
      <c r="I68" s="148">
        <v>709648</v>
      </c>
      <c r="J68" s="181">
        <f>VLOOKUP($A68&amp;$B68,'LE Inputs'!$C$2:$J$505,MATCH('LE UtilityData'!J$1,'LE Inputs'!$C$1:$J$1,0),0)*1000</f>
        <v>1237949.5000000002</v>
      </c>
      <c r="K68" s="181">
        <v>494798.99603239028</v>
      </c>
      <c r="L68" s="157">
        <v>337480</v>
      </c>
      <c r="M68" s="296">
        <v>350855</v>
      </c>
      <c r="N68" s="150">
        <v>39025.061143637598</v>
      </c>
      <c r="O68" s="181">
        <f>VLOOKUP($A68&amp;$B68,'LE Inputs'!$C$2:$J$525,MATCH('LE UtilityData'!O$1,'LE Inputs'!$C$1:$J$1,0),0)</f>
        <v>43232.891061967333</v>
      </c>
      <c r="P68" s="181" t="e">
        <f>VLOOKUP($A68&amp;$B68,'LE Inputs'!$C$2:$J$505,MATCH('LE UtilityData'!P$1,'LE Inputs'!$C$1:$J$1,0),0)</f>
        <v>#N/A</v>
      </c>
      <c r="Q68" s="297">
        <v>0</v>
      </c>
      <c r="R68" s="297">
        <v>363</v>
      </c>
      <c r="S68" s="298">
        <f t="shared" si="9"/>
        <v>0</v>
      </c>
      <c r="T68" s="298">
        <f t="shared" si="9"/>
        <v>363</v>
      </c>
      <c r="U68" s="159">
        <v>4124</v>
      </c>
      <c r="V68" s="159">
        <v>1696</v>
      </c>
      <c r="W68" s="159">
        <f t="shared" si="10"/>
        <v>1320.9247039375241</v>
      </c>
      <c r="X68" s="159">
        <f t="shared" si="7"/>
        <v>1373.2755629963258</v>
      </c>
    </row>
    <row r="69" spans="1:24" x14ac:dyDescent="0.2">
      <c r="A69" s="147">
        <v>2006</v>
      </c>
      <c r="B69" s="147">
        <v>8</v>
      </c>
      <c r="C69" s="157">
        <v>517544.28100000002</v>
      </c>
      <c r="D69" s="295">
        <v>517544.28100000002</v>
      </c>
      <c r="E69" s="166">
        <v>6.6378619567564607</v>
      </c>
      <c r="F69" s="166">
        <v>6.6378619567564607</v>
      </c>
      <c r="G69" s="256">
        <f t="shared" si="8"/>
        <v>6.6378619567564607</v>
      </c>
      <c r="H69" s="166">
        <v>29.5</v>
      </c>
      <c r="I69" s="148">
        <v>710032</v>
      </c>
      <c r="J69" s="181">
        <f>VLOOKUP($A69&amp;$B69,'LE Inputs'!$C$2:$J$505,MATCH('LE UtilityData'!J$1,'LE Inputs'!$C$1:$J$1,0),0)*1000</f>
        <v>1237949.5000000002</v>
      </c>
      <c r="K69" s="181">
        <v>494798.99603239028</v>
      </c>
      <c r="L69" s="157">
        <v>337905</v>
      </c>
      <c r="M69" s="296">
        <v>351297</v>
      </c>
      <c r="N69" s="150">
        <v>39025.061143637598</v>
      </c>
      <c r="O69" s="181">
        <f>VLOOKUP($A69&amp;$B69,'LE Inputs'!$C$2:$J$525,MATCH('LE UtilityData'!O$1,'LE Inputs'!$C$1:$J$1,0),0)</f>
        <v>43232.891061967333</v>
      </c>
      <c r="P69" s="181" t="e">
        <f>VLOOKUP($A69&amp;$B69,'LE Inputs'!$C$2:$J$505,MATCH('LE UtilityData'!P$1,'LE Inputs'!$C$1:$J$1,0),0)</f>
        <v>#N/A</v>
      </c>
      <c r="Q69" s="297">
        <v>0</v>
      </c>
      <c r="R69" s="297">
        <v>451</v>
      </c>
      <c r="S69" s="298">
        <f t="shared" si="9"/>
        <v>0</v>
      </c>
      <c r="T69" s="298">
        <f t="shared" si="9"/>
        <v>451</v>
      </c>
      <c r="U69" s="159">
        <v>4124</v>
      </c>
      <c r="V69" s="159">
        <v>1696</v>
      </c>
      <c r="W69" s="159">
        <f t="shared" si="10"/>
        <v>1473.2385445933214</v>
      </c>
      <c r="X69" s="159">
        <f t="shared" si="7"/>
        <v>1531.6265843950223</v>
      </c>
    </row>
    <row r="70" spans="1:24" x14ac:dyDescent="0.2">
      <c r="A70" s="147">
        <v>2006</v>
      </c>
      <c r="B70" s="147">
        <v>9</v>
      </c>
      <c r="C70" s="157">
        <v>402950.61300000001</v>
      </c>
      <c r="D70" s="295">
        <v>402950.61300000001</v>
      </c>
      <c r="E70" s="166">
        <v>6.6378619567564607</v>
      </c>
      <c r="F70" s="166">
        <v>6.6378619567564607</v>
      </c>
      <c r="G70" s="256">
        <f t="shared" si="8"/>
        <v>6.6378619567564607</v>
      </c>
      <c r="H70" s="166">
        <v>30.55</v>
      </c>
      <c r="I70" s="148">
        <v>710416</v>
      </c>
      <c r="J70" s="181">
        <f>VLOOKUP($A70&amp;$B70,'LE Inputs'!$C$2:$J$505,MATCH('LE UtilityData'!J$1,'LE Inputs'!$C$1:$J$1,0),0)*1000</f>
        <v>1237949.5000000002</v>
      </c>
      <c r="K70" s="181">
        <v>494798.99603239028</v>
      </c>
      <c r="L70" s="157">
        <v>336486</v>
      </c>
      <c r="M70" s="296">
        <v>349822.00839740509</v>
      </c>
      <c r="N70" s="150">
        <v>39025.061143637598</v>
      </c>
      <c r="O70" s="181">
        <f>VLOOKUP($A70&amp;$B70,'LE Inputs'!$C$2:$J$525,MATCH('LE UtilityData'!O$1,'LE Inputs'!$C$1:$J$1,0),0)</f>
        <v>43232.891061967333</v>
      </c>
      <c r="P70" s="181" t="e">
        <f>VLOOKUP($A70&amp;$B70,'LE Inputs'!$C$2:$J$505,MATCH('LE UtilityData'!P$1,'LE Inputs'!$C$1:$J$1,0),0)</f>
        <v>#N/A</v>
      </c>
      <c r="Q70" s="297">
        <v>9</v>
      </c>
      <c r="R70" s="297">
        <v>254</v>
      </c>
      <c r="S70" s="298">
        <f t="shared" si="9"/>
        <v>9</v>
      </c>
      <c r="T70" s="298">
        <f t="shared" si="9"/>
        <v>254</v>
      </c>
      <c r="U70" s="159">
        <v>4124</v>
      </c>
      <c r="V70" s="159">
        <v>1696</v>
      </c>
      <c r="W70" s="159">
        <f t="shared" si="10"/>
        <v>1151.873247901086</v>
      </c>
      <c r="X70" s="159">
        <f t="shared" si="7"/>
        <v>1197.5256414828552</v>
      </c>
    </row>
    <row r="71" spans="1:24" x14ac:dyDescent="0.2">
      <c r="A71" s="147">
        <v>2006</v>
      </c>
      <c r="B71" s="147">
        <v>10</v>
      </c>
      <c r="C71" s="157">
        <v>262830.321</v>
      </c>
      <c r="D71" s="295">
        <v>262830.321</v>
      </c>
      <c r="E71" s="166">
        <v>6.6378619567564607</v>
      </c>
      <c r="F71" s="166">
        <v>6.6378619567564607</v>
      </c>
      <c r="G71" s="256">
        <f t="shared" si="8"/>
        <v>6.6378619567564607</v>
      </c>
      <c r="H71" s="166">
        <v>29.75</v>
      </c>
      <c r="I71" s="148">
        <v>710800</v>
      </c>
      <c r="J71" s="181">
        <f>VLOOKUP($A71&amp;$B71,'LE Inputs'!$C$2:$J$505,MATCH('LE UtilityData'!J$1,'LE Inputs'!$C$1:$J$1,0),0)*1000</f>
        <v>1241870</v>
      </c>
      <c r="K71" s="181">
        <v>495308.73724023561</v>
      </c>
      <c r="L71" s="157">
        <v>337809</v>
      </c>
      <c r="M71" s="296">
        <v>351198</v>
      </c>
      <c r="N71" s="150">
        <v>39497.007278844998</v>
      </c>
      <c r="O71" s="181">
        <f>VLOOKUP($A71&amp;$B71,'LE Inputs'!$C$2:$J$525,MATCH('LE UtilityData'!O$1,'LE Inputs'!$C$1:$J$1,0),0)</f>
        <v>43708.566888398796</v>
      </c>
      <c r="P71" s="181" t="e">
        <f>VLOOKUP($A71&amp;$B71,'LE Inputs'!$C$2:$J$505,MATCH('LE UtilityData'!P$1,'LE Inputs'!$C$1:$J$1,0),0)</f>
        <v>#N/A</v>
      </c>
      <c r="Q71" s="297">
        <v>142</v>
      </c>
      <c r="R71" s="297">
        <v>53</v>
      </c>
      <c r="S71" s="298">
        <f t="shared" si="9"/>
        <v>142</v>
      </c>
      <c r="T71" s="298">
        <f t="shared" si="9"/>
        <v>53</v>
      </c>
      <c r="U71" s="159">
        <v>4124</v>
      </c>
      <c r="V71" s="159">
        <v>1696</v>
      </c>
      <c r="W71" s="159">
        <f t="shared" si="10"/>
        <v>748.38216903285331</v>
      </c>
      <c r="X71" s="159">
        <f t="shared" si="7"/>
        <v>778.04416400983985</v>
      </c>
    </row>
    <row r="72" spans="1:24" x14ac:dyDescent="0.2">
      <c r="A72" s="147">
        <v>2006</v>
      </c>
      <c r="B72" s="147">
        <v>11</v>
      </c>
      <c r="C72" s="157">
        <v>266028.12599999999</v>
      </c>
      <c r="D72" s="295">
        <v>266028.12599999999</v>
      </c>
      <c r="E72" s="166">
        <v>6.6378619567564607</v>
      </c>
      <c r="F72" s="166">
        <v>6.6378619567564607</v>
      </c>
      <c r="G72" s="256">
        <f t="shared" si="8"/>
        <v>6.6378619567564607</v>
      </c>
      <c r="H72" s="166">
        <v>29.75</v>
      </c>
      <c r="I72" s="148">
        <v>711184</v>
      </c>
      <c r="J72" s="181">
        <f>VLOOKUP($A72&amp;$B72,'LE Inputs'!$C$2:$J$505,MATCH('LE UtilityData'!J$1,'LE Inputs'!$C$1:$J$1,0),0)*1000</f>
        <v>1241870</v>
      </c>
      <c r="K72" s="181">
        <v>495308.73724023561</v>
      </c>
      <c r="L72" s="157">
        <v>336857</v>
      </c>
      <c r="M72" s="296">
        <v>350208</v>
      </c>
      <c r="N72" s="150">
        <v>39497.007278844998</v>
      </c>
      <c r="O72" s="181">
        <f>VLOOKUP($A72&amp;$B72,'LE Inputs'!$C$2:$J$525,MATCH('LE UtilityData'!O$1,'LE Inputs'!$C$1:$J$1,0),0)</f>
        <v>43708.566888398796</v>
      </c>
      <c r="P72" s="181" t="e">
        <f>VLOOKUP($A72&amp;$B72,'LE Inputs'!$C$2:$J$505,MATCH('LE UtilityData'!P$1,'LE Inputs'!$C$1:$J$1,0),0)</f>
        <v>#N/A</v>
      </c>
      <c r="Q72" s="297">
        <v>455</v>
      </c>
      <c r="R72" s="297">
        <v>3</v>
      </c>
      <c r="S72" s="298">
        <f t="shared" si="9"/>
        <v>455</v>
      </c>
      <c r="T72" s="298">
        <f t="shared" si="9"/>
        <v>3</v>
      </c>
      <c r="U72" s="159">
        <v>4124</v>
      </c>
      <c r="V72" s="159">
        <v>1696</v>
      </c>
      <c r="W72" s="159">
        <f t="shared" si="10"/>
        <v>759.62892338267545</v>
      </c>
      <c r="X72" s="159">
        <f t="shared" si="7"/>
        <v>789.73607792030441</v>
      </c>
    </row>
    <row r="73" spans="1:24" x14ac:dyDescent="0.2">
      <c r="A73" s="147">
        <v>2006</v>
      </c>
      <c r="B73" s="147">
        <v>12</v>
      </c>
      <c r="C73" s="157">
        <v>316766.89</v>
      </c>
      <c r="D73" s="295">
        <v>316766.89</v>
      </c>
      <c r="E73" s="166">
        <v>6.6378619567564607</v>
      </c>
      <c r="F73" s="166">
        <v>6.6378619567564607</v>
      </c>
      <c r="G73" s="256">
        <f t="shared" si="8"/>
        <v>6.6378619567564607</v>
      </c>
      <c r="H73" s="166">
        <v>30.6</v>
      </c>
      <c r="I73" s="148">
        <v>711568</v>
      </c>
      <c r="J73" s="181">
        <f>VLOOKUP($A73&amp;$B73,'LE Inputs'!$C$2:$J$505,MATCH('LE UtilityData'!J$1,'LE Inputs'!$C$1:$J$1,0),0)*1000</f>
        <v>1241870</v>
      </c>
      <c r="K73" s="181">
        <v>495308.73724023561</v>
      </c>
      <c r="L73" s="157">
        <v>336990</v>
      </c>
      <c r="M73" s="296">
        <v>350346</v>
      </c>
      <c r="N73" s="150">
        <v>39497.007278844998</v>
      </c>
      <c r="O73" s="181">
        <f>VLOOKUP($A73&amp;$B73,'LE Inputs'!$C$2:$J$525,MATCH('LE UtilityData'!O$1,'LE Inputs'!$C$1:$J$1,0),0)</f>
        <v>43708.566888398796</v>
      </c>
      <c r="P73" s="181" t="e">
        <f>VLOOKUP($A73&amp;$B73,'LE Inputs'!$C$2:$J$505,MATCH('LE UtilityData'!P$1,'LE Inputs'!$C$1:$J$1,0),0)</f>
        <v>#N/A</v>
      </c>
      <c r="Q73" s="297">
        <v>602</v>
      </c>
      <c r="R73" s="297">
        <v>2</v>
      </c>
      <c r="S73" s="298">
        <f t="shared" si="9"/>
        <v>602</v>
      </c>
      <c r="T73" s="298">
        <f t="shared" si="9"/>
        <v>2</v>
      </c>
      <c r="U73" s="159">
        <v>4124</v>
      </c>
      <c r="V73" s="159">
        <v>1696</v>
      </c>
      <c r="W73" s="159">
        <f t="shared" si="10"/>
        <v>904.15443590050984</v>
      </c>
      <c r="X73" s="159">
        <f t="shared" si="7"/>
        <v>939.98899077123951</v>
      </c>
    </row>
    <row r="74" spans="1:24" x14ac:dyDescent="0.2">
      <c r="A74" s="147">
        <v>2007</v>
      </c>
      <c r="B74" s="147">
        <v>1</v>
      </c>
      <c r="C74" s="157">
        <v>347827.55800000002</v>
      </c>
      <c r="D74" s="295">
        <v>347827.55800000002</v>
      </c>
      <c r="E74" s="166">
        <v>6.8778619567564609</v>
      </c>
      <c r="F74" s="166">
        <v>6.8778619567564609</v>
      </c>
      <c r="G74" s="256">
        <f t="shared" si="8"/>
        <v>6.8778619567564609</v>
      </c>
      <c r="H74" s="166">
        <v>33.35</v>
      </c>
      <c r="I74" s="148">
        <v>711952</v>
      </c>
      <c r="J74" s="181">
        <f>VLOOKUP($A74&amp;$B74,'LE Inputs'!$C$2:$J$505,MATCH('LE UtilityData'!J$1,'LE Inputs'!$C$1:$J$1,0),0)*1000</f>
        <v>1245790.4999999998</v>
      </c>
      <c r="K74" s="181">
        <v>495819.46182717162</v>
      </c>
      <c r="L74" s="157">
        <v>337639</v>
      </c>
      <c r="M74" s="296">
        <v>351021</v>
      </c>
      <c r="N74" s="150">
        <v>39784.142702366</v>
      </c>
      <c r="O74" s="181">
        <f>VLOOKUP($A74&amp;$B74,'LE Inputs'!$C$2:$J$525,MATCH('LE UtilityData'!O$1,'LE Inputs'!$C$1:$J$1,0),0)</f>
        <v>44030.975403095697</v>
      </c>
      <c r="P74" s="181" t="e">
        <f>VLOOKUP($A74&amp;$B74,'LE Inputs'!$C$2:$J$505,MATCH('LE UtilityData'!P$1,'LE Inputs'!$C$1:$J$1,0),0)</f>
        <v>#N/A</v>
      </c>
      <c r="Q74" s="297">
        <v>699</v>
      </c>
      <c r="R74" s="297">
        <v>0</v>
      </c>
      <c r="S74" s="298">
        <f t="shared" si="9"/>
        <v>699</v>
      </c>
      <c r="T74" s="298">
        <f t="shared" si="9"/>
        <v>0</v>
      </c>
      <c r="U74" s="159">
        <v>4124</v>
      </c>
      <c r="V74" s="159">
        <v>1696</v>
      </c>
      <c r="W74" s="159">
        <f t="shared" si="10"/>
        <v>990.90241894359599</v>
      </c>
      <c r="X74" s="159">
        <f t="shared" si="7"/>
        <v>1030.1758920029972</v>
      </c>
    </row>
    <row r="75" spans="1:24" x14ac:dyDescent="0.2">
      <c r="A75" s="147">
        <v>2007</v>
      </c>
      <c r="B75" s="147">
        <v>2</v>
      </c>
      <c r="C75" s="157">
        <v>366931.35100000002</v>
      </c>
      <c r="D75" s="295">
        <v>366931.35100000002</v>
      </c>
      <c r="E75" s="166">
        <v>6.8778619567564609</v>
      </c>
      <c r="F75" s="166">
        <v>6.8778619567564609</v>
      </c>
      <c r="G75" s="256">
        <f t="shared" si="8"/>
        <v>6.8778619567564609</v>
      </c>
      <c r="H75" s="166">
        <v>29.35</v>
      </c>
      <c r="I75" s="148">
        <v>712336</v>
      </c>
      <c r="J75" s="181">
        <f>VLOOKUP($A75&amp;$B75,'LE Inputs'!$C$2:$J$505,MATCH('LE UtilityData'!J$1,'LE Inputs'!$C$1:$J$1,0),0)*1000</f>
        <v>1245790.4999999998</v>
      </c>
      <c r="K75" s="181">
        <v>495819.46182717162</v>
      </c>
      <c r="L75" s="157">
        <v>337986</v>
      </c>
      <c r="M75" s="299">
        <v>351380</v>
      </c>
      <c r="N75" s="150">
        <v>39784.142702366</v>
      </c>
      <c r="O75" s="181">
        <f>VLOOKUP($A75&amp;$B75,'LE Inputs'!$C$2:$J$525,MATCH('LE UtilityData'!O$1,'LE Inputs'!$C$1:$J$1,0),0)</f>
        <v>44030.975403095697</v>
      </c>
      <c r="P75" s="181" t="e">
        <f>VLOOKUP($A75&amp;$B75,'LE Inputs'!$C$2:$J$505,MATCH('LE UtilityData'!P$1,'LE Inputs'!$C$1:$J$1,0),0)</f>
        <v>#N/A</v>
      </c>
      <c r="Q75" s="297">
        <v>1026</v>
      </c>
      <c r="R75" s="297">
        <v>0</v>
      </c>
      <c r="S75" s="298">
        <f t="shared" si="9"/>
        <v>1026</v>
      </c>
      <c r="T75" s="298">
        <f t="shared" si="9"/>
        <v>0</v>
      </c>
      <c r="U75" s="159">
        <v>4124</v>
      </c>
      <c r="V75" s="159">
        <v>1696</v>
      </c>
      <c r="W75" s="159">
        <f t="shared" si="10"/>
        <v>1044.2579287381184</v>
      </c>
      <c r="X75" s="159">
        <f t="shared" si="7"/>
        <v>1085.6406803832112</v>
      </c>
    </row>
    <row r="76" spans="1:24" x14ac:dyDescent="0.2">
      <c r="A76" s="147">
        <v>2007</v>
      </c>
      <c r="B76" s="147">
        <v>3</v>
      </c>
      <c r="C76" s="157">
        <v>310012.95</v>
      </c>
      <c r="D76" s="295">
        <v>310012.95</v>
      </c>
      <c r="E76" s="166">
        <v>6.8778619567564609</v>
      </c>
      <c r="F76" s="166">
        <v>6.8778619567564609</v>
      </c>
      <c r="G76" s="256">
        <f t="shared" si="8"/>
        <v>6.8778619567564609</v>
      </c>
      <c r="H76" s="166">
        <v>29.45</v>
      </c>
      <c r="I76" s="148">
        <v>712720</v>
      </c>
      <c r="J76" s="181">
        <f>VLOOKUP($A76&amp;$B76,'LE Inputs'!$C$2:$J$505,MATCH('LE UtilityData'!J$1,'LE Inputs'!$C$1:$J$1,0),0)*1000</f>
        <v>1245790.4999999998</v>
      </c>
      <c r="K76" s="181">
        <v>495819.46182717162</v>
      </c>
      <c r="L76" s="157">
        <v>338862</v>
      </c>
      <c r="M76" s="296">
        <v>352289.98964096262</v>
      </c>
      <c r="N76" s="150">
        <v>39784.142702366</v>
      </c>
      <c r="O76" s="181">
        <f>VLOOKUP($A76&amp;$B76,'LE Inputs'!$C$2:$J$525,MATCH('LE UtilityData'!O$1,'LE Inputs'!$C$1:$J$1,0),0)</f>
        <v>44030.975403095697</v>
      </c>
      <c r="P76" s="181" t="e">
        <f>VLOOKUP($A76&amp;$B76,'LE Inputs'!$C$2:$J$505,MATCH('LE UtilityData'!P$1,'LE Inputs'!$C$1:$J$1,0),0)</f>
        <v>#N/A</v>
      </c>
      <c r="Q76" s="297">
        <v>677</v>
      </c>
      <c r="R76" s="297">
        <v>6</v>
      </c>
      <c r="S76" s="298">
        <f t="shared" si="9"/>
        <v>677</v>
      </c>
      <c r="T76" s="298">
        <f t="shared" si="9"/>
        <v>6</v>
      </c>
      <c r="U76" s="159">
        <v>4124</v>
      </c>
      <c r="V76" s="159">
        <v>1696</v>
      </c>
      <c r="W76" s="159">
        <f t="shared" si="10"/>
        <v>879.99363909247222</v>
      </c>
      <c r="X76" s="159">
        <f t="shared" si="7"/>
        <v>914.86490075606002</v>
      </c>
    </row>
    <row r="77" spans="1:24" x14ac:dyDescent="0.2">
      <c r="A77" s="147">
        <v>2007</v>
      </c>
      <c r="B77" s="147">
        <v>4</v>
      </c>
      <c r="C77" s="157">
        <v>270936.31900000002</v>
      </c>
      <c r="D77" s="295">
        <v>270936.31900000002</v>
      </c>
      <c r="E77" s="166">
        <v>6.8778619567564609</v>
      </c>
      <c r="F77" s="166">
        <v>6.8778619567564609</v>
      </c>
      <c r="G77" s="256">
        <f t="shared" si="8"/>
        <v>6.8778619567564609</v>
      </c>
      <c r="H77" s="166">
        <v>30.55</v>
      </c>
      <c r="I77" s="148">
        <v>713104</v>
      </c>
      <c r="J77" s="181">
        <f>VLOOKUP($A77&amp;$B77,'LE Inputs'!$C$2:$J$505,MATCH('LE UtilityData'!J$1,'LE Inputs'!$C$1:$J$1,0),0)*1000</f>
        <v>1249710.9999999998</v>
      </c>
      <c r="K77" s="181">
        <v>496331.17579403974</v>
      </c>
      <c r="L77" s="157">
        <v>338655</v>
      </c>
      <c r="M77" s="296">
        <v>352074</v>
      </c>
      <c r="N77" s="150">
        <v>39796.630801948901</v>
      </c>
      <c r="O77" s="181">
        <f>VLOOKUP($A77&amp;$B77,'LE Inputs'!$C$2:$J$525,MATCH('LE UtilityData'!O$1,'LE Inputs'!$C$1:$J$1,0),0)</f>
        <v>43976.320423795529</v>
      </c>
      <c r="P77" s="181" t="e">
        <f>VLOOKUP($A77&amp;$B77,'LE Inputs'!$C$2:$J$505,MATCH('LE UtilityData'!P$1,'LE Inputs'!$C$1:$J$1,0),0)</f>
        <v>#N/A</v>
      </c>
      <c r="Q77" s="297">
        <v>321</v>
      </c>
      <c r="R77" s="297">
        <v>44</v>
      </c>
      <c r="S77" s="298">
        <f t="shared" si="9"/>
        <v>321</v>
      </c>
      <c r="T77" s="298">
        <f t="shared" si="9"/>
        <v>44</v>
      </c>
      <c r="U77" s="159">
        <v>4124</v>
      </c>
      <c r="V77" s="159">
        <v>1696</v>
      </c>
      <c r="W77" s="159">
        <f t="shared" si="10"/>
        <v>769.54367263700249</v>
      </c>
      <c r="X77" s="159">
        <f t="shared" si="7"/>
        <v>800.03637625311899</v>
      </c>
    </row>
    <row r="78" spans="1:24" x14ac:dyDescent="0.2">
      <c r="A78" s="147">
        <v>2007</v>
      </c>
      <c r="B78" s="147">
        <v>5</v>
      </c>
      <c r="C78" s="157">
        <v>289411.48700000002</v>
      </c>
      <c r="D78" s="295">
        <v>289411.48700000002</v>
      </c>
      <c r="E78" s="166">
        <v>6.8778619567564609</v>
      </c>
      <c r="F78" s="166">
        <v>6.8778619567564609</v>
      </c>
      <c r="G78" s="256">
        <f t="shared" si="8"/>
        <v>6.8778619567564609</v>
      </c>
      <c r="H78" s="166">
        <v>29.75</v>
      </c>
      <c r="I78" s="148">
        <v>713488</v>
      </c>
      <c r="J78" s="181">
        <f>VLOOKUP($A78&amp;$B78,'LE Inputs'!$C$2:$J$505,MATCH('LE UtilityData'!J$1,'LE Inputs'!$C$1:$J$1,0),0)*1000</f>
        <v>1249710.9999999998</v>
      </c>
      <c r="K78" s="181">
        <v>496331.17579403974</v>
      </c>
      <c r="L78" s="157">
        <v>339857</v>
      </c>
      <c r="M78" s="296">
        <v>353325</v>
      </c>
      <c r="N78" s="150">
        <v>39796.630801948901</v>
      </c>
      <c r="O78" s="181">
        <f>VLOOKUP($A78&amp;$B78,'LE Inputs'!$C$2:$J$525,MATCH('LE UtilityData'!O$1,'LE Inputs'!$C$1:$J$1,0),0)</f>
        <v>43976.320423795529</v>
      </c>
      <c r="P78" s="181" t="e">
        <f>VLOOKUP($A78&amp;$B78,'LE Inputs'!$C$2:$J$505,MATCH('LE UtilityData'!P$1,'LE Inputs'!$C$1:$J$1,0),0)</f>
        <v>#N/A</v>
      </c>
      <c r="Q78" s="297">
        <v>126</v>
      </c>
      <c r="R78" s="297">
        <v>94</v>
      </c>
      <c r="S78" s="298">
        <f t="shared" si="9"/>
        <v>126</v>
      </c>
      <c r="T78" s="298">
        <f t="shared" si="9"/>
        <v>94</v>
      </c>
      <c r="U78" s="159">
        <v>4124</v>
      </c>
      <c r="V78" s="159">
        <v>1696</v>
      </c>
      <c r="W78" s="159">
        <f t="shared" si="10"/>
        <v>819.10843274605543</v>
      </c>
      <c r="X78" s="159">
        <f t="shared" si="7"/>
        <v>851.56841553947697</v>
      </c>
    </row>
    <row r="79" spans="1:24" x14ac:dyDescent="0.2">
      <c r="A79" s="147">
        <v>2007</v>
      </c>
      <c r="B79" s="147">
        <v>6</v>
      </c>
      <c r="C79" s="157">
        <v>409539.29599999997</v>
      </c>
      <c r="D79" s="295">
        <v>409539.29599999997</v>
      </c>
      <c r="E79" s="166">
        <v>6.8778619567564609</v>
      </c>
      <c r="F79" s="166">
        <v>6.8778619567564609</v>
      </c>
      <c r="G79" s="256">
        <f t="shared" si="8"/>
        <v>6.8778619567564609</v>
      </c>
      <c r="H79" s="166">
        <v>30.7</v>
      </c>
      <c r="I79" s="148">
        <v>713877</v>
      </c>
      <c r="J79" s="181">
        <f>VLOOKUP($A79&amp;$B79,'LE Inputs'!$C$2:$J$505,MATCH('LE UtilityData'!J$1,'LE Inputs'!$C$1:$J$1,0),0)*1000</f>
        <v>1249710.9999999998</v>
      </c>
      <c r="K79" s="181">
        <v>496331.17579403974</v>
      </c>
      <c r="L79" s="157">
        <v>339927</v>
      </c>
      <c r="M79" s="296">
        <v>353397</v>
      </c>
      <c r="N79" s="150">
        <v>39796.630801948901</v>
      </c>
      <c r="O79" s="181">
        <f>VLOOKUP($A79&amp;$B79,'LE Inputs'!$C$2:$J$525,MATCH('LE UtilityData'!O$1,'LE Inputs'!$C$1:$J$1,0),0)</f>
        <v>43976.320423795529</v>
      </c>
      <c r="P79" s="181" t="e">
        <f>VLOOKUP($A79&amp;$B79,'LE Inputs'!$C$2:$J$505,MATCH('LE UtilityData'!P$1,'LE Inputs'!$C$1:$J$1,0),0)</f>
        <v>#N/A</v>
      </c>
      <c r="Q79" s="297">
        <v>16</v>
      </c>
      <c r="R79" s="297">
        <v>268</v>
      </c>
      <c r="S79" s="298">
        <f t="shared" si="9"/>
        <v>16</v>
      </c>
      <c r="T79" s="298">
        <f t="shared" si="9"/>
        <v>268</v>
      </c>
      <c r="U79" s="159">
        <v>4124</v>
      </c>
      <c r="V79" s="159">
        <v>1696</v>
      </c>
      <c r="W79" s="159">
        <f t="shared" si="10"/>
        <v>1158.8646649518812</v>
      </c>
      <c r="X79" s="159">
        <f t="shared" si="7"/>
        <v>1204.786015821044</v>
      </c>
    </row>
    <row r="80" spans="1:24" x14ac:dyDescent="0.2">
      <c r="A80" s="147">
        <v>2007</v>
      </c>
      <c r="B80" s="147">
        <v>7</v>
      </c>
      <c r="C80" s="157">
        <v>477374.40299999999</v>
      </c>
      <c r="D80" s="295">
        <v>477374.40299999999</v>
      </c>
      <c r="E80" s="166">
        <v>6.8778619567564609</v>
      </c>
      <c r="F80" s="166">
        <v>6.8778619567564609</v>
      </c>
      <c r="G80" s="256">
        <f t="shared" si="8"/>
        <v>6.8778619567564609</v>
      </c>
      <c r="H80" s="166">
        <v>30.7</v>
      </c>
      <c r="I80" s="148">
        <v>714520</v>
      </c>
      <c r="J80" s="181">
        <f>VLOOKUP($A80&amp;$B80,'LE Inputs'!$C$2:$J$505,MATCH('LE UtilityData'!J$1,'LE Inputs'!$C$1:$J$1,0),0)*1000</f>
        <v>1253361.7500000002</v>
      </c>
      <c r="K80" s="181">
        <v>498320.41076592548</v>
      </c>
      <c r="L80" s="157">
        <v>340356</v>
      </c>
      <c r="M80" s="296">
        <v>353844</v>
      </c>
      <c r="N80" s="150">
        <v>39731.309883656999</v>
      </c>
      <c r="O80" s="181">
        <f>VLOOKUP($A80&amp;$B80,'LE Inputs'!$C$2:$J$525,MATCH('LE UtilityData'!O$1,'LE Inputs'!$C$1:$J$1,0),0)</f>
        <v>43804.205504966245</v>
      </c>
      <c r="P80" s="181" t="e">
        <f>VLOOKUP($A80&amp;$B80,'LE Inputs'!$C$2:$J$505,MATCH('LE UtilityData'!P$1,'LE Inputs'!$C$1:$J$1,0),0)</f>
        <v>#N/A</v>
      </c>
      <c r="Q80" s="297">
        <v>0</v>
      </c>
      <c r="R80" s="297">
        <v>369</v>
      </c>
      <c r="S80" s="298">
        <f t="shared" si="9"/>
        <v>0</v>
      </c>
      <c r="T80" s="298">
        <f t="shared" si="9"/>
        <v>369</v>
      </c>
      <c r="U80" s="159">
        <v>4124</v>
      </c>
      <c r="V80" s="159">
        <v>1696</v>
      </c>
      <c r="W80" s="159">
        <f t="shared" si="10"/>
        <v>1349.1097856682607</v>
      </c>
      <c r="X80" s="159">
        <f t="shared" si="7"/>
        <v>1402.5737845079857</v>
      </c>
    </row>
    <row r="81" spans="1:24" x14ac:dyDescent="0.2">
      <c r="A81" s="147">
        <v>2007</v>
      </c>
      <c r="B81" s="147">
        <v>8</v>
      </c>
      <c r="C81" s="157">
        <v>536804.66</v>
      </c>
      <c r="D81" s="295">
        <v>536804.66</v>
      </c>
      <c r="E81" s="166">
        <v>6.8778619567564609</v>
      </c>
      <c r="F81" s="166">
        <v>6.8778619567564609</v>
      </c>
      <c r="G81" s="256">
        <f t="shared" si="8"/>
        <v>6.8778619567564609</v>
      </c>
      <c r="H81" s="166">
        <v>30.2</v>
      </c>
      <c r="I81" s="148">
        <v>715163</v>
      </c>
      <c r="J81" s="181">
        <f>VLOOKUP($A81&amp;$B81,'LE Inputs'!$C$2:$J$505,MATCH('LE UtilityData'!J$1,'LE Inputs'!$C$1:$J$1,0),0)*1000</f>
        <v>1253361.7500000002</v>
      </c>
      <c r="K81" s="181">
        <v>498320.41076592548</v>
      </c>
      <c r="L81" s="157">
        <v>340511</v>
      </c>
      <c r="M81" s="299">
        <v>354004</v>
      </c>
      <c r="N81" s="150">
        <v>39731.309883656999</v>
      </c>
      <c r="O81" s="181">
        <f>VLOOKUP($A81&amp;$B81,'LE Inputs'!$C$2:$J$525,MATCH('LE UtilityData'!O$1,'LE Inputs'!$C$1:$J$1,0),0)</f>
        <v>43804.205504966245</v>
      </c>
      <c r="P81" s="181" t="e">
        <f>VLOOKUP($A81&amp;$B81,'LE Inputs'!$C$2:$J$505,MATCH('LE UtilityData'!P$1,'LE Inputs'!$C$1:$J$1,0),0)</f>
        <v>#N/A</v>
      </c>
      <c r="Q81" s="297">
        <v>0</v>
      </c>
      <c r="R81" s="297">
        <v>473</v>
      </c>
      <c r="S81" s="298">
        <f t="shared" si="9"/>
        <v>0</v>
      </c>
      <c r="T81" s="298">
        <f t="shared" si="9"/>
        <v>473</v>
      </c>
      <c r="U81" s="159">
        <v>4124</v>
      </c>
      <c r="V81" s="159">
        <v>1696</v>
      </c>
      <c r="W81" s="159">
        <f t="shared" si="10"/>
        <v>1516.380210393103</v>
      </c>
      <c r="X81" s="159">
        <f t="shared" si="7"/>
        <v>1576.4678967786651</v>
      </c>
    </row>
    <row r="82" spans="1:24" x14ac:dyDescent="0.2">
      <c r="A82" s="147">
        <v>2007</v>
      </c>
      <c r="B82" s="147">
        <v>9</v>
      </c>
      <c r="C82" s="157">
        <v>531203.08100000001</v>
      </c>
      <c r="D82" s="295">
        <v>531203.08100000001</v>
      </c>
      <c r="E82" s="166">
        <v>6.8778619567564609</v>
      </c>
      <c r="F82" s="166">
        <v>6.8778619567564609</v>
      </c>
      <c r="G82" s="256">
        <f t="shared" si="8"/>
        <v>6.8778619567564609</v>
      </c>
      <c r="H82" s="166">
        <v>31.3</v>
      </c>
      <c r="I82" s="148">
        <v>715806</v>
      </c>
      <c r="J82" s="181">
        <f>VLOOKUP($A82&amp;$B82,'LE Inputs'!$C$2:$J$505,MATCH('LE UtilityData'!J$1,'LE Inputs'!$C$1:$J$1,0),0)*1000</f>
        <v>1253361.7500000002</v>
      </c>
      <c r="K82" s="181">
        <v>498320.41076592548</v>
      </c>
      <c r="L82" s="157">
        <v>339470</v>
      </c>
      <c r="M82" s="299">
        <v>352921</v>
      </c>
      <c r="N82" s="150">
        <v>39731.309883656999</v>
      </c>
      <c r="O82" s="181">
        <f>VLOOKUP($A82&amp;$B82,'LE Inputs'!$C$2:$J$525,MATCH('LE UtilityData'!O$1,'LE Inputs'!$C$1:$J$1,0),0)</f>
        <v>43804.205504966245</v>
      </c>
      <c r="P82" s="181" t="e">
        <f>VLOOKUP($A82&amp;$B82,'LE Inputs'!$C$2:$J$505,MATCH('LE UtilityData'!P$1,'LE Inputs'!$C$1:$J$1,0),0)</f>
        <v>#N/A</v>
      </c>
      <c r="Q82" s="297">
        <v>3</v>
      </c>
      <c r="R82" s="297">
        <v>457</v>
      </c>
      <c r="S82" s="298">
        <f t="shared" si="9"/>
        <v>3</v>
      </c>
      <c r="T82" s="298">
        <f t="shared" si="9"/>
        <v>457</v>
      </c>
      <c r="U82" s="159">
        <v>4124</v>
      </c>
      <c r="V82" s="159">
        <v>1696</v>
      </c>
      <c r="W82" s="159">
        <f t="shared" si="10"/>
        <v>1505.1614412290571</v>
      </c>
      <c r="X82" s="159">
        <f t="shared" si="7"/>
        <v>1564.8012519515714</v>
      </c>
    </row>
    <row r="83" spans="1:24" x14ac:dyDescent="0.2">
      <c r="A83" s="147">
        <v>2007</v>
      </c>
      <c r="B83" s="147">
        <v>10</v>
      </c>
      <c r="C83" s="157">
        <v>356757.32299999997</v>
      </c>
      <c r="D83" s="295">
        <v>356757.32299999997</v>
      </c>
      <c r="E83" s="166">
        <v>6.8778619567564609</v>
      </c>
      <c r="F83" s="166">
        <v>6.8778619567564609</v>
      </c>
      <c r="G83" s="256">
        <f t="shared" si="8"/>
        <v>6.8778619567564609</v>
      </c>
      <c r="H83" s="166">
        <v>29.6</v>
      </c>
      <c r="I83" s="148">
        <v>716449</v>
      </c>
      <c r="J83" s="181">
        <f>VLOOKUP($A83&amp;$B83,'LE Inputs'!$C$2:$J$505,MATCH('LE UtilityData'!J$1,'LE Inputs'!$C$1:$J$1,0),0)*1000</f>
        <v>1257012.5</v>
      </c>
      <c r="K83" s="181">
        <v>500316.45665447216</v>
      </c>
      <c r="L83" s="157">
        <v>339135</v>
      </c>
      <c r="M83" s="299">
        <v>352578</v>
      </c>
      <c r="N83" s="150">
        <v>39688.077221099498</v>
      </c>
      <c r="O83" s="181">
        <f>VLOOKUP($A83&amp;$B83,'LE Inputs'!$C$2:$J$525,MATCH('LE UtilityData'!O$1,'LE Inputs'!$C$1:$J$1,0),0)</f>
        <v>43950.038904835856</v>
      </c>
      <c r="P83" s="181" t="e">
        <f>VLOOKUP($A83&amp;$B83,'LE Inputs'!$C$2:$J$505,MATCH('LE UtilityData'!P$1,'LE Inputs'!$C$1:$J$1,0),0)</f>
        <v>#N/A</v>
      </c>
      <c r="Q83" s="297">
        <v>36</v>
      </c>
      <c r="R83" s="297">
        <v>217</v>
      </c>
      <c r="S83" s="298">
        <f t="shared" si="9"/>
        <v>36</v>
      </c>
      <c r="T83" s="298">
        <f t="shared" si="9"/>
        <v>217</v>
      </c>
      <c r="U83" s="159">
        <v>4124</v>
      </c>
      <c r="V83" s="164">
        <v>1696</v>
      </c>
      <c r="W83" s="159">
        <f t="shared" si="10"/>
        <v>1011.8536125339641</v>
      </c>
      <c r="X83" s="159">
        <f t="shared" si="7"/>
        <v>1051.9625606321965</v>
      </c>
    </row>
    <row r="84" spans="1:24" x14ac:dyDescent="0.2">
      <c r="A84" s="147">
        <v>2007</v>
      </c>
      <c r="B84" s="147">
        <v>11</v>
      </c>
      <c r="C84" s="157">
        <v>267318.96799999999</v>
      </c>
      <c r="D84" s="295">
        <v>267318.96799999999</v>
      </c>
      <c r="E84" s="166">
        <v>6.8778619567564609</v>
      </c>
      <c r="F84" s="166">
        <v>6.8778619567564609</v>
      </c>
      <c r="G84" s="256">
        <f t="shared" si="8"/>
        <v>6.8778619567564609</v>
      </c>
      <c r="H84" s="166">
        <v>29.95</v>
      </c>
      <c r="I84" s="148">
        <v>717092</v>
      </c>
      <c r="J84" s="181">
        <f>VLOOKUP($A84&amp;$B84,'LE Inputs'!$C$2:$J$505,MATCH('LE UtilityData'!J$1,'LE Inputs'!$C$1:$J$1,0),0)*1000</f>
        <v>1257012.5</v>
      </c>
      <c r="K84" s="181">
        <v>500316.45665447216</v>
      </c>
      <c r="L84" s="157">
        <v>339429</v>
      </c>
      <c r="M84" s="296">
        <v>352884</v>
      </c>
      <c r="N84" s="150">
        <v>39688.077221099498</v>
      </c>
      <c r="O84" s="181">
        <f>VLOOKUP($A84&amp;$B84,'LE Inputs'!$C$2:$J$525,MATCH('LE UtilityData'!O$1,'LE Inputs'!$C$1:$J$1,0),0)</f>
        <v>43950.038904835856</v>
      </c>
      <c r="P84" s="181" t="e">
        <f>VLOOKUP($A84&amp;$B84,'LE Inputs'!$C$2:$J$505,MATCH('LE UtilityData'!P$1,'LE Inputs'!$C$1:$J$1,0),0)</f>
        <v>#N/A</v>
      </c>
      <c r="Q84" s="297">
        <v>337</v>
      </c>
      <c r="R84" s="297">
        <v>26</v>
      </c>
      <c r="S84" s="298">
        <f t="shared" si="9"/>
        <v>337</v>
      </c>
      <c r="T84" s="298">
        <f t="shared" si="9"/>
        <v>26</v>
      </c>
      <c r="U84" s="159">
        <v>4124</v>
      </c>
      <c r="V84" s="159">
        <v>1696</v>
      </c>
      <c r="W84" s="159">
        <f t="shared" si="10"/>
        <v>757.52646195350314</v>
      </c>
      <c r="X84" s="159">
        <f t="shared" si="7"/>
        <v>787.55488776739753</v>
      </c>
    </row>
    <row r="85" spans="1:24" x14ac:dyDescent="0.2">
      <c r="A85" s="147">
        <v>2007</v>
      </c>
      <c r="B85" s="147">
        <v>12</v>
      </c>
      <c r="C85" s="157">
        <v>319514.77500000002</v>
      </c>
      <c r="D85" s="295">
        <v>319514.77500000002</v>
      </c>
      <c r="E85" s="166">
        <v>6.8778619567564609</v>
      </c>
      <c r="F85" s="166">
        <v>6.8778619567564609</v>
      </c>
      <c r="G85" s="256">
        <f t="shared" si="8"/>
        <v>6.8778619567564609</v>
      </c>
      <c r="H85" s="166">
        <v>30.7</v>
      </c>
      <c r="I85" s="148">
        <v>717735</v>
      </c>
      <c r="J85" s="181">
        <f>VLOOKUP($A85&amp;$B85,'LE Inputs'!$C$2:$J$505,MATCH('LE UtilityData'!J$1,'LE Inputs'!$C$1:$J$1,0),0)*1000</f>
        <v>1257012.5</v>
      </c>
      <c r="K85" s="181">
        <v>500316.45665447216</v>
      </c>
      <c r="L85" s="157">
        <v>339192</v>
      </c>
      <c r="M85" s="299">
        <v>352637</v>
      </c>
      <c r="N85" s="150">
        <v>39688.077221099498</v>
      </c>
      <c r="O85" s="181">
        <f>VLOOKUP($A85&amp;$B85,'LE Inputs'!$C$2:$J$525,MATCH('LE UtilityData'!O$1,'LE Inputs'!$C$1:$J$1,0),0)</f>
        <v>43950.038904835856</v>
      </c>
      <c r="P85" s="181" t="e">
        <f>VLOOKUP($A85&amp;$B85,'LE Inputs'!$C$2:$J$505,MATCH('LE UtilityData'!P$1,'LE Inputs'!$C$1:$J$1,0),0)</f>
        <v>#N/A</v>
      </c>
      <c r="Q85" s="297">
        <v>654</v>
      </c>
      <c r="R85" s="297">
        <v>0</v>
      </c>
      <c r="S85" s="298">
        <f t="shared" si="9"/>
        <v>654</v>
      </c>
      <c r="T85" s="298">
        <f t="shared" si="9"/>
        <v>0</v>
      </c>
      <c r="U85" s="159">
        <v>4124</v>
      </c>
      <c r="V85" s="159">
        <v>1696</v>
      </c>
      <c r="W85" s="159">
        <f t="shared" si="10"/>
        <v>906.07274619509587</v>
      </c>
      <c r="X85" s="159">
        <f t="shared" si="7"/>
        <v>941.98794488077556</v>
      </c>
    </row>
    <row r="86" spans="1:24" x14ac:dyDescent="0.2">
      <c r="A86" s="147">
        <v>2008</v>
      </c>
      <c r="B86" s="147">
        <v>1</v>
      </c>
      <c r="C86" s="157">
        <v>387901.87599999999</v>
      </c>
      <c r="D86" s="295">
        <v>387901.87599999999</v>
      </c>
      <c r="E86" s="166">
        <v>7.1562642176594835</v>
      </c>
      <c r="F86" s="166">
        <v>7.1562642176594835</v>
      </c>
      <c r="G86" s="256">
        <f t="shared" si="8"/>
        <v>7.1562642176594835</v>
      </c>
      <c r="H86" s="166">
        <v>33.15</v>
      </c>
      <c r="I86" s="148">
        <v>718378</v>
      </c>
      <c r="J86" s="181">
        <f>VLOOKUP($A86&amp;$B86,'LE Inputs'!$C$2:$J$505,MATCH('LE UtilityData'!J$1,'LE Inputs'!$C$1:$J$1,0),0)*1000</f>
        <v>1260663.25</v>
      </c>
      <c r="K86" s="181">
        <v>502319.34308818664</v>
      </c>
      <c r="L86" s="157">
        <v>339515</v>
      </c>
      <c r="M86" s="299">
        <v>352968</v>
      </c>
      <c r="N86" s="150">
        <v>39684.398513436703</v>
      </c>
      <c r="O86" s="181">
        <f>VLOOKUP($A86&amp;$B86,'LE Inputs'!$C$2:$J$525,MATCH('LE UtilityData'!O$1,'LE Inputs'!$C$1:$J$1,0),0)</f>
        <v>44416.10845096485</v>
      </c>
      <c r="P86" s="181" t="e">
        <f>VLOOKUP($A86&amp;$B86,'LE Inputs'!$C$2:$J$505,MATCH('LE UtilityData'!P$1,'LE Inputs'!$C$1:$J$1,0),0)</f>
        <v>#N/A</v>
      </c>
      <c r="Q86" s="297">
        <v>873</v>
      </c>
      <c r="R86" s="297">
        <v>4</v>
      </c>
      <c r="S86" s="298">
        <f t="shared" si="9"/>
        <v>873</v>
      </c>
      <c r="T86" s="298">
        <f t="shared" si="9"/>
        <v>4</v>
      </c>
      <c r="U86" s="159">
        <v>4124</v>
      </c>
      <c r="V86" s="159">
        <v>1696</v>
      </c>
      <c r="W86" s="159">
        <f t="shared" si="10"/>
        <v>1098.9717934770292</v>
      </c>
      <c r="X86" s="159">
        <f t="shared" si="7"/>
        <v>1142.5176383959472</v>
      </c>
    </row>
    <row r="87" spans="1:24" x14ac:dyDescent="0.2">
      <c r="A87" s="147">
        <v>2008</v>
      </c>
      <c r="B87" s="147">
        <v>2</v>
      </c>
      <c r="C87" s="157">
        <v>348271.755</v>
      </c>
      <c r="D87" s="295">
        <v>348271.755</v>
      </c>
      <c r="E87" s="166">
        <v>7.1562642176594835</v>
      </c>
      <c r="F87" s="166">
        <v>7.1562642176594835</v>
      </c>
      <c r="G87" s="256">
        <f t="shared" si="8"/>
        <v>7.1562642176594835</v>
      </c>
      <c r="H87" s="166">
        <v>29.35</v>
      </c>
      <c r="I87" s="148">
        <v>719021</v>
      </c>
      <c r="J87" s="181">
        <f>VLOOKUP($A87&amp;$B87,'LE Inputs'!$C$2:$J$505,MATCH('LE UtilityData'!J$1,'LE Inputs'!$C$1:$J$1,0),0)*1000</f>
        <v>1260663.25</v>
      </c>
      <c r="K87" s="181">
        <v>502319.34308818664</v>
      </c>
      <c r="L87" s="157">
        <v>339229</v>
      </c>
      <c r="M87" s="299">
        <v>352671</v>
      </c>
      <c r="N87" s="150">
        <v>39684.398513436703</v>
      </c>
      <c r="O87" s="181">
        <f>VLOOKUP($A87&amp;$B87,'LE Inputs'!$C$2:$J$525,MATCH('LE UtilityData'!O$1,'LE Inputs'!$C$1:$J$1,0),0)</f>
        <v>44416.10845096485</v>
      </c>
      <c r="P87" s="181" t="e">
        <f>VLOOKUP($A87&amp;$B87,'LE Inputs'!$C$2:$J$505,MATCH('LE UtilityData'!P$1,'LE Inputs'!$C$1:$J$1,0),0)</f>
        <v>#N/A</v>
      </c>
      <c r="Q87" s="297">
        <v>877</v>
      </c>
      <c r="R87" s="297">
        <v>1</v>
      </c>
      <c r="S87" s="298">
        <f t="shared" si="9"/>
        <v>877</v>
      </c>
      <c r="T87" s="298">
        <f t="shared" si="9"/>
        <v>1</v>
      </c>
      <c r="U87" s="159">
        <v>4124</v>
      </c>
      <c r="V87" s="159">
        <v>1696</v>
      </c>
      <c r="W87" s="159">
        <f t="shared" si="10"/>
        <v>987.5259235945116</v>
      </c>
      <c r="X87" s="159">
        <f t="shared" si="7"/>
        <v>1026.656786418614</v>
      </c>
    </row>
    <row r="88" spans="1:24" x14ac:dyDescent="0.2">
      <c r="A88" s="147">
        <v>2008</v>
      </c>
      <c r="B88" s="147">
        <v>3</v>
      </c>
      <c r="C88" s="157">
        <v>329363.83299999998</v>
      </c>
      <c r="D88" s="295">
        <v>329363.83299999998</v>
      </c>
      <c r="E88" s="166">
        <v>7.1562642176594835</v>
      </c>
      <c r="F88" s="166">
        <v>7.1562642176594835</v>
      </c>
      <c r="G88" s="256">
        <f t="shared" si="8"/>
        <v>7.1562642176594835</v>
      </c>
      <c r="H88" s="166">
        <v>29.9</v>
      </c>
      <c r="I88" s="148">
        <v>719664</v>
      </c>
      <c r="J88" s="181">
        <f>VLOOKUP($A88&amp;$B88,'LE Inputs'!$C$2:$J$505,MATCH('LE UtilityData'!J$1,'LE Inputs'!$C$1:$J$1,0),0)*1000</f>
        <v>1260663.25</v>
      </c>
      <c r="K88" s="181">
        <v>502319.34308818664</v>
      </c>
      <c r="L88" s="157">
        <v>340763</v>
      </c>
      <c r="M88" s="299">
        <v>354266</v>
      </c>
      <c r="N88" s="150">
        <v>39684.398513436703</v>
      </c>
      <c r="O88" s="181">
        <f>VLOOKUP($A88&amp;$B88,'LE Inputs'!$C$2:$J$525,MATCH('LE UtilityData'!O$1,'LE Inputs'!$C$1:$J$1,0),0)</f>
        <v>44416.10845096485</v>
      </c>
      <c r="P88" s="181" t="e">
        <f>VLOOKUP($A88&amp;$B88,'LE Inputs'!$C$2:$J$505,MATCH('LE UtilityData'!P$1,'LE Inputs'!$C$1:$J$1,0),0)</f>
        <v>#N/A</v>
      </c>
      <c r="Q88" s="297">
        <v>776</v>
      </c>
      <c r="R88" s="297">
        <v>0</v>
      </c>
      <c r="S88" s="298">
        <f t="shared" si="9"/>
        <v>776</v>
      </c>
      <c r="T88" s="298">
        <f t="shared" si="9"/>
        <v>0</v>
      </c>
      <c r="U88" s="159">
        <v>4124</v>
      </c>
      <c r="V88" s="159">
        <v>1696</v>
      </c>
      <c r="W88" s="159">
        <f t="shared" si="10"/>
        <v>929.70771397763258</v>
      </c>
      <c r="X88" s="159">
        <f t="shared" si="7"/>
        <v>966.54810821597414</v>
      </c>
    </row>
    <row r="89" spans="1:24" s="152" customFormat="1" x14ac:dyDescent="0.2">
      <c r="A89" s="152">
        <v>2008</v>
      </c>
      <c r="B89" s="152">
        <v>4</v>
      </c>
      <c r="C89" s="157">
        <v>270588.95</v>
      </c>
      <c r="D89" s="295">
        <v>270588.95</v>
      </c>
      <c r="E89" s="166">
        <v>7.1562642176594835</v>
      </c>
      <c r="F89" s="166">
        <v>7.1562642176594835</v>
      </c>
      <c r="G89" s="256">
        <f t="shared" si="8"/>
        <v>7.1562642176594835</v>
      </c>
      <c r="H89" s="166">
        <v>30.3</v>
      </c>
      <c r="I89" s="148">
        <v>720307</v>
      </c>
      <c r="J89" s="181">
        <f>VLOOKUP($A89&amp;$B89,'LE Inputs'!$C$2:$J$505,MATCH('LE UtilityData'!J$1,'LE Inputs'!$C$1:$J$1,0),0)*1000</f>
        <v>1264314</v>
      </c>
      <c r="K89" s="181">
        <v>504329.09981755581</v>
      </c>
      <c r="L89" s="157">
        <v>339986</v>
      </c>
      <c r="M89" s="155">
        <v>353458</v>
      </c>
      <c r="N89" s="150">
        <v>39930.116148171197</v>
      </c>
      <c r="O89" s="181">
        <f>VLOOKUP($A89&amp;$B89,'LE Inputs'!$C$2:$J$525,MATCH('LE UtilityData'!O$1,'LE Inputs'!$C$1:$J$1,0),0)</f>
        <v>44590.916339331241</v>
      </c>
      <c r="P89" s="181" t="e">
        <f>VLOOKUP($A89&amp;$B89,'LE Inputs'!$C$2:$J$505,MATCH('LE UtilityData'!P$1,'LE Inputs'!$C$1:$J$1,0),0)</f>
        <v>#N/A</v>
      </c>
      <c r="Q89" s="300">
        <v>417</v>
      </c>
      <c r="R89" s="300">
        <v>6</v>
      </c>
      <c r="S89" s="298">
        <f t="shared" si="9"/>
        <v>417</v>
      </c>
      <c r="T89" s="298">
        <f t="shared" si="9"/>
        <v>6</v>
      </c>
      <c r="U89" s="159">
        <v>4124</v>
      </c>
      <c r="V89" s="160">
        <v>1696</v>
      </c>
      <c r="W89" s="159">
        <f t="shared" si="10"/>
        <v>765.54767468836474</v>
      </c>
      <c r="X89" s="159">
        <f t="shared" si="7"/>
        <v>795.88262457865915</v>
      </c>
    </row>
    <row r="90" spans="1:24" x14ac:dyDescent="0.2">
      <c r="A90" s="147">
        <v>2008</v>
      </c>
      <c r="B90" s="147">
        <v>5</v>
      </c>
      <c r="C90" s="157">
        <v>240504.75</v>
      </c>
      <c r="D90" s="295">
        <v>240504.75</v>
      </c>
      <c r="E90" s="166">
        <v>7.1562642176594835</v>
      </c>
      <c r="F90" s="166">
        <v>7.1562642176594835</v>
      </c>
      <c r="G90" s="256">
        <f t="shared" si="8"/>
        <v>7.1562642176594835</v>
      </c>
      <c r="H90" s="166">
        <v>29.57</v>
      </c>
      <c r="I90" s="148">
        <v>720950</v>
      </c>
      <c r="J90" s="181">
        <f>VLOOKUP($A90&amp;$B90,'LE Inputs'!$C$2:$J$505,MATCH('LE UtilityData'!J$1,'LE Inputs'!$C$1:$J$1,0),0)*1000</f>
        <v>1264314</v>
      </c>
      <c r="K90" s="181">
        <v>504329.09981755581</v>
      </c>
      <c r="L90" s="157">
        <v>340888</v>
      </c>
      <c r="M90" s="299">
        <v>354396</v>
      </c>
      <c r="N90" s="150">
        <v>39930.116148171197</v>
      </c>
      <c r="O90" s="181">
        <f>VLOOKUP($A90&amp;$B90,'LE Inputs'!$C$2:$J$525,MATCH('LE UtilityData'!O$1,'LE Inputs'!$C$1:$J$1,0),0)</f>
        <v>44590.916339331241</v>
      </c>
      <c r="P90" s="181" t="e">
        <f>VLOOKUP($A90&amp;$B90,'LE Inputs'!$C$2:$J$505,MATCH('LE UtilityData'!P$1,'LE Inputs'!$C$1:$J$1,0),0)</f>
        <v>#N/A</v>
      </c>
      <c r="Q90" s="297">
        <v>168</v>
      </c>
      <c r="R90" s="297">
        <v>27</v>
      </c>
      <c r="S90" s="298">
        <f t="shared" si="9"/>
        <v>168</v>
      </c>
      <c r="T90" s="298">
        <f t="shared" si="9"/>
        <v>27</v>
      </c>
      <c r="U90" s="159">
        <v>4124</v>
      </c>
      <c r="V90" s="159">
        <v>1696</v>
      </c>
      <c r="W90" s="159">
        <f t="shared" si="10"/>
        <v>678.63280059594354</v>
      </c>
      <c r="X90" s="159">
        <f t="shared" si="7"/>
        <v>705.52424843350298</v>
      </c>
    </row>
    <row r="91" spans="1:24" x14ac:dyDescent="0.2">
      <c r="A91" s="147">
        <v>2008</v>
      </c>
      <c r="B91" s="147">
        <v>6</v>
      </c>
      <c r="C91" s="157">
        <v>364421.59700000001</v>
      </c>
      <c r="D91" s="295">
        <v>364421.59700000001</v>
      </c>
      <c r="E91" s="166">
        <v>7.1562642176594835</v>
      </c>
      <c r="F91" s="166">
        <v>7.1562642176594835</v>
      </c>
      <c r="G91" s="256">
        <f t="shared" si="8"/>
        <v>7.1562642176594835</v>
      </c>
      <c r="H91" s="166">
        <v>30.67</v>
      </c>
      <c r="I91" s="148">
        <v>721594</v>
      </c>
      <c r="J91" s="181">
        <f>VLOOKUP($A91&amp;$B91,'LE Inputs'!$C$2:$J$505,MATCH('LE UtilityData'!J$1,'LE Inputs'!$C$1:$J$1,0),0)*1000</f>
        <v>1264314</v>
      </c>
      <c r="K91" s="181">
        <v>504329.09981755581</v>
      </c>
      <c r="L91" s="157">
        <v>342261</v>
      </c>
      <c r="M91" s="296">
        <v>355823</v>
      </c>
      <c r="N91" s="150">
        <v>39930.116148171197</v>
      </c>
      <c r="O91" s="181">
        <f>VLOOKUP($A91&amp;$B91,'LE Inputs'!$C$2:$J$525,MATCH('LE UtilityData'!O$1,'LE Inputs'!$C$1:$J$1,0),0)</f>
        <v>44590.916339331241</v>
      </c>
      <c r="P91" s="181" t="e">
        <f>VLOOKUP($A91&amp;$B91,'LE Inputs'!$C$2:$J$505,MATCH('LE UtilityData'!P$1,'LE Inputs'!$C$1:$J$1,0),0)</f>
        <v>#N/A</v>
      </c>
      <c r="Q91" s="297">
        <v>38</v>
      </c>
      <c r="R91" s="297">
        <v>233</v>
      </c>
      <c r="S91" s="298">
        <f t="shared" si="9"/>
        <v>38</v>
      </c>
      <c r="T91" s="298">
        <f t="shared" si="9"/>
        <v>233</v>
      </c>
      <c r="U91" s="159">
        <v>4124</v>
      </c>
      <c r="V91" s="159">
        <v>1696</v>
      </c>
      <c r="W91" s="159">
        <f t="shared" si="10"/>
        <v>1024.1653771678616</v>
      </c>
      <c r="X91" s="159">
        <f t="shared" si="7"/>
        <v>1064.747654567713</v>
      </c>
    </row>
    <row r="92" spans="1:24" x14ac:dyDescent="0.2">
      <c r="A92" s="147">
        <v>2008</v>
      </c>
      <c r="B92" s="147">
        <v>7</v>
      </c>
      <c r="C92" s="157">
        <v>469022.46399999998</v>
      </c>
      <c r="D92" s="295">
        <v>469022.46399999998</v>
      </c>
      <c r="E92" s="166">
        <v>7.1562642176594835</v>
      </c>
      <c r="F92" s="166">
        <v>7.1562642176594835</v>
      </c>
      <c r="G92" s="256">
        <f t="shared" si="8"/>
        <v>7.1562642176594835</v>
      </c>
      <c r="H92" s="166">
        <v>30.62</v>
      </c>
      <c r="I92" s="148">
        <v>721823</v>
      </c>
      <c r="J92" s="181">
        <f>VLOOKUP($A92&amp;$B92,'LE Inputs'!$C$2:$J$505,MATCH('LE UtilityData'!J$1,'LE Inputs'!$C$1:$J$1,0),0)*1000</f>
        <v>1267029.75</v>
      </c>
      <c r="K92" s="181">
        <v>505252.56082777889</v>
      </c>
      <c r="L92" s="157">
        <v>341744</v>
      </c>
      <c r="M92" s="299">
        <v>355286</v>
      </c>
      <c r="N92" s="150">
        <v>39252.864428574401</v>
      </c>
      <c r="O92" s="181">
        <f>VLOOKUP($A92&amp;$B92,'LE Inputs'!$C$2:$J$525,MATCH('LE UtilityData'!O$1,'LE Inputs'!$C$1:$J$1,0),0)</f>
        <v>43631.993018171721</v>
      </c>
      <c r="P92" s="181" t="e">
        <f>VLOOKUP($A92&amp;$B92,'LE Inputs'!$C$2:$J$505,MATCH('LE UtilityData'!P$1,'LE Inputs'!$C$1:$J$1,0),0)</f>
        <v>#N/A</v>
      </c>
      <c r="Q92" s="297">
        <v>0</v>
      </c>
      <c r="R92" s="297">
        <v>362</v>
      </c>
      <c r="S92" s="298">
        <f t="shared" si="9"/>
        <v>0</v>
      </c>
      <c r="T92" s="298">
        <f t="shared" si="9"/>
        <v>362</v>
      </c>
      <c r="U92" s="159">
        <v>4124</v>
      </c>
      <c r="V92" s="159">
        <v>1696</v>
      </c>
      <c r="W92" s="159">
        <f t="shared" si="10"/>
        <v>1320.1265009034976</v>
      </c>
      <c r="X92" s="159">
        <f t="shared" si="7"/>
        <v>1372.4380354885527</v>
      </c>
    </row>
    <row r="93" spans="1:24" x14ac:dyDescent="0.2">
      <c r="A93" s="147">
        <v>2008</v>
      </c>
      <c r="B93" s="147">
        <v>8</v>
      </c>
      <c r="C93" s="157">
        <v>484155.68400000001</v>
      </c>
      <c r="D93" s="295">
        <v>484155.68400000001</v>
      </c>
      <c r="E93" s="166">
        <v>7.1562642176594835</v>
      </c>
      <c r="F93" s="166">
        <v>7.1562642176594835</v>
      </c>
      <c r="G93" s="256">
        <f t="shared" si="8"/>
        <v>7.1562642176594835</v>
      </c>
      <c r="H93" s="166">
        <v>29.52</v>
      </c>
      <c r="I93" s="148">
        <v>722052</v>
      </c>
      <c r="J93" s="181">
        <f>VLOOKUP($A93&amp;$B93,'LE Inputs'!$C$2:$J$505,MATCH('LE UtilityData'!J$1,'LE Inputs'!$C$1:$J$1,0),0)*1000</f>
        <v>1267029.75</v>
      </c>
      <c r="K93" s="181">
        <v>505252.56082777889</v>
      </c>
      <c r="L93" s="157">
        <v>341873</v>
      </c>
      <c r="M93" s="299">
        <v>355420</v>
      </c>
      <c r="N93" s="150">
        <v>39252.864428574401</v>
      </c>
      <c r="O93" s="181">
        <f>VLOOKUP($A93&amp;$B93,'LE Inputs'!$C$2:$J$525,MATCH('LE UtilityData'!O$1,'LE Inputs'!$C$1:$J$1,0),0)</f>
        <v>43631.993018171721</v>
      </c>
      <c r="P93" s="181" t="e">
        <f>VLOOKUP($A93&amp;$B93,'LE Inputs'!$C$2:$J$505,MATCH('LE UtilityData'!P$1,'LE Inputs'!$C$1:$J$1,0),0)</f>
        <v>#N/A</v>
      </c>
      <c r="Q93" s="297">
        <v>0</v>
      </c>
      <c r="R93" s="297">
        <v>390</v>
      </c>
      <c r="S93" s="298">
        <f t="shared" si="9"/>
        <v>0</v>
      </c>
      <c r="T93" s="298">
        <f t="shared" si="9"/>
        <v>390</v>
      </c>
      <c r="U93" s="159">
        <v>4124</v>
      </c>
      <c r="V93" s="159">
        <v>1696</v>
      </c>
      <c r="W93" s="159">
        <f t="shared" si="10"/>
        <v>1362.207202746047</v>
      </c>
      <c r="X93" s="159">
        <f t="shared" si="7"/>
        <v>1416.1857882898034</v>
      </c>
    </row>
    <row r="94" spans="1:24" x14ac:dyDescent="0.2">
      <c r="A94" s="147">
        <v>2008</v>
      </c>
      <c r="B94" s="147">
        <v>9</v>
      </c>
      <c r="C94" s="157">
        <v>438249.3</v>
      </c>
      <c r="D94" s="295">
        <v>438249.3</v>
      </c>
      <c r="E94" s="166">
        <v>7.1562642176594835</v>
      </c>
      <c r="F94" s="166">
        <v>7.1562642176594835</v>
      </c>
      <c r="G94" s="256">
        <f t="shared" si="8"/>
        <v>7.1562642176594835</v>
      </c>
      <c r="H94" s="166">
        <v>30.71</v>
      </c>
      <c r="I94" s="148">
        <v>722281</v>
      </c>
      <c r="J94" s="181">
        <f>VLOOKUP($A94&amp;$B94,'LE Inputs'!$C$2:$J$505,MATCH('LE UtilityData'!J$1,'LE Inputs'!$C$1:$J$1,0),0)*1000</f>
        <v>1267029.75</v>
      </c>
      <c r="K94" s="181">
        <v>505252.56082777889</v>
      </c>
      <c r="L94" s="157">
        <v>340818</v>
      </c>
      <c r="M94" s="296">
        <v>354323</v>
      </c>
      <c r="N94" s="150">
        <v>39252.864428574401</v>
      </c>
      <c r="O94" s="181">
        <f>VLOOKUP($A94&amp;$B94,'LE Inputs'!$C$2:$J$525,MATCH('LE UtilityData'!O$1,'LE Inputs'!$C$1:$J$1,0),0)</f>
        <v>43631.993018171721</v>
      </c>
      <c r="P94" s="181" t="e">
        <f>VLOOKUP($A94&amp;$B94,'LE Inputs'!$C$2:$J$505,MATCH('LE UtilityData'!P$1,'LE Inputs'!$C$1:$J$1,0),0)</f>
        <v>#N/A</v>
      </c>
      <c r="Q94" s="297">
        <v>2</v>
      </c>
      <c r="R94" s="297">
        <v>349</v>
      </c>
      <c r="S94" s="298">
        <f t="shared" si="9"/>
        <v>2</v>
      </c>
      <c r="T94" s="298">
        <f t="shared" si="9"/>
        <v>349</v>
      </c>
      <c r="U94" s="159">
        <v>4124</v>
      </c>
      <c r="V94" s="159">
        <v>1696</v>
      </c>
      <c r="W94" s="159">
        <f t="shared" si="10"/>
        <v>1236.8638219929273</v>
      </c>
      <c r="X94" s="159">
        <f t="shared" si="7"/>
        <v>1285.8748657641322</v>
      </c>
    </row>
    <row r="95" spans="1:24" x14ac:dyDescent="0.2">
      <c r="A95" s="147">
        <v>2008</v>
      </c>
      <c r="B95" s="147">
        <v>10</v>
      </c>
      <c r="C95" s="157">
        <v>284204.09299999999</v>
      </c>
      <c r="D95" s="295">
        <v>284204.09299999999</v>
      </c>
      <c r="E95" s="166">
        <v>7.1562642176594835</v>
      </c>
      <c r="F95" s="166">
        <v>7.1562642176594835</v>
      </c>
      <c r="G95" s="256">
        <f t="shared" si="8"/>
        <v>7.1562642176594835</v>
      </c>
      <c r="H95" s="166">
        <v>29.52</v>
      </c>
      <c r="I95" s="148">
        <v>722510</v>
      </c>
      <c r="J95" s="181">
        <f>VLOOKUP($A95&amp;$B95,'LE Inputs'!$C$2:$J$505,MATCH('LE UtilityData'!J$1,'LE Inputs'!$C$1:$J$1,0),0)*1000</f>
        <v>1269745.5</v>
      </c>
      <c r="K95" s="181">
        <v>506177.27071899566</v>
      </c>
      <c r="L95" s="157">
        <v>339907</v>
      </c>
      <c r="M95" s="299">
        <v>353377</v>
      </c>
      <c r="N95" s="150">
        <v>39665.5874201888</v>
      </c>
      <c r="O95" s="181">
        <f>VLOOKUP($A95&amp;$B95,'LE Inputs'!$C$2:$J$525,MATCH('LE UtilityData'!O$1,'LE Inputs'!$C$1:$J$1,0),0)</f>
        <v>43911.243642744957</v>
      </c>
      <c r="P95" s="181" t="e">
        <f>VLOOKUP($A95&amp;$B95,'LE Inputs'!$C$2:$J$505,MATCH('LE UtilityData'!P$1,'LE Inputs'!$C$1:$J$1,0),0)</f>
        <v>#N/A</v>
      </c>
      <c r="Q95" s="297">
        <v>58</v>
      </c>
      <c r="R95" s="297">
        <v>122</v>
      </c>
      <c r="S95" s="298">
        <f t="shared" si="9"/>
        <v>58</v>
      </c>
      <c r="T95" s="298">
        <f t="shared" si="9"/>
        <v>122</v>
      </c>
      <c r="U95" s="159">
        <v>4124</v>
      </c>
      <c r="V95" s="159">
        <v>1696</v>
      </c>
      <c r="W95" s="159">
        <f t="shared" si="10"/>
        <v>804.25181321930972</v>
      </c>
      <c r="X95" s="159">
        <f t="shared" si="7"/>
        <v>836.12309543492779</v>
      </c>
    </row>
    <row r="96" spans="1:24" x14ac:dyDescent="0.2">
      <c r="A96" s="147">
        <v>2008</v>
      </c>
      <c r="B96" s="147">
        <v>11</v>
      </c>
      <c r="C96" s="157">
        <v>252099.84</v>
      </c>
      <c r="D96" s="295">
        <v>252099.84</v>
      </c>
      <c r="E96" s="166">
        <v>7.1562642176594835</v>
      </c>
      <c r="F96" s="166">
        <v>7.1562642176594835</v>
      </c>
      <c r="G96" s="256">
        <f t="shared" si="8"/>
        <v>7.1562642176594835</v>
      </c>
      <c r="H96" s="166">
        <v>29.38</v>
      </c>
      <c r="I96" s="148">
        <v>722739</v>
      </c>
      <c r="J96" s="181">
        <f>VLOOKUP($A96&amp;$B96,'LE Inputs'!$C$2:$J$505,MATCH('LE UtilityData'!J$1,'LE Inputs'!$C$1:$J$1,0),0)*1000</f>
        <v>1269745.5</v>
      </c>
      <c r="K96" s="181">
        <v>506177.27071899566</v>
      </c>
      <c r="L96" s="157">
        <v>341200</v>
      </c>
      <c r="M96" s="299">
        <v>354720</v>
      </c>
      <c r="N96" s="150">
        <v>39665.5874201888</v>
      </c>
      <c r="O96" s="181">
        <f>VLOOKUP($A96&amp;$B96,'LE Inputs'!$C$2:$J$525,MATCH('LE UtilityData'!O$1,'LE Inputs'!$C$1:$J$1,0),0)</f>
        <v>43911.243642744957</v>
      </c>
      <c r="P96" s="181" t="e">
        <f>VLOOKUP($A96&amp;$B96,'LE Inputs'!$C$2:$J$505,MATCH('LE UtilityData'!P$1,'LE Inputs'!$C$1:$J$1,0),0)</f>
        <v>#N/A</v>
      </c>
      <c r="Q96" s="297">
        <v>360</v>
      </c>
      <c r="R96" s="297">
        <v>18</v>
      </c>
      <c r="S96" s="298">
        <f t="shared" si="9"/>
        <v>360</v>
      </c>
      <c r="T96" s="298">
        <f t="shared" si="9"/>
        <v>18</v>
      </c>
      <c r="U96" s="159">
        <v>4124</v>
      </c>
      <c r="V96" s="159">
        <v>1696</v>
      </c>
      <c r="W96" s="159">
        <f t="shared" si="10"/>
        <v>710.70094722598105</v>
      </c>
      <c r="X96" s="159">
        <f t="shared" si="7"/>
        <v>738.86236811254389</v>
      </c>
    </row>
    <row r="97" spans="1:24" x14ac:dyDescent="0.2">
      <c r="A97" s="147">
        <v>2008</v>
      </c>
      <c r="B97" s="147">
        <v>12</v>
      </c>
      <c r="C97" s="157">
        <v>354251.38400000002</v>
      </c>
      <c r="D97" s="295">
        <v>354251.38400000002</v>
      </c>
      <c r="E97" s="166">
        <v>7.1562642176594835</v>
      </c>
      <c r="F97" s="166">
        <v>7.1562642176594835</v>
      </c>
      <c r="G97" s="256">
        <f t="shared" si="8"/>
        <v>7.1562642176594835</v>
      </c>
      <c r="H97" s="166">
        <v>32.81</v>
      </c>
      <c r="I97" s="148">
        <v>722968</v>
      </c>
      <c r="J97" s="181">
        <f>VLOOKUP($A97&amp;$B97,'LE Inputs'!$C$2:$J$505,MATCH('LE UtilityData'!J$1,'LE Inputs'!$C$1:$J$1,0),0)*1000</f>
        <v>1269745.5</v>
      </c>
      <c r="K97" s="181">
        <v>506177.27071899566</v>
      </c>
      <c r="L97" s="157">
        <v>341312</v>
      </c>
      <c r="M97" s="301">
        <v>341307.18906194938</v>
      </c>
      <c r="N97" s="150">
        <v>39665.5874201888</v>
      </c>
      <c r="O97" s="181">
        <f>VLOOKUP($A97&amp;$B97,'LE Inputs'!$C$2:$J$525,MATCH('LE UtilityData'!O$1,'LE Inputs'!$C$1:$J$1,0),0)</f>
        <v>43911.243642744957</v>
      </c>
      <c r="P97" s="181" t="e">
        <f>VLOOKUP($A97&amp;$B97,'LE Inputs'!$C$2:$J$505,MATCH('LE UtilityData'!P$1,'LE Inputs'!$C$1:$J$1,0),0)</f>
        <v>#N/A</v>
      </c>
      <c r="Q97" s="297">
        <v>821</v>
      </c>
      <c r="R97" s="297">
        <v>0</v>
      </c>
      <c r="S97" s="298">
        <f t="shared" si="9"/>
        <v>821</v>
      </c>
      <c r="T97" s="298">
        <f t="shared" si="9"/>
        <v>0</v>
      </c>
      <c r="U97" s="159">
        <v>4124</v>
      </c>
      <c r="V97" s="159">
        <v>1696</v>
      </c>
      <c r="W97" s="159">
        <f t="shared" si="10"/>
        <v>1037.9253509825755</v>
      </c>
      <c r="X97" s="159">
        <f t="shared" si="7"/>
        <v>1037.9107209825615</v>
      </c>
    </row>
    <row r="98" spans="1:24" x14ac:dyDescent="0.2">
      <c r="A98" s="147">
        <v>2009</v>
      </c>
      <c r="B98" s="147">
        <v>1</v>
      </c>
      <c r="C98" s="157">
        <v>407659.64399999997</v>
      </c>
      <c r="D98" s="295">
        <v>408630.43300000002</v>
      </c>
      <c r="E98" s="166">
        <v>7.2900558232403201</v>
      </c>
      <c r="F98" s="166">
        <v>7.2900558232403201</v>
      </c>
      <c r="G98" s="256">
        <f t="shared" si="8"/>
        <v>7.2900558232403201</v>
      </c>
      <c r="H98" s="166">
        <v>32.950000000000003</v>
      </c>
      <c r="I98" s="148">
        <v>723197</v>
      </c>
      <c r="J98" s="181">
        <f>VLOOKUP($A98&amp;$B98,'LE Inputs'!$C$2:$J$505,MATCH('LE UtilityData'!J$1,'LE Inputs'!$C$1:$J$1,0),0)*1000</f>
        <v>1272461.2500000002</v>
      </c>
      <c r="K98" s="181">
        <v>507103.23204385076</v>
      </c>
      <c r="L98" s="157">
        <v>341993</v>
      </c>
      <c r="M98" s="302">
        <v>341993</v>
      </c>
      <c r="N98" s="150">
        <v>39119.605738422702</v>
      </c>
      <c r="O98" s="181">
        <f>VLOOKUP($A98&amp;$B98,'LE Inputs'!$C$2:$J$525,MATCH('LE UtilityData'!O$1,'LE Inputs'!$C$1:$J$1,0),0)</f>
        <v>43191.274958100061</v>
      </c>
      <c r="P98" s="181" t="e">
        <f>VLOOKUP($A98&amp;$B98,'LE Inputs'!$C$2:$J$505,MATCH('LE UtilityData'!P$1,'LE Inputs'!$C$1:$J$1,0),0)</f>
        <v>#N/A</v>
      </c>
      <c r="Q98" s="297">
        <v>972</v>
      </c>
      <c r="R98" s="297">
        <v>1</v>
      </c>
      <c r="S98" s="298">
        <f t="shared" si="9"/>
        <v>972</v>
      </c>
      <c r="T98" s="298">
        <f t="shared" si="9"/>
        <v>1</v>
      </c>
      <c r="U98" s="159">
        <v>4124</v>
      </c>
      <c r="V98" s="159">
        <v>1696</v>
      </c>
      <c r="W98" s="159">
        <f t="shared" si="10"/>
        <v>1194.8502834853346</v>
      </c>
      <c r="X98" s="159">
        <f t="shared" si="7"/>
        <v>1192.0116610573898</v>
      </c>
    </row>
    <row r="99" spans="1:24" x14ac:dyDescent="0.2">
      <c r="A99" s="147">
        <v>2009</v>
      </c>
      <c r="B99" s="147">
        <v>2</v>
      </c>
      <c r="C99" s="157">
        <v>334943.03499999997</v>
      </c>
      <c r="D99" s="295">
        <v>324320.783</v>
      </c>
      <c r="E99" s="166">
        <v>7.2900558232403201</v>
      </c>
      <c r="F99" s="166">
        <v>7.2900558232403201</v>
      </c>
      <c r="G99" s="256">
        <f t="shared" si="8"/>
        <v>7.2900558232403201</v>
      </c>
      <c r="H99" s="166">
        <v>30.19</v>
      </c>
      <c r="I99" s="148">
        <v>723426</v>
      </c>
      <c r="J99" s="181">
        <f>VLOOKUP($A99&amp;$B99,'LE Inputs'!$C$2:$J$505,MATCH('LE UtilityData'!J$1,'LE Inputs'!$C$1:$J$1,0),0)*1000</f>
        <v>1272461.2500000002</v>
      </c>
      <c r="K99" s="181">
        <v>507103.23204385076</v>
      </c>
      <c r="L99" s="157">
        <v>342511</v>
      </c>
      <c r="M99" s="302">
        <v>341993</v>
      </c>
      <c r="N99" s="150">
        <v>39119.605738422702</v>
      </c>
      <c r="O99" s="181">
        <f>VLOOKUP($A99&amp;$B99,'LE Inputs'!$C$2:$J$525,MATCH('LE UtilityData'!O$1,'LE Inputs'!$C$1:$J$1,0),0)</f>
        <v>43191.274958100061</v>
      </c>
      <c r="P99" s="181" t="e">
        <f>VLOOKUP($A99&amp;$B99,'LE Inputs'!$C$2:$J$505,MATCH('LE UtilityData'!P$1,'LE Inputs'!$C$1:$J$1,0),0)</f>
        <v>#N/A</v>
      </c>
      <c r="Q99" s="297">
        <v>899</v>
      </c>
      <c r="R99" s="297">
        <v>0</v>
      </c>
      <c r="S99" s="298">
        <f t="shared" si="9"/>
        <v>899</v>
      </c>
      <c r="T99" s="298">
        <f t="shared" si="9"/>
        <v>0</v>
      </c>
      <c r="U99" s="159">
        <v>4124</v>
      </c>
      <c r="V99" s="159">
        <v>1696</v>
      </c>
      <c r="W99" s="159">
        <f t="shared" si="10"/>
        <v>948.32579321798983</v>
      </c>
      <c r="X99" s="159">
        <f t="shared" si="7"/>
        <v>977.90446146255147</v>
      </c>
    </row>
    <row r="100" spans="1:24" s="152" customFormat="1" x14ac:dyDescent="0.2">
      <c r="A100" s="152">
        <v>2009</v>
      </c>
      <c r="B100" s="152">
        <v>3</v>
      </c>
      <c r="C100" s="157">
        <v>280349.70400000003</v>
      </c>
      <c r="D100" s="295">
        <v>263642.40600000002</v>
      </c>
      <c r="E100" s="166">
        <v>7.2900558232403201</v>
      </c>
      <c r="F100" s="166">
        <v>7.2900558232403201</v>
      </c>
      <c r="G100" s="256">
        <f t="shared" si="8"/>
        <v>7.2900558232403201</v>
      </c>
      <c r="H100" s="166">
        <v>30.05</v>
      </c>
      <c r="I100" s="148">
        <v>723655</v>
      </c>
      <c r="J100" s="181">
        <f>VLOOKUP($A100&amp;$B100,'LE Inputs'!$C$2:$J$505,MATCH('LE UtilityData'!J$1,'LE Inputs'!$C$1:$J$1,0),0)*1000</f>
        <v>1272461.2500000002</v>
      </c>
      <c r="K100" s="181">
        <v>507103.23204385076</v>
      </c>
      <c r="L100" s="157">
        <v>342619</v>
      </c>
      <c r="M100" s="302">
        <v>341993</v>
      </c>
      <c r="N100" s="150">
        <v>39119.605738422702</v>
      </c>
      <c r="O100" s="181">
        <f>VLOOKUP($A100&amp;$B100,'LE Inputs'!$C$2:$J$525,MATCH('LE UtilityData'!O$1,'LE Inputs'!$C$1:$J$1,0),0)</f>
        <v>43191.274958100061</v>
      </c>
      <c r="P100" s="181" t="e">
        <f>VLOOKUP($A100&amp;$B100,'LE Inputs'!$C$2:$J$505,MATCH('LE UtilityData'!P$1,'LE Inputs'!$C$1:$J$1,0),0)</f>
        <v>#N/A</v>
      </c>
      <c r="Q100" s="300">
        <v>594</v>
      </c>
      <c r="R100" s="300">
        <v>1</v>
      </c>
      <c r="S100" s="298">
        <f t="shared" si="9"/>
        <v>594</v>
      </c>
      <c r="T100" s="298">
        <f t="shared" si="9"/>
        <v>1</v>
      </c>
      <c r="U100" s="160">
        <v>4124</v>
      </c>
      <c r="V100" s="160">
        <v>1696</v>
      </c>
      <c r="W100" s="159">
        <f t="shared" si="10"/>
        <v>770.9000067252839</v>
      </c>
      <c r="X100" s="159">
        <f t="shared" si="7"/>
        <v>818.25498294023407</v>
      </c>
    </row>
    <row r="101" spans="1:24" x14ac:dyDescent="0.2">
      <c r="A101" s="147">
        <v>2009</v>
      </c>
      <c r="B101" s="147">
        <v>4</v>
      </c>
      <c r="C101" s="157">
        <v>285348.94199999998</v>
      </c>
      <c r="D101" s="295">
        <v>284909.56</v>
      </c>
      <c r="E101" s="166">
        <v>7.2900558232403201</v>
      </c>
      <c r="F101" s="166">
        <v>7.2900558232403201</v>
      </c>
      <c r="G101" s="256">
        <f t="shared" si="8"/>
        <v>7.2900558232403201</v>
      </c>
      <c r="H101" s="166">
        <v>30.38</v>
      </c>
      <c r="I101" s="148">
        <v>723884</v>
      </c>
      <c r="J101" s="181">
        <f>VLOOKUP($A101&amp;$B101,'LE Inputs'!$C$2:$J$505,MATCH('LE UtilityData'!J$1,'LE Inputs'!$C$1:$J$1,0),0)*1000</f>
        <v>1275177.0000000002</v>
      </c>
      <c r="K101" s="181">
        <v>508030.4473553971</v>
      </c>
      <c r="L101" s="157">
        <v>346206</v>
      </c>
      <c r="M101" s="157">
        <v>350925</v>
      </c>
      <c r="N101" s="150">
        <v>39544.052070442602</v>
      </c>
      <c r="O101" s="181">
        <f>VLOOKUP($A101&amp;$B101,'LE Inputs'!$C$2:$J$525,MATCH('LE UtilityData'!O$1,'LE Inputs'!$C$1:$J$1,0),0)</f>
        <v>43250.549093982401</v>
      </c>
      <c r="P101" s="181" t="e">
        <f>VLOOKUP($A101&amp;$B101,'LE Inputs'!$C$2:$J$505,MATCH('LE UtilityData'!P$1,'LE Inputs'!$C$1:$J$1,0),0)</f>
        <v>#N/A</v>
      </c>
      <c r="Q101" s="303">
        <v>387</v>
      </c>
      <c r="R101" s="303">
        <v>3</v>
      </c>
      <c r="S101" s="298">
        <f t="shared" si="9"/>
        <v>387</v>
      </c>
      <c r="T101" s="298">
        <f t="shared" si="9"/>
        <v>3</v>
      </c>
      <c r="U101" s="159">
        <v>4124</v>
      </c>
      <c r="V101" s="159">
        <v>1696</v>
      </c>
      <c r="W101" s="159">
        <f t="shared" si="10"/>
        <v>811.88162712830376</v>
      </c>
      <c r="X101" s="159">
        <f t="shared" si="7"/>
        <v>824.21720594097144</v>
      </c>
    </row>
    <row r="102" spans="1:24" x14ac:dyDescent="0.2">
      <c r="A102" s="147">
        <v>2009</v>
      </c>
      <c r="B102" s="147">
        <v>5</v>
      </c>
      <c r="C102" s="157">
        <v>249017.291</v>
      </c>
      <c r="D102" s="295">
        <v>249013.685</v>
      </c>
      <c r="E102" s="166">
        <v>7.2900558232403201</v>
      </c>
      <c r="F102" s="166">
        <v>7.2900558232403201</v>
      </c>
      <c r="G102" s="256">
        <f t="shared" si="8"/>
        <v>7.2900558232403201</v>
      </c>
      <c r="H102" s="166">
        <v>30.24</v>
      </c>
      <c r="I102" s="148">
        <v>724113</v>
      </c>
      <c r="J102" s="181">
        <f>VLOOKUP($A102&amp;$B102,'LE Inputs'!$C$2:$J$505,MATCH('LE UtilityData'!J$1,'LE Inputs'!$C$1:$J$1,0),0)*1000</f>
        <v>1275177.0000000002</v>
      </c>
      <c r="K102" s="181">
        <v>508030.4473553971</v>
      </c>
      <c r="L102" s="157">
        <v>345867</v>
      </c>
      <c r="M102" s="157">
        <v>350605</v>
      </c>
      <c r="N102" s="150">
        <v>39544.052070442602</v>
      </c>
      <c r="O102" s="181">
        <f>VLOOKUP($A102&amp;$B102,'LE Inputs'!$C$2:$J$525,MATCH('LE UtilityData'!O$1,'LE Inputs'!$C$1:$J$1,0),0)</f>
        <v>43250.549093982401</v>
      </c>
      <c r="P102" s="181" t="e">
        <f>VLOOKUP($A102&amp;$B102,'LE Inputs'!$C$2:$J$505,MATCH('LE UtilityData'!P$1,'LE Inputs'!$C$1:$J$1,0),0)</f>
        <v>#N/A</v>
      </c>
      <c r="Q102" s="303">
        <v>152</v>
      </c>
      <c r="R102" s="303">
        <v>69</v>
      </c>
      <c r="S102" s="298">
        <f t="shared" si="9"/>
        <v>152</v>
      </c>
      <c r="T102" s="298">
        <f t="shared" si="9"/>
        <v>69</v>
      </c>
      <c r="U102" s="159">
        <v>4124</v>
      </c>
      <c r="V102" s="159">
        <v>1696</v>
      </c>
      <c r="W102" s="159">
        <f t="shared" si="10"/>
        <v>710.23997090743137</v>
      </c>
      <c r="X102" s="159">
        <f t="shared" si="7"/>
        <v>719.97990846192317</v>
      </c>
    </row>
    <row r="103" spans="1:24" x14ac:dyDescent="0.2">
      <c r="A103" s="147">
        <v>2009</v>
      </c>
      <c r="B103" s="147">
        <v>6</v>
      </c>
      <c r="C103" s="157">
        <v>375947.46600000001</v>
      </c>
      <c r="D103" s="295">
        <v>377230.89899999998</v>
      </c>
      <c r="E103" s="166">
        <v>7.2900558232403201</v>
      </c>
      <c r="F103" s="166">
        <v>7.2900558232403201</v>
      </c>
      <c r="G103" s="256">
        <f t="shared" si="8"/>
        <v>7.2900558232403201</v>
      </c>
      <c r="H103" s="166">
        <v>30.38</v>
      </c>
      <c r="I103" s="148">
        <v>724340.03571428731</v>
      </c>
      <c r="J103" s="181">
        <f>VLOOKUP($A103&amp;$B103,'LE Inputs'!$C$2:$J$505,MATCH('LE UtilityData'!J$1,'LE Inputs'!$C$1:$J$1,0),0)*1000</f>
        <v>1275177.0000000002</v>
      </c>
      <c r="K103" s="181">
        <v>508030.4473553971</v>
      </c>
      <c r="L103" s="157">
        <v>345096</v>
      </c>
      <c r="M103" s="157">
        <v>351572</v>
      </c>
      <c r="N103" s="150">
        <v>39544.052070442602</v>
      </c>
      <c r="O103" s="181">
        <f>VLOOKUP($A103&amp;$B103,'LE Inputs'!$C$2:$J$525,MATCH('LE UtilityData'!O$1,'LE Inputs'!$C$1:$J$1,0),0)</f>
        <v>43250.549093982401</v>
      </c>
      <c r="P103" s="181" t="e">
        <f>VLOOKUP($A103&amp;$B103,'LE Inputs'!$C$2:$J$505,MATCH('LE UtilityData'!P$1,'LE Inputs'!$C$1:$J$1,0),0)</f>
        <v>#N/A</v>
      </c>
      <c r="Q103" s="303">
        <v>29</v>
      </c>
      <c r="R103" s="303">
        <v>210</v>
      </c>
      <c r="S103" s="298">
        <f t="shared" si="9"/>
        <v>29</v>
      </c>
      <c r="T103" s="298">
        <f t="shared" si="9"/>
        <v>210</v>
      </c>
      <c r="U103" s="159">
        <v>4124</v>
      </c>
      <c r="V103" s="159">
        <v>1696</v>
      </c>
      <c r="W103" s="159">
        <f t="shared" si="10"/>
        <v>1072.9833405390646</v>
      </c>
      <c r="X103" s="159">
        <f t="shared" si="7"/>
        <v>1089.3996627025524</v>
      </c>
    </row>
    <row r="104" spans="1:24" x14ac:dyDescent="0.2">
      <c r="A104" s="147">
        <v>2009</v>
      </c>
      <c r="B104" s="147">
        <v>7</v>
      </c>
      <c r="C104" s="157">
        <v>446957.49900000001</v>
      </c>
      <c r="D104" s="295">
        <v>449371.47399999999</v>
      </c>
      <c r="E104" s="166">
        <v>7.2900558232403201</v>
      </c>
      <c r="F104" s="166">
        <v>7.2900558232403201</v>
      </c>
      <c r="G104" s="256">
        <f t="shared" si="8"/>
        <v>7.2900558232403201</v>
      </c>
      <c r="H104" s="166">
        <v>30.71</v>
      </c>
      <c r="I104" s="148">
        <v>724809.03571428731</v>
      </c>
      <c r="J104" s="181">
        <f>VLOOKUP($A104&amp;$B104,'LE Inputs'!$C$2:$J$505,MATCH('LE UtilityData'!J$1,'LE Inputs'!$C$1:$J$1,0),0)*1000</f>
        <v>1277973.333333333</v>
      </c>
      <c r="K104" s="181">
        <v>509996.47779192647</v>
      </c>
      <c r="L104" s="157">
        <v>341762</v>
      </c>
      <c r="M104" s="157">
        <v>351606</v>
      </c>
      <c r="N104" s="150">
        <v>39236.266981093497</v>
      </c>
      <c r="O104" s="181">
        <f>VLOOKUP($A104&amp;$B104,'LE Inputs'!$C$2:$J$525,MATCH('LE UtilityData'!O$1,'LE Inputs'!$C$1:$J$1,0),0)</f>
        <v>42885.490202730834</v>
      </c>
      <c r="P104" s="181" t="e">
        <f>VLOOKUP($A104&amp;$B104,'LE Inputs'!$C$2:$J$505,MATCH('LE UtilityData'!P$1,'LE Inputs'!$C$1:$J$1,0),0)</f>
        <v>#N/A</v>
      </c>
      <c r="Q104" s="303">
        <v>1</v>
      </c>
      <c r="R104" s="303">
        <v>339</v>
      </c>
      <c r="S104" s="298">
        <f t="shared" si="9"/>
        <v>1</v>
      </c>
      <c r="T104" s="298">
        <f t="shared" si="9"/>
        <v>339</v>
      </c>
      <c r="U104" s="159">
        <v>4124</v>
      </c>
      <c r="V104" s="159">
        <v>1696</v>
      </c>
      <c r="W104" s="159">
        <f t="shared" si="10"/>
        <v>1278.0540548227277</v>
      </c>
      <c r="X104" s="159">
        <f t="shared" si="7"/>
        <v>1307.8033807152347</v>
      </c>
    </row>
    <row r="105" spans="1:24" x14ac:dyDescent="0.2">
      <c r="A105" s="147">
        <v>2009</v>
      </c>
      <c r="B105" s="147">
        <v>8</v>
      </c>
      <c r="C105" s="157">
        <v>422340.94</v>
      </c>
      <c r="D105" s="295">
        <v>421582.84600000002</v>
      </c>
      <c r="E105" s="166">
        <v>7.2900558232403201</v>
      </c>
      <c r="F105" s="166">
        <v>7.2900558232403201</v>
      </c>
      <c r="G105" s="256">
        <f t="shared" si="8"/>
        <v>7.2900558232403201</v>
      </c>
      <c r="H105" s="166">
        <v>29.52</v>
      </c>
      <c r="I105" s="148">
        <v>725278.03571428731</v>
      </c>
      <c r="J105" s="181">
        <f>VLOOKUP($A105&amp;$B105,'LE Inputs'!$C$2:$J$505,MATCH('LE UtilityData'!J$1,'LE Inputs'!$C$1:$J$1,0),0)*1000</f>
        <v>1277973.333333333</v>
      </c>
      <c r="K105" s="181">
        <v>509996.47779192647</v>
      </c>
      <c r="L105" s="157">
        <v>344127</v>
      </c>
      <c r="M105" s="157">
        <v>351747</v>
      </c>
      <c r="N105" s="150">
        <v>39236.266981093497</v>
      </c>
      <c r="O105" s="181">
        <f>VLOOKUP($A105&amp;$B105,'LE Inputs'!$C$2:$J$525,MATCH('LE UtilityData'!O$1,'LE Inputs'!$C$1:$J$1,0),0)</f>
        <v>42885.490202730834</v>
      </c>
      <c r="P105" s="181" t="e">
        <f>VLOOKUP($A105&amp;$B105,'LE Inputs'!$C$2:$J$505,MATCH('LE UtilityData'!P$1,'LE Inputs'!$C$1:$J$1,0),0)</f>
        <v>#N/A</v>
      </c>
      <c r="Q105" s="303">
        <v>0</v>
      </c>
      <c r="R105" s="303">
        <v>294</v>
      </c>
      <c r="S105" s="298">
        <f t="shared" si="9"/>
        <v>0</v>
      </c>
      <c r="T105" s="298">
        <f t="shared" si="9"/>
        <v>294</v>
      </c>
      <c r="U105" s="159">
        <v>4124</v>
      </c>
      <c r="V105" s="159">
        <v>1696</v>
      </c>
      <c r="W105" s="159">
        <f t="shared" si="10"/>
        <v>1198.5399903908208</v>
      </c>
      <c r="X105" s="159">
        <f t="shared" si="7"/>
        <v>1227.2821952360612</v>
      </c>
    </row>
    <row r="106" spans="1:24" x14ac:dyDescent="0.2">
      <c r="A106" s="147">
        <v>2009</v>
      </c>
      <c r="B106" s="147">
        <v>9</v>
      </c>
      <c r="C106" s="157">
        <v>404872.63699999999</v>
      </c>
      <c r="D106" s="295">
        <v>406277.32299999997</v>
      </c>
      <c r="E106" s="166">
        <v>7.2900558232403201</v>
      </c>
      <c r="F106" s="166">
        <v>7.2900558232403201</v>
      </c>
      <c r="G106" s="256">
        <f t="shared" si="8"/>
        <v>7.2900558232403201</v>
      </c>
      <c r="H106" s="166">
        <v>30.48</v>
      </c>
      <c r="I106" s="148">
        <v>725747.03571428731</v>
      </c>
      <c r="J106" s="181">
        <f>VLOOKUP($A106&amp;$B106,'LE Inputs'!$C$2:$J$505,MATCH('LE UtilityData'!J$1,'LE Inputs'!$C$1:$J$1,0),0)*1000</f>
        <v>1277973.333333333</v>
      </c>
      <c r="K106" s="181">
        <v>509996.47779192647</v>
      </c>
      <c r="L106" s="157">
        <v>345164</v>
      </c>
      <c r="M106" s="157">
        <v>351409</v>
      </c>
      <c r="N106" s="150">
        <v>39236.266981093497</v>
      </c>
      <c r="O106" s="181">
        <f>VLOOKUP($A106&amp;$B106,'LE Inputs'!$C$2:$J$525,MATCH('LE UtilityData'!O$1,'LE Inputs'!$C$1:$J$1,0),0)</f>
        <v>42885.490202730834</v>
      </c>
      <c r="P106" s="181" t="e">
        <f>VLOOKUP($A106&amp;$B106,'LE Inputs'!$C$2:$J$505,MATCH('LE UtilityData'!P$1,'LE Inputs'!$C$1:$J$1,0),0)</f>
        <v>#N/A</v>
      </c>
      <c r="Q106" s="303">
        <v>1</v>
      </c>
      <c r="R106" s="303">
        <v>274</v>
      </c>
      <c r="S106" s="298">
        <f t="shared" si="9"/>
        <v>1</v>
      </c>
      <c r="T106" s="298">
        <f t="shared" si="9"/>
        <v>274</v>
      </c>
      <c r="U106" s="159">
        <v>4124</v>
      </c>
      <c r="V106" s="159">
        <v>1696</v>
      </c>
      <c r="W106" s="159">
        <f t="shared" si="10"/>
        <v>1156.1380698843798</v>
      </c>
      <c r="X106" s="159">
        <f t="shared" si="7"/>
        <v>1172.9862818833944</v>
      </c>
    </row>
    <row r="107" spans="1:24" x14ac:dyDescent="0.2">
      <c r="A107" s="147">
        <v>2009</v>
      </c>
      <c r="B107" s="147">
        <v>10</v>
      </c>
      <c r="C107" s="157">
        <v>289873.995</v>
      </c>
      <c r="D107" s="295">
        <v>288850.63299999997</v>
      </c>
      <c r="E107" s="166">
        <v>7.2900558232403201</v>
      </c>
      <c r="F107" s="166">
        <v>7.2900558232403201</v>
      </c>
      <c r="G107" s="256">
        <f t="shared" si="8"/>
        <v>7.2900558232403201</v>
      </c>
      <c r="H107" s="166">
        <v>29.67</v>
      </c>
      <c r="I107" s="148">
        <v>726216.03571428731</v>
      </c>
      <c r="J107" s="181">
        <f>VLOOKUP($A107&amp;$B107,'LE Inputs'!$C$2:$J$505,MATCH('LE UtilityData'!J$1,'LE Inputs'!$C$1:$J$1,0),0)*1000</f>
        <v>1280769.6666666667</v>
      </c>
      <c r="K107" s="181">
        <v>512098.89540358516</v>
      </c>
      <c r="L107" s="157">
        <v>345715</v>
      </c>
      <c r="M107" s="157">
        <v>351354</v>
      </c>
      <c r="N107" s="150">
        <v>39252.903107891703</v>
      </c>
      <c r="O107" s="181">
        <f>VLOOKUP($A107&amp;$B107,'LE Inputs'!$C$2:$J$525,MATCH('LE UtilityData'!O$1,'LE Inputs'!$C$1:$J$1,0),0)</f>
        <v>42840.907110639979</v>
      </c>
      <c r="P107" s="181" t="e">
        <f>VLOOKUP($A107&amp;$B107,'LE Inputs'!$C$2:$J$505,MATCH('LE UtilityData'!P$1,'LE Inputs'!$C$1:$J$1,0),0)</f>
        <v>#N/A</v>
      </c>
      <c r="Q107" s="303">
        <v>132</v>
      </c>
      <c r="R107" s="303">
        <v>106</v>
      </c>
      <c r="S107" s="298">
        <f t="shared" si="9"/>
        <v>132</v>
      </c>
      <c r="T107" s="298">
        <f t="shared" si="9"/>
        <v>106</v>
      </c>
      <c r="U107" s="159">
        <v>4124</v>
      </c>
      <c r="V107" s="159">
        <v>1696</v>
      </c>
      <c r="W107" s="159">
        <f t="shared" si="10"/>
        <v>822.10714265384763</v>
      </c>
      <c r="X107" s="159">
        <f t="shared" si="7"/>
        <v>838.47676554387283</v>
      </c>
    </row>
    <row r="108" spans="1:24" x14ac:dyDescent="0.2">
      <c r="A108" s="147">
        <v>2009</v>
      </c>
      <c r="B108" s="147">
        <v>11</v>
      </c>
      <c r="C108" s="157">
        <v>240806.924</v>
      </c>
      <c r="D108" s="295">
        <v>241548.88399999999</v>
      </c>
      <c r="E108" s="166">
        <v>7.2900558232403201</v>
      </c>
      <c r="F108" s="166">
        <v>7.2900558232403201</v>
      </c>
      <c r="G108" s="256">
        <f t="shared" si="8"/>
        <v>7.2900558232403201</v>
      </c>
      <c r="H108" s="166">
        <v>29.76</v>
      </c>
      <c r="I108" s="148">
        <v>726685.03571428731</v>
      </c>
      <c r="J108" s="181">
        <f>VLOOKUP($A108&amp;$B108,'LE Inputs'!$C$2:$J$505,MATCH('LE UtilityData'!J$1,'LE Inputs'!$C$1:$J$1,0),0)*1000</f>
        <v>1280769.6666666667</v>
      </c>
      <c r="K108" s="181">
        <v>512098.89540358516</v>
      </c>
      <c r="L108" s="157">
        <v>345853</v>
      </c>
      <c r="M108" s="157">
        <v>351599</v>
      </c>
      <c r="N108" s="150">
        <v>39252.903107891703</v>
      </c>
      <c r="O108" s="181">
        <f>VLOOKUP($A108&amp;$B108,'LE Inputs'!$C$2:$J$525,MATCH('LE UtilityData'!O$1,'LE Inputs'!$C$1:$J$1,0),0)</f>
        <v>42840.907110639979</v>
      </c>
      <c r="P108" s="181" t="e">
        <f>VLOOKUP($A108&amp;$B108,'LE Inputs'!$C$2:$J$505,MATCH('LE UtilityData'!P$1,'LE Inputs'!$C$1:$J$1,0),0)</f>
        <v>#N/A</v>
      </c>
      <c r="Q108" s="303">
        <v>344</v>
      </c>
      <c r="R108" s="303">
        <v>4</v>
      </c>
      <c r="S108" s="298">
        <f t="shared" si="9"/>
        <v>344</v>
      </c>
      <c r="T108" s="298">
        <f t="shared" si="9"/>
        <v>4</v>
      </c>
      <c r="U108" s="159">
        <v>4124</v>
      </c>
      <c r="V108" s="159">
        <v>1696</v>
      </c>
      <c r="W108" s="159">
        <f t="shared" si="10"/>
        <v>687.00105517933787</v>
      </c>
      <c r="X108" s="159">
        <f t="shared" si="7"/>
        <v>696.26958274180072</v>
      </c>
    </row>
    <row r="109" spans="1:24" x14ac:dyDescent="0.2">
      <c r="A109" s="147">
        <v>2009</v>
      </c>
      <c r="B109" s="147">
        <v>12</v>
      </c>
      <c r="C109" s="157">
        <v>331549.38299999997</v>
      </c>
      <c r="D109" s="295">
        <v>329526.201</v>
      </c>
      <c r="E109" s="166">
        <v>7.2900558232403201</v>
      </c>
      <c r="F109" s="166">
        <v>7.2900558232403201</v>
      </c>
      <c r="G109" s="256">
        <f t="shared" si="8"/>
        <v>7.2900558232403201</v>
      </c>
      <c r="H109" s="166">
        <v>31.57</v>
      </c>
      <c r="I109" s="148">
        <v>727154.03571428731</v>
      </c>
      <c r="J109" s="181">
        <f>VLOOKUP($A109&amp;$B109,'LE Inputs'!$C$2:$J$505,MATCH('LE UtilityData'!J$1,'LE Inputs'!$C$1:$J$1,0),0)*1000</f>
        <v>1280769.6666666667</v>
      </c>
      <c r="K109" s="181">
        <v>512098.89540358516</v>
      </c>
      <c r="L109" s="157">
        <v>346563</v>
      </c>
      <c r="M109" s="157">
        <v>352286</v>
      </c>
      <c r="N109" s="150">
        <v>39252.903107891703</v>
      </c>
      <c r="O109" s="181">
        <f>VLOOKUP($A109&amp;$B109,'LE Inputs'!$C$2:$J$525,MATCH('LE UtilityData'!O$1,'LE Inputs'!$C$1:$J$1,0),0)</f>
        <v>42840.907110639979</v>
      </c>
      <c r="P109" s="181" t="e">
        <f>VLOOKUP($A109&amp;$B109,'LE Inputs'!$C$2:$J$505,MATCH('LE UtilityData'!P$1,'LE Inputs'!$C$1:$J$1,0),0)</f>
        <v>#N/A</v>
      </c>
      <c r="Q109" s="303">
        <v>657</v>
      </c>
      <c r="R109" s="303">
        <v>0</v>
      </c>
      <c r="S109" s="298">
        <f t="shared" si="9"/>
        <v>657</v>
      </c>
      <c r="T109" s="298">
        <f t="shared" si="9"/>
        <v>0</v>
      </c>
      <c r="U109" s="159">
        <v>4124</v>
      </c>
      <c r="V109" s="159">
        <v>1696</v>
      </c>
      <c r="W109" s="159">
        <f t="shared" si="10"/>
        <v>935.39397251097125</v>
      </c>
      <c r="X109" s="159">
        <f t="shared" si="7"/>
        <v>956.6785346387237</v>
      </c>
    </row>
    <row r="110" spans="1:24" x14ac:dyDescent="0.2">
      <c r="A110" s="147">
        <v>2010</v>
      </c>
      <c r="B110" s="147">
        <v>1</v>
      </c>
      <c r="C110" s="157">
        <v>420971.16399999999</v>
      </c>
      <c r="D110" s="295">
        <v>419801.30099999998</v>
      </c>
      <c r="E110" s="166">
        <v>7.4759202235333753</v>
      </c>
      <c r="F110" s="166">
        <v>7.4759202235333753</v>
      </c>
      <c r="G110" s="256">
        <f t="shared" si="8"/>
        <v>7.4759202235333753</v>
      </c>
      <c r="H110" s="166">
        <v>32.520000000000003</v>
      </c>
      <c r="I110" s="148">
        <v>727623.03571428731</v>
      </c>
      <c r="J110" s="181">
        <f>VLOOKUP($A110&amp;$B110,'LE Inputs'!$C$2:$J$505,MATCH('LE UtilityData'!J$1,'LE Inputs'!$C$1:$J$1,0),0)*1000</f>
        <v>1283566.0000000005</v>
      </c>
      <c r="K110" s="181">
        <v>514214.00000000006</v>
      </c>
      <c r="L110" s="300">
        <v>350878</v>
      </c>
      <c r="M110" s="157">
        <v>352221</v>
      </c>
      <c r="N110" s="150">
        <v>39143.367431894898</v>
      </c>
      <c r="O110" s="181">
        <f>VLOOKUP($A110&amp;$B110,'LE Inputs'!$C$2:$J$525,MATCH('LE UtilityData'!O$1,'LE Inputs'!$C$1:$J$1,0),0)</f>
        <v>42642.930929243783</v>
      </c>
      <c r="P110" s="181" t="e">
        <f>VLOOKUP($A110&amp;$B110,'LE Inputs'!$C$2:$J$505,MATCH('LE UtilityData'!P$1,'LE Inputs'!$C$1:$J$1,0),0)</f>
        <v>#N/A</v>
      </c>
      <c r="Q110" s="303">
        <v>1039</v>
      </c>
      <c r="R110" s="303">
        <v>0</v>
      </c>
      <c r="S110" s="298">
        <f t="shared" si="9"/>
        <v>1039</v>
      </c>
      <c r="T110" s="298">
        <f t="shared" si="9"/>
        <v>0</v>
      </c>
      <c r="U110" s="159">
        <v>4124</v>
      </c>
      <c r="V110" s="159">
        <v>1696</v>
      </c>
      <c r="W110" s="159">
        <f t="shared" si="10"/>
        <v>1191.8690282521484</v>
      </c>
      <c r="X110" s="159">
        <f t="shared" si="7"/>
        <v>1199.7650579403667</v>
      </c>
    </row>
    <row r="111" spans="1:24" x14ac:dyDescent="0.2">
      <c r="A111" s="147">
        <v>2010</v>
      </c>
      <c r="B111" s="147">
        <v>2</v>
      </c>
      <c r="C111" s="157">
        <v>366796.89899999998</v>
      </c>
      <c r="D111" s="295">
        <v>364319.66800000001</v>
      </c>
      <c r="E111" s="166">
        <v>7.4759202235333753</v>
      </c>
      <c r="F111" s="166">
        <v>7.4759202235333753</v>
      </c>
      <c r="G111" s="256">
        <f t="shared" si="8"/>
        <v>7.4759202235333753</v>
      </c>
      <c r="H111" s="166">
        <v>30.14</v>
      </c>
      <c r="I111" s="148">
        <v>728092.03571428731</v>
      </c>
      <c r="J111" s="181">
        <f>VLOOKUP($A111&amp;$B111,'LE Inputs'!$C$2:$J$505,MATCH('LE UtilityData'!J$1,'LE Inputs'!$C$1:$J$1,0),0)*1000</f>
        <v>1283566.0000000005</v>
      </c>
      <c r="K111" s="181">
        <v>514214.00000000006</v>
      </c>
      <c r="L111" s="300">
        <v>350417</v>
      </c>
      <c r="M111" s="157">
        <v>352286</v>
      </c>
      <c r="N111" s="150">
        <v>39143.367431894898</v>
      </c>
      <c r="O111" s="181">
        <f>VLOOKUP($A111&amp;$B111,'LE Inputs'!$C$2:$J$525,MATCH('LE UtilityData'!O$1,'LE Inputs'!$C$1:$J$1,0),0)</f>
        <v>42642.930929243783</v>
      </c>
      <c r="P111" s="181" t="e">
        <f>VLOOKUP($A111&amp;$B111,'LE Inputs'!$C$2:$J$505,MATCH('LE UtilityData'!P$1,'LE Inputs'!$C$1:$J$1,0),0)</f>
        <v>#N/A</v>
      </c>
      <c r="Q111" s="303">
        <v>941</v>
      </c>
      <c r="R111" s="303">
        <v>0</v>
      </c>
      <c r="S111" s="298">
        <f t="shared" si="9"/>
        <v>941</v>
      </c>
      <c r="T111" s="298">
        <f t="shared" si="9"/>
        <v>0</v>
      </c>
      <c r="U111" s="159">
        <v>4124</v>
      </c>
      <c r="V111" s="159">
        <v>1696</v>
      </c>
      <c r="W111" s="159">
        <f t="shared" si="10"/>
        <v>1034.1588027909143</v>
      </c>
      <c r="X111" s="159">
        <f t="shared" si="7"/>
        <v>1046.7440192684717</v>
      </c>
    </row>
    <row r="112" spans="1:24" x14ac:dyDescent="0.2">
      <c r="A112" s="147">
        <v>2010</v>
      </c>
      <c r="B112" s="147">
        <v>3</v>
      </c>
      <c r="C112" s="157">
        <v>332923.853</v>
      </c>
      <c r="D112" s="295">
        <v>330562.52299999999</v>
      </c>
      <c r="E112" s="166">
        <v>7.4759202235333753</v>
      </c>
      <c r="F112" s="166">
        <v>7.4759202235333753</v>
      </c>
      <c r="G112" s="256">
        <f t="shared" si="8"/>
        <v>7.4759202235333753</v>
      </c>
      <c r="H112" s="166">
        <v>30</v>
      </c>
      <c r="I112" s="148">
        <v>728561.03571428731</v>
      </c>
      <c r="J112" s="181">
        <f>VLOOKUP($A112&amp;$B112,'LE Inputs'!$C$2:$J$505,MATCH('LE UtilityData'!J$1,'LE Inputs'!$C$1:$J$1,0),0)*1000</f>
        <v>1283566.0000000005</v>
      </c>
      <c r="K112" s="181">
        <v>514214.00000000006</v>
      </c>
      <c r="L112" s="300">
        <v>354137</v>
      </c>
      <c r="M112" s="157">
        <v>353242</v>
      </c>
      <c r="N112" s="150">
        <v>39143.367431894898</v>
      </c>
      <c r="O112" s="181">
        <f>VLOOKUP($A112&amp;$B112,'LE Inputs'!$C$2:$J$525,MATCH('LE UtilityData'!O$1,'LE Inputs'!$C$1:$J$1,0),0)</f>
        <v>42642.930929243783</v>
      </c>
      <c r="P112" s="181" t="e">
        <f>VLOOKUP($A112&amp;$B112,'LE Inputs'!$C$2:$J$505,MATCH('LE UtilityData'!P$1,'LE Inputs'!$C$1:$J$1,0),0)</f>
        <v>#N/A</v>
      </c>
      <c r="Q112" s="303">
        <v>827</v>
      </c>
      <c r="R112" s="303">
        <v>0</v>
      </c>
      <c r="S112" s="298">
        <f t="shared" si="9"/>
        <v>827</v>
      </c>
      <c r="T112" s="298">
        <f t="shared" si="9"/>
        <v>0</v>
      </c>
      <c r="U112" s="159">
        <v>4124</v>
      </c>
      <c r="V112" s="159">
        <v>1696</v>
      </c>
      <c r="W112" s="159">
        <f t="shared" si="10"/>
        <v>935.79620486805072</v>
      </c>
      <c r="X112" s="159">
        <f t="shared" si="7"/>
        <v>940.09903794294303</v>
      </c>
    </row>
    <row r="113" spans="1:56" x14ac:dyDescent="0.2">
      <c r="A113" s="147">
        <v>2010</v>
      </c>
      <c r="B113" s="147">
        <v>4</v>
      </c>
      <c r="C113" s="157">
        <v>262231.72700000001</v>
      </c>
      <c r="D113" s="295">
        <v>262041.02100000001</v>
      </c>
      <c r="E113" s="166">
        <v>7.4759202235333753</v>
      </c>
      <c r="F113" s="166">
        <v>7.4759202235333753</v>
      </c>
      <c r="G113" s="256">
        <f t="shared" si="8"/>
        <v>7.4759202235333753</v>
      </c>
      <c r="H113" s="166">
        <v>30.86</v>
      </c>
      <c r="I113" s="148">
        <v>729030.03571428731</v>
      </c>
      <c r="J113" s="181">
        <f>VLOOKUP($A113&amp;$B113,'LE Inputs'!$C$2:$J$505,MATCH('LE UtilityData'!J$1,'LE Inputs'!$C$1:$J$1,0),0)*1000</f>
        <v>1286391.8115642772</v>
      </c>
      <c r="K113" s="181">
        <v>515323.10720002331</v>
      </c>
      <c r="L113" s="300">
        <v>352302</v>
      </c>
      <c r="M113" s="157">
        <v>352502</v>
      </c>
      <c r="N113" s="150">
        <v>39658.258833569504</v>
      </c>
      <c r="O113" s="181">
        <f>VLOOKUP($A113&amp;$B113,'LE Inputs'!$C$2:$J$525,MATCH('LE UtilityData'!O$1,'LE Inputs'!$C$1:$J$1,0),0)</f>
        <v>43211.581247716946</v>
      </c>
      <c r="P113" s="181" t="e">
        <f>VLOOKUP($A113&amp;$B113,'LE Inputs'!$C$2:$J$505,MATCH('LE UtilityData'!P$1,'LE Inputs'!$C$1:$J$1,0),0)</f>
        <v>#N/A</v>
      </c>
      <c r="Q113" s="303">
        <v>313</v>
      </c>
      <c r="R113" s="303">
        <v>35</v>
      </c>
      <c r="S113" s="298">
        <f t="shared" si="9"/>
        <v>313</v>
      </c>
      <c r="T113" s="298">
        <f t="shared" si="9"/>
        <v>35</v>
      </c>
      <c r="U113" s="159">
        <v>4124</v>
      </c>
      <c r="V113" s="159">
        <v>1696</v>
      </c>
      <c r="W113" s="159">
        <f t="shared" si="10"/>
        <v>743.37456525069365</v>
      </c>
      <c r="X113" s="159">
        <f t="shared" si="7"/>
        <v>744.33788908379745</v>
      </c>
    </row>
    <row r="114" spans="1:56" x14ac:dyDescent="0.2">
      <c r="A114" s="147">
        <v>2010</v>
      </c>
      <c r="B114" s="147">
        <v>5</v>
      </c>
      <c r="C114" s="157">
        <v>262830.66700000002</v>
      </c>
      <c r="D114" s="295">
        <v>262875</v>
      </c>
      <c r="E114" s="166">
        <v>7.4759202235333753</v>
      </c>
      <c r="F114" s="166">
        <v>7.4759202235333753</v>
      </c>
      <c r="G114" s="256">
        <f t="shared" si="8"/>
        <v>7.4759202235333753</v>
      </c>
      <c r="H114" s="166">
        <v>30.48</v>
      </c>
      <c r="I114" s="148">
        <v>729499.03571428731</v>
      </c>
      <c r="J114" s="181">
        <f>VLOOKUP($A114&amp;$B114,'LE Inputs'!$C$2:$J$505,MATCH('LE UtilityData'!J$1,'LE Inputs'!$C$1:$J$1,0),0)*1000</f>
        <v>1286391.8115642772</v>
      </c>
      <c r="K114" s="181">
        <v>515323.10720002331</v>
      </c>
      <c r="L114" s="300">
        <v>351694</v>
      </c>
      <c r="M114" s="157">
        <v>352388</v>
      </c>
      <c r="N114" s="150">
        <v>39658.258833569504</v>
      </c>
      <c r="O114" s="181">
        <f>VLOOKUP($A114&amp;$B114,'LE Inputs'!$C$2:$J$525,MATCH('LE UtilityData'!O$1,'LE Inputs'!$C$1:$J$1,0),0)</f>
        <v>43211.581247716946</v>
      </c>
      <c r="P114" s="181" t="e">
        <f>VLOOKUP($A114&amp;$B114,'LE Inputs'!$C$2:$J$505,MATCH('LE UtilityData'!P$1,'LE Inputs'!$C$1:$J$1,0),0)</f>
        <v>#N/A</v>
      </c>
      <c r="Q114" s="303">
        <v>127</v>
      </c>
      <c r="R114" s="303">
        <v>69</v>
      </c>
      <c r="S114" s="298">
        <f t="shared" si="9"/>
        <v>127</v>
      </c>
      <c r="T114" s="298">
        <f t="shared" si="9"/>
        <v>69</v>
      </c>
      <c r="U114" s="159">
        <v>4124</v>
      </c>
      <c r="V114" s="159">
        <v>1696</v>
      </c>
      <c r="W114" s="159">
        <f t="shared" si="10"/>
        <v>745.9817019875818</v>
      </c>
      <c r="X114" s="159">
        <f t="shared" si="7"/>
        <v>747.32769680460865</v>
      </c>
    </row>
    <row r="115" spans="1:56" x14ac:dyDescent="0.2">
      <c r="A115" s="147">
        <v>2010</v>
      </c>
      <c r="B115" s="147">
        <v>6</v>
      </c>
      <c r="C115" s="157">
        <v>451270.76400000002</v>
      </c>
      <c r="D115" s="295">
        <v>450479.73200000002</v>
      </c>
      <c r="E115" s="166">
        <v>7.4759202235333753</v>
      </c>
      <c r="F115" s="166">
        <v>7.4759202235333753</v>
      </c>
      <c r="G115" s="256">
        <f t="shared" si="8"/>
        <v>7.4759202235333753</v>
      </c>
      <c r="H115" s="166">
        <v>30.67</v>
      </c>
      <c r="I115" s="148">
        <v>729970.90476190532</v>
      </c>
      <c r="J115" s="181">
        <f>VLOOKUP($A115&amp;$B115,'LE Inputs'!$C$2:$J$505,MATCH('LE UtilityData'!J$1,'LE Inputs'!$C$1:$J$1,0),0)*1000</f>
        <v>1286391.8115642772</v>
      </c>
      <c r="K115" s="181">
        <v>515323.10720002331</v>
      </c>
      <c r="L115" s="300">
        <v>354202</v>
      </c>
      <c r="M115" s="157">
        <v>353666</v>
      </c>
      <c r="N115" s="150">
        <v>39658.258833569504</v>
      </c>
      <c r="O115" s="181">
        <f>VLOOKUP($A115&amp;$B115,'LE Inputs'!$C$2:$J$525,MATCH('LE UtilityData'!O$1,'LE Inputs'!$C$1:$J$1,0),0)</f>
        <v>43211.581247716946</v>
      </c>
      <c r="P115" s="181" t="e">
        <f>VLOOKUP($A115&amp;$B115,'LE Inputs'!$C$2:$J$505,MATCH('LE UtilityData'!P$1,'LE Inputs'!$C$1:$J$1,0),0)</f>
        <v>#N/A</v>
      </c>
      <c r="Q115" s="303">
        <v>23</v>
      </c>
      <c r="R115" s="303">
        <v>310</v>
      </c>
      <c r="S115" s="298">
        <f t="shared" si="9"/>
        <v>23</v>
      </c>
      <c r="T115" s="298">
        <f t="shared" si="9"/>
        <v>310</v>
      </c>
      <c r="U115" s="159">
        <v>4124</v>
      </c>
      <c r="V115" s="159">
        <v>1696</v>
      </c>
      <c r="W115" s="159">
        <f t="shared" si="10"/>
        <v>1273.7433963117744</v>
      </c>
      <c r="X115" s="159">
        <f t="shared" si="7"/>
        <v>1274.0491696828365</v>
      </c>
    </row>
    <row r="116" spans="1:56" x14ac:dyDescent="0.2">
      <c r="A116" s="147">
        <v>2010</v>
      </c>
      <c r="B116" s="147">
        <v>7</v>
      </c>
      <c r="C116" s="157">
        <v>561920.38600000006</v>
      </c>
      <c r="D116" s="295">
        <v>555879.40700000001</v>
      </c>
      <c r="E116" s="166">
        <v>7.4759202235333753</v>
      </c>
      <c r="F116" s="166">
        <v>7.4759202235333753</v>
      </c>
      <c r="G116" s="256">
        <f t="shared" si="8"/>
        <v>7.4759202235333753</v>
      </c>
      <c r="H116" s="166">
        <v>30.71</v>
      </c>
      <c r="I116" s="148">
        <v>730439.90476190532</v>
      </c>
      <c r="J116" s="181">
        <f>VLOOKUP($A116&amp;$B116,'LE Inputs'!$C$2:$J$505,MATCH('LE UtilityData'!J$1,'LE Inputs'!$C$1:$J$1,0),0)*1000</f>
        <v>1288636.109261865</v>
      </c>
      <c r="K116" s="181">
        <v>515963.1783086189</v>
      </c>
      <c r="L116" s="300">
        <v>352898</v>
      </c>
      <c r="M116" s="157">
        <v>352795</v>
      </c>
      <c r="N116" s="150">
        <v>40006.997716015401</v>
      </c>
      <c r="O116" s="181">
        <f>VLOOKUP($A116&amp;$B116,'LE Inputs'!$C$2:$J$525,MATCH('LE UtilityData'!O$1,'LE Inputs'!$C$1:$J$1,0),0)</f>
        <v>43650.27856511042</v>
      </c>
      <c r="P116" s="181" t="e">
        <f>VLOOKUP($A116&amp;$B116,'LE Inputs'!$C$2:$J$505,MATCH('LE UtilityData'!P$1,'LE Inputs'!$C$1:$J$1,0),0)</f>
        <v>#N/A</v>
      </c>
      <c r="Q116" s="303">
        <v>0</v>
      </c>
      <c r="R116" s="303">
        <v>476</v>
      </c>
      <c r="S116" s="298">
        <f t="shared" si="9"/>
        <v>0</v>
      </c>
      <c r="T116" s="298">
        <f t="shared" si="9"/>
        <v>476</v>
      </c>
      <c r="U116" s="159">
        <v>4124</v>
      </c>
      <c r="V116" s="159">
        <v>1696</v>
      </c>
      <c r="W116" s="159">
        <f t="shared" si="10"/>
        <v>1575.644232486288</v>
      </c>
      <c r="X116" s="159">
        <f t="shared" si="7"/>
        <v>1592.3025520121962</v>
      </c>
    </row>
    <row r="117" spans="1:56" x14ac:dyDescent="0.2">
      <c r="A117" s="147">
        <v>2010</v>
      </c>
      <c r="B117" s="147">
        <v>8</v>
      </c>
      <c r="C117" s="157">
        <v>551398.52399999998</v>
      </c>
      <c r="D117" s="295">
        <v>557573.56000000006</v>
      </c>
      <c r="E117" s="166">
        <v>7.4759202235333753</v>
      </c>
      <c r="F117" s="166">
        <v>7.4759202235333753</v>
      </c>
      <c r="G117" s="256">
        <f t="shared" si="8"/>
        <v>7.4759202235333753</v>
      </c>
      <c r="H117" s="166">
        <v>29.52</v>
      </c>
      <c r="I117" s="148">
        <v>730908.90476190532</v>
      </c>
      <c r="J117" s="181">
        <f>VLOOKUP($A117&amp;$B117,'LE Inputs'!$C$2:$J$505,MATCH('LE UtilityData'!J$1,'LE Inputs'!$C$1:$J$1,0),0)*1000</f>
        <v>1288636.109261865</v>
      </c>
      <c r="K117" s="181">
        <v>515963.1783086189</v>
      </c>
      <c r="L117" s="300">
        <v>353521</v>
      </c>
      <c r="M117" s="157">
        <v>353621</v>
      </c>
      <c r="N117" s="150">
        <v>40006.997716015401</v>
      </c>
      <c r="O117" s="181">
        <f>VLOOKUP($A117&amp;$B117,'LE Inputs'!$C$2:$J$525,MATCH('LE UtilityData'!O$1,'LE Inputs'!$C$1:$J$1,0),0)</f>
        <v>43650.27856511042</v>
      </c>
      <c r="P117" s="181" t="e">
        <f>VLOOKUP($A117&amp;$B117,'LE Inputs'!$C$2:$J$505,MATCH('LE UtilityData'!P$1,'LE Inputs'!$C$1:$J$1,0),0)</f>
        <v>#N/A</v>
      </c>
      <c r="Q117" s="303">
        <v>0</v>
      </c>
      <c r="R117" s="303">
        <v>527</v>
      </c>
      <c r="S117" s="298">
        <f t="shared" si="9"/>
        <v>0</v>
      </c>
      <c r="T117" s="298">
        <f t="shared" si="9"/>
        <v>527</v>
      </c>
      <c r="U117" s="159">
        <v>4124</v>
      </c>
      <c r="V117" s="159">
        <v>1696</v>
      </c>
      <c r="W117" s="159">
        <f t="shared" si="10"/>
        <v>1576.7546610636814</v>
      </c>
      <c r="X117" s="159">
        <f t="shared" si="7"/>
        <v>1559.7334359203553</v>
      </c>
    </row>
    <row r="118" spans="1:56" x14ac:dyDescent="0.2">
      <c r="A118" s="147">
        <v>2010</v>
      </c>
      <c r="B118" s="147">
        <v>9</v>
      </c>
      <c r="C118" s="157">
        <v>465037.21299999999</v>
      </c>
      <c r="D118" s="295">
        <v>463382.06300000002</v>
      </c>
      <c r="E118" s="166">
        <v>7.4759202235333753</v>
      </c>
      <c r="F118" s="166">
        <v>7.4759202235333753</v>
      </c>
      <c r="G118" s="256">
        <f t="shared" si="8"/>
        <v>7.4759202235333753</v>
      </c>
      <c r="H118" s="166">
        <v>30.52</v>
      </c>
      <c r="I118" s="148">
        <v>731377.90476190532</v>
      </c>
      <c r="J118" s="181">
        <f>VLOOKUP($A118&amp;$B118,'LE Inputs'!$C$2:$J$505,MATCH('LE UtilityData'!J$1,'LE Inputs'!$C$1:$J$1,0),0)*1000</f>
        <v>1288636.109261865</v>
      </c>
      <c r="K118" s="181">
        <v>515963.1783086189</v>
      </c>
      <c r="L118" s="300">
        <v>352757</v>
      </c>
      <c r="M118" s="157">
        <v>352412</v>
      </c>
      <c r="N118" s="150">
        <v>40006.997716015401</v>
      </c>
      <c r="O118" s="181">
        <f>VLOOKUP($A118&amp;$B118,'LE Inputs'!$C$2:$J$525,MATCH('LE UtilityData'!O$1,'LE Inputs'!$C$1:$J$1,0),0)</f>
        <v>43650.27856511042</v>
      </c>
      <c r="P118" s="181" t="e">
        <f>VLOOKUP($A118&amp;$B118,'LE Inputs'!$C$2:$J$505,MATCH('LE UtilityData'!P$1,'LE Inputs'!$C$1:$J$1,0),0)</f>
        <v>#N/A</v>
      </c>
      <c r="Q118" s="303">
        <v>0</v>
      </c>
      <c r="R118" s="303">
        <v>404</v>
      </c>
      <c r="S118" s="298">
        <f t="shared" si="9"/>
        <v>0</v>
      </c>
      <c r="T118" s="298">
        <f t="shared" si="9"/>
        <v>404</v>
      </c>
      <c r="U118" s="159">
        <v>4124</v>
      </c>
      <c r="V118" s="159">
        <v>1696</v>
      </c>
      <c r="W118" s="159">
        <f t="shared" si="10"/>
        <v>1314.8872995244203</v>
      </c>
      <c r="X118" s="159">
        <f t="shared" si="7"/>
        <v>1318.2933662549574</v>
      </c>
    </row>
    <row r="119" spans="1:56" x14ac:dyDescent="0.2">
      <c r="A119" s="147">
        <v>2010</v>
      </c>
      <c r="B119" s="147">
        <v>10</v>
      </c>
      <c r="C119" s="157">
        <v>305445.60800000001</v>
      </c>
      <c r="D119" s="295">
        <v>304722.46000000002</v>
      </c>
      <c r="E119" s="166">
        <v>7.4759202235333753</v>
      </c>
      <c r="F119" s="166">
        <v>7.4759202235333753</v>
      </c>
      <c r="G119" s="256">
        <f t="shared" si="8"/>
        <v>7.4759202235333753</v>
      </c>
      <c r="H119" s="166">
        <v>29.62</v>
      </c>
      <c r="I119" s="148">
        <v>731846.90476190532</v>
      </c>
      <c r="J119" s="181">
        <f>VLOOKUP($A119&amp;$B119,'LE Inputs'!$C$2:$J$505,MATCH('LE UtilityData'!J$1,'LE Inputs'!$C$1:$J$1,0),0)*1000</f>
        <v>1290860.2084795916</v>
      </c>
      <c r="K119" s="181">
        <v>516545.45003244322</v>
      </c>
      <c r="L119" s="300">
        <v>352104</v>
      </c>
      <c r="M119" s="157">
        <v>352002</v>
      </c>
      <c r="N119" s="150">
        <v>40369.408679404303</v>
      </c>
      <c r="O119" s="181">
        <f>VLOOKUP($A119&amp;$B119,'LE Inputs'!$C$2:$J$525,MATCH('LE UtilityData'!O$1,'LE Inputs'!$C$1:$J$1,0),0)</f>
        <v>43628.765223791168</v>
      </c>
      <c r="P119" s="181" t="e">
        <f>VLOOKUP($A119&amp;$B119,'LE Inputs'!$C$2:$J$505,MATCH('LE UtilityData'!P$1,'LE Inputs'!$C$1:$J$1,0),0)</f>
        <v>#N/A</v>
      </c>
      <c r="Q119" s="303">
        <v>65</v>
      </c>
      <c r="R119" s="303">
        <v>156</v>
      </c>
      <c r="S119" s="298">
        <f t="shared" si="9"/>
        <v>65</v>
      </c>
      <c r="T119" s="298">
        <f t="shared" si="9"/>
        <v>156</v>
      </c>
      <c r="U119" s="159">
        <v>4124</v>
      </c>
      <c r="V119" s="159">
        <v>1696</v>
      </c>
      <c r="W119" s="159">
        <f t="shared" si="10"/>
        <v>865.68388815972639</v>
      </c>
      <c r="X119" s="159">
        <f t="shared" si="7"/>
        <v>867.48690159725538</v>
      </c>
    </row>
    <row r="120" spans="1:56" x14ac:dyDescent="0.2">
      <c r="A120" s="147">
        <v>2010</v>
      </c>
      <c r="B120" s="147">
        <v>11</v>
      </c>
      <c r="C120" s="157">
        <v>235484.24100000001</v>
      </c>
      <c r="D120" s="295">
        <v>235038.38699999999</v>
      </c>
      <c r="E120" s="166">
        <v>7.4759202235333753</v>
      </c>
      <c r="F120" s="166">
        <v>7.4759202235333753</v>
      </c>
      <c r="G120" s="256">
        <f t="shared" si="8"/>
        <v>7.4759202235333753</v>
      </c>
      <c r="H120" s="166">
        <v>29.6</v>
      </c>
      <c r="I120" s="148">
        <v>732315.90476190532</v>
      </c>
      <c r="J120" s="181">
        <f>VLOOKUP($A120&amp;$B120,'LE Inputs'!$C$2:$J$505,MATCH('LE UtilityData'!J$1,'LE Inputs'!$C$1:$J$1,0),0)*1000</f>
        <v>1290860.2084795916</v>
      </c>
      <c r="K120" s="181">
        <v>516545.45003244322</v>
      </c>
      <c r="L120" s="300">
        <v>351644</v>
      </c>
      <c r="M120" s="157">
        <v>351951</v>
      </c>
      <c r="N120" s="150">
        <v>40369.408679404303</v>
      </c>
      <c r="O120" s="181">
        <f>VLOOKUP($A120&amp;$B120,'LE Inputs'!$C$2:$J$525,MATCH('LE UtilityData'!O$1,'LE Inputs'!$C$1:$J$1,0),0)</f>
        <v>43628.765223791168</v>
      </c>
      <c r="P120" s="181" t="e">
        <f>VLOOKUP($A120&amp;$B120,'LE Inputs'!$C$2:$J$505,MATCH('LE UtilityData'!P$1,'LE Inputs'!$C$1:$J$1,0),0)</f>
        <v>#N/A</v>
      </c>
      <c r="Q120" s="303">
        <v>280</v>
      </c>
      <c r="R120" s="303">
        <v>18</v>
      </c>
      <c r="S120" s="298">
        <f t="shared" si="9"/>
        <v>280</v>
      </c>
      <c r="T120" s="298">
        <f t="shared" si="9"/>
        <v>18</v>
      </c>
      <c r="U120" s="159">
        <v>4124</v>
      </c>
      <c r="V120" s="159">
        <v>1696</v>
      </c>
      <c r="W120" s="159">
        <f t="shared" si="10"/>
        <v>667.81565331537627</v>
      </c>
      <c r="X120" s="159">
        <f t="shared" si="7"/>
        <v>669.66659746789367</v>
      </c>
    </row>
    <row r="121" spans="1:56" x14ac:dyDescent="0.2">
      <c r="A121" s="147">
        <v>2010</v>
      </c>
      <c r="B121" s="147">
        <v>12</v>
      </c>
      <c r="C121" s="157">
        <v>353062.64</v>
      </c>
      <c r="D121" s="295">
        <v>353179.54499999998</v>
      </c>
      <c r="E121" s="166">
        <v>7.4759202235333753</v>
      </c>
      <c r="F121" s="166">
        <v>7.4759202235333753</v>
      </c>
      <c r="G121" s="256">
        <f t="shared" si="8"/>
        <v>7.4759202235333753</v>
      </c>
      <c r="H121" s="166">
        <v>31.17</v>
      </c>
      <c r="I121" s="148">
        <v>732784.90476190532</v>
      </c>
      <c r="J121" s="181">
        <f>VLOOKUP($A121&amp;$B121,'LE Inputs'!$C$2:$J$505,MATCH('LE UtilityData'!J$1,'LE Inputs'!$C$1:$J$1,0),0)*1000</f>
        <v>1290860.2084795916</v>
      </c>
      <c r="K121" s="181">
        <v>516545.45003244322</v>
      </c>
      <c r="L121" s="300">
        <v>351492</v>
      </c>
      <c r="M121" s="157">
        <v>352061</v>
      </c>
      <c r="N121" s="150">
        <v>40369.408679404303</v>
      </c>
      <c r="O121" s="181">
        <f>VLOOKUP($A121&amp;$B121,'LE Inputs'!$C$2:$J$525,MATCH('LE UtilityData'!O$1,'LE Inputs'!$C$1:$J$1,0),0)</f>
        <v>43628.765223791168</v>
      </c>
      <c r="P121" s="181" t="e">
        <f>VLOOKUP($A121&amp;$B121,'LE Inputs'!$C$2:$J$505,MATCH('LE UtilityData'!P$1,'LE Inputs'!$C$1:$J$1,0),0)</f>
        <v>#N/A</v>
      </c>
      <c r="Q121" s="303">
        <v>769</v>
      </c>
      <c r="R121" s="303">
        <v>3</v>
      </c>
      <c r="S121" s="298">
        <f t="shared" si="9"/>
        <v>769</v>
      </c>
      <c r="T121" s="298">
        <f t="shared" si="9"/>
        <v>3</v>
      </c>
      <c r="U121" s="159">
        <v>4124</v>
      </c>
      <c r="V121" s="159">
        <v>1696</v>
      </c>
      <c r="W121" s="159">
        <f t="shared" si="10"/>
        <v>1003.177134076197</v>
      </c>
      <c r="X121" s="159">
        <f t="shared" si="7"/>
        <v>1004.4684943042801</v>
      </c>
    </row>
    <row r="122" spans="1:56" x14ac:dyDescent="0.2">
      <c r="A122" s="147">
        <v>2011</v>
      </c>
      <c r="B122" s="147">
        <v>1</v>
      </c>
      <c r="C122" s="157">
        <v>426938.24400000001</v>
      </c>
      <c r="D122" s="295">
        <v>421289.63400000002</v>
      </c>
      <c r="E122" s="166">
        <v>8.2894638037513477</v>
      </c>
      <c r="F122" s="257">
        <f>E122</f>
        <v>8.2894638037513477</v>
      </c>
      <c r="G122" s="256">
        <f t="shared" si="8"/>
        <v>8.2894638037513477</v>
      </c>
      <c r="H122" s="166">
        <v>32.71</v>
      </c>
      <c r="I122" s="148">
        <v>733253.90476190532</v>
      </c>
      <c r="J122" s="181">
        <f>VLOOKUP($A122&amp;$B122,'LE Inputs'!$C$2:$J$505,MATCH('LE UtilityData'!J$1,'LE Inputs'!$C$1:$J$1,0),0)*1000</f>
        <v>1293063.9465124377</v>
      </c>
      <c r="K122" s="181">
        <v>517675.68896974943</v>
      </c>
      <c r="L122" s="300">
        <v>352674</v>
      </c>
      <c r="M122" s="157">
        <v>352641</v>
      </c>
      <c r="N122" s="150">
        <v>40609.214484455202</v>
      </c>
      <c r="O122" s="181">
        <f>VLOOKUP($A122&amp;$B122,'LE Inputs'!$C$2:$J$525,MATCH('LE UtilityData'!O$1,'LE Inputs'!$C$1:$J$1,0),0)</f>
        <v>44076.282088696316</v>
      </c>
      <c r="P122" s="181" t="e">
        <f>VLOOKUP($A122&amp;$B122,'LE Inputs'!$C$2:$J$505,MATCH('LE UtilityData'!P$1,'LE Inputs'!$C$1:$J$1,0),0)</f>
        <v>#N/A</v>
      </c>
      <c r="Q122" s="303">
        <v>1124</v>
      </c>
      <c r="R122" s="303">
        <v>0</v>
      </c>
      <c r="S122" s="298">
        <f t="shared" si="9"/>
        <v>1124</v>
      </c>
      <c r="T122" s="298">
        <f t="shared" si="9"/>
        <v>0</v>
      </c>
      <c r="U122" s="159">
        <v>4124</v>
      </c>
      <c r="V122" s="159">
        <v>1696</v>
      </c>
      <c r="W122" s="159">
        <f t="shared" si="10"/>
        <v>1194.6700298603962</v>
      </c>
      <c r="X122" s="159">
        <f t="shared" si="7"/>
        <v>1210.5747630956635</v>
      </c>
    </row>
    <row r="123" spans="1:56" x14ac:dyDescent="0.2">
      <c r="A123" s="147">
        <v>2011</v>
      </c>
      <c r="B123" s="147">
        <v>2</v>
      </c>
      <c r="C123" s="157">
        <v>335567.16</v>
      </c>
      <c r="D123" s="295">
        <v>338944.424</v>
      </c>
      <c r="E123" s="166">
        <v>8.2894638037513477</v>
      </c>
      <c r="F123" s="257">
        <f t="shared" ref="F123:G133" si="11">E123</f>
        <v>8.2894638037513477</v>
      </c>
      <c r="G123" s="256">
        <f t="shared" si="8"/>
        <v>8.2894638037513477</v>
      </c>
      <c r="H123" s="166">
        <v>29.81</v>
      </c>
      <c r="I123" s="148">
        <v>733722.90476190532</v>
      </c>
      <c r="J123" s="181">
        <f>VLOOKUP($A123&amp;$B123,'LE Inputs'!$C$2:$J$505,MATCH('LE UtilityData'!J$1,'LE Inputs'!$C$1:$J$1,0),0)*1000</f>
        <v>1293063.9465124377</v>
      </c>
      <c r="K123" s="181">
        <v>517675.68896974943</v>
      </c>
      <c r="L123" s="300">
        <v>352842</v>
      </c>
      <c r="M123" s="157">
        <v>352415</v>
      </c>
      <c r="N123" s="150">
        <v>40609.214484455202</v>
      </c>
      <c r="O123" s="181">
        <f>VLOOKUP($A123&amp;$B123,'LE Inputs'!$C$2:$J$525,MATCH('LE UtilityData'!O$1,'LE Inputs'!$C$1:$J$1,0),0)</f>
        <v>44076.282088696316</v>
      </c>
      <c r="P123" s="181" t="e">
        <f>VLOOKUP($A123&amp;$B123,'LE Inputs'!$C$2:$J$505,MATCH('LE UtilityData'!P$1,'LE Inputs'!$C$1:$J$1,0),0)</f>
        <v>#N/A</v>
      </c>
      <c r="Q123" s="303">
        <v>885</v>
      </c>
      <c r="R123" s="303">
        <v>0</v>
      </c>
      <c r="S123" s="298">
        <f t="shared" si="9"/>
        <v>885</v>
      </c>
      <c r="T123" s="298">
        <f t="shared" si="9"/>
        <v>0</v>
      </c>
      <c r="U123" s="159">
        <v>4124</v>
      </c>
      <c r="V123" s="159">
        <v>1696</v>
      </c>
      <c r="W123" s="159">
        <f t="shared" si="10"/>
        <v>961.77638295759255</v>
      </c>
      <c r="X123" s="159">
        <f t="shared" si="7"/>
        <v>951.0408624823574</v>
      </c>
    </row>
    <row r="124" spans="1:56" x14ac:dyDescent="0.2">
      <c r="A124" s="147">
        <v>2011</v>
      </c>
      <c r="B124" s="147">
        <v>3</v>
      </c>
      <c r="C124" s="157">
        <v>299546.73100000003</v>
      </c>
      <c r="D124" s="295">
        <v>298357.21100000001</v>
      </c>
      <c r="E124" s="166">
        <v>8.2894638037513477</v>
      </c>
      <c r="F124" s="257">
        <f t="shared" si="11"/>
        <v>8.2894638037513477</v>
      </c>
      <c r="G124" s="256">
        <f t="shared" si="8"/>
        <v>8.2894638037513477</v>
      </c>
      <c r="H124" s="166">
        <v>30.33</v>
      </c>
      <c r="I124" s="148">
        <v>734191.90476190532</v>
      </c>
      <c r="J124" s="181">
        <f>VLOOKUP($A124&amp;$B124,'LE Inputs'!$C$2:$J$505,MATCH('LE UtilityData'!J$1,'LE Inputs'!$C$1:$J$1,0),0)*1000</f>
        <v>1293063.9465124377</v>
      </c>
      <c r="K124" s="181">
        <v>517675.68896974943</v>
      </c>
      <c r="L124" s="300">
        <v>353009</v>
      </c>
      <c r="M124" s="157">
        <v>352857</v>
      </c>
      <c r="N124" s="150">
        <v>40609.214484455202</v>
      </c>
      <c r="O124" s="181">
        <f>VLOOKUP($A124&amp;$B124,'LE Inputs'!$C$2:$J$525,MATCH('LE UtilityData'!O$1,'LE Inputs'!$C$1:$J$1,0),0)</f>
        <v>44076.282088696316</v>
      </c>
      <c r="P124" s="181" t="e">
        <f>VLOOKUP($A124&amp;$B124,'LE Inputs'!$C$2:$J$505,MATCH('LE UtilityData'!P$1,'LE Inputs'!$C$1:$J$1,0),0)</f>
        <v>#N/A</v>
      </c>
      <c r="Q124" s="303">
        <v>591</v>
      </c>
      <c r="R124" s="303">
        <v>3</v>
      </c>
      <c r="S124" s="298">
        <f t="shared" si="9"/>
        <v>591</v>
      </c>
      <c r="T124" s="298">
        <f t="shared" si="9"/>
        <v>3</v>
      </c>
      <c r="U124" s="159">
        <v>4124</v>
      </c>
      <c r="V124" s="159">
        <v>1696</v>
      </c>
      <c r="W124" s="159">
        <f t="shared" si="10"/>
        <v>845.54709414862123</v>
      </c>
      <c r="X124" s="159">
        <f t="shared" si="7"/>
        <v>848.55267429442313</v>
      </c>
    </row>
    <row r="125" spans="1:56" x14ac:dyDescent="0.2">
      <c r="A125" s="147">
        <v>2011</v>
      </c>
      <c r="B125" s="147">
        <v>4</v>
      </c>
      <c r="C125" s="161"/>
      <c r="D125" s="295">
        <v>264708.40299999999</v>
      </c>
      <c r="E125" s="166">
        <v>8.2894638037513477</v>
      </c>
      <c r="F125" s="257">
        <f t="shared" si="11"/>
        <v>8.2894638037513477</v>
      </c>
      <c r="G125" s="256">
        <f t="shared" si="8"/>
        <v>8.2894638037513477</v>
      </c>
      <c r="H125" s="166">
        <v>29.86</v>
      </c>
      <c r="I125" s="148">
        <v>734660.90476190532</v>
      </c>
      <c r="J125" s="181">
        <f>VLOOKUP($A125&amp;$B125,'LE Inputs'!$C$2:$J$505,MATCH('LE UtilityData'!J$1,'LE Inputs'!$C$1:$J$1,0),0)*1000</f>
        <v>1295247.1582141144</v>
      </c>
      <c r="K125" s="181">
        <v>518485.02098041045</v>
      </c>
      <c r="L125" s="157">
        <v>353234.50128914008</v>
      </c>
      <c r="M125" s="157">
        <v>351986</v>
      </c>
      <c r="N125" s="150">
        <v>40693.511017654397</v>
      </c>
      <c r="O125" s="181">
        <f>VLOOKUP($A125&amp;$B125,'LE Inputs'!$C$2:$J$525,MATCH('LE UtilityData'!O$1,'LE Inputs'!$C$1:$J$1,0),0)</f>
        <v>43951.481593858036</v>
      </c>
      <c r="P125" s="181" t="e">
        <f>VLOOKUP($A125&amp;$B125,'LE Inputs'!$C$2:$J$505,MATCH('LE UtilityData'!P$1,'LE Inputs'!$C$1:$J$1,0),0)</f>
        <v>#N/A</v>
      </c>
      <c r="Q125" s="303">
        <v>372</v>
      </c>
      <c r="R125" s="303">
        <v>28</v>
      </c>
      <c r="S125" s="298">
        <f t="shared" si="9"/>
        <v>372</v>
      </c>
      <c r="T125" s="298">
        <f t="shared" si="9"/>
        <v>28</v>
      </c>
      <c r="U125" s="159">
        <v>4124</v>
      </c>
      <c r="V125" s="159">
        <v>1696</v>
      </c>
      <c r="W125" s="159">
        <f t="shared" si="10"/>
        <v>752.04241930076762</v>
      </c>
      <c r="X125" s="159">
        <f t="shared" si="7"/>
        <v>0</v>
      </c>
    </row>
    <row r="126" spans="1:56" ht="13.5" thickBot="1" x14ac:dyDescent="0.25">
      <c r="A126" s="147">
        <v>2011</v>
      </c>
      <c r="B126" s="147">
        <v>5</v>
      </c>
      <c r="C126" s="161"/>
      <c r="D126" s="295">
        <v>267524.995</v>
      </c>
      <c r="E126" s="166">
        <v>8.2894638037513477</v>
      </c>
      <c r="F126" s="257">
        <f t="shared" si="11"/>
        <v>8.2894638037513477</v>
      </c>
      <c r="G126" s="256">
        <f t="shared" si="8"/>
        <v>8.2894638037513477</v>
      </c>
      <c r="H126" s="166">
        <v>30.48</v>
      </c>
      <c r="I126" s="148">
        <v>735129.90476190532</v>
      </c>
      <c r="J126" s="181">
        <f>VLOOKUP($A126&amp;$B126,'LE Inputs'!$C$2:$J$505,MATCH('LE UtilityData'!J$1,'LE Inputs'!$C$1:$J$1,0),0)*1000</f>
        <v>1295247.1582141144</v>
      </c>
      <c r="K126" s="181">
        <v>518485.02098041045</v>
      </c>
      <c r="L126" s="157">
        <v>353460.00257828017</v>
      </c>
      <c r="M126" s="157">
        <v>352644</v>
      </c>
      <c r="N126" s="150">
        <v>40693.511017654397</v>
      </c>
      <c r="O126" s="181">
        <f>VLOOKUP($A126&amp;$B126,'LE Inputs'!$C$2:$J$525,MATCH('LE UtilityData'!O$1,'LE Inputs'!$C$1:$J$1,0),0)</f>
        <v>43951.481593858036</v>
      </c>
      <c r="P126" s="181" t="e">
        <f>VLOOKUP($A126&amp;$B126,'LE Inputs'!$C$2:$J$505,MATCH('LE UtilityData'!P$1,'LE Inputs'!$C$1:$J$1,0),0)</f>
        <v>#N/A</v>
      </c>
      <c r="Q126" s="303">
        <v>153</v>
      </c>
      <c r="R126" s="303">
        <v>70</v>
      </c>
      <c r="S126" s="298">
        <f t="shared" si="9"/>
        <v>153</v>
      </c>
      <c r="T126" s="298">
        <f t="shared" si="9"/>
        <v>70</v>
      </c>
      <c r="U126" s="159">
        <v>4124</v>
      </c>
      <c r="V126" s="159">
        <v>1696</v>
      </c>
      <c r="W126" s="159">
        <f t="shared" si="10"/>
        <v>758.62624913510513</v>
      </c>
      <c r="X126" s="159">
        <f t="shared" si="7"/>
        <v>0</v>
      </c>
    </row>
    <row r="127" spans="1:56" ht="13.5" thickBot="1" x14ac:dyDescent="0.25">
      <c r="A127" s="147">
        <v>2011</v>
      </c>
      <c r="B127" s="147">
        <v>6</v>
      </c>
      <c r="C127" s="161"/>
      <c r="D127" s="295">
        <v>417163.28600000002</v>
      </c>
      <c r="E127" s="166">
        <v>8.2894638037513477</v>
      </c>
      <c r="F127" s="257">
        <f t="shared" si="11"/>
        <v>8.2894638037513477</v>
      </c>
      <c r="G127" s="256">
        <f t="shared" si="8"/>
        <v>8.2894638037513477</v>
      </c>
      <c r="H127" s="166">
        <v>30.67</v>
      </c>
      <c r="I127" s="148">
        <v>735601.77380952332</v>
      </c>
      <c r="J127" s="181">
        <f>VLOOKUP($A127&amp;$B127,'LE Inputs'!$C$2:$J$505,MATCH('LE UtilityData'!J$1,'LE Inputs'!$C$1:$J$1,0),0)*1000</f>
        <v>1295247.1582141144</v>
      </c>
      <c r="K127" s="181">
        <v>518485.02098041045</v>
      </c>
      <c r="L127" s="157">
        <v>353686.88334276446</v>
      </c>
      <c r="M127" s="157">
        <v>352735</v>
      </c>
      <c r="N127" s="150">
        <v>40693.511017654397</v>
      </c>
      <c r="O127" s="181">
        <f>VLOOKUP($A127&amp;$B127,'LE Inputs'!$C$2:$J$525,MATCH('LE UtilityData'!O$1,'LE Inputs'!$C$1:$J$1,0),0)</f>
        <v>43951.481593858036</v>
      </c>
      <c r="P127" s="181" t="e">
        <f>VLOOKUP($A127&amp;$B127,'LE Inputs'!$C$2:$J$505,MATCH('LE UtilityData'!P$1,'LE Inputs'!$C$1:$J$1,0),0)</f>
        <v>#N/A</v>
      </c>
      <c r="Q127" s="303">
        <v>43</v>
      </c>
      <c r="R127" s="303">
        <v>292</v>
      </c>
      <c r="S127" s="298">
        <f t="shared" si="9"/>
        <v>43</v>
      </c>
      <c r="T127" s="298">
        <f t="shared" si="9"/>
        <v>292</v>
      </c>
      <c r="U127" s="159">
        <v>4124</v>
      </c>
      <c r="V127" s="159">
        <v>1696</v>
      </c>
      <c r="W127" s="159">
        <f t="shared" si="10"/>
        <v>1182.6535104256736</v>
      </c>
      <c r="X127" s="159">
        <f t="shared" si="7"/>
        <v>0</v>
      </c>
      <c r="AI127" s="304">
        <v>166529.24999999997</v>
      </c>
    </row>
    <row r="128" spans="1:56" x14ac:dyDescent="0.2">
      <c r="A128" s="147">
        <v>2011</v>
      </c>
      <c r="B128" s="147">
        <v>7</v>
      </c>
      <c r="C128" s="161"/>
      <c r="D128" s="295">
        <v>496962.67800000001</v>
      </c>
      <c r="E128" s="166">
        <v>8.2894638037513477</v>
      </c>
      <c r="F128" s="257">
        <f t="shared" si="11"/>
        <v>8.2894638037513477</v>
      </c>
      <c r="G128" s="256">
        <f t="shared" si="8"/>
        <v>8.2894638037513477</v>
      </c>
      <c r="H128" s="166">
        <v>30.71</v>
      </c>
      <c r="I128" s="148">
        <v>736070.77380952332</v>
      </c>
      <c r="J128" s="181">
        <f>VLOOKUP($A128&amp;$B128,'LE Inputs'!$C$2:$J$505,MATCH('LE UtilityData'!J$1,'LE Inputs'!$C$1:$J$1,0),0)*1000</f>
        <v>1297516.8166601879</v>
      </c>
      <c r="K128" s="181">
        <v>519436.016306896</v>
      </c>
      <c r="L128" s="157">
        <v>353912.38463190454</v>
      </c>
      <c r="M128" s="157">
        <v>352249</v>
      </c>
      <c r="N128" s="150">
        <v>40978.712633822499</v>
      </c>
      <c r="O128" s="181">
        <f>VLOOKUP($A128&amp;$B128,'LE Inputs'!$C$2:$J$525,MATCH('LE UtilityData'!O$1,'LE Inputs'!$C$1:$J$1,0),0)</f>
        <v>44013.735990673136</v>
      </c>
      <c r="P128" s="181" t="e">
        <f>VLOOKUP($A128&amp;$B128,'LE Inputs'!$C$2:$J$505,MATCH('LE UtilityData'!P$1,'LE Inputs'!$C$1:$J$1,0),0)</f>
        <v>#N/A</v>
      </c>
      <c r="Q128" s="303">
        <v>0</v>
      </c>
      <c r="R128" s="303">
        <v>407</v>
      </c>
      <c r="S128" s="246">
        <f t="shared" ref="S128:T133" si="12">S140</f>
        <v>0.55000000000000004</v>
      </c>
      <c r="T128" s="246">
        <f t="shared" si="12"/>
        <v>396.4</v>
      </c>
      <c r="U128" s="159">
        <v>4124</v>
      </c>
      <c r="V128" s="159">
        <v>1696</v>
      </c>
      <c r="W128" s="159">
        <f t="shared" si="10"/>
        <v>1410.8277894330431</v>
      </c>
      <c r="X128" s="159">
        <f t="shared" si="7"/>
        <v>0</v>
      </c>
      <c r="AI128" s="305">
        <v>128323.45999999999</v>
      </c>
      <c r="AJ128" s="305">
        <v>0</v>
      </c>
      <c r="AK128" s="305">
        <v>0</v>
      </c>
      <c r="AL128" s="305">
        <v>0</v>
      </c>
      <c r="AM128" s="305">
        <v>0</v>
      </c>
      <c r="AN128" s="305">
        <v>0</v>
      </c>
      <c r="AO128" s="305">
        <v>0</v>
      </c>
      <c r="AP128" s="305">
        <v>0</v>
      </c>
      <c r="AQ128" s="305">
        <v>0</v>
      </c>
      <c r="AR128" s="305">
        <v>0</v>
      </c>
      <c r="AS128" s="305">
        <v>0</v>
      </c>
      <c r="AT128" s="305">
        <v>0</v>
      </c>
      <c r="AU128" s="305">
        <v>0</v>
      </c>
      <c r="AV128" s="305">
        <v>0</v>
      </c>
      <c r="AW128" s="305"/>
      <c r="AX128" s="305">
        <v>0</v>
      </c>
      <c r="AY128" s="305">
        <v>0</v>
      </c>
      <c r="AZ128" s="305">
        <v>0</v>
      </c>
      <c r="BA128" s="305">
        <v>12316778.549999999</v>
      </c>
      <c r="BB128" s="305">
        <v>224548.75</v>
      </c>
      <c r="BC128" s="305">
        <v>5526021.2299999995</v>
      </c>
      <c r="BD128" s="305">
        <v>18067348.529999997</v>
      </c>
    </row>
    <row r="129" spans="1:35" x14ac:dyDescent="0.2">
      <c r="A129" s="147">
        <v>2011</v>
      </c>
      <c r="B129" s="147">
        <v>8</v>
      </c>
      <c r="C129" s="161"/>
      <c r="D129" s="295">
        <v>580187.17200000002</v>
      </c>
      <c r="E129" s="166">
        <v>8.2894638037513477</v>
      </c>
      <c r="F129" s="257">
        <f t="shared" si="11"/>
        <v>8.2894638037513477</v>
      </c>
      <c r="G129" s="256">
        <f t="shared" si="8"/>
        <v>8.2894638037513477</v>
      </c>
      <c r="H129" s="166">
        <v>29.52</v>
      </c>
      <c r="I129" s="148">
        <v>736539.77380952332</v>
      </c>
      <c r="J129" s="181">
        <f>VLOOKUP($A129&amp;$B129,'LE Inputs'!$C$2:$J$505,MATCH('LE UtilityData'!J$1,'LE Inputs'!$C$1:$J$1,0),0)*1000</f>
        <v>1297516.8166601879</v>
      </c>
      <c r="K129" s="181">
        <v>519436.016306896</v>
      </c>
      <c r="L129" s="157">
        <v>354137.88592104462</v>
      </c>
      <c r="M129" s="157">
        <v>353341</v>
      </c>
      <c r="N129" s="150">
        <v>40978.712633822499</v>
      </c>
      <c r="O129" s="181">
        <f>VLOOKUP($A129&amp;$B129,'LE Inputs'!$C$2:$J$525,MATCH('LE UtilityData'!O$1,'LE Inputs'!$C$1:$J$1,0),0)</f>
        <v>44013.735990673136</v>
      </c>
      <c r="P129" s="181" t="e">
        <f>VLOOKUP($A129&amp;$B129,'LE Inputs'!$C$2:$J$505,MATCH('LE UtilityData'!P$1,'LE Inputs'!$C$1:$J$1,0),0)</f>
        <v>#N/A</v>
      </c>
      <c r="Q129" s="303">
        <v>0</v>
      </c>
      <c r="R129" s="303">
        <v>535</v>
      </c>
      <c r="S129" s="246">
        <f t="shared" si="12"/>
        <v>0.1</v>
      </c>
      <c r="T129" s="246">
        <f t="shared" si="12"/>
        <v>417.05</v>
      </c>
      <c r="U129" s="159">
        <v>4124</v>
      </c>
      <c r="V129" s="159">
        <v>1696</v>
      </c>
      <c r="W129" s="159">
        <f t="shared" si="10"/>
        <v>1642.0035376590886</v>
      </c>
      <c r="X129" s="159">
        <f t="shared" si="7"/>
        <v>0</v>
      </c>
    </row>
    <row r="130" spans="1:35" x14ac:dyDescent="0.2">
      <c r="A130" s="147">
        <v>2011</v>
      </c>
      <c r="B130" s="147">
        <v>9</v>
      </c>
      <c r="C130" s="161"/>
      <c r="D130" s="295">
        <v>439627.45500000002</v>
      </c>
      <c r="E130" s="166">
        <v>8.2894638037513477</v>
      </c>
      <c r="F130" s="257">
        <f t="shared" si="11"/>
        <v>8.2894638037513477</v>
      </c>
      <c r="G130" s="256">
        <f t="shared" si="8"/>
        <v>8.2894638037513477</v>
      </c>
      <c r="H130" s="166">
        <v>30.52</v>
      </c>
      <c r="I130" s="148">
        <v>737008.77380952332</v>
      </c>
      <c r="J130" s="181">
        <f>VLOOKUP($A130&amp;$B130,'LE Inputs'!$C$2:$J$505,MATCH('LE UtilityData'!J$1,'LE Inputs'!$C$1:$J$1,0),0)*1000</f>
        <v>1297516.8166601879</v>
      </c>
      <c r="K130" s="181">
        <v>519436.016306896</v>
      </c>
      <c r="L130" s="157">
        <v>354363.38721018471</v>
      </c>
      <c r="M130" s="157">
        <v>351939</v>
      </c>
      <c r="N130" s="150">
        <v>40978.712633822499</v>
      </c>
      <c r="O130" s="181">
        <f>VLOOKUP($A130&amp;$B130,'LE Inputs'!$C$2:$J$525,MATCH('LE UtilityData'!O$1,'LE Inputs'!$C$1:$J$1,0),0)</f>
        <v>44013.735990673136</v>
      </c>
      <c r="P130" s="181" t="e">
        <f>VLOOKUP($A130&amp;$B130,'LE Inputs'!$C$2:$J$505,MATCH('LE UtilityData'!P$1,'LE Inputs'!$C$1:$J$1,0),0)</f>
        <v>#N/A</v>
      </c>
      <c r="Q130" s="303">
        <v>14</v>
      </c>
      <c r="R130" s="303">
        <v>331</v>
      </c>
      <c r="S130" s="246">
        <f t="shared" si="12"/>
        <v>5.35</v>
      </c>
      <c r="T130" s="246">
        <f t="shared" si="12"/>
        <v>330.2</v>
      </c>
      <c r="U130" s="159">
        <v>4124</v>
      </c>
      <c r="V130" s="159">
        <v>1696</v>
      </c>
      <c r="W130" s="159">
        <f t="shared" si="10"/>
        <v>1249.1581069446693</v>
      </c>
      <c r="X130" s="159">
        <f t="shared" ref="X130:X193" si="13">C130/L130*1000</f>
        <v>0</v>
      </c>
    </row>
    <row r="131" spans="1:35" x14ac:dyDescent="0.2">
      <c r="A131" s="147">
        <v>2011</v>
      </c>
      <c r="B131" s="147">
        <v>10</v>
      </c>
      <c r="C131" s="161"/>
      <c r="D131" s="295">
        <v>252154.73199999999</v>
      </c>
      <c r="E131" s="166">
        <v>8.2894638037513477</v>
      </c>
      <c r="F131" s="257">
        <f t="shared" si="11"/>
        <v>8.2894638037513477</v>
      </c>
      <c r="G131" s="256">
        <f t="shared" si="11"/>
        <v>8.2894638037513477</v>
      </c>
      <c r="H131" s="166">
        <v>29.62</v>
      </c>
      <c r="I131" s="148">
        <v>737477.77380952332</v>
      </c>
      <c r="J131" s="181">
        <f>VLOOKUP($A131&amp;$B131,'LE Inputs'!$C$2:$J$505,MATCH('LE UtilityData'!J$1,'LE Inputs'!$C$1:$J$1,0),0)*1000</f>
        <v>1298979.2497819678</v>
      </c>
      <c r="K131" s="181">
        <v>520051.41137481952</v>
      </c>
      <c r="L131" s="157">
        <v>354588.88849932479</v>
      </c>
      <c r="M131" s="157">
        <v>351804</v>
      </c>
      <c r="N131" s="150">
        <v>41249.781476074801</v>
      </c>
      <c r="O131" s="181">
        <f>VLOOKUP($A131&amp;$B131,'LE Inputs'!$C$2:$J$525,MATCH('LE UtilityData'!O$1,'LE Inputs'!$C$1:$J$1,0),0)</f>
        <v>44207.369300157479</v>
      </c>
      <c r="P131" s="181" t="e">
        <f>VLOOKUP($A131&amp;$B131,'LE Inputs'!$C$2:$J$505,MATCH('LE UtilityData'!P$1,'LE Inputs'!$C$1:$J$1,0),0)</f>
        <v>#N/A</v>
      </c>
      <c r="Q131" s="303">
        <v>102</v>
      </c>
      <c r="R131" s="303">
        <v>56</v>
      </c>
      <c r="S131" s="246">
        <f t="shared" si="12"/>
        <v>99.3</v>
      </c>
      <c r="T131" s="246">
        <f t="shared" si="12"/>
        <v>100.05</v>
      </c>
      <c r="U131" s="159">
        <v>4124</v>
      </c>
      <c r="V131" s="159">
        <v>1696</v>
      </c>
      <c r="W131" s="159">
        <f t="shared" ref="W131:W194" si="14">D131/M131*1000</f>
        <v>716.74776864390401</v>
      </c>
      <c r="X131" s="159">
        <f t="shared" si="13"/>
        <v>0</v>
      </c>
    </row>
    <row r="132" spans="1:35" x14ac:dyDescent="0.2">
      <c r="A132" s="147">
        <v>2011</v>
      </c>
      <c r="B132" s="147">
        <v>11</v>
      </c>
      <c r="C132" s="161"/>
      <c r="D132" s="295">
        <v>237420.47500000001</v>
      </c>
      <c r="E132" s="166">
        <v>8.2894638037513477</v>
      </c>
      <c r="F132" s="257">
        <f t="shared" si="11"/>
        <v>8.2894638037513477</v>
      </c>
      <c r="G132" s="256">
        <f t="shared" si="11"/>
        <v>8.2894638037513477</v>
      </c>
      <c r="H132" s="166">
        <v>29.95</v>
      </c>
      <c r="I132" s="148">
        <v>737946.77380952332</v>
      </c>
      <c r="J132" s="181">
        <f>VLOOKUP($A132&amp;$B132,'LE Inputs'!$C$2:$J$505,MATCH('LE UtilityData'!J$1,'LE Inputs'!$C$1:$J$1,0),0)*1000</f>
        <v>1298979.2497819678</v>
      </c>
      <c r="K132" s="181">
        <v>520051.41137481952</v>
      </c>
      <c r="L132" s="157">
        <v>354814.38978846488</v>
      </c>
      <c r="M132" s="157">
        <v>350842</v>
      </c>
      <c r="N132" s="150">
        <v>41249.781476074801</v>
      </c>
      <c r="O132" s="181">
        <f>VLOOKUP($A132&amp;$B132,'LE Inputs'!$C$2:$J$525,MATCH('LE UtilityData'!O$1,'LE Inputs'!$C$1:$J$1,0),0)</f>
        <v>44207.369300157479</v>
      </c>
      <c r="P132" s="181" t="e">
        <f>VLOOKUP($A132&amp;$B132,'LE Inputs'!$C$2:$J$505,MATCH('LE UtilityData'!P$1,'LE Inputs'!$C$1:$J$1,0),0)</f>
        <v>#N/A</v>
      </c>
      <c r="Q132" s="303">
        <v>316</v>
      </c>
      <c r="R132" s="303">
        <v>6</v>
      </c>
      <c r="S132" s="246">
        <f t="shared" si="12"/>
        <v>352.6</v>
      </c>
      <c r="T132" s="246">
        <f t="shared" si="12"/>
        <v>12.75</v>
      </c>
      <c r="U132" s="159">
        <v>4124</v>
      </c>
      <c r="V132" s="159">
        <v>1696</v>
      </c>
      <c r="W132" s="159">
        <f t="shared" si="14"/>
        <v>676.71622838770725</v>
      </c>
      <c r="X132" s="159">
        <f t="shared" si="13"/>
        <v>0</v>
      </c>
    </row>
    <row r="133" spans="1:35" ht="13.5" thickBot="1" x14ac:dyDescent="0.25">
      <c r="A133" s="147">
        <v>2011</v>
      </c>
      <c r="B133" s="147">
        <v>12</v>
      </c>
      <c r="C133" s="161"/>
      <c r="D133" s="295">
        <v>297090.28700000001</v>
      </c>
      <c r="E133" s="166">
        <v>8.2894638037513477</v>
      </c>
      <c r="F133" s="257">
        <f t="shared" si="11"/>
        <v>8.2894638037513477</v>
      </c>
      <c r="G133" s="256">
        <f t="shared" si="11"/>
        <v>8.2894638037513477</v>
      </c>
      <c r="H133" s="166">
        <v>31.24</v>
      </c>
      <c r="I133" s="148">
        <v>738415.77380952332</v>
      </c>
      <c r="J133" s="181">
        <f>VLOOKUP($A133&amp;$B133,'LE Inputs'!$C$2:$J$505,MATCH('LE UtilityData'!J$1,'LE Inputs'!$C$1:$J$1,0),0)*1000</f>
        <v>1298979.2497819678</v>
      </c>
      <c r="K133" s="181">
        <v>520051.41137481952</v>
      </c>
      <c r="L133" s="157">
        <v>355039.8910776049</v>
      </c>
      <c r="M133" s="157">
        <v>351139</v>
      </c>
      <c r="N133" s="150">
        <v>41249.781476074801</v>
      </c>
      <c r="O133" s="181">
        <f>VLOOKUP($A133&amp;$B133,'LE Inputs'!$C$2:$J$525,MATCH('LE UtilityData'!O$1,'LE Inputs'!$C$1:$J$1,0),0)</f>
        <v>44207.369300157479</v>
      </c>
      <c r="P133" s="181" t="e">
        <f>VLOOKUP($A133&amp;$B133,'LE Inputs'!$C$2:$J$505,MATCH('LE UtilityData'!P$1,'LE Inputs'!$C$1:$J$1,0),0)</f>
        <v>#N/A</v>
      </c>
      <c r="Q133" s="303">
        <v>544</v>
      </c>
      <c r="R133" s="303">
        <v>2</v>
      </c>
      <c r="S133" s="246">
        <f t="shared" si="12"/>
        <v>669.9</v>
      </c>
      <c r="T133" s="246">
        <f t="shared" si="12"/>
        <v>1.05</v>
      </c>
      <c r="U133" s="159">
        <v>4124</v>
      </c>
      <c r="V133" s="159">
        <v>1696</v>
      </c>
      <c r="W133" s="159">
        <f t="shared" si="14"/>
        <v>846.07601832892385</v>
      </c>
      <c r="X133" s="159">
        <f t="shared" si="13"/>
        <v>0</v>
      </c>
      <c r="AB133" s="147" t="s">
        <v>258</v>
      </c>
      <c r="AC133" s="147" t="s">
        <v>259</v>
      </c>
      <c r="AE133" s="147" t="s">
        <v>217</v>
      </c>
      <c r="AF133" s="147" t="s">
        <v>215</v>
      </c>
      <c r="AG133" s="147" t="s">
        <v>260</v>
      </c>
    </row>
    <row r="134" spans="1:35" ht="13.5" thickBot="1" x14ac:dyDescent="0.25">
      <c r="A134" s="147">
        <v>2012</v>
      </c>
      <c r="B134" s="147">
        <v>1</v>
      </c>
      <c r="C134" s="161"/>
      <c r="D134" s="295">
        <v>362094.36599999998</v>
      </c>
      <c r="E134" s="166">
        <v>8.8999885401544248</v>
      </c>
      <c r="F134" s="256">
        <f>HLOOKUP($A134,'LE rate projection'!$C$17:$K$27,11,0)*100</f>
        <v>8.5772101877244911</v>
      </c>
      <c r="G134" s="256">
        <f>HLOOKUP($A134,'LE rate projection'!$C$32:$M$41,10,0)*100</f>
        <v>8.8300509383118992</v>
      </c>
      <c r="H134" s="166">
        <v>32.549999999999997</v>
      </c>
      <c r="I134" s="148">
        <v>738884.77380952332</v>
      </c>
      <c r="J134" s="181">
        <f>VLOOKUP($A134&amp;$B134,'LE Inputs'!$C$2:$J$505,MATCH('LE UtilityData'!J$1,'LE Inputs'!$C$1:$J$1,0),0)*1000</f>
        <v>1301262.2358208077</v>
      </c>
      <c r="K134" s="181">
        <v>521383.54769033095</v>
      </c>
      <c r="L134" s="157">
        <v>355265.39236674493</v>
      </c>
      <c r="M134" s="157">
        <v>352024</v>
      </c>
      <c r="N134" s="150">
        <v>41570.992733092098</v>
      </c>
      <c r="O134" s="181">
        <f>VLOOKUP($A134&amp;$B134,'LE Inputs'!$C$2:$J$525,MATCH('LE UtilityData'!O$1,'LE Inputs'!$C$1:$J$1,0),0)</f>
        <v>44318.071900110284</v>
      </c>
      <c r="P134" s="181" t="e">
        <f>VLOOKUP($A134&amp;$B134,'LE Inputs'!$C$2:$J$505,MATCH('LE UtilityData'!P$1,'LE Inputs'!$C$1:$J$1,0),0)</f>
        <v>#N/A</v>
      </c>
      <c r="Q134" s="157">
        <v>786</v>
      </c>
      <c r="R134" s="157">
        <v>0.35</v>
      </c>
      <c r="S134" s="246">
        <f>S146</f>
        <v>932.4</v>
      </c>
      <c r="T134" s="246">
        <f>T146</f>
        <v>0.35</v>
      </c>
      <c r="U134" s="159">
        <v>4124</v>
      </c>
      <c r="V134" s="159">
        <v>1696</v>
      </c>
      <c r="W134" s="159">
        <f t="shared" si="14"/>
        <v>1028.6070438379199</v>
      </c>
      <c r="X134" s="159">
        <f t="shared" si="13"/>
        <v>0</v>
      </c>
      <c r="AA134" s="147">
        <f t="shared" ref="AA134:AA135" si="15">SUM(AC134:AG134)/AB134</f>
        <v>7.7602584721712178E-2</v>
      </c>
      <c r="AB134" s="304">
        <v>363743298</v>
      </c>
      <c r="AC134" s="304">
        <v>26280484.199999999</v>
      </c>
      <c r="AD134" s="304"/>
      <c r="AE134" s="304">
        <v>865838.43</v>
      </c>
      <c r="AF134" s="304">
        <v>963164.15000000014</v>
      </c>
      <c r="AG134" s="304">
        <v>117933.31999999999</v>
      </c>
      <c r="AH134" s="304">
        <v>0</v>
      </c>
      <c r="AI134" s="304">
        <v>117933.31999999999</v>
      </c>
    </row>
    <row r="135" spans="1:35" ht="13.5" thickBot="1" x14ac:dyDescent="0.25">
      <c r="A135" s="147">
        <v>2012</v>
      </c>
      <c r="B135" s="147">
        <v>2</v>
      </c>
      <c r="C135" s="161"/>
      <c r="D135" s="295">
        <v>324104.53100000002</v>
      </c>
      <c r="E135" s="166">
        <v>8.8999885401544248</v>
      </c>
      <c r="F135" s="256">
        <f>HLOOKUP($A135,'LE rate projection'!$C$17:$K$27,11,0)*100</f>
        <v>8.5772101877244911</v>
      </c>
      <c r="G135" s="256">
        <f>HLOOKUP($A135,'LE rate projection'!$C$32:$M$41,10,0)*100</f>
        <v>8.8300509383118992</v>
      </c>
      <c r="H135" s="166">
        <v>29.75</v>
      </c>
      <c r="I135" s="148">
        <v>739353.77380952332</v>
      </c>
      <c r="J135" s="181">
        <f>VLOOKUP($A135&amp;$B135,'LE Inputs'!$C$2:$J$505,MATCH('LE UtilityData'!J$1,'LE Inputs'!$C$1:$J$1,0),0)*1000</f>
        <v>1301262.2358208077</v>
      </c>
      <c r="K135" s="181">
        <v>521383.54769033095</v>
      </c>
      <c r="L135" s="157">
        <v>355490.89365588495</v>
      </c>
      <c r="M135" s="157">
        <v>352203</v>
      </c>
      <c r="N135" s="150">
        <v>41570.992733092098</v>
      </c>
      <c r="O135" s="181">
        <f>VLOOKUP($A135&amp;$B135,'LE Inputs'!$C$2:$J$525,MATCH('LE UtilityData'!O$1,'LE Inputs'!$C$1:$J$1,0),0)</f>
        <v>44318.071900110284</v>
      </c>
      <c r="P135" s="181" t="e">
        <f>VLOOKUP($A135&amp;$B135,'LE Inputs'!$C$2:$J$505,MATCH('LE UtilityData'!P$1,'LE Inputs'!$C$1:$J$1,0),0)</f>
        <v>#N/A</v>
      </c>
      <c r="Q135" s="157">
        <v>700</v>
      </c>
      <c r="R135" s="157">
        <v>0.05</v>
      </c>
      <c r="S135" s="246">
        <f t="shared" ref="S135:T145" si="16">S147</f>
        <v>864.1</v>
      </c>
      <c r="T135" s="246">
        <f t="shared" si="16"/>
        <v>0.05</v>
      </c>
      <c r="U135" s="159">
        <v>4124</v>
      </c>
      <c r="V135" s="159">
        <v>1696</v>
      </c>
      <c r="W135" s="159">
        <f t="shared" si="14"/>
        <v>920.22081299705007</v>
      </c>
      <c r="X135" s="159">
        <f t="shared" si="13"/>
        <v>0</v>
      </c>
      <c r="AA135" s="147">
        <f t="shared" si="15"/>
        <v>7.8133662669375617E-2</v>
      </c>
      <c r="AB135" s="304">
        <v>323796122</v>
      </c>
      <c r="AC135" s="304">
        <v>23394325.349999998</v>
      </c>
      <c r="AD135" s="304"/>
      <c r="AE135" s="304">
        <v>770635.63000000012</v>
      </c>
      <c r="AF135" s="304">
        <v>1013449.25</v>
      </c>
      <c r="AG135" s="304">
        <v>120966.74</v>
      </c>
      <c r="AH135" s="304">
        <v>0</v>
      </c>
      <c r="AI135" s="304">
        <v>120966.74</v>
      </c>
    </row>
    <row r="136" spans="1:35" ht="13.5" thickBot="1" x14ac:dyDescent="0.25">
      <c r="A136" s="147">
        <v>2012</v>
      </c>
      <c r="B136" s="147">
        <v>3</v>
      </c>
      <c r="C136" s="161"/>
      <c r="D136" s="295">
        <v>278034.29399999999</v>
      </c>
      <c r="E136" s="166">
        <v>8.8999885401544248</v>
      </c>
      <c r="F136" s="256">
        <f>HLOOKUP($A136,'LE rate projection'!$C$17:$K$27,11,0)*100</f>
        <v>8.5772101877244911</v>
      </c>
      <c r="G136" s="256">
        <f>HLOOKUP($A136,'LE rate projection'!$C$32:$M$41,10,0)*100</f>
        <v>8.8300509383118992</v>
      </c>
      <c r="H136" s="166">
        <v>30.38</v>
      </c>
      <c r="I136" s="148">
        <v>739822.77380952332</v>
      </c>
      <c r="J136" s="181">
        <f>VLOOKUP($A136&amp;$B136,'LE Inputs'!$C$2:$J$505,MATCH('LE UtilityData'!J$1,'LE Inputs'!$C$1:$J$1,0),0)*1000</f>
        <v>1301262.2358208077</v>
      </c>
      <c r="K136" s="181">
        <v>521383.54769033095</v>
      </c>
      <c r="L136" s="157">
        <v>355716.39494502498</v>
      </c>
      <c r="M136" s="157">
        <v>352475</v>
      </c>
      <c r="N136" s="150">
        <v>41570.992733092098</v>
      </c>
      <c r="O136" s="181">
        <f>VLOOKUP($A136&amp;$B136,'LE Inputs'!$C$2:$J$525,MATCH('LE UtilityData'!O$1,'LE Inputs'!$C$1:$J$1,0),0)</f>
        <v>44318.071900110284</v>
      </c>
      <c r="P136" s="181" t="e">
        <f>VLOOKUP($A136&amp;$B136,'LE Inputs'!$C$2:$J$505,MATCH('LE UtilityData'!P$1,'LE Inputs'!$C$1:$J$1,0),0)</f>
        <v>#N/A</v>
      </c>
      <c r="Q136" s="157">
        <v>474</v>
      </c>
      <c r="R136" s="157">
        <v>19</v>
      </c>
      <c r="S136" s="246">
        <f t="shared" si="16"/>
        <v>674.3</v>
      </c>
      <c r="T136" s="246">
        <f t="shared" si="16"/>
        <v>1.1499999999999999</v>
      </c>
      <c r="U136" s="159">
        <v>4124</v>
      </c>
      <c r="V136" s="159">
        <v>1696</v>
      </c>
      <c r="W136" s="159">
        <f t="shared" si="14"/>
        <v>788.80571388041699</v>
      </c>
      <c r="X136" s="159">
        <f t="shared" si="13"/>
        <v>0</v>
      </c>
      <c r="AA136" s="147">
        <f>SUM(AC136:AG136)/AB136</f>
        <v>7.9347177437513045E-2</v>
      </c>
      <c r="AB136" s="304">
        <v>278200112</v>
      </c>
      <c r="AC136" s="304">
        <v>20147072.580000002</v>
      </c>
      <c r="AD136" s="304"/>
      <c r="AE136" s="304">
        <v>662132.64000000013</v>
      </c>
      <c r="AF136" s="304">
        <v>1098659.1800000002</v>
      </c>
      <c r="AG136" s="304">
        <v>166529.24999999997</v>
      </c>
      <c r="AH136" s="304">
        <v>0</v>
      </c>
    </row>
    <row r="137" spans="1:35" x14ac:dyDescent="0.2">
      <c r="A137" s="147">
        <v>2012</v>
      </c>
      <c r="B137" s="147">
        <v>4</v>
      </c>
      <c r="C137" s="161"/>
      <c r="D137" s="295">
        <v>249619.421</v>
      </c>
      <c r="E137" s="166">
        <v>8.8999885401544248</v>
      </c>
      <c r="F137" s="256">
        <f>HLOOKUP($A137,'LE rate projection'!$C$17:$K$27,11,0)*100</f>
        <v>8.5772101877244911</v>
      </c>
      <c r="G137" s="256">
        <f>HLOOKUP($A137,'LE rate projection'!$C$32:$M$41,10,0)*100</f>
        <v>8.8300509383118992</v>
      </c>
      <c r="H137" s="166">
        <v>30.67</v>
      </c>
      <c r="I137" s="148">
        <v>740291.77380952332</v>
      </c>
      <c r="J137" s="181">
        <f>VLOOKUP($A137&amp;$B137,'LE Inputs'!$C$2:$J$505,MATCH('LE UtilityData'!J$1,'LE Inputs'!$C$1:$J$1,0),0)*1000</f>
        <v>1303542.1567571613</v>
      </c>
      <c r="K137" s="181">
        <v>522681.2801035546</v>
      </c>
      <c r="L137" s="157">
        <v>355941.89623416506</v>
      </c>
      <c r="M137" s="157">
        <v>352472</v>
      </c>
      <c r="N137" s="150">
        <v>41716.585245092399</v>
      </c>
      <c r="O137" s="181">
        <f>VLOOKUP($A137&amp;$B137,'LE Inputs'!$C$2:$J$525,MATCH('LE UtilityData'!O$1,'LE Inputs'!$C$1:$J$1,0),0)</f>
        <v>44550.767525919451</v>
      </c>
      <c r="P137" s="181" t="e">
        <f>VLOOKUP($A137&amp;$B137,'LE Inputs'!$C$2:$J$505,MATCH('LE UtilityData'!P$1,'LE Inputs'!$C$1:$J$1,0),0)</f>
        <v>#N/A</v>
      </c>
      <c r="Q137" s="157">
        <v>154</v>
      </c>
      <c r="R137" s="157">
        <v>66</v>
      </c>
      <c r="S137" s="246">
        <f t="shared" si="16"/>
        <v>377.1</v>
      </c>
      <c r="T137" s="246">
        <f t="shared" si="16"/>
        <v>20.25</v>
      </c>
      <c r="U137" s="159">
        <v>4124</v>
      </c>
      <c r="V137" s="159">
        <v>1696</v>
      </c>
      <c r="W137" s="159">
        <f t="shared" si="14"/>
        <v>708.19645532127379</v>
      </c>
      <c r="X137" s="159">
        <f t="shared" si="13"/>
        <v>0</v>
      </c>
      <c r="AA137" s="147">
        <f>SUM(AC137:AG137)/AB137</f>
        <v>8.0524313335170725E-2</v>
      </c>
      <c r="AB137" s="305">
        <v>249479903</v>
      </c>
      <c r="AC137" s="305">
        <v>18067348.529999997</v>
      </c>
      <c r="AD137" s="305"/>
      <c r="AE137" s="305">
        <v>715996.05</v>
      </c>
      <c r="AF137" s="305">
        <v>1177529.8400000001</v>
      </c>
      <c r="AG137" s="305">
        <v>128323.45999999999</v>
      </c>
      <c r="AH137" s="305">
        <v>0</v>
      </c>
    </row>
    <row r="138" spans="1:35" x14ac:dyDescent="0.2">
      <c r="A138" s="147">
        <v>2012</v>
      </c>
      <c r="B138" s="147">
        <v>5</v>
      </c>
      <c r="C138" s="161"/>
      <c r="D138" s="295">
        <v>299514.29200000002</v>
      </c>
      <c r="E138" s="166">
        <v>8.8999885401544248</v>
      </c>
      <c r="F138" s="256">
        <f>HLOOKUP($A138,'LE rate projection'!$C$17:$K$27,11,0)*100</f>
        <v>8.5772101877244911</v>
      </c>
      <c r="G138" s="256">
        <f>HLOOKUP($A138,'LE rate projection'!$C$32:$M$41,10,0)*100</f>
        <v>8.8300509383118992</v>
      </c>
      <c r="H138" s="166">
        <v>29.71</v>
      </c>
      <c r="I138" s="148">
        <v>740760.77380952332</v>
      </c>
      <c r="J138" s="181">
        <f>VLOOKUP($A138&amp;$B138,'LE Inputs'!$C$2:$J$505,MATCH('LE UtilityData'!J$1,'LE Inputs'!$C$1:$J$1,0),0)*1000</f>
        <v>1303542.1567571613</v>
      </c>
      <c r="K138" s="181">
        <v>522681.2801035546</v>
      </c>
      <c r="L138" s="157">
        <v>356167.39752330515</v>
      </c>
      <c r="M138" s="157">
        <v>352614</v>
      </c>
      <c r="N138" s="150">
        <v>41716.585245092399</v>
      </c>
      <c r="O138" s="181">
        <f>VLOOKUP($A138&amp;$B138,'LE Inputs'!$C$2:$J$525,MATCH('LE UtilityData'!O$1,'LE Inputs'!$C$1:$J$1,0),0)</f>
        <v>44550.767525919451</v>
      </c>
      <c r="P138" s="181" t="e">
        <f>VLOOKUP($A138&amp;$B138,'LE Inputs'!$C$2:$J$505,MATCH('LE UtilityData'!P$1,'LE Inputs'!$C$1:$J$1,0),0)</f>
        <v>#N/A</v>
      </c>
      <c r="Q138" s="157">
        <v>106</v>
      </c>
      <c r="R138" s="157">
        <v>126</v>
      </c>
      <c r="S138" s="246">
        <f t="shared" si="16"/>
        <v>141</v>
      </c>
      <c r="T138" s="246">
        <f t="shared" si="16"/>
        <v>69.349999999999994</v>
      </c>
      <c r="U138" s="159">
        <v>4124</v>
      </c>
      <c r="V138" s="159">
        <v>1696</v>
      </c>
      <c r="W138" s="159">
        <f t="shared" si="14"/>
        <v>849.41123154497552</v>
      </c>
      <c r="X138" s="159">
        <f t="shared" si="13"/>
        <v>0</v>
      </c>
    </row>
    <row r="139" spans="1:35" x14ac:dyDescent="0.2">
      <c r="A139" s="147">
        <v>2012</v>
      </c>
      <c r="B139" s="147">
        <v>6</v>
      </c>
      <c r="C139" s="161"/>
      <c r="D139" s="295">
        <v>400433.93900000001</v>
      </c>
      <c r="E139" s="166">
        <v>8.8999885401544248</v>
      </c>
      <c r="F139" s="256">
        <f>HLOOKUP($A139,'LE rate projection'!$C$17:$K$27,11,0)*100</f>
        <v>8.5772101877244911</v>
      </c>
      <c r="G139" s="256">
        <f>HLOOKUP($A139,'LE rate projection'!$C$32:$M$41,10,0)*100</f>
        <v>8.8300509383118992</v>
      </c>
      <c r="H139" s="166">
        <v>30.62</v>
      </c>
      <c r="I139" s="148">
        <v>741232.64285714505</v>
      </c>
      <c r="J139" s="181">
        <f>VLOOKUP($A139&amp;$B139,'LE Inputs'!$C$2:$J$505,MATCH('LE UtilityData'!J$1,'LE Inputs'!$C$1:$J$1,0),0)*1000</f>
        <v>1303542.1567571613</v>
      </c>
      <c r="K139" s="181">
        <v>522681.2801035546</v>
      </c>
      <c r="L139" s="157">
        <v>356394.2782877913</v>
      </c>
      <c r="M139" s="157">
        <v>352788</v>
      </c>
      <c r="N139" s="150">
        <v>41716.585245092399</v>
      </c>
      <c r="O139" s="181">
        <f>VLOOKUP($A139&amp;$B139,'LE Inputs'!$C$2:$J$525,MATCH('LE UtilityData'!O$1,'LE Inputs'!$C$1:$J$1,0),0)</f>
        <v>44550.767525919451</v>
      </c>
      <c r="P139" s="181" t="e">
        <f>VLOOKUP($A139&amp;$B139,'LE Inputs'!$C$2:$J$505,MATCH('LE UtilityData'!P$1,'LE Inputs'!$C$1:$J$1,0),0)</f>
        <v>#N/A</v>
      </c>
      <c r="Q139" s="157">
        <v>8</v>
      </c>
      <c r="R139" s="157">
        <v>271</v>
      </c>
      <c r="S139" s="246">
        <f t="shared" si="16"/>
        <v>29.5</v>
      </c>
      <c r="T139" s="246">
        <f t="shared" si="16"/>
        <v>224.8</v>
      </c>
      <c r="U139" s="159">
        <v>4124</v>
      </c>
      <c r="V139" s="159">
        <v>1696</v>
      </c>
      <c r="W139" s="159">
        <f t="shared" si="14"/>
        <v>1135.0554412281597</v>
      </c>
      <c r="X139" s="159">
        <f t="shared" si="13"/>
        <v>0</v>
      </c>
    </row>
    <row r="140" spans="1:35" x14ac:dyDescent="0.2">
      <c r="A140" s="147">
        <v>2012</v>
      </c>
      <c r="B140" s="147">
        <v>7</v>
      </c>
      <c r="C140" s="161"/>
      <c r="D140" s="295">
        <v>559117.77300000004</v>
      </c>
      <c r="E140" s="166">
        <v>8.8999885401544248</v>
      </c>
      <c r="F140" s="256">
        <f>HLOOKUP($A140,'LE rate projection'!$C$17:$K$27,11,0)*100</f>
        <v>8.5772101877244911</v>
      </c>
      <c r="G140" s="256">
        <f>HLOOKUP($A140,'LE rate projection'!$C$32:$M$41,10,0)*100</f>
        <v>8.8300509383118992</v>
      </c>
      <c r="H140" s="166">
        <v>30.76</v>
      </c>
      <c r="I140" s="148">
        <v>741701.64285714505</v>
      </c>
      <c r="J140" s="181">
        <f>VLOOKUP($A140&amp;$B140,'LE Inputs'!$C$2:$J$505,MATCH('LE UtilityData'!J$1,'LE Inputs'!$C$1:$J$1,0),0)*1000</f>
        <v>1305795.4720858047</v>
      </c>
      <c r="K140" s="181">
        <v>523884.55449326604</v>
      </c>
      <c r="L140" s="157">
        <v>356619.77957693132</v>
      </c>
      <c r="M140" s="157">
        <v>353519</v>
      </c>
      <c r="N140" s="150">
        <v>42080.569087964897</v>
      </c>
      <c r="O140" s="181">
        <f>VLOOKUP($A140&amp;$B140,'LE Inputs'!$C$2:$J$525,MATCH('LE UtilityData'!O$1,'LE Inputs'!$C$1:$J$1,0),0)</f>
        <v>44866.258581187751</v>
      </c>
      <c r="P140" s="181" t="e">
        <f>VLOOKUP($A140&amp;$B140,'LE Inputs'!$C$2:$J$505,MATCH('LE UtilityData'!P$1,'LE Inputs'!$C$1:$J$1,0),0)</f>
        <v>#N/A</v>
      </c>
      <c r="Q140" s="157">
        <v>0</v>
      </c>
      <c r="R140" s="157">
        <v>508</v>
      </c>
      <c r="S140" s="246">
        <f t="shared" si="16"/>
        <v>0.55000000000000004</v>
      </c>
      <c r="T140" s="246">
        <f t="shared" si="16"/>
        <v>396.4</v>
      </c>
      <c r="U140" s="159">
        <v>4124</v>
      </c>
      <c r="V140" s="159">
        <v>1696</v>
      </c>
      <c r="W140" s="159">
        <f t="shared" si="14"/>
        <v>1581.577717180689</v>
      </c>
      <c r="X140" s="159">
        <f t="shared" si="13"/>
        <v>0</v>
      </c>
    </row>
    <row r="141" spans="1:35" x14ac:dyDescent="0.2">
      <c r="A141" s="147">
        <v>2012</v>
      </c>
      <c r="B141" s="147">
        <v>8</v>
      </c>
      <c r="C141" s="161"/>
      <c r="D141" s="295">
        <v>518856.95299999998</v>
      </c>
      <c r="E141" s="166">
        <v>8.8999885401544248</v>
      </c>
      <c r="F141" s="256">
        <f>HLOOKUP($A141,'LE rate projection'!$C$17:$K$27,11,0)*100</f>
        <v>8.5772101877244911</v>
      </c>
      <c r="G141" s="256">
        <f>HLOOKUP($A141,'LE rate projection'!$C$32:$M$41,10,0)*100</f>
        <v>8.8300509383118992</v>
      </c>
      <c r="H141" s="166">
        <v>29.48</v>
      </c>
      <c r="I141" s="148">
        <v>742170.64285714505</v>
      </c>
      <c r="J141" s="181">
        <f>VLOOKUP($A141&amp;$B141,'LE Inputs'!$C$2:$J$505,MATCH('LE UtilityData'!J$1,'LE Inputs'!$C$1:$J$1,0),0)*1000</f>
        <v>1305795.4720858047</v>
      </c>
      <c r="K141" s="181">
        <v>523884.55449326604</v>
      </c>
      <c r="L141" s="157">
        <v>356845.28086607141</v>
      </c>
      <c r="M141" s="157">
        <v>353533</v>
      </c>
      <c r="N141" s="150">
        <v>42080.569087964897</v>
      </c>
      <c r="O141" s="181">
        <f>VLOOKUP($A141&amp;$B141,'LE Inputs'!$C$2:$J$525,MATCH('LE UtilityData'!O$1,'LE Inputs'!$C$1:$J$1,0),0)</f>
        <v>44866.258581187751</v>
      </c>
      <c r="P141" s="181" t="e">
        <f>VLOOKUP($A141&amp;$B141,'LE Inputs'!$C$2:$J$505,MATCH('LE UtilityData'!P$1,'LE Inputs'!$C$1:$J$1,0),0)</f>
        <v>#N/A</v>
      </c>
      <c r="Q141" s="157">
        <v>0.1</v>
      </c>
      <c r="R141" s="157">
        <v>474</v>
      </c>
      <c r="S141" s="246">
        <f t="shared" si="16"/>
        <v>0.1</v>
      </c>
      <c r="T141" s="246">
        <f t="shared" si="16"/>
        <v>417.05</v>
      </c>
      <c r="U141" s="159">
        <v>4124</v>
      </c>
      <c r="V141" s="159">
        <v>1696</v>
      </c>
      <c r="W141" s="159">
        <f t="shared" si="14"/>
        <v>1467.6337230187846</v>
      </c>
      <c r="X141" s="159">
        <f t="shared" si="13"/>
        <v>0</v>
      </c>
    </row>
    <row r="142" spans="1:35" x14ac:dyDescent="0.2">
      <c r="A142" s="147">
        <v>2012</v>
      </c>
      <c r="B142" s="147">
        <v>9</v>
      </c>
      <c r="C142" s="161"/>
      <c r="D142" s="295">
        <v>436020.875</v>
      </c>
      <c r="E142" s="166">
        <v>8.8999885401544248</v>
      </c>
      <c r="F142" s="256">
        <f>HLOOKUP($A142,'LE rate projection'!$C$17:$K$27,11,0)*100</f>
        <v>8.5772101877244911</v>
      </c>
      <c r="G142" s="256">
        <f>HLOOKUP($A142,'LE rate projection'!$C$32:$M$41,10,0)*100</f>
        <v>8.8300509383118992</v>
      </c>
      <c r="H142" s="166">
        <v>30.57</v>
      </c>
      <c r="I142" s="148">
        <v>742639.64285714505</v>
      </c>
      <c r="J142" s="181">
        <f>VLOOKUP($A142&amp;$B142,'LE Inputs'!$C$2:$J$505,MATCH('LE UtilityData'!J$1,'LE Inputs'!$C$1:$J$1,0),0)*1000</f>
        <v>1305795.4720858047</v>
      </c>
      <c r="K142" s="181">
        <v>523884.55449326604</v>
      </c>
      <c r="L142" s="157">
        <v>357070.78215521143</v>
      </c>
      <c r="M142" s="157">
        <v>352646</v>
      </c>
      <c r="N142" s="150">
        <v>42080.569087964897</v>
      </c>
      <c r="O142" s="181">
        <f>VLOOKUP($A142&amp;$B142,'LE Inputs'!$C$2:$J$525,MATCH('LE UtilityData'!O$1,'LE Inputs'!$C$1:$J$1,0),0)</f>
        <v>44866.258581187751</v>
      </c>
      <c r="P142" s="181" t="e">
        <f>VLOOKUP($A142&amp;$B142,'LE Inputs'!$C$2:$J$505,MATCH('LE UtilityData'!P$1,'LE Inputs'!$C$1:$J$1,0),0)</f>
        <v>#N/A</v>
      </c>
      <c r="Q142" s="157">
        <v>9</v>
      </c>
      <c r="R142" s="157">
        <v>318</v>
      </c>
      <c r="S142" s="246">
        <f t="shared" si="16"/>
        <v>5.35</v>
      </c>
      <c r="T142" s="246">
        <f t="shared" si="16"/>
        <v>330.2</v>
      </c>
      <c r="U142" s="159">
        <v>4124</v>
      </c>
      <c r="V142" s="159">
        <v>1696</v>
      </c>
      <c r="W142" s="159">
        <f t="shared" si="14"/>
        <v>1236.4265438995481</v>
      </c>
      <c r="X142" s="159">
        <f t="shared" si="13"/>
        <v>0</v>
      </c>
    </row>
    <row r="143" spans="1:35" x14ac:dyDescent="0.2">
      <c r="A143" s="147">
        <v>2012</v>
      </c>
      <c r="B143" s="147">
        <v>10</v>
      </c>
      <c r="C143" s="161"/>
      <c r="D143" s="295">
        <v>256954.19699999999</v>
      </c>
      <c r="E143" s="166">
        <v>8.8999885401544248</v>
      </c>
      <c r="F143" s="256">
        <f>HLOOKUP($A143,'LE rate projection'!$C$17:$K$27,11,0)*100</f>
        <v>8.5772101877244911</v>
      </c>
      <c r="G143" s="256">
        <f>HLOOKUP($A143,'LE rate projection'!$C$32:$M$41,10,0)*100</f>
        <v>8.8300509383118992</v>
      </c>
      <c r="H143" s="166">
        <v>29.67</v>
      </c>
      <c r="I143" s="148">
        <v>743108.64285714505</v>
      </c>
      <c r="J143" s="181">
        <f>VLOOKUP($A143&amp;$B143,'LE Inputs'!$C$2:$J$505,MATCH('LE UtilityData'!J$1,'LE Inputs'!$C$1:$J$1,0),0)*1000</f>
        <v>1308022.3962775732</v>
      </c>
      <c r="K143" s="181">
        <v>525085.7364610607</v>
      </c>
      <c r="L143" s="157">
        <v>357296.28344435152</v>
      </c>
      <c r="M143" s="157">
        <v>353360</v>
      </c>
      <c r="N143" s="150">
        <v>42411.619249151903</v>
      </c>
      <c r="O143" s="181">
        <f>VLOOKUP($A143&amp;$B143,'LE Inputs'!$C$2:$J$525,MATCH('LE UtilityData'!O$1,'LE Inputs'!$C$1:$J$1,0),0)</f>
        <v>45216.086175217635</v>
      </c>
      <c r="P143" s="181" t="e">
        <f>VLOOKUP($A143&amp;$B143,'LE Inputs'!$C$2:$J$505,MATCH('LE UtilityData'!P$1,'LE Inputs'!$C$1:$J$1,0),0)</f>
        <v>#N/A</v>
      </c>
      <c r="Q143" s="157">
        <v>133</v>
      </c>
      <c r="R143" s="157">
        <v>58</v>
      </c>
      <c r="S143" s="246">
        <f t="shared" si="16"/>
        <v>99.3</v>
      </c>
      <c r="T143" s="246">
        <f t="shared" si="16"/>
        <v>100.05</v>
      </c>
      <c r="U143" s="159">
        <v>4124</v>
      </c>
      <c r="V143" s="159">
        <v>1696</v>
      </c>
      <c r="W143" s="159">
        <f t="shared" si="14"/>
        <v>727.17397837899023</v>
      </c>
      <c r="X143" s="159">
        <f t="shared" si="13"/>
        <v>0</v>
      </c>
    </row>
    <row r="144" spans="1:35" x14ac:dyDescent="0.2">
      <c r="A144" s="147">
        <v>2012</v>
      </c>
      <c r="B144" s="147">
        <v>11</v>
      </c>
      <c r="C144" s="161"/>
      <c r="D144" s="295">
        <v>259795.815</v>
      </c>
      <c r="E144" s="166">
        <v>8.8999885401544248</v>
      </c>
      <c r="F144" s="256">
        <f>HLOOKUP($A144,'LE rate projection'!$C$17:$K$27,11,0)*100</f>
        <v>8.5772101877244911</v>
      </c>
      <c r="G144" s="256">
        <f>HLOOKUP($A144,'LE rate projection'!$C$32:$M$41,10,0)*100</f>
        <v>8.8300509383118992</v>
      </c>
      <c r="H144" s="166">
        <v>29.95</v>
      </c>
      <c r="I144" s="148">
        <v>743577.64285714505</v>
      </c>
      <c r="J144" s="181">
        <f>VLOOKUP($A144&amp;$B144,'LE Inputs'!$C$2:$J$505,MATCH('LE UtilityData'!J$1,'LE Inputs'!$C$1:$J$1,0),0)*1000</f>
        <v>1308022.3962775732</v>
      </c>
      <c r="K144" s="181">
        <v>525085.7364610607</v>
      </c>
      <c r="L144" s="157">
        <v>357521.78473349154</v>
      </c>
      <c r="M144" s="157">
        <v>352117</v>
      </c>
      <c r="N144" s="150">
        <v>42411.619249151903</v>
      </c>
      <c r="O144" s="181">
        <f>VLOOKUP($A144&amp;$B144,'LE Inputs'!$C$2:$J$525,MATCH('LE UtilityData'!O$1,'LE Inputs'!$C$1:$J$1,0),0)</f>
        <v>45216.086175217635</v>
      </c>
      <c r="P144" s="181" t="e">
        <f>VLOOKUP($A144&amp;$B144,'LE Inputs'!$C$2:$J$505,MATCH('LE UtilityData'!P$1,'LE Inputs'!$C$1:$J$1,0),0)</f>
        <v>#N/A</v>
      </c>
      <c r="Q144" s="157">
        <v>424</v>
      </c>
      <c r="R144" s="157">
        <v>12.75</v>
      </c>
      <c r="S144" s="246">
        <f t="shared" si="16"/>
        <v>352.6</v>
      </c>
      <c r="T144" s="246">
        <f t="shared" si="16"/>
        <v>12.75</v>
      </c>
      <c r="U144" s="159">
        <v>4124</v>
      </c>
      <c r="V144" s="159">
        <v>1696</v>
      </c>
      <c r="W144" s="159">
        <f t="shared" si="14"/>
        <v>737.81105428025342</v>
      </c>
      <c r="X144" s="159">
        <f t="shared" si="13"/>
        <v>0</v>
      </c>
    </row>
    <row r="145" spans="1:28" x14ac:dyDescent="0.2">
      <c r="A145" s="147">
        <v>2012</v>
      </c>
      <c r="B145" s="147">
        <v>12</v>
      </c>
      <c r="C145" s="161"/>
      <c r="D145" s="295">
        <v>293147.125</v>
      </c>
      <c r="E145" s="166">
        <v>8.8999885401544248</v>
      </c>
      <c r="F145" s="256">
        <f>HLOOKUP($A145,'LE rate projection'!$C$17:$K$27,11,0)*100</f>
        <v>8.5772101877244911</v>
      </c>
      <c r="G145" s="256">
        <f>HLOOKUP($A145,'LE rate projection'!$C$32:$M$41,10,0)*100</f>
        <v>8.8300509383118992</v>
      </c>
      <c r="H145" s="166">
        <v>31.1</v>
      </c>
      <c r="I145" s="148">
        <v>744046.64285714505</v>
      </c>
      <c r="J145" s="181">
        <f>VLOOKUP($A145&amp;$B145,'LE Inputs'!$C$2:$J$505,MATCH('LE UtilityData'!J$1,'LE Inputs'!$C$1:$J$1,0),0)*1000</f>
        <v>1308022.3962775732</v>
      </c>
      <c r="K145" s="181">
        <v>525085.7364610607</v>
      </c>
      <c r="L145" s="157">
        <v>357747.28602263163</v>
      </c>
      <c r="M145" s="157">
        <v>352591</v>
      </c>
      <c r="N145" s="150">
        <v>42411.619249151903</v>
      </c>
      <c r="O145" s="181">
        <f>VLOOKUP($A145&amp;$B145,'LE Inputs'!$C$2:$J$525,MATCH('LE UtilityData'!O$1,'LE Inputs'!$C$1:$J$1,0),0)</f>
        <v>45216.086175217635</v>
      </c>
      <c r="P145" s="181" t="e">
        <f>VLOOKUP($A145&amp;$B145,'LE Inputs'!$C$2:$J$505,MATCH('LE UtilityData'!P$1,'LE Inputs'!$C$1:$J$1,0),0)</f>
        <v>#N/A</v>
      </c>
      <c r="Q145" s="157">
        <v>580</v>
      </c>
      <c r="R145" s="157">
        <v>3</v>
      </c>
      <c r="S145" s="246">
        <f t="shared" si="16"/>
        <v>669.9</v>
      </c>
      <c r="T145" s="246">
        <f t="shared" si="16"/>
        <v>1.05</v>
      </c>
      <c r="U145" s="159">
        <v>4124</v>
      </c>
      <c r="V145" s="159">
        <v>1696</v>
      </c>
      <c r="W145" s="159">
        <f t="shared" si="14"/>
        <v>831.40841655062093</v>
      </c>
      <c r="X145" s="159">
        <f t="shared" si="13"/>
        <v>0</v>
      </c>
    </row>
    <row r="146" spans="1:28" x14ac:dyDescent="0.2">
      <c r="A146" s="147">
        <v>2013</v>
      </c>
      <c r="B146" s="147">
        <v>1</v>
      </c>
      <c r="C146" s="161"/>
      <c r="D146" s="295">
        <v>367581.39299999998</v>
      </c>
      <c r="E146" s="166">
        <v>9.7259169494704008</v>
      </c>
      <c r="F146" s="256">
        <f>HLOOKUP($A146,'LE rate projection'!$C$17:$K$27,11,0)*100</f>
        <v>9.5861743542818498</v>
      </c>
      <c r="G146" s="256">
        <f>HLOOKUP($A146,'LE rate projection'!$C$32:$M$41,10,0)*100</f>
        <v>9.1452487875947988</v>
      </c>
      <c r="H146" s="166">
        <v>32.71</v>
      </c>
      <c r="I146" s="148">
        <v>744515.64285714505</v>
      </c>
      <c r="J146" s="181">
        <f>VLOOKUP($A146&amp;$B146,'LE Inputs'!$C$2:$J$505,MATCH('LE UtilityData'!J$1,'LE Inputs'!$C$1:$J$1,0),0)*1000</f>
        <v>1310232.3702413859</v>
      </c>
      <c r="K146" s="181">
        <v>526252.81702400395</v>
      </c>
      <c r="L146" s="157">
        <v>357972.78731177171</v>
      </c>
      <c r="M146" s="157">
        <v>353739</v>
      </c>
      <c r="N146" s="150">
        <v>42531.0117511383</v>
      </c>
      <c r="O146" s="181">
        <f>VLOOKUP($A146&amp;$B146,'LE Inputs'!$C$2:$J$525,MATCH('LE UtilityData'!O$1,'LE Inputs'!$C$1:$J$1,0),0)</f>
        <v>45376.772272764982</v>
      </c>
      <c r="P146" s="181" t="e">
        <f>VLOOKUP($A146&amp;$B146,'LE Inputs'!$C$2:$J$505,MATCH('LE UtilityData'!P$1,'LE Inputs'!$C$1:$J$1,0),0)</f>
        <v>#N/A</v>
      </c>
      <c r="Q146" s="157">
        <v>957</v>
      </c>
      <c r="R146" s="157">
        <v>0.35</v>
      </c>
      <c r="S146" s="157">
        <v>932.4</v>
      </c>
      <c r="T146" s="157">
        <v>0.35</v>
      </c>
      <c r="U146" s="159">
        <v>4124</v>
      </c>
      <c r="V146" s="159">
        <v>1696</v>
      </c>
      <c r="W146" s="159">
        <f t="shared" si="14"/>
        <v>1039.1316563907287</v>
      </c>
      <c r="X146" s="159">
        <f t="shared" si="13"/>
        <v>0</v>
      </c>
      <c r="AA146" s="299">
        <v>920.1</v>
      </c>
      <c r="AB146" s="299">
        <v>0.35</v>
      </c>
    </row>
    <row r="147" spans="1:28" x14ac:dyDescent="0.2">
      <c r="A147" s="147">
        <v>2013</v>
      </c>
      <c r="B147" s="147">
        <v>2</v>
      </c>
      <c r="C147" s="161"/>
      <c r="D147" s="295">
        <v>335364.38699999999</v>
      </c>
      <c r="E147" s="166">
        <v>9.7259169494704008</v>
      </c>
      <c r="F147" s="256">
        <f>HLOOKUP($A147,'LE rate projection'!$C$17:$K$27,11,0)*100</f>
        <v>9.5861743542818498</v>
      </c>
      <c r="G147" s="256">
        <f>HLOOKUP($A147,'LE rate projection'!$C$32:$M$41,10,0)*100</f>
        <v>9.1452487875947988</v>
      </c>
      <c r="H147" s="166">
        <v>29.9</v>
      </c>
      <c r="I147" s="148">
        <v>744984.64285714505</v>
      </c>
      <c r="J147" s="181">
        <f>VLOOKUP($A147&amp;$B147,'LE Inputs'!$C$2:$J$505,MATCH('LE UtilityData'!J$1,'LE Inputs'!$C$1:$J$1,0),0)*1000</f>
        <v>1310232.3702413859</v>
      </c>
      <c r="K147" s="181">
        <v>526252.81702400395</v>
      </c>
      <c r="L147" s="157">
        <v>358198.28860091174</v>
      </c>
      <c r="M147" s="157">
        <v>353325</v>
      </c>
      <c r="N147" s="150">
        <v>42531.0117511383</v>
      </c>
      <c r="O147" s="181">
        <f>VLOOKUP($A147&amp;$B147,'LE Inputs'!$C$2:$J$525,MATCH('LE UtilityData'!O$1,'LE Inputs'!$C$1:$J$1,0),0)</f>
        <v>45376.772272764982</v>
      </c>
      <c r="P147" s="181" t="e">
        <f>VLOOKUP($A147&amp;$B147,'LE Inputs'!$C$2:$J$505,MATCH('LE UtilityData'!P$1,'LE Inputs'!$C$1:$J$1,0),0)</f>
        <v>#N/A</v>
      </c>
      <c r="Q147" s="157">
        <v>788</v>
      </c>
      <c r="R147" s="157">
        <v>0.05</v>
      </c>
      <c r="S147" s="157">
        <v>864.1</v>
      </c>
      <c r="T147" s="157">
        <v>0.05</v>
      </c>
      <c r="U147" s="159">
        <v>4124</v>
      </c>
      <c r="V147" s="159">
        <v>1696</v>
      </c>
      <c r="W147" s="159">
        <f t="shared" si="14"/>
        <v>949.16687752069618</v>
      </c>
      <c r="X147" s="159">
        <f t="shared" si="13"/>
        <v>0</v>
      </c>
      <c r="AA147" s="299">
        <v>864.15</v>
      </c>
      <c r="AB147" s="299">
        <v>0.1</v>
      </c>
    </row>
    <row r="148" spans="1:28" x14ac:dyDescent="0.2">
      <c r="A148" s="147">
        <v>2013</v>
      </c>
      <c r="B148" s="147">
        <v>3</v>
      </c>
      <c r="C148" s="161"/>
      <c r="D148" s="295">
        <v>313688.46600000001</v>
      </c>
      <c r="E148" s="166">
        <v>9.7259169494704008</v>
      </c>
      <c r="F148" s="256">
        <f>HLOOKUP($A148,'LE rate projection'!$C$17:$K$27,11,0)*100</f>
        <v>9.5861743542818498</v>
      </c>
      <c r="G148" s="256">
        <f>HLOOKUP($A148,'LE rate projection'!$C$32:$M$41,10,0)*100</f>
        <v>9.1452487875947988</v>
      </c>
      <c r="H148" s="166">
        <v>30.52</v>
      </c>
      <c r="I148" s="148">
        <v>745453.64285714505</v>
      </c>
      <c r="J148" s="181">
        <f>VLOOKUP($A148&amp;$B148,'LE Inputs'!$C$2:$J$505,MATCH('LE UtilityData'!J$1,'LE Inputs'!$C$1:$J$1,0),0)*1000</f>
        <v>1310232.3702413859</v>
      </c>
      <c r="K148" s="181">
        <v>526252.81702400395</v>
      </c>
      <c r="L148" s="157">
        <v>358423.78989005176</v>
      </c>
      <c r="M148" s="157">
        <v>353811</v>
      </c>
      <c r="N148" s="150">
        <v>42531.0117511383</v>
      </c>
      <c r="O148" s="181">
        <f>VLOOKUP($A148&amp;$B148,'LE Inputs'!$C$2:$J$525,MATCH('LE UtilityData'!O$1,'LE Inputs'!$C$1:$J$1,0),0)</f>
        <v>45376.772272764982</v>
      </c>
      <c r="P148" s="181" t="e">
        <f>VLOOKUP($A148&amp;$B148,'LE Inputs'!$C$2:$J$505,MATCH('LE UtilityData'!P$1,'LE Inputs'!$C$1:$J$1,0),0)</f>
        <v>#N/A</v>
      </c>
      <c r="Q148" s="157">
        <v>735</v>
      </c>
      <c r="R148" s="157">
        <v>0</v>
      </c>
      <c r="S148" s="157">
        <v>674.3</v>
      </c>
      <c r="T148" s="157">
        <v>1.1499999999999999</v>
      </c>
      <c r="U148" s="159">
        <v>4124</v>
      </c>
      <c r="V148" s="159">
        <v>1696</v>
      </c>
      <c r="W148" s="159">
        <f t="shared" si="14"/>
        <v>886.59896385358286</v>
      </c>
      <c r="X148" s="159">
        <f t="shared" si="13"/>
        <v>0</v>
      </c>
      <c r="AA148" s="299">
        <v>667.2</v>
      </c>
      <c r="AB148" s="299">
        <v>1.3</v>
      </c>
    </row>
    <row r="149" spans="1:28" x14ac:dyDescent="0.2">
      <c r="A149" s="147">
        <v>2013</v>
      </c>
      <c r="B149" s="147">
        <v>4</v>
      </c>
      <c r="C149" s="161"/>
      <c r="D149" s="161">
        <v>275839</v>
      </c>
      <c r="E149" s="166">
        <v>9.7259169494704008</v>
      </c>
      <c r="F149" s="256">
        <f>HLOOKUP($A149,'LE rate projection'!$C$17:$K$27,11,0)*100</f>
        <v>9.5861743542818498</v>
      </c>
      <c r="G149" s="256">
        <f>HLOOKUP($A149,'LE rate projection'!$C$32:$M$41,10,0)*100</f>
        <v>9.1452487875947988</v>
      </c>
      <c r="H149" s="166">
        <v>30.57</v>
      </c>
      <c r="I149" s="148">
        <v>745922.64285714505</v>
      </c>
      <c r="J149" s="181">
        <f>VLOOKUP($A149&amp;$B149,'LE Inputs'!$C$2:$J$505,MATCH('LE UtilityData'!J$1,'LE Inputs'!$C$1:$J$1,0),0)*1000</f>
        <v>1312472.1746129398</v>
      </c>
      <c r="K149" s="181">
        <v>527469.11783491645</v>
      </c>
      <c r="L149" s="157">
        <v>358649.29117919179</v>
      </c>
      <c r="M149" s="157">
        <v>354175</v>
      </c>
      <c r="N149" s="150">
        <v>42830.175046670098</v>
      </c>
      <c r="O149" s="181">
        <f>VLOOKUP($A149&amp;$B149,'LE Inputs'!$C$2:$J$525,MATCH('LE UtilityData'!O$1,'LE Inputs'!$C$1:$J$1,0),0)</f>
        <v>45714.640558373634</v>
      </c>
      <c r="P149" s="181" t="e">
        <f>VLOOKUP($A149&amp;$B149,'LE Inputs'!$C$2:$J$505,MATCH('LE UtilityData'!P$1,'LE Inputs'!$C$1:$J$1,0),0)</f>
        <v>#N/A</v>
      </c>
      <c r="Q149" s="157">
        <v>270</v>
      </c>
      <c r="R149" s="157">
        <v>37</v>
      </c>
      <c r="S149" s="157">
        <v>377.1</v>
      </c>
      <c r="T149" s="157">
        <v>20.25</v>
      </c>
      <c r="U149" s="159">
        <v>4124</v>
      </c>
      <c r="V149" s="159">
        <v>1696</v>
      </c>
      <c r="W149" s="159">
        <f t="shared" si="14"/>
        <v>778.82120420695992</v>
      </c>
      <c r="X149" s="159">
        <f t="shared" si="13"/>
        <v>0</v>
      </c>
      <c r="AA149" s="299">
        <v>375.3</v>
      </c>
      <c r="AB149" s="299">
        <v>18.850000000000001</v>
      </c>
    </row>
    <row r="150" spans="1:28" x14ac:dyDescent="0.2">
      <c r="A150" s="147">
        <v>2013</v>
      </c>
      <c r="B150" s="147">
        <v>5</v>
      </c>
      <c r="C150" s="161"/>
      <c r="D150" s="161"/>
      <c r="E150" s="166">
        <v>9.7259169494704008</v>
      </c>
      <c r="F150" s="256">
        <f>HLOOKUP($A150,'LE rate projection'!$C$17:$K$27,11,0)*100</f>
        <v>9.5861743542818498</v>
      </c>
      <c r="G150" s="256">
        <f>HLOOKUP($A150,'LE rate projection'!$C$32:$M$41,10,0)*100</f>
        <v>9.1452487875947988</v>
      </c>
      <c r="H150" s="166">
        <v>29.57</v>
      </c>
      <c r="I150" s="148">
        <v>746391.64285714505</v>
      </c>
      <c r="J150" s="181">
        <f>VLOOKUP($A150&amp;$B150,'LE Inputs'!$C$2:$J$505,MATCH('LE UtilityData'!J$1,'LE Inputs'!$C$1:$J$1,0),0)*1000</f>
        <v>1312472.1746129398</v>
      </c>
      <c r="K150" s="181">
        <v>527469.11783491645</v>
      </c>
      <c r="L150" s="157">
        <v>358874.79246833187</v>
      </c>
      <c r="M150" s="306"/>
      <c r="N150" s="150">
        <v>42830.175046670098</v>
      </c>
      <c r="O150" s="181">
        <f>VLOOKUP($A150&amp;$B150,'LE Inputs'!$C$2:$J$525,MATCH('LE UtilityData'!O$1,'LE Inputs'!$C$1:$J$1,0),0)</f>
        <v>45714.640558373634</v>
      </c>
      <c r="P150" s="181" t="e">
        <f>VLOOKUP($A150&amp;$B150,'LE Inputs'!$C$2:$J$505,MATCH('LE UtilityData'!P$1,'LE Inputs'!$C$1:$J$1,0),0)</f>
        <v>#N/A</v>
      </c>
      <c r="Q150" s="157">
        <v>141.76749999999998</v>
      </c>
      <c r="R150" s="157">
        <v>69.552499999999995</v>
      </c>
      <c r="S150" s="157">
        <v>141</v>
      </c>
      <c r="T150" s="157">
        <v>69.349999999999994</v>
      </c>
      <c r="U150" s="159">
        <v>4124</v>
      </c>
      <c r="V150" s="159">
        <v>1696</v>
      </c>
      <c r="W150" s="159" t="e">
        <f t="shared" si="14"/>
        <v>#DIV/0!</v>
      </c>
      <c r="X150" s="159">
        <f t="shared" si="13"/>
        <v>0</v>
      </c>
      <c r="AA150" s="299">
        <v>140.05000000000001</v>
      </c>
      <c r="AB150" s="299">
        <v>70.150000000000006</v>
      </c>
    </row>
    <row r="151" spans="1:28" x14ac:dyDescent="0.2">
      <c r="A151" s="147">
        <v>2013</v>
      </c>
      <c r="B151" s="147">
        <v>6</v>
      </c>
      <c r="C151" s="161"/>
      <c r="D151" s="161"/>
      <c r="E151" s="166">
        <v>9.7259169494704008</v>
      </c>
      <c r="F151" s="256">
        <f>HLOOKUP($A151,'LE rate projection'!$C$17:$K$27,11,0)*100</f>
        <v>9.5861743542818498</v>
      </c>
      <c r="G151" s="256">
        <f>HLOOKUP($A151,'LE rate projection'!$C$32:$M$41,10,0)*100</f>
        <v>9.1452487875947988</v>
      </c>
      <c r="H151" s="166">
        <v>30.67</v>
      </c>
      <c r="I151" s="148">
        <v>746863.51190476306</v>
      </c>
      <c r="J151" s="181">
        <f>VLOOKUP($A151&amp;$B151,'LE Inputs'!$C$2:$J$505,MATCH('LE UtilityData'!J$1,'LE Inputs'!$C$1:$J$1,0),0)*1000</f>
        <v>1312472.1746129398</v>
      </c>
      <c r="K151" s="181">
        <v>527469.11783491645</v>
      </c>
      <c r="L151" s="157">
        <v>359101.67323281616</v>
      </c>
      <c r="M151" s="306"/>
      <c r="N151" s="150">
        <v>42830.175046670098</v>
      </c>
      <c r="O151" s="181">
        <f>VLOOKUP($A151&amp;$B151,'LE Inputs'!$C$2:$J$525,MATCH('LE UtilityData'!O$1,'LE Inputs'!$C$1:$J$1,0),0)</f>
        <v>45714.640558373634</v>
      </c>
      <c r="P151" s="181" t="e">
        <f>VLOOKUP($A151&amp;$B151,'LE Inputs'!$C$2:$J$505,MATCH('LE UtilityData'!P$1,'LE Inputs'!$C$1:$J$1,0),0)</f>
        <v>#N/A</v>
      </c>
      <c r="Q151" s="157">
        <v>29.807499999999997</v>
      </c>
      <c r="R151" s="157">
        <v>219.05749999999998</v>
      </c>
      <c r="S151" s="157">
        <v>29.5</v>
      </c>
      <c r="T151" s="157">
        <v>224.8</v>
      </c>
      <c r="U151" s="159">
        <v>4124</v>
      </c>
      <c r="V151" s="159">
        <v>1696</v>
      </c>
      <c r="W151" s="159" t="e">
        <f t="shared" si="14"/>
        <v>#DIV/0!</v>
      </c>
      <c r="X151" s="159">
        <f t="shared" si="13"/>
        <v>0</v>
      </c>
      <c r="AA151" s="299">
        <v>28.15</v>
      </c>
      <c r="AB151" s="299">
        <v>221.6</v>
      </c>
    </row>
    <row r="152" spans="1:28" x14ac:dyDescent="0.2">
      <c r="A152" s="147">
        <v>2013</v>
      </c>
      <c r="B152" s="147">
        <v>7</v>
      </c>
      <c r="C152" s="161"/>
      <c r="D152" s="161"/>
      <c r="E152" s="166">
        <v>9.7259169494704008</v>
      </c>
      <c r="F152" s="256">
        <f>HLOOKUP($A152,'LE rate projection'!$C$17:$K$27,11,0)*100</f>
        <v>9.5861743542818498</v>
      </c>
      <c r="G152" s="256">
        <f>HLOOKUP($A152,'LE rate projection'!$C$32:$M$41,10,0)*100</f>
        <v>9.1452487875947988</v>
      </c>
      <c r="H152" s="166">
        <v>30.67</v>
      </c>
      <c r="I152" s="148">
        <v>747332.51190476306</v>
      </c>
      <c r="J152" s="181">
        <f>VLOOKUP($A152&amp;$B152,'LE Inputs'!$C$2:$J$505,MATCH('LE UtilityData'!J$1,'LE Inputs'!$C$1:$J$1,0),0)*1000</f>
        <v>1314692.9069541804</v>
      </c>
      <c r="K152" s="181">
        <v>528581.11988898157</v>
      </c>
      <c r="L152" s="157">
        <v>359327.17452195619</v>
      </c>
      <c r="M152" s="306"/>
      <c r="N152" s="150">
        <v>43172.743902757902</v>
      </c>
      <c r="O152" s="181">
        <f>VLOOKUP($A152&amp;$B152,'LE Inputs'!$C$2:$J$525,MATCH('LE UtilityData'!O$1,'LE Inputs'!$C$1:$J$1,0),0)</f>
        <v>45966.303547101437</v>
      </c>
      <c r="P152" s="181" t="e">
        <f>VLOOKUP($A152&amp;$B152,'LE Inputs'!$C$2:$J$505,MATCH('LE UtilityData'!P$1,'LE Inputs'!$C$1:$J$1,0),0)</f>
        <v>#N/A</v>
      </c>
      <c r="Q152" s="157">
        <v>0.57250000000000001</v>
      </c>
      <c r="R152" s="157">
        <v>397.17500000000001</v>
      </c>
      <c r="S152" s="157">
        <v>0.55000000000000004</v>
      </c>
      <c r="T152" s="157">
        <v>396.4</v>
      </c>
      <c r="U152" s="159">
        <v>4124</v>
      </c>
      <c r="V152" s="159">
        <v>1696</v>
      </c>
      <c r="W152" s="159" t="e">
        <f t="shared" si="14"/>
        <v>#DIV/0!</v>
      </c>
      <c r="X152" s="159">
        <f t="shared" si="13"/>
        <v>0</v>
      </c>
      <c r="AA152" s="299">
        <v>0.55000000000000004</v>
      </c>
      <c r="AB152" s="299">
        <v>394.35</v>
      </c>
    </row>
    <row r="153" spans="1:28" x14ac:dyDescent="0.2">
      <c r="A153" s="147">
        <v>2013</v>
      </c>
      <c r="B153" s="147">
        <v>8</v>
      </c>
      <c r="C153" s="161"/>
      <c r="D153" s="161"/>
      <c r="E153" s="166">
        <v>9.7259169494704008</v>
      </c>
      <c r="F153" s="256">
        <f>HLOOKUP($A153,'LE rate projection'!$C$17:$K$27,11,0)*100</f>
        <v>9.5861743542818498</v>
      </c>
      <c r="G153" s="256">
        <f>HLOOKUP($A153,'LE rate projection'!$C$32:$M$41,10,0)*100</f>
        <v>9.1452487875947988</v>
      </c>
      <c r="H153" s="166">
        <v>29.48</v>
      </c>
      <c r="I153" s="148">
        <v>747801.51190476306</v>
      </c>
      <c r="J153" s="181">
        <f>VLOOKUP($A153&amp;$B153,'LE Inputs'!$C$2:$J$505,MATCH('LE UtilityData'!J$1,'LE Inputs'!$C$1:$J$1,0),0)*1000</f>
        <v>1314692.9069541804</v>
      </c>
      <c r="K153" s="181">
        <v>528581.11988898157</v>
      </c>
      <c r="L153" s="157">
        <v>359552.67581109621</v>
      </c>
      <c r="M153" s="306"/>
      <c r="N153" s="150">
        <v>43172.743902757902</v>
      </c>
      <c r="O153" s="181">
        <f>VLOOKUP($A153&amp;$B153,'LE Inputs'!$C$2:$J$525,MATCH('LE UtilityData'!O$1,'LE Inputs'!$C$1:$J$1,0),0)</f>
        <v>45966.303547101437</v>
      </c>
      <c r="P153" s="181" t="e">
        <f>VLOOKUP($A153&amp;$B153,'LE Inputs'!$C$2:$J$505,MATCH('LE UtilityData'!P$1,'LE Inputs'!$C$1:$J$1,0),0)</f>
        <v>#N/A</v>
      </c>
      <c r="Q153" s="157">
        <v>0.1</v>
      </c>
      <c r="R153" s="157">
        <v>418.51750000000004</v>
      </c>
      <c r="S153" s="157">
        <v>0.1</v>
      </c>
      <c r="T153" s="157">
        <v>417.05</v>
      </c>
      <c r="U153" s="159">
        <v>4124</v>
      </c>
      <c r="V153" s="159">
        <v>1696</v>
      </c>
      <c r="W153" s="159" t="e">
        <f t="shared" si="14"/>
        <v>#DIV/0!</v>
      </c>
      <c r="X153" s="159">
        <f t="shared" si="13"/>
        <v>0</v>
      </c>
      <c r="AA153" s="299">
        <v>0.1</v>
      </c>
      <c r="AB153" s="299">
        <v>407.95</v>
      </c>
    </row>
    <row r="154" spans="1:28" x14ac:dyDescent="0.2">
      <c r="A154" s="147">
        <v>2013</v>
      </c>
      <c r="B154" s="147">
        <v>9</v>
      </c>
      <c r="C154" s="161"/>
      <c r="D154" s="161"/>
      <c r="E154" s="166">
        <v>9.7259169494704008</v>
      </c>
      <c r="F154" s="256">
        <f>HLOOKUP($A154,'LE rate projection'!$C$17:$K$27,11,0)*100</f>
        <v>9.5861743542818498</v>
      </c>
      <c r="G154" s="256">
        <f>HLOOKUP($A154,'LE rate projection'!$C$32:$M$41,10,0)*100</f>
        <v>9.1452487875947988</v>
      </c>
      <c r="H154" s="166">
        <v>30.71</v>
      </c>
      <c r="I154" s="148">
        <v>748270.51190476306</v>
      </c>
      <c r="J154" s="181">
        <f>VLOOKUP($A154&amp;$B154,'LE Inputs'!$C$2:$J$505,MATCH('LE UtilityData'!J$1,'LE Inputs'!$C$1:$J$1,0),0)*1000</f>
        <v>1314692.9069541804</v>
      </c>
      <c r="K154" s="181">
        <v>528581.11988898157</v>
      </c>
      <c r="L154" s="157">
        <v>359778.17710023624</v>
      </c>
      <c r="M154" s="306"/>
      <c r="N154" s="150">
        <v>43172.743902757902</v>
      </c>
      <c r="O154" s="181">
        <f>VLOOKUP($A154&amp;$B154,'LE Inputs'!$C$2:$J$525,MATCH('LE UtilityData'!O$1,'LE Inputs'!$C$1:$J$1,0),0)</f>
        <v>45966.303547101437</v>
      </c>
      <c r="P154" s="181" t="e">
        <f>VLOOKUP($A154&amp;$B154,'LE Inputs'!$C$2:$J$505,MATCH('LE UtilityData'!P$1,'LE Inputs'!$C$1:$J$1,0),0)</f>
        <v>#N/A</v>
      </c>
      <c r="Q154" s="157">
        <v>5.2125000000000004</v>
      </c>
      <c r="R154" s="157">
        <v>326.05</v>
      </c>
      <c r="S154" s="157">
        <v>5.35</v>
      </c>
      <c r="T154" s="157">
        <v>330.2</v>
      </c>
      <c r="U154" s="159">
        <v>4124</v>
      </c>
      <c r="V154" s="159">
        <v>1696</v>
      </c>
      <c r="W154" s="159" t="e">
        <f t="shared" si="14"/>
        <v>#DIV/0!</v>
      </c>
      <c r="X154" s="159">
        <f t="shared" si="13"/>
        <v>0</v>
      </c>
      <c r="AA154" s="299">
        <v>5.2</v>
      </c>
      <c r="AB154" s="299">
        <v>328.8</v>
      </c>
    </row>
    <row r="155" spans="1:28" x14ac:dyDescent="0.2">
      <c r="A155" s="147">
        <v>2013</v>
      </c>
      <c r="B155" s="147">
        <v>10</v>
      </c>
      <c r="C155" s="161"/>
      <c r="D155" s="161"/>
      <c r="E155" s="166">
        <v>9.7259169494704008</v>
      </c>
      <c r="F155" s="256">
        <f>HLOOKUP($A155,'LE rate projection'!$C$17:$K$27,11,0)*100</f>
        <v>9.5861743542818498</v>
      </c>
      <c r="G155" s="256">
        <f>HLOOKUP($A155,'LE rate projection'!$C$32:$M$41,10,0)*100</f>
        <v>9.1452487875947988</v>
      </c>
      <c r="H155" s="166">
        <v>29.52</v>
      </c>
      <c r="I155" s="148">
        <v>748739.51190476306</v>
      </c>
      <c r="J155" s="181">
        <f>VLOOKUP($A155&amp;$B155,'LE Inputs'!$C$2:$J$505,MATCH('LE UtilityData'!J$1,'LE Inputs'!$C$1:$J$1,0),0)*1000</f>
        <v>1316786.3350402587</v>
      </c>
      <c r="K155" s="181">
        <v>529785.9116243826</v>
      </c>
      <c r="L155" s="157">
        <v>360003.67838937626</v>
      </c>
      <c r="M155" s="306"/>
      <c r="N155" s="150">
        <v>43441.165063020897</v>
      </c>
      <c r="O155" s="181">
        <f>VLOOKUP($A155&amp;$B155,'LE Inputs'!$C$2:$J$525,MATCH('LE UtilityData'!O$1,'LE Inputs'!$C$1:$J$1,0),0)</f>
        <v>46209.347191698413</v>
      </c>
      <c r="P155" s="181" t="e">
        <f>VLOOKUP($A155&amp;$B155,'LE Inputs'!$C$2:$J$505,MATCH('LE UtilityData'!P$1,'LE Inputs'!$C$1:$J$1,0),0)</f>
        <v>#N/A</v>
      </c>
      <c r="Q155" s="157">
        <v>99.232500000000002</v>
      </c>
      <c r="R155" s="157">
        <v>97.24</v>
      </c>
      <c r="S155" s="157">
        <v>99.3</v>
      </c>
      <c r="T155" s="157">
        <v>100.05</v>
      </c>
      <c r="U155" s="159">
        <v>4124</v>
      </c>
      <c r="V155" s="159">
        <v>1696</v>
      </c>
      <c r="W155" s="159" t="e">
        <f t="shared" si="14"/>
        <v>#DIV/0!</v>
      </c>
      <c r="X155" s="159">
        <f t="shared" si="13"/>
        <v>0</v>
      </c>
      <c r="AA155" s="299">
        <v>101.05</v>
      </c>
      <c r="AB155" s="299">
        <v>101.65</v>
      </c>
    </row>
    <row r="156" spans="1:28" x14ac:dyDescent="0.2">
      <c r="A156" s="147">
        <v>2013</v>
      </c>
      <c r="B156" s="147">
        <v>11</v>
      </c>
      <c r="C156" s="161"/>
      <c r="D156" s="161"/>
      <c r="E156" s="166">
        <v>9.7259169494704008</v>
      </c>
      <c r="F156" s="256">
        <f>HLOOKUP($A156,'LE rate projection'!$C$17:$K$27,11,0)*100</f>
        <v>9.5861743542818498</v>
      </c>
      <c r="G156" s="256">
        <f>HLOOKUP($A156,'LE rate projection'!$C$32:$M$41,10,0)*100</f>
        <v>9.1452487875947988</v>
      </c>
      <c r="H156" s="166">
        <v>29.38</v>
      </c>
      <c r="I156" s="148">
        <v>749208.51190476306</v>
      </c>
      <c r="J156" s="181">
        <f>VLOOKUP($A156&amp;$B156,'LE Inputs'!$C$2:$J$505,MATCH('LE UtilityData'!J$1,'LE Inputs'!$C$1:$J$1,0),0)*1000</f>
        <v>1316786.3350402587</v>
      </c>
      <c r="K156" s="181">
        <v>529785.9116243826</v>
      </c>
      <c r="L156" s="157">
        <v>360229.17967851635</v>
      </c>
      <c r="M156" s="306"/>
      <c r="N156" s="150">
        <v>43441.165063020897</v>
      </c>
      <c r="O156" s="181">
        <f>VLOOKUP($A156&amp;$B156,'LE Inputs'!$C$2:$J$525,MATCH('LE UtilityData'!O$1,'LE Inputs'!$C$1:$J$1,0),0)</f>
        <v>46209.347191698413</v>
      </c>
      <c r="P156" s="181" t="e">
        <f>VLOOKUP($A156&amp;$B156,'LE Inputs'!$C$2:$J$505,MATCH('LE UtilityData'!P$1,'LE Inputs'!$C$1:$J$1,0),0)</f>
        <v>#N/A</v>
      </c>
      <c r="Q156" s="157">
        <v>353.59499999999997</v>
      </c>
      <c r="R156" s="157">
        <v>11.487500000000001</v>
      </c>
      <c r="S156" s="157">
        <v>352.6</v>
      </c>
      <c r="T156" s="157">
        <v>12.75</v>
      </c>
      <c r="U156" s="159">
        <v>4124</v>
      </c>
      <c r="V156" s="159">
        <v>1696</v>
      </c>
      <c r="W156" s="159" t="e">
        <f t="shared" si="14"/>
        <v>#DIV/0!</v>
      </c>
      <c r="X156" s="159">
        <f t="shared" si="13"/>
        <v>0</v>
      </c>
      <c r="AA156" s="299">
        <v>350.65</v>
      </c>
      <c r="AB156" s="299">
        <v>14</v>
      </c>
    </row>
    <row r="157" spans="1:28" x14ac:dyDescent="0.2">
      <c r="A157" s="147">
        <v>2013</v>
      </c>
      <c r="B157" s="147">
        <v>12</v>
      </c>
      <c r="C157" s="161"/>
      <c r="D157" s="161"/>
      <c r="E157" s="166">
        <v>9.7259169494704008</v>
      </c>
      <c r="F157" s="256">
        <f>HLOOKUP($A157,'LE rate projection'!$C$17:$K$27,11,0)*100</f>
        <v>9.5861743542818498</v>
      </c>
      <c r="G157" s="256">
        <f>HLOOKUP($A157,'LE rate projection'!$C$32:$M$41,10,0)*100</f>
        <v>9.1452487875947988</v>
      </c>
      <c r="H157" s="166">
        <v>32.049999999999997</v>
      </c>
      <c r="I157" s="148">
        <v>749677.51190476306</v>
      </c>
      <c r="J157" s="181">
        <f>VLOOKUP($A157&amp;$B157,'LE Inputs'!$C$2:$J$505,MATCH('LE UtilityData'!J$1,'LE Inputs'!$C$1:$J$1,0),0)*1000</f>
        <v>1316786.3350402587</v>
      </c>
      <c r="K157" s="181">
        <v>529785.9116243826</v>
      </c>
      <c r="L157" s="157">
        <v>360454.68096765637</v>
      </c>
      <c r="M157" s="306"/>
      <c r="N157" s="150">
        <v>43441.165063020897</v>
      </c>
      <c r="O157" s="181">
        <f>VLOOKUP($A157&amp;$B157,'LE Inputs'!$C$2:$J$525,MATCH('LE UtilityData'!O$1,'LE Inputs'!$C$1:$J$1,0),0)</f>
        <v>46209.347191698413</v>
      </c>
      <c r="P157" s="181" t="e">
        <f>VLOOKUP($A157&amp;$B157,'LE Inputs'!$C$2:$J$505,MATCH('LE UtilityData'!P$1,'LE Inputs'!$C$1:$J$1,0),0)</f>
        <v>#N/A</v>
      </c>
      <c r="Q157" s="157">
        <v>667.68999999999994</v>
      </c>
      <c r="R157" s="157">
        <v>1.1850000000000001</v>
      </c>
      <c r="S157" s="157">
        <v>669.9</v>
      </c>
      <c r="T157" s="157">
        <v>1.05</v>
      </c>
      <c r="U157" s="159">
        <v>4124</v>
      </c>
      <c r="V157" s="159">
        <v>1696</v>
      </c>
      <c r="W157" s="159" t="e">
        <f t="shared" si="14"/>
        <v>#DIV/0!</v>
      </c>
      <c r="X157" s="159">
        <f t="shared" si="13"/>
        <v>0</v>
      </c>
      <c r="AA157" s="299">
        <v>688.5</v>
      </c>
      <c r="AB157" s="299">
        <v>0.95</v>
      </c>
    </row>
    <row r="158" spans="1:28" x14ac:dyDescent="0.2">
      <c r="A158" s="147">
        <v>2014</v>
      </c>
      <c r="B158" s="147">
        <v>1</v>
      </c>
      <c r="C158" s="161"/>
      <c r="D158" s="161"/>
      <c r="E158" s="166">
        <v>11.003830034113445</v>
      </c>
      <c r="F158" s="256">
        <f>HLOOKUP($A158,'LE rate projection'!$C$17:$K$27,11,0)*100</f>
        <v>10.2919641845894</v>
      </c>
      <c r="G158" s="256">
        <f>HLOOKUP($A158,'LE rate projection'!$C$32:$M$41,10,0)*100</f>
        <v>9.4872430219052895</v>
      </c>
      <c r="H158" s="166">
        <v>32.33</v>
      </c>
      <c r="I158" s="148">
        <v>750146.51190476306</v>
      </c>
      <c r="J158" s="181">
        <f>VLOOKUP($A158&amp;$B158,'LE Inputs'!$C$2:$J$505,MATCH('LE UtilityData'!J$1,'LE Inputs'!$C$1:$J$1,0),0)*1000</f>
        <v>1319134.4237950433</v>
      </c>
      <c r="K158" s="181">
        <v>531032.70027044415</v>
      </c>
      <c r="L158" s="157">
        <v>360680.1822567964</v>
      </c>
      <c r="M158" s="306"/>
      <c r="N158" s="150">
        <v>44165.774600884397</v>
      </c>
      <c r="O158" s="181">
        <f>VLOOKUP($A158&amp;$B158,'LE Inputs'!$C$2:$J$525,MATCH('LE UtilityData'!O$1,'LE Inputs'!$C$1:$J$1,0),0)</f>
        <v>46705.294010877034</v>
      </c>
      <c r="P158" s="181" t="e">
        <f>VLOOKUP($A158&amp;$B158,'LE Inputs'!$C$2:$J$505,MATCH('LE UtilityData'!P$1,'LE Inputs'!$C$1:$J$1,0),0)</f>
        <v>#N/A</v>
      </c>
      <c r="Q158" s="157">
        <v>927.57249999999999</v>
      </c>
      <c r="R158" s="157">
        <v>0.35</v>
      </c>
      <c r="S158" s="161">
        <f t="shared" ref="S158:T173" si="17">S146</f>
        <v>932.4</v>
      </c>
      <c r="T158" s="161">
        <f t="shared" si="17"/>
        <v>0.35</v>
      </c>
      <c r="U158" s="159">
        <v>4124</v>
      </c>
      <c r="V158" s="159">
        <v>1696</v>
      </c>
      <c r="W158" s="159" t="e">
        <f t="shared" si="14"/>
        <v>#DIV/0!</v>
      </c>
      <c r="X158" s="159">
        <f t="shared" si="13"/>
        <v>0</v>
      </c>
    </row>
    <row r="159" spans="1:28" x14ac:dyDescent="0.2">
      <c r="A159" s="147">
        <v>2014</v>
      </c>
      <c r="B159" s="147">
        <v>2</v>
      </c>
      <c r="C159" s="161"/>
      <c r="D159" s="161"/>
      <c r="E159" s="166">
        <v>11.003830034113445</v>
      </c>
      <c r="F159" s="256">
        <f>HLOOKUP($A159,'LE rate projection'!$C$17:$K$27,11,0)*100</f>
        <v>10.2919641845894</v>
      </c>
      <c r="G159" s="256">
        <f>HLOOKUP($A159,'LE rate projection'!$C$32:$M$41,10,0)*100</f>
        <v>9.4872430219052895</v>
      </c>
      <c r="H159" s="166">
        <v>30.05</v>
      </c>
      <c r="I159" s="148">
        <v>750615.51190476306</v>
      </c>
      <c r="J159" s="181">
        <f>VLOOKUP($A159&amp;$B159,'LE Inputs'!$C$2:$J$505,MATCH('LE UtilityData'!J$1,'LE Inputs'!$C$1:$J$1,0),0)*1000</f>
        <v>1319134.4237950433</v>
      </c>
      <c r="K159" s="181">
        <v>531032.70027044415</v>
      </c>
      <c r="L159" s="157">
        <v>360905.68354593648</v>
      </c>
      <c r="M159" s="306"/>
      <c r="N159" s="150">
        <v>44165.774600884397</v>
      </c>
      <c r="O159" s="181">
        <f>VLOOKUP($A159&amp;$B159,'LE Inputs'!$C$2:$J$525,MATCH('LE UtilityData'!O$1,'LE Inputs'!$C$1:$J$1,0),0)</f>
        <v>46705.294010877034</v>
      </c>
      <c r="P159" s="181" t="e">
        <f>VLOOKUP($A159&amp;$B159,'LE Inputs'!$C$2:$J$505,MATCH('LE UtilityData'!P$1,'LE Inputs'!$C$1:$J$1,0),0)</f>
        <v>#N/A</v>
      </c>
      <c r="Q159" s="157">
        <v>858.35750000000007</v>
      </c>
      <c r="R159" s="157">
        <v>0.05</v>
      </c>
      <c r="S159" s="161">
        <f t="shared" si="17"/>
        <v>864.1</v>
      </c>
      <c r="T159" s="161">
        <f t="shared" si="17"/>
        <v>0.05</v>
      </c>
      <c r="U159" s="159">
        <v>4124</v>
      </c>
      <c r="V159" s="159">
        <v>1696</v>
      </c>
      <c r="W159" s="159" t="e">
        <f t="shared" si="14"/>
        <v>#DIV/0!</v>
      </c>
      <c r="X159" s="159">
        <f t="shared" si="13"/>
        <v>0</v>
      </c>
    </row>
    <row r="160" spans="1:28" x14ac:dyDescent="0.2">
      <c r="A160" s="147">
        <v>2014</v>
      </c>
      <c r="B160" s="147">
        <v>3</v>
      </c>
      <c r="C160" s="161"/>
      <c r="D160" s="161"/>
      <c r="E160" s="166">
        <v>11.003830034113445</v>
      </c>
      <c r="F160" s="256">
        <f>HLOOKUP($A160,'LE rate projection'!$C$17:$K$27,11,0)*100</f>
        <v>10.2919641845894</v>
      </c>
      <c r="G160" s="256">
        <f>HLOOKUP($A160,'LE rate projection'!$C$32:$M$41,10,0)*100</f>
        <v>9.4872430219052895</v>
      </c>
      <c r="H160" s="166">
        <v>30.19</v>
      </c>
      <c r="I160" s="148">
        <v>751084.51190476306</v>
      </c>
      <c r="J160" s="181">
        <f>VLOOKUP($A160&amp;$B160,'LE Inputs'!$C$2:$J$505,MATCH('LE UtilityData'!J$1,'LE Inputs'!$C$1:$J$1,0),0)*1000</f>
        <v>1319134.4237950433</v>
      </c>
      <c r="K160" s="181">
        <v>531032.70027044415</v>
      </c>
      <c r="L160" s="157">
        <v>361131.18483507656</v>
      </c>
      <c r="M160" s="306"/>
      <c r="N160" s="150">
        <v>44165.774600884397</v>
      </c>
      <c r="O160" s="181">
        <f>VLOOKUP($A160&amp;$B160,'LE Inputs'!$C$2:$J$525,MATCH('LE UtilityData'!O$1,'LE Inputs'!$C$1:$J$1,0),0)</f>
        <v>46705.294010877034</v>
      </c>
      <c r="P160" s="181" t="e">
        <f>VLOOKUP($A160&amp;$B160,'LE Inputs'!$C$2:$J$505,MATCH('LE UtilityData'!P$1,'LE Inputs'!$C$1:$J$1,0),0)</f>
        <v>#N/A</v>
      </c>
      <c r="Q160" s="157">
        <v>666.12749999999994</v>
      </c>
      <c r="R160" s="157">
        <v>2.0225</v>
      </c>
      <c r="S160" s="161">
        <f t="shared" si="17"/>
        <v>674.3</v>
      </c>
      <c r="T160" s="161">
        <f t="shared" si="17"/>
        <v>1.1499999999999999</v>
      </c>
      <c r="U160" s="159">
        <v>4124</v>
      </c>
      <c r="V160" s="159">
        <v>1696</v>
      </c>
      <c r="W160" s="159" t="e">
        <f t="shared" si="14"/>
        <v>#DIV/0!</v>
      </c>
      <c r="X160" s="159">
        <f t="shared" si="13"/>
        <v>0</v>
      </c>
    </row>
    <row r="161" spans="1:24" x14ac:dyDescent="0.2">
      <c r="A161" s="147">
        <v>2014</v>
      </c>
      <c r="B161" s="147">
        <v>4</v>
      </c>
      <c r="C161" s="161"/>
      <c r="D161" s="161"/>
      <c r="E161" s="166">
        <v>11.003830034113445</v>
      </c>
      <c r="F161" s="256">
        <f>HLOOKUP($A161,'LE rate projection'!$C$17:$K$27,11,0)*100</f>
        <v>10.2919641845894</v>
      </c>
      <c r="G161" s="256">
        <f>HLOOKUP($A161,'LE rate projection'!$C$32:$M$41,10,0)*100</f>
        <v>9.4872430219052895</v>
      </c>
      <c r="H161" s="166">
        <v>30</v>
      </c>
      <c r="I161" s="148">
        <v>751553.51190476306</v>
      </c>
      <c r="J161" s="181">
        <f>VLOOKUP($A161&amp;$B161,'LE Inputs'!$C$2:$J$505,MATCH('LE UtilityData'!J$1,'LE Inputs'!$C$1:$J$1,0),0)*1000</f>
        <v>1322154.41574627</v>
      </c>
      <c r="K161" s="181">
        <v>532543.76996015944</v>
      </c>
      <c r="L161" s="157">
        <v>361356.68612421659</v>
      </c>
      <c r="M161" s="306"/>
      <c r="N161" s="150">
        <v>44510.235905662397</v>
      </c>
      <c r="O161" s="181">
        <f>VLOOKUP($A161&amp;$B161,'LE Inputs'!$C$2:$J$525,MATCH('LE UtilityData'!O$1,'LE Inputs'!$C$1:$J$1,0),0)</f>
        <v>47013.881030535427</v>
      </c>
      <c r="P161" s="181" t="e">
        <f>VLOOKUP($A161&amp;$B161,'LE Inputs'!$C$2:$J$505,MATCH('LE UtilityData'!P$1,'LE Inputs'!$C$1:$J$1,0),0)</f>
        <v>#N/A</v>
      </c>
      <c r="Q161" s="157">
        <v>370.83499999999998</v>
      </c>
      <c r="R161" s="157">
        <v>22.565000000000001</v>
      </c>
      <c r="S161" s="161">
        <f t="shared" si="17"/>
        <v>377.1</v>
      </c>
      <c r="T161" s="161">
        <f t="shared" si="17"/>
        <v>20.25</v>
      </c>
      <c r="U161" s="159">
        <v>4124</v>
      </c>
      <c r="V161" s="159">
        <v>1696</v>
      </c>
      <c r="W161" s="159" t="e">
        <f t="shared" si="14"/>
        <v>#DIV/0!</v>
      </c>
      <c r="X161" s="159">
        <f t="shared" si="13"/>
        <v>0</v>
      </c>
    </row>
    <row r="162" spans="1:24" x14ac:dyDescent="0.2">
      <c r="A162" s="147">
        <v>2014</v>
      </c>
      <c r="B162" s="147">
        <v>5</v>
      </c>
      <c r="C162" s="161"/>
      <c r="D162" s="161"/>
      <c r="E162" s="166">
        <v>11.003830034113445</v>
      </c>
      <c r="F162" s="256">
        <f>HLOOKUP($A162,'LE rate projection'!$C$17:$K$27,11,0)*100</f>
        <v>10.2919641845894</v>
      </c>
      <c r="G162" s="256">
        <f>HLOOKUP($A162,'LE rate projection'!$C$32:$M$41,10,0)*100</f>
        <v>9.4872430219052895</v>
      </c>
      <c r="H162" s="166">
        <v>30.48</v>
      </c>
      <c r="I162" s="148">
        <v>752022.51190476306</v>
      </c>
      <c r="J162" s="181">
        <f>VLOOKUP($A162&amp;$B162,'LE Inputs'!$C$2:$J$505,MATCH('LE UtilityData'!J$1,'LE Inputs'!$C$1:$J$1,0),0)*1000</f>
        <v>1322154.41574627</v>
      </c>
      <c r="K162" s="181">
        <v>532543.76996015944</v>
      </c>
      <c r="L162" s="157">
        <v>361582.18741335662</v>
      </c>
      <c r="M162" s="306"/>
      <c r="N162" s="150">
        <v>44510.235905662397</v>
      </c>
      <c r="O162" s="181">
        <f>VLOOKUP($A162&amp;$B162,'LE Inputs'!$C$2:$J$525,MATCH('LE UtilityData'!O$1,'LE Inputs'!$C$1:$J$1,0),0)</f>
        <v>47013.881030535427</v>
      </c>
      <c r="P162" s="181" t="e">
        <f>VLOOKUP($A162&amp;$B162,'LE Inputs'!$C$2:$J$505,MATCH('LE UtilityData'!P$1,'LE Inputs'!$C$1:$J$1,0),0)</f>
        <v>#N/A</v>
      </c>
      <c r="Q162" s="307">
        <f>Q150</f>
        <v>141.76749999999998</v>
      </c>
      <c r="R162" s="307">
        <f>R150</f>
        <v>69.552499999999995</v>
      </c>
      <c r="S162" s="161">
        <f t="shared" si="17"/>
        <v>141</v>
      </c>
      <c r="T162" s="161">
        <f t="shared" si="17"/>
        <v>69.349999999999994</v>
      </c>
      <c r="U162" s="159">
        <v>4124</v>
      </c>
      <c r="V162" s="159">
        <v>1696</v>
      </c>
      <c r="W162" s="159" t="e">
        <f t="shared" si="14"/>
        <v>#DIV/0!</v>
      </c>
      <c r="X162" s="159">
        <f t="shared" si="13"/>
        <v>0</v>
      </c>
    </row>
    <row r="163" spans="1:24" x14ac:dyDescent="0.2">
      <c r="A163" s="147">
        <v>2014</v>
      </c>
      <c r="B163" s="147">
        <v>6</v>
      </c>
      <c r="C163" s="161"/>
      <c r="D163" s="161"/>
      <c r="E163" s="166">
        <v>11.003830034113445</v>
      </c>
      <c r="F163" s="256">
        <f>HLOOKUP($A163,'LE rate projection'!$C$17:$K$27,11,0)*100</f>
        <v>10.2919641845894</v>
      </c>
      <c r="G163" s="256">
        <f>HLOOKUP($A163,'LE rate projection'!$C$32:$M$41,10,0)*100</f>
        <v>9.4872430219052895</v>
      </c>
      <c r="H163" s="166">
        <v>30.52</v>
      </c>
      <c r="I163" s="148">
        <v>752494.38095238293</v>
      </c>
      <c r="J163" s="181">
        <f>VLOOKUP($A163&amp;$B163,'LE Inputs'!$C$2:$J$505,MATCH('LE UtilityData'!J$1,'LE Inputs'!$C$1:$J$1,0),0)*1000</f>
        <v>1322154.41574627</v>
      </c>
      <c r="K163" s="181">
        <v>532543.76996015944</v>
      </c>
      <c r="L163" s="157">
        <v>361809.06817784178</v>
      </c>
      <c r="M163" s="306"/>
      <c r="N163" s="150">
        <v>44510.235905662397</v>
      </c>
      <c r="O163" s="181">
        <f>VLOOKUP($A163&amp;$B163,'LE Inputs'!$C$2:$J$525,MATCH('LE UtilityData'!O$1,'LE Inputs'!$C$1:$J$1,0),0)</f>
        <v>47013.881030535427</v>
      </c>
      <c r="P163" s="181" t="e">
        <f>VLOOKUP($A163&amp;$B163,'LE Inputs'!$C$2:$J$505,MATCH('LE UtilityData'!P$1,'LE Inputs'!$C$1:$J$1,0),0)</f>
        <v>#N/A</v>
      </c>
      <c r="Q163" s="307">
        <f t="shared" ref="Q163:T178" si="18">Q151</f>
        <v>29.807499999999997</v>
      </c>
      <c r="R163" s="307">
        <f t="shared" si="18"/>
        <v>219.05749999999998</v>
      </c>
      <c r="S163" s="161">
        <f t="shared" si="17"/>
        <v>29.5</v>
      </c>
      <c r="T163" s="161">
        <f t="shared" si="17"/>
        <v>224.8</v>
      </c>
      <c r="U163" s="159">
        <v>4124</v>
      </c>
      <c r="V163" s="159">
        <v>1696</v>
      </c>
      <c r="W163" s="159" t="e">
        <f t="shared" si="14"/>
        <v>#DIV/0!</v>
      </c>
      <c r="X163" s="159">
        <f t="shared" si="13"/>
        <v>0</v>
      </c>
    </row>
    <row r="164" spans="1:24" x14ac:dyDescent="0.2">
      <c r="A164" s="147">
        <v>2014</v>
      </c>
      <c r="B164" s="147">
        <v>7</v>
      </c>
      <c r="C164" s="161"/>
      <c r="D164" s="161"/>
      <c r="E164" s="166">
        <v>11.003830034113445</v>
      </c>
      <c r="F164" s="256">
        <f>HLOOKUP($A164,'LE rate projection'!$C$17:$K$27,11,0)*100</f>
        <v>10.2919641845894</v>
      </c>
      <c r="G164" s="256">
        <f>HLOOKUP($A164,'LE rate projection'!$C$32:$M$41,10,0)*100</f>
        <v>9.4872430219052895</v>
      </c>
      <c r="H164" s="166">
        <v>30.67</v>
      </c>
      <c r="I164" s="148">
        <v>752946.38095238293</v>
      </c>
      <c r="J164" s="181">
        <f>VLOOKUP($A164&amp;$B164,'LE Inputs'!$C$2:$J$505,MATCH('LE UtilityData'!J$1,'LE Inputs'!$C$1:$J$1,0),0)*1000</f>
        <v>1325187.4417068094</v>
      </c>
      <c r="K164" s="181">
        <v>534104.65824892046</v>
      </c>
      <c r="L164" s="157">
        <v>362026.39564626676</v>
      </c>
      <c r="M164" s="306"/>
      <c r="N164" s="150">
        <v>44910.619919287499</v>
      </c>
      <c r="O164" s="181">
        <f>VLOOKUP($A164&amp;$B164,'LE Inputs'!$C$2:$J$525,MATCH('LE UtilityData'!O$1,'LE Inputs'!$C$1:$J$1,0),0)</f>
        <v>47346.271788425773</v>
      </c>
      <c r="P164" s="181" t="e">
        <f>VLOOKUP($A164&amp;$B164,'LE Inputs'!$C$2:$J$505,MATCH('LE UtilityData'!P$1,'LE Inputs'!$C$1:$J$1,0),0)</f>
        <v>#N/A</v>
      </c>
      <c r="Q164" s="307">
        <f t="shared" si="18"/>
        <v>0.57250000000000001</v>
      </c>
      <c r="R164" s="307">
        <f t="shared" si="18"/>
        <v>397.17500000000001</v>
      </c>
      <c r="S164" s="161">
        <f t="shared" si="17"/>
        <v>0.55000000000000004</v>
      </c>
      <c r="T164" s="161">
        <f t="shared" si="17"/>
        <v>396.4</v>
      </c>
      <c r="U164" s="159">
        <v>4124</v>
      </c>
      <c r="V164" s="159">
        <v>1696</v>
      </c>
      <c r="W164" s="159" t="e">
        <f t="shared" si="14"/>
        <v>#DIV/0!</v>
      </c>
      <c r="X164" s="159">
        <f t="shared" si="13"/>
        <v>0</v>
      </c>
    </row>
    <row r="165" spans="1:24" x14ac:dyDescent="0.2">
      <c r="A165" s="147">
        <v>2014</v>
      </c>
      <c r="B165" s="147">
        <v>8</v>
      </c>
      <c r="C165" s="161"/>
      <c r="D165" s="161"/>
      <c r="E165" s="166">
        <v>11.003830034113445</v>
      </c>
      <c r="F165" s="256">
        <f>HLOOKUP($A165,'LE rate projection'!$C$17:$K$27,11,0)*100</f>
        <v>10.2919641845894</v>
      </c>
      <c r="G165" s="256">
        <f>HLOOKUP($A165,'LE rate projection'!$C$32:$M$41,10,0)*100</f>
        <v>9.4872430219052895</v>
      </c>
      <c r="H165" s="166">
        <v>29.48</v>
      </c>
      <c r="I165" s="148">
        <v>753398.38095238293</v>
      </c>
      <c r="J165" s="181">
        <f>VLOOKUP($A165&amp;$B165,'LE Inputs'!$C$2:$J$505,MATCH('LE UtilityData'!J$1,'LE Inputs'!$C$1:$J$1,0),0)*1000</f>
        <v>1325187.4417068094</v>
      </c>
      <c r="K165" s="181">
        <v>534104.65824892046</v>
      </c>
      <c r="L165" s="157">
        <v>362243.72311469173</v>
      </c>
      <c r="M165" s="306"/>
      <c r="N165" s="150">
        <v>44910.619919287499</v>
      </c>
      <c r="O165" s="181">
        <f>VLOOKUP($A165&amp;$B165,'LE Inputs'!$C$2:$J$525,MATCH('LE UtilityData'!O$1,'LE Inputs'!$C$1:$J$1,0),0)</f>
        <v>47346.271788425773</v>
      </c>
      <c r="P165" s="181" t="e">
        <f>VLOOKUP($A165&amp;$B165,'LE Inputs'!$C$2:$J$505,MATCH('LE UtilityData'!P$1,'LE Inputs'!$C$1:$J$1,0),0)</f>
        <v>#N/A</v>
      </c>
      <c r="Q165" s="307">
        <f t="shared" si="18"/>
        <v>0.1</v>
      </c>
      <c r="R165" s="307">
        <f t="shared" si="18"/>
        <v>418.51750000000004</v>
      </c>
      <c r="S165" s="161">
        <f t="shared" si="17"/>
        <v>0.1</v>
      </c>
      <c r="T165" s="161">
        <f t="shared" si="17"/>
        <v>417.05</v>
      </c>
      <c r="U165" s="159">
        <v>4124</v>
      </c>
      <c r="V165" s="159">
        <v>1696</v>
      </c>
      <c r="W165" s="159" t="e">
        <f t="shared" si="14"/>
        <v>#DIV/0!</v>
      </c>
      <c r="X165" s="159">
        <f t="shared" si="13"/>
        <v>0</v>
      </c>
    </row>
    <row r="166" spans="1:24" x14ac:dyDescent="0.2">
      <c r="A166" s="147">
        <v>2014</v>
      </c>
      <c r="B166" s="147">
        <v>9</v>
      </c>
      <c r="C166" s="161"/>
      <c r="D166" s="161"/>
      <c r="E166" s="166">
        <v>11.003830034113445</v>
      </c>
      <c r="F166" s="256">
        <f>HLOOKUP($A166,'LE rate projection'!$C$17:$K$27,11,0)*100</f>
        <v>10.2919641845894</v>
      </c>
      <c r="G166" s="256">
        <f>HLOOKUP($A166,'LE rate projection'!$C$32:$M$41,10,0)*100</f>
        <v>9.4872430219052895</v>
      </c>
      <c r="H166" s="166">
        <v>30.86</v>
      </c>
      <c r="I166" s="148">
        <v>753850.38095238293</v>
      </c>
      <c r="J166" s="181">
        <f>VLOOKUP($A166&amp;$B166,'LE Inputs'!$C$2:$J$505,MATCH('LE UtilityData'!J$1,'LE Inputs'!$C$1:$J$1,0),0)*1000</f>
        <v>1325187.4417068094</v>
      </c>
      <c r="K166" s="181">
        <v>534104.65824892046</v>
      </c>
      <c r="L166" s="157">
        <v>362461.05058311665</v>
      </c>
      <c r="M166" s="306"/>
      <c r="N166" s="150">
        <v>44910.619919287499</v>
      </c>
      <c r="O166" s="181">
        <f>VLOOKUP($A166&amp;$B166,'LE Inputs'!$C$2:$J$525,MATCH('LE UtilityData'!O$1,'LE Inputs'!$C$1:$J$1,0),0)</f>
        <v>47346.271788425773</v>
      </c>
      <c r="P166" s="181" t="e">
        <f>VLOOKUP($A166&amp;$B166,'LE Inputs'!$C$2:$J$505,MATCH('LE UtilityData'!P$1,'LE Inputs'!$C$1:$J$1,0),0)</f>
        <v>#N/A</v>
      </c>
      <c r="Q166" s="307">
        <f t="shared" si="18"/>
        <v>5.2125000000000004</v>
      </c>
      <c r="R166" s="307">
        <f t="shared" si="18"/>
        <v>326.05</v>
      </c>
      <c r="S166" s="161">
        <f t="shared" si="17"/>
        <v>5.35</v>
      </c>
      <c r="T166" s="161">
        <f t="shared" si="17"/>
        <v>330.2</v>
      </c>
      <c r="U166" s="159">
        <v>4124</v>
      </c>
      <c r="V166" s="159">
        <v>1696</v>
      </c>
      <c r="W166" s="159" t="e">
        <f t="shared" si="14"/>
        <v>#DIV/0!</v>
      </c>
      <c r="X166" s="159">
        <f t="shared" si="13"/>
        <v>0</v>
      </c>
    </row>
    <row r="167" spans="1:24" x14ac:dyDescent="0.2">
      <c r="A167" s="147">
        <v>2014</v>
      </c>
      <c r="B167" s="147">
        <v>10</v>
      </c>
      <c r="C167" s="161"/>
      <c r="D167" s="161"/>
      <c r="E167" s="166">
        <v>11.003830034113445</v>
      </c>
      <c r="F167" s="256">
        <f>HLOOKUP($A167,'LE rate projection'!$C$17:$K$27,11,0)*100</f>
        <v>10.2919641845894</v>
      </c>
      <c r="G167" s="256">
        <f>HLOOKUP($A167,'LE rate projection'!$C$32:$M$41,10,0)*100</f>
        <v>9.4872430219052895</v>
      </c>
      <c r="H167" s="166">
        <v>29.38</v>
      </c>
      <c r="I167" s="148">
        <v>754302.38095238293</v>
      </c>
      <c r="J167" s="181">
        <f>VLOOKUP($A167&amp;$B167,'LE Inputs'!$C$2:$J$505,MATCH('LE UtilityData'!J$1,'LE Inputs'!$C$1:$J$1,0),0)*1000</f>
        <v>1328117.7756731741</v>
      </c>
      <c r="K167" s="181">
        <v>535598.36197161826</v>
      </c>
      <c r="L167" s="157">
        <v>362678.37805154163</v>
      </c>
      <c r="M167" s="306"/>
      <c r="N167" s="150">
        <v>45249.449963663697</v>
      </c>
      <c r="O167" s="181">
        <f>VLOOKUP($A167&amp;$B167,'LE Inputs'!$C$2:$J$525,MATCH('LE UtilityData'!O$1,'LE Inputs'!$C$1:$J$1,0),0)</f>
        <v>47702.338846833329</v>
      </c>
      <c r="P167" s="181" t="e">
        <f>VLOOKUP($A167&amp;$B167,'LE Inputs'!$C$2:$J$505,MATCH('LE UtilityData'!P$1,'LE Inputs'!$C$1:$J$1,0),0)</f>
        <v>#N/A</v>
      </c>
      <c r="Q167" s="307">
        <f t="shared" si="18"/>
        <v>99.232500000000002</v>
      </c>
      <c r="R167" s="307">
        <f t="shared" si="18"/>
        <v>97.24</v>
      </c>
      <c r="S167" s="161">
        <f t="shared" si="17"/>
        <v>99.3</v>
      </c>
      <c r="T167" s="161">
        <f t="shared" si="17"/>
        <v>100.05</v>
      </c>
      <c r="U167" s="159">
        <v>4124</v>
      </c>
      <c r="V167" s="159">
        <v>1696</v>
      </c>
      <c r="W167" s="159" t="e">
        <f t="shared" si="14"/>
        <v>#DIV/0!</v>
      </c>
      <c r="X167" s="159">
        <f t="shared" si="13"/>
        <v>0</v>
      </c>
    </row>
    <row r="168" spans="1:24" x14ac:dyDescent="0.2">
      <c r="A168" s="147">
        <v>2014</v>
      </c>
      <c r="B168" s="147">
        <v>11</v>
      </c>
      <c r="C168" s="161"/>
      <c r="D168" s="161"/>
      <c r="E168" s="166">
        <v>11.003830034113445</v>
      </c>
      <c r="F168" s="256">
        <f>HLOOKUP($A168,'LE rate projection'!$C$17:$K$27,11,0)*100</f>
        <v>10.2919641845894</v>
      </c>
      <c r="G168" s="256">
        <f>HLOOKUP($A168,'LE rate projection'!$C$32:$M$41,10,0)*100</f>
        <v>9.4872430219052895</v>
      </c>
      <c r="H168" s="166">
        <v>29.57</v>
      </c>
      <c r="I168" s="148">
        <v>754754.38095238293</v>
      </c>
      <c r="J168" s="181">
        <f>VLOOKUP($A168&amp;$B168,'LE Inputs'!$C$2:$J$505,MATCH('LE UtilityData'!J$1,'LE Inputs'!$C$1:$J$1,0),0)*1000</f>
        <v>1328117.7756731741</v>
      </c>
      <c r="K168" s="181">
        <v>535598.36197161826</v>
      </c>
      <c r="L168" s="157">
        <v>362895.70551996661</v>
      </c>
      <c r="M168" s="306"/>
      <c r="N168" s="150">
        <v>45249.449963663697</v>
      </c>
      <c r="O168" s="181">
        <f>VLOOKUP($A168&amp;$B168,'LE Inputs'!$C$2:$J$525,MATCH('LE UtilityData'!O$1,'LE Inputs'!$C$1:$J$1,0),0)</f>
        <v>47702.338846833329</v>
      </c>
      <c r="P168" s="181" t="e">
        <f>VLOOKUP($A168&amp;$B168,'LE Inputs'!$C$2:$J$505,MATCH('LE UtilityData'!P$1,'LE Inputs'!$C$1:$J$1,0),0)</f>
        <v>#N/A</v>
      </c>
      <c r="Q168" s="307">
        <f t="shared" si="18"/>
        <v>353.59499999999997</v>
      </c>
      <c r="R168" s="307">
        <f t="shared" si="18"/>
        <v>11.487500000000001</v>
      </c>
      <c r="S168" s="161">
        <f t="shared" si="17"/>
        <v>352.6</v>
      </c>
      <c r="T168" s="161">
        <f t="shared" si="17"/>
        <v>12.75</v>
      </c>
      <c r="U168" s="159">
        <v>4124</v>
      </c>
      <c r="V168" s="159">
        <v>1696</v>
      </c>
      <c r="W168" s="159" t="e">
        <f t="shared" si="14"/>
        <v>#DIV/0!</v>
      </c>
      <c r="X168" s="159">
        <f t="shared" si="13"/>
        <v>0</v>
      </c>
    </row>
    <row r="169" spans="1:24" x14ac:dyDescent="0.2">
      <c r="A169" s="147">
        <v>2014</v>
      </c>
      <c r="B169" s="147">
        <v>12</v>
      </c>
      <c r="C169" s="161"/>
      <c r="D169" s="161"/>
      <c r="E169" s="166">
        <v>11.003830034113445</v>
      </c>
      <c r="F169" s="256">
        <f>HLOOKUP($A169,'LE rate projection'!$C$17:$K$27,11,0)*100</f>
        <v>10.2919641845894</v>
      </c>
      <c r="G169" s="256">
        <f>HLOOKUP($A169,'LE rate projection'!$C$32:$M$41,10,0)*100</f>
        <v>9.4872430219052895</v>
      </c>
      <c r="H169" s="166">
        <v>31.81</v>
      </c>
      <c r="I169" s="148">
        <v>755206.38095238293</v>
      </c>
      <c r="J169" s="181">
        <f>VLOOKUP($A169&amp;$B169,'LE Inputs'!$C$2:$J$505,MATCH('LE UtilityData'!J$1,'LE Inputs'!$C$1:$J$1,0),0)*1000</f>
        <v>1328117.7756731741</v>
      </c>
      <c r="K169" s="181">
        <v>535598.36197161826</v>
      </c>
      <c r="L169" s="157">
        <v>363113.03298839153</v>
      </c>
      <c r="M169" s="306"/>
      <c r="N169" s="150">
        <v>45249.449963663697</v>
      </c>
      <c r="O169" s="181">
        <f>VLOOKUP($A169&amp;$B169,'LE Inputs'!$C$2:$J$525,MATCH('LE UtilityData'!O$1,'LE Inputs'!$C$1:$J$1,0),0)</f>
        <v>47702.338846833329</v>
      </c>
      <c r="P169" s="181" t="e">
        <f>VLOOKUP($A169&amp;$B169,'LE Inputs'!$C$2:$J$505,MATCH('LE UtilityData'!P$1,'LE Inputs'!$C$1:$J$1,0),0)</f>
        <v>#N/A</v>
      </c>
      <c r="Q169" s="307">
        <f t="shared" si="18"/>
        <v>667.68999999999994</v>
      </c>
      <c r="R169" s="307">
        <f t="shared" si="18"/>
        <v>1.1850000000000001</v>
      </c>
      <c r="S169" s="161">
        <f t="shared" si="17"/>
        <v>669.9</v>
      </c>
      <c r="T169" s="161">
        <f t="shared" si="17"/>
        <v>1.05</v>
      </c>
      <c r="U169" s="159">
        <v>4124</v>
      </c>
      <c r="V169" s="159">
        <v>1696</v>
      </c>
      <c r="W169" s="159" t="e">
        <f t="shared" si="14"/>
        <v>#DIV/0!</v>
      </c>
      <c r="X169" s="159">
        <f t="shared" si="13"/>
        <v>0</v>
      </c>
    </row>
    <row r="170" spans="1:24" x14ac:dyDescent="0.2">
      <c r="A170" s="147">
        <v>2015</v>
      </c>
      <c r="B170" s="147">
        <v>1</v>
      </c>
      <c r="C170" s="161"/>
      <c r="D170" s="161"/>
      <c r="E170" s="166">
        <v>12.063906523553111</v>
      </c>
      <c r="F170" s="256">
        <f>HLOOKUP($A170,'LE rate projection'!$C$17:$K$27,11,0)*100</f>
        <v>11.4102512243312</v>
      </c>
      <c r="G170" s="256">
        <f>HLOOKUP($A170,'LE rate projection'!$C$32:$M$41,10,0)*100</f>
        <v>10.3149120957642</v>
      </c>
      <c r="H170" s="166">
        <v>32.380000000000003</v>
      </c>
      <c r="I170" s="148">
        <v>755658.38095238293</v>
      </c>
      <c r="J170" s="181">
        <f>VLOOKUP($A170&amp;$B170,'LE Inputs'!$C$2:$J$505,MATCH('LE UtilityData'!J$1,'LE Inputs'!$C$1:$J$1,0),0)*1000</f>
        <v>1330506.9679295849</v>
      </c>
      <c r="K170" s="181">
        <v>536815.13705564733</v>
      </c>
      <c r="L170" s="157">
        <v>363330.36045681644</v>
      </c>
      <c r="M170" s="306"/>
      <c r="N170" s="150">
        <v>45815.959925457202</v>
      </c>
      <c r="O170" s="181">
        <f>VLOOKUP($A170&amp;$B170,'LE Inputs'!$C$2:$J$525,MATCH('LE UtilityData'!O$1,'LE Inputs'!$C$1:$J$1,0),0)</f>
        <v>48074.236293948139</v>
      </c>
      <c r="P170" s="181" t="e">
        <f>VLOOKUP($A170&amp;$B170,'LE Inputs'!$C$2:$J$505,MATCH('LE UtilityData'!P$1,'LE Inputs'!$C$1:$J$1,0),0)</f>
        <v>#N/A</v>
      </c>
      <c r="Q170" s="307">
        <f t="shared" si="18"/>
        <v>927.57249999999999</v>
      </c>
      <c r="R170" s="307">
        <f t="shared" si="18"/>
        <v>0.35</v>
      </c>
      <c r="S170" s="161">
        <f t="shared" si="17"/>
        <v>932.4</v>
      </c>
      <c r="T170" s="161">
        <f t="shared" si="17"/>
        <v>0.35</v>
      </c>
      <c r="U170" s="159">
        <v>4124</v>
      </c>
      <c r="V170" s="159">
        <v>1696</v>
      </c>
      <c r="W170" s="159" t="e">
        <f t="shared" si="14"/>
        <v>#DIV/0!</v>
      </c>
      <c r="X170" s="159">
        <f t="shared" si="13"/>
        <v>0</v>
      </c>
    </row>
    <row r="171" spans="1:24" x14ac:dyDescent="0.2">
      <c r="A171" s="147">
        <v>2015</v>
      </c>
      <c r="B171" s="147">
        <v>2</v>
      </c>
      <c r="C171" s="161"/>
      <c r="D171" s="161"/>
      <c r="E171" s="166">
        <v>12.063906523553111</v>
      </c>
      <c r="F171" s="256">
        <f>HLOOKUP($A171,'LE rate projection'!$C$17:$K$27,11,0)*100</f>
        <v>11.4102512243312</v>
      </c>
      <c r="G171" s="256">
        <f>HLOOKUP($A171,'LE rate projection'!$C$32:$M$41,10,0)*100</f>
        <v>10.3149120957642</v>
      </c>
      <c r="H171" s="166">
        <v>30.19</v>
      </c>
      <c r="I171" s="148">
        <v>756110.38095238293</v>
      </c>
      <c r="J171" s="181">
        <f>VLOOKUP($A171&amp;$B171,'LE Inputs'!$C$2:$J$505,MATCH('LE UtilityData'!J$1,'LE Inputs'!$C$1:$J$1,0),0)*1000</f>
        <v>1330506.9679295849</v>
      </c>
      <c r="K171" s="181">
        <v>536815.13705564733</v>
      </c>
      <c r="L171" s="157">
        <v>363547.68792524142</v>
      </c>
      <c r="M171" s="306"/>
      <c r="N171" s="150">
        <v>45815.959925457202</v>
      </c>
      <c r="O171" s="181">
        <f>VLOOKUP($A171&amp;$B171,'LE Inputs'!$C$2:$J$525,MATCH('LE UtilityData'!O$1,'LE Inputs'!$C$1:$J$1,0),0)</f>
        <v>48074.236293948139</v>
      </c>
      <c r="P171" s="181" t="e">
        <f>VLOOKUP($A171&amp;$B171,'LE Inputs'!$C$2:$J$505,MATCH('LE UtilityData'!P$1,'LE Inputs'!$C$1:$J$1,0),0)</f>
        <v>#N/A</v>
      </c>
      <c r="Q171" s="307">
        <f t="shared" si="18"/>
        <v>858.35750000000007</v>
      </c>
      <c r="R171" s="307">
        <f t="shared" si="18"/>
        <v>0.05</v>
      </c>
      <c r="S171" s="161">
        <f t="shared" si="17"/>
        <v>864.1</v>
      </c>
      <c r="T171" s="161">
        <f t="shared" si="17"/>
        <v>0.05</v>
      </c>
      <c r="U171" s="159">
        <v>4124</v>
      </c>
      <c r="V171" s="159">
        <v>1696</v>
      </c>
      <c r="W171" s="159" t="e">
        <f t="shared" si="14"/>
        <v>#DIV/0!</v>
      </c>
      <c r="X171" s="159">
        <f t="shared" si="13"/>
        <v>0</v>
      </c>
    </row>
    <row r="172" spans="1:24" x14ac:dyDescent="0.2">
      <c r="A172" s="147">
        <v>2015</v>
      </c>
      <c r="B172" s="147">
        <v>3</v>
      </c>
      <c r="C172" s="161"/>
      <c r="D172" s="161"/>
      <c r="E172" s="166">
        <v>12.063906523553111</v>
      </c>
      <c r="F172" s="256">
        <f>HLOOKUP($A172,'LE rate projection'!$C$17:$K$27,11,0)*100</f>
        <v>11.4102512243312</v>
      </c>
      <c r="G172" s="256">
        <f>HLOOKUP($A172,'LE rate projection'!$C$32:$M$41,10,0)*100</f>
        <v>10.3149120957642</v>
      </c>
      <c r="H172" s="166">
        <v>30.05</v>
      </c>
      <c r="I172" s="148">
        <v>756562.38095238293</v>
      </c>
      <c r="J172" s="181">
        <f>VLOOKUP($A172&amp;$B172,'LE Inputs'!$C$2:$J$505,MATCH('LE UtilityData'!J$1,'LE Inputs'!$C$1:$J$1,0),0)*1000</f>
        <v>1330506.9679295849</v>
      </c>
      <c r="K172" s="181">
        <v>536815.13705564733</v>
      </c>
      <c r="L172" s="157">
        <v>363765.0153936664</v>
      </c>
      <c r="M172" s="306"/>
      <c r="N172" s="150">
        <v>45815.959925457202</v>
      </c>
      <c r="O172" s="181">
        <f>VLOOKUP($A172&amp;$B172,'LE Inputs'!$C$2:$J$525,MATCH('LE UtilityData'!O$1,'LE Inputs'!$C$1:$J$1,0),0)</f>
        <v>48074.236293948139</v>
      </c>
      <c r="P172" s="181" t="e">
        <f>VLOOKUP($A172&amp;$B172,'LE Inputs'!$C$2:$J$505,MATCH('LE UtilityData'!P$1,'LE Inputs'!$C$1:$J$1,0),0)</f>
        <v>#N/A</v>
      </c>
      <c r="Q172" s="307">
        <f t="shared" si="18"/>
        <v>666.12749999999994</v>
      </c>
      <c r="R172" s="307">
        <f t="shared" si="18"/>
        <v>2.0225</v>
      </c>
      <c r="S172" s="161">
        <f t="shared" si="17"/>
        <v>674.3</v>
      </c>
      <c r="T172" s="161">
        <f t="shared" si="17"/>
        <v>1.1499999999999999</v>
      </c>
      <c r="U172" s="159">
        <v>4124</v>
      </c>
      <c r="V172" s="159">
        <v>1696</v>
      </c>
      <c r="W172" s="159" t="e">
        <f t="shared" si="14"/>
        <v>#DIV/0!</v>
      </c>
      <c r="X172" s="159">
        <f t="shared" si="13"/>
        <v>0</v>
      </c>
    </row>
    <row r="173" spans="1:24" x14ac:dyDescent="0.2">
      <c r="A173" s="147">
        <v>2015</v>
      </c>
      <c r="B173" s="147">
        <v>4</v>
      </c>
      <c r="C173" s="161"/>
      <c r="D173" s="161"/>
      <c r="E173" s="166">
        <v>12.063906523553111</v>
      </c>
      <c r="F173" s="256">
        <f>HLOOKUP($A173,'LE rate projection'!$C$17:$K$27,11,0)*100</f>
        <v>11.4102512243312</v>
      </c>
      <c r="G173" s="256">
        <f>HLOOKUP($A173,'LE rate projection'!$C$32:$M$41,10,0)*100</f>
        <v>10.3149120957642</v>
      </c>
      <c r="H173" s="166">
        <v>30.71</v>
      </c>
      <c r="I173" s="148">
        <v>757014.38095238293</v>
      </c>
      <c r="J173" s="181">
        <f>VLOOKUP($A173&amp;$B173,'LE Inputs'!$C$2:$J$505,MATCH('LE UtilityData'!J$1,'LE Inputs'!$C$1:$J$1,0),0)*1000</f>
        <v>1333572.7376408956</v>
      </c>
      <c r="K173" s="181">
        <v>538347.63078032283</v>
      </c>
      <c r="L173" s="157">
        <v>363982.34286209138</v>
      </c>
      <c r="M173" s="306"/>
      <c r="N173" s="150">
        <v>46129.7795837101</v>
      </c>
      <c r="O173" s="181">
        <f>VLOOKUP($A173&amp;$B173,'LE Inputs'!$C$2:$J$525,MATCH('LE UtilityData'!O$1,'LE Inputs'!$C$1:$J$1,0),0)</f>
        <v>48312.169433851028</v>
      </c>
      <c r="P173" s="181" t="e">
        <f>VLOOKUP($A173&amp;$B173,'LE Inputs'!$C$2:$J$505,MATCH('LE UtilityData'!P$1,'LE Inputs'!$C$1:$J$1,0),0)</f>
        <v>#N/A</v>
      </c>
      <c r="Q173" s="307">
        <f t="shared" si="18"/>
        <v>370.83499999999998</v>
      </c>
      <c r="R173" s="307">
        <f t="shared" si="18"/>
        <v>22.565000000000001</v>
      </c>
      <c r="S173" s="161">
        <f t="shared" si="17"/>
        <v>377.1</v>
      </c>
      <c r="T173" s="161">
        <f t="shared" si="17"/>
        <v>20.25</v>
      </c>
      <c r="U173" s="159">
        <v>4124</v>
      </c>
      <c r="V173" s="159">
        <v>1696</v>
      </c>
      <c r="W173" s="159" t="e">
        <f t="shared" si="14"/>
        <v>#DIV/0!</v>
      </c>
      <c r="X173" s="159">
        <f t="shared" si="13"/>
        <v>0</v>
      </c>
    </row>
    <row r="174" spans="1:24" x14ac:dyDescent="0.2">
      <c r="A174" s="147">
        <v>2015</v>
      </c>
      <c r="B174" s="147">
        <v>5</v>
      </c>
      <c r="C174" s="161"/>
      <c r="D174" s="161"/>
      <c r="E174" s="166">
        <v>12.063906523553111</v>
      </c>
      <c r="F174" s="256">
        <f>HLOOKUP($A174,'LE rate projection'!$C$17:$K$27,11,0)*100</f>
        <v>11.4102512243312</v>
      </c>
      <c r="G174" s="256">
        <f>HLOOKUP($A174,'LE rate projection'!$C$32:$M$41,10,0)*100</f>
        <v>10.3149120957642</v>
      </c>
      <c r="H174" s="166">
        <v>29.9</v>
      </c>
      <c r="I174" s="148">
        <v>757466.38095238293</v>
      </c>
      <c r="J174" s="181">
        <f>VLOOKUP($A174&amp;$B174,'LE Inputs'!$C$2:$J$505,MATCH('LE UtilityData'!J$1,'LE Inputs'!$C$1:$J$1,0),0)*1000</f>
        <v>1333572.7376408956</v>
      </c>
      <c r="K174" s="181">
        <v>538347.63078032283</v>
      </c>
      <c r="L174" s="157">
        <v>364199.67033051635</v>
      </c>
      <c r="M174" s="306"/>
      <c r="N174" s="150">
        <v>46129.7795837101</v>
      </c>
      <c r="O174" s="181">
        <f>VLOOKUP($A174&amp;$B174,'LE Inputs'!$C$2:$J$525,MATCH('LE UtilityData'!O$1,'LE Inputs'!$C$1:$J$1,0),0)</f>
        <v>48312.169433851028</v>
      </c>
      <c r="P174" s="181" t="e">
        <f>VLOOKUP($A174&amp;$B174,'LE Inputs'!$C$2:$J$505,MATCH('LE UtilityData'!P$1,'LE Inputs'!$C$1:$J$1,0),0)</f>
        <v>#N/A</v>
      </c>
      <c r="Q174" s="307">
        <f t="shared" si="18"/>
        <v>141.76749999999998</v>
      </c>
      <c r="R174" s="307">
        <f t="shared" si="18"/>
        <v>69.552499999999995</v>
      </c>
      <c r="S174" s="161">
        <f t="shared" si="18"/>
        <v>141</v>
      </c>
      <c r="T174" s="161">
        <f t="shared" si="18"/>
        <v>69.349999999999994</v>
      </c>
      <c r="U174" s="159">
        <v>4124</v>
      </c>
      <c r="V174" s="159">
        <v>1696</v>
      </c>
      <c r="W174" s="159" t="e">
        <f t="shared" si="14"/>
        <v>#DIV/0!</v>
      </c>
      <c r="X174" s="159">
        <f t="shared" si="13"/>
        <v>0</v>
      </c>
    </row>
    <row r="175" spans="1:24" x14ac:dyDescent="0.2">
      <c r="A175" s="147">
        <v>2015</v>
      </c>
      <c r="B175" s="147">
        <v>6</v>
      </c>
      <c r="C175" s="161"/>
      <c r="D175" s="161"/>
      <c r="E175" s="166">
        <v>12.063906523553111</v>
      </c>
      <c r="F175" s="256">
        <f>HLOOKUP($A175,'LE rate projection'!$C$17:$K$27,11,0)*100</f>
        <v>11.4102512243312</v>
      </c>
      <c r="G175" s="256">
        <f>HLOOKUP($A175,'LE rate projection'!$C$32:$M$41,10,0)*100</f>
        <v>10.3149120957642</v>
      </c>
      <c r="H175" s="166">
        <v>30.38</v>
      </c>
      <c r="I175" s="148">
        <v>757919.58381907106</v>
      </c>
      <c r="J175" s="181">
        <f>VLOOKUP($A175&amp;$B175,'LE Inputs'!$C$2:$J$505,MATCH('LE UtilityData'!J$1,'LE Inputs'!$C$1:$J$1,0),0)*1000</f>
        <v>1333572.7376408956</v>
      </c>
      <c r="K175" s="181">
        <v>538347.63078032283</v>
      </c>
      <c r="L175" s="157">
        <v>364417.57615286211</v>
      </c>
      <c r="M175" s="306"/>
      <c r="N175" s="150">
        <v>46129.7795837101</v>
      </c>
      <c r="O175" s="181">
        <f>VLOOKUP($A175&amp;$B175,'LE Inputs'!$C$2:$J$525,MATCH('LE UtilityData'!O$1,'LE Inputs'!$C$1:$J$1,0),0)</f>
        <v>48312.169433851028</v>
      </c>
      <c r="P175" s="181" t="e">
        <f>VLOOKUP($A175&amp;$B175,'LE Inputs'!$C$2:$J$505,MATCH('LE UtilityData'!P$1,'LE Inputs'!$C$1:$J$1,0),0)</f>
        <v>#N/A</v>
      </c>
      <c r="Q175" s="307">
        <f t="shared" si="18"/>
        <v>29.807499999999997</v>
      </c>
      <c r="R175" s="307">
        <f t="shared" si="18"/>
        <v>219.05749999999998</v>
      </c>
      <c r="S175" s="161">
        <f t="shared" si="18"/>
        <v>29.5</v>
      </c>
      <c r="T175" s="161">
        <f t="shared" si="18"/>
        <v>224.8</v>
      </c>
      <c r="U175" s="159">
        <v>4124</v>
      </c>
      <c r="V175" s="159">
        <v>1696</v>
      </c>
      <c r="W175" s="159" t="e">
        <f t="shared" si="14"/>
        <v>#DIV/0!</v>
      </c>
      <c r="X175" s="159">
        <f t="shared" si="13"/>
        <v>0</v>
      </c>
    </row>
    <row r="176" spans="1:24" x14ac:dyDescent="0.2">
      <c r="A176" s="147">
        <v>2015</v>
      </c>
      <c r="B176" s="147">
        <v>7</v>
      </c>
      <c r="C176" s="161"/>
      <c r="D176" s="161"/>
      <c r="E176" s="166">
        <v>12.063906523553111</v>
      </c>
      <c r="F176" s="256">
        <f>HLOOKUP($A176,'LE rate projection'!$C$17:$K$27,11,0)*100</f>
        <v>11.4102512243312</v>
      </c>
      <c r="G176" s="256">
        <f>HLOOKUP($A176,'LE rate projection'!$C$32:$M$41,10,0)*100</f>
        <v>10.3149120957642</v>
      </c>
      <c r="H176" s="166">
        <v>30.71</v>
      </c>
      <c r="I176" s="148">
        <v>758374.58381907106</v>
      </c>
      <c r="J176" s="181">
        <f>VLOOKUP($A176&amp;$B176,'LE Inputs'!$C$2:$J$505,MATCH('LE UtilityData'!J$1,'LE Inputs'!$C$1:$J$1,0),0)*1000</f>
        <v>1336681.6431664212</v>
      </c>
      <c r="K176" s="181">
        <v>539844.49205444916</v>
      </c>
      <c r="L176" s="157">
        <v>364636.34606023674</v>
      </c>
      <c r="M176" s="306"/>
      <c r="N176" s="150">
        <v>46516.4630489064</v>
      </c>
      <c r="O176" s="181">
        <f>VLOOKUP($A176&amp;$B176,'LE Inputs'!$C$2:$J$525,MATCH('LE UtilityData'!O$1,'LE Inputs'!$C$1:$J$1,0),0)</f>
        <v>48619.693738288348</v>
      </c>
      <c r="P176" s="181" t="e">
        <f>VLOOKUP($A176&amp;$B176,'LE Inputs'!$C$2:$J$505,MATCH('LE UtilityData'!P$1,'LE Inputs'!$C$1:$J$1,0),0)</f>
        <v>#N/A</v>
      </c>
      <c r="Q176" s="307">
        <f t="shared" si="18"/>
        <v>0.57250000000000001</v>
      </c>
      <c r="R176" s="307">
        <f t="shared" si="18"/>
        <v>397.17500000000001</v>
      </c>
      <c r="S176" s="161">
        <f t="shared" si="18"/>
        <v>0.55000000000000004</v>
      </c>
      <c r="T176" s="161">
        <f t="shared" si="18"/>
        <v>396.4</v>
      </c>
      <c r="U176" s="159">
        <v>4124</v>
      </c>
      <c r="V176" s="159">
        <v>1696</v>
      </c>
      <c r="W176" s="159" t="e">
        <f t="shared" si="14"/>
        <v>#DIV/0!</v>
      </c>
      <c r="X176" s="159">
        <f t="shared" si="13"/>
        <v>0</v>
      </c>
    </row>
    <row r="177" spans="1:24" x14ac:dyDescent="0.2">
      <c r="A177" s="147">
        <v>2015</v>
      </c>
      <c r="B177" s="147">
        <v>8</v>
      </c>
      <c r="C177" s="161"/>
      <c r="D177" s="161"/>
      <c r="E177" s="166">
        <v>12.063906523553111</v>
      </c>
      <c r="F177" s="256">
        <f>HLOOKUP($A177,'LE rate projection'!$C$17:$K$27,11,0)*100</f>
        <v>11.4102512243312</v>
      </c>
      <c r="G177" s="256">
        <f>HLOOKUP($A177,'LE rate projection'!$C$32:$M$41,10,0)*100</f>
        <v>10.3149120957642</v>
      </c>
      <c r="H177" s="166">
        <v>29.52</v>
      </c>
      <c r="I177" s="148">
        <v>758829.58381907106</v>
      </c>
      <c r="J177" s="181">
        <f>VLOOKUP($A177&amp;$B177,'LE Inputs'!$C$2:$J$505,MATCH('LE UtilityData'!J$1,'LE Inputs'!$C$1:$J$1,0),0)*1000</f>
        <v>1336681.6431664212</v>
      </c>
      <c r="K177" s="181">
        <v>539844.49205444916</v>
      </c>
      <c r="L177" s="157">
        <v>364855.11596761137</v>
      </c>
      <c r="M177" s="306"/>
      <c r="N177" s="150">
        <v>46516.4630489064</v>
      </c>
      <c r="O177" s="181">
        <f>VLOOKUP($A177&amp;$B177,'LE Inputs'!$C$2:$J$525,MATCH('LE UtilityData'!O$1,'LE Inputs'!$C$1:$J$1,0),0)</f>
        <v>48619.693738288348</v>
      </c>
      <c r="P177" s="181" t="e">
        <f>VLOOKUP($A177&amp;$B177,'LE Inputs'!$C$2:$J$505,MATCH('LE UtilityData'!P$1,'LE Inputs'!$C$1:$J$1,0),0)</f>
        <v>#N/A</v>
      </c>
      <c r="Q177" s="307">
        <f t="shared" si="18"/>
        <v>0.1</v>
      </c>
      <c r="R177" s="307">
        <f t="shared" si="18"/>
        <v>418.51750000000004</v>
      </c>
      <c r="S177" s="161">
        <f t="shared" si="18"/>
        <v>0.1</v>
      </c>
      <c r="T177" s="161">
        <f t="shared" si="18"/>
        <v>417.05</v>
      </c>
      <c r="U177" s="159">
        <v>4124</v>
      </c>
      <c r="V177" s="159">
        <v>1696</v>
      </c>
      <c r="W177" s="159" t="e">
        <f t="shared" si="14"/>
        <v>#DIV/0!</v>
      </c>
      <c r="X177" s="159">
        <f t="shared" si="13"/>
        <v>0</v>
      </c>
    </row>
    <row r="178" spans="1:24" x14ac:dyDescent="0.2">
      <c r="A178" s="147">
        <v>2015</v>
      </c>
      <c r="B178" s="147">
        <v>9</v>
      </c>
      <c r="C178" s="161"/>
      <c r="D178" s="161"/>
      <c r="E178" s="166">
        <v>12.063906523553111</v>
      </c>
      <c r="F178" s="256">
        <f>HLOOKUP($A178,'LE rate projection'!$C$17:$K$27,11,0)*100</f>
        <v>11.4102512243312</v>
      </c>
      <c r="G178" s="256">
        <f>HLOOKUP($A178,'LE rate projection'!$C$32:$M$41,10,0)*100</f>
        <v>10.3149120957642</v>
      </c>
      <c r="H178" s="166">
        <v>30.48</v>
      </c>
      <c r="I178" s="148">
        <v>759284.58381907106</v>
      </c>
      <c r="J178" s="181">
        <f>VLOOKUP($A178&amp;$B178,'LE Inputs'!$C$2:$J$505,MATCH('LE UtilityData'!J$1,'LE Inputs'!$C$1:$J$1,0),0)*1000</f>
        <v>1336681.6431664212</v>
      </c>
      <c r="K178" s="181">
        <v>539844.49205444916</v>
      </c>
      <c r="L178" s="157">
        <v>365073.88587498607</v>
      </c>
      <c r="M178" s="306"/>
      <c r="N178" s="150">
        <v>46516.4630489064</v>
      </c>
      <c r="O178" s="181">
        <f>VLOOKUP($A178&amp;$B178,'LE Inputs'!$C$2:$J$525,MATCH('LE UtilityData'!O$1,'LE Inputs'!$C$1:$J$1,0),0)</f>
        <v>48619.693738288348</v>
      </c>
      <c r="P178" s="181" t="e">
        <f>VLOOKUP($A178&amp;$B178,'LE Inputs'!$C$2:$J$505,MATCH('LE UtilityData'!P$1,'LE Inputs'!$C$1:$J$1,0),0)</f>
        <v>#N/A</v>
      </c>
      <c r="Q178" s="307">
        <f t="shared" si="18"/>
        <v>5.2125000000000004</v>
      </c>
      <c r="R178" s="307">
        <f t="shared" si="18"/>
        <v>326.05</v>
      </c>
      <c r="S178" s="161">
        <f t="shared" si="18"/>
        <v>5.35</v>
      </c>
      <c r="T178" s="161">
        <f t="shared" si="18"/>
        <v>330.2</v>
      </c>
      <c r="U178" s="159">
        <v>4124</v>
      </c>
      <c r="V178" s="159">
        <v>1696</v>
      </c>
      <c r="W178" s="159" t="e">
        <f t="shared" si="14"/>
        <v>#DIV/0!</v>
      </c>
      <c r="X178" s="159">
        <f t="shared" si="13"/>
        <v>0</v>
      </c>
    </row>
    <row r="179" spans="1:24" x14ac:dyDescent="0.2">
      <c r="A179" s="147">
        <v>2015</v>
      </c>
      <c r="B179" s="147">
        <v>10</v>
      </c>
      <c r="C179" s="161"/>
      <c r="D179" s="161"/>
      <c r="E179" s="166">
        <v>12.063906523553111</v>
      </c>
      <c r="F179" s="256">
        <f>HLOOKUP($A179,'LE rate projection'!$C$17:$K$27,11,0)*100</f>
        <v>11.4102512243312</v>
      </c>
      <c r="G179" s="256">
        <f>HLOOKUP($A179,'LE rate projection'!$C$32:$M$41,10,0)*100</f>
        <v>10.3149120957642</v>
      </c>
      <c r="H179" s="166">
        <v>29.67</v>
      </c>
      <c r="I179" s="148">
        <v>759739.58381907106</v>
      </c>
      <c r="J179" s="181">
        <f>VLOOKUP($A179&amp;$B179,'LE Inputs'!$C$2:$J$505,MATCH('LE UtilityData'!J$1,'LE Inputs'!$C$1:$J$1,0),0)*1000</f>
        <v>1339144.4262070083</v>
      </c>
      <c r="K179" s="181">
        <v>541075.07287670951</v>
      </c>
      <c r="L179" s="157">
        <v>365292.65578236076</v>
      </c>
      <c r="M179" s="306"/>
      <c r="N179" s="150">
        <v>46841.333891639602</v>
      </c>
      <c r="O179" s="181">
        <f>VLOOKUP($A179&amp;$B179,'LE Inputs'!$C$2:$J$525,MATCH('LE UtilityData'!O$1,'LE Inputs'!$C$1:$J$1,0),0)</f>
        <v>48907.000729334111</v>
      </c>
      <c r="P179" s="181" t="e">
        <f>VLOOKUP($A179&amp;$B179,'LE Inputs'!$C$2:$J$505,MATCH('LE UtilityData'!P$1,'LE Inputs'!$C$1:$J$1,0),0)</f>
        <v>#N/A</v>
      </c>
      <c r="Q179" s="307">
        <f t="shared" ref="Q179:T194" si="19">Q167</f>
        <v>99.232500000000002</v>
      </c>
      <c r="R179" s="307">
        <f t="shared" si="19"/>
        <v>97.24</v>
      </c>
      <c r="S179" s="161">
        <f t="shared" si="19"/>
        <v>99.3</v>
      </c>
      <c r="T179" s="161">
        <f t="shared" si="19"/>
        <v>100.05</v>
      </c>
      <c r="U179" s="159">
        <v>4124</v>
      </c>
      <c r="V179" s="159">
        <v>1696</v>
      </c>
      <c r="W179" s="159" t="e">
        <f t="shared" si="14"/>
        <v>#DIV/0!</v>
      </c>
      <c r="X179" s="159">
        <f t="shared" si="13"/>
        <v>0</v>
      </c>
    </row>
    <row r="180" spans="1:24" x14ac:dyDescent="0.2">
      <c r="A180" s="147">
        <v>2015</v>
      </c>
      <c r="B180" s="147">
        <v>11</v>
      </c>
      <c r="C180" s="161"/>
      <c r="D180" s="161"/>
      <c r="E180" s="166">
        <v>12.063906523553111</v>
      </c>
      <c r="F180" s="256">
        <f>HLOOKUP($A180,'LE rate projection'!$C$17:$K$27,11,0)*100</f>
        <v>11.4102512243312</v>
      </c>
      <c r="G180" s="256">
        <f>HLOOKUP($A180,'LE rate projection'!$C$32:$M$41,10,0)*100</f>
        <v>10.3149120957642</v>
      </c>
      <c r="H180" s="166">
        <v>29.76</v>
      </c>
      <c r="I180" s="148">
        <v>760194.58381907106</v>
      </c>
      <c r="J180" s="181">
        <f>VLOOKUP($A180&amp;$B180,'LE Inputs'!$C$2:$J$505,MATCH('LE UtilityData'!J$1,'LE Inputs'!$C$1:$J$1,0),0)*1000</f>
        <v>1339144.4262070083</v>
      </c>
      <c r="K180" s="181">
        <v>541075.07287670951</v>
      </c>
      <c r="L180" s="157">
        <v>365511.42568973545</v>
      </c>
      <c r="M180" s="306"/>
      <c r="N180" s="150">
        <v>46841.333891639602</v>
      </c>
      <c r="O180" s="181">
        <f>VLOOKUP($A180&amp;$B180,'LE Inputs'!$C$2:$J$525,MATCH('LE UtilityData'!O$1,'LE Inputs'!$C$1:$J$1,0),0)</f>
        <v>48907.000729334111</v>
      </c>
      <c r="P180" s="181" t="e">
        <f>VLOOKUP($A180&amp;$B180,'LE Inputs'!$C$2:$J$505,MATCH('LE UtilityData'!P$1,'LE Inputs'!$C$1:$J$1,0),0)</f>
        <v>#N/A</v>
      </c>
      <c r="Q180" s="307">
        <f t="shared" si="19"/>
        <v>353.59499999999997</v>
      </c>
      <c r="R180" s="307">
        <f t="shared" si="19"/>
        <v>11.487500000000001</v>
      </c>
      <c r="S180" s="161">
        <f t="shared" si="19"/>
        <v>352.6</v>
      </c>
      <c r="T180" s="161">
        <f t="shared" si="19"/>
        <v>12.75</v>
      </c>
      <c r="U180" s="159">
        <v>4124</v>
      </c>
      <c r="V180" s="159">
        <v>1696</v>
      </c>
      <c r="W180" s="159" t="e">
        <f t="shared" si="14"/>
        <v>#DIV/0!</v>
      </c>
      <c r="X180" s="159">
        <f t="shared" si="13"/>
        <v>0</v>
      </c>
    </row>
    <row r="181" spans="1:24" x14ac:dyDescent="0.2">
      <c r="A181" s="147">
        <v>2015</v>
      </c>
      <c r="B181" s="147">
        <v>12</v>
      </c>
      <c r="C181" s="161"/>
      <c r="D181" s="161"/>
      <c r="E181" s="166">
        <v>12.063906523553111</v>
      </c>
      <c r="F181" s="256">
        <f>HLOOKUP($A181,'LE rate projection'!$C$17:$K$27,11,0)*100</f>
        <v>11.4102512243312</v>
      </c>
      <c r="G181" s="256">
        <f>HLOOKUP($A181,'LE rate projection'!$C$32:$M$41,10,0)*100</f>
        <v>10.3149120957642</v>
      </c>
      <c r="H181" s="166">
        <v>31.57</v>
      </c>
      <c r="I181" s="148">
        <v>760649.58381907106</v>
      </c>
      <c r="J181" s="181">
        <f>VLOOKUP($A181&amp;$B181,'LE Inputs'!$C$2:$J$505,MATCH('LE UtilityData'!J$1,'LE Inputs'!$C$1:$J$1,0),0)*1000</f>
        <v>1339144.4262070083</v>
      </c>
      <c r="K181" s="181">
        <v>541075.07287670951</v>
      </c>
      <c r="L181" s="157">
        <v>365730.19559711008</v>
      </c>
      <c r="M181" s="306"/>
      <c r="N181" s="150">
        <v>46841.333891639602</v>
      </c>
      <c r="O181" s="181">
        <f>VLOOKUP($A181&amp;$B181,'LE Inputs'!$C$2:$J$525,MATCH('LE UtilityData'!O$1,'LE Inputs'!$C$1:$J$1,0),0)</f>
        <v>48907.000729334111</v>
      </c>
      <c r="P181" s="181" t="e">
        <f>VLOOKUP($A181&amp;$B181,'LE Inputs'!$C$2:$J$505,MATCH('LE UtilityData'!P$1,'LE Inputs'!$C$1:$J$1,0),0)</f>
        <v>#N/A</v>
      </c>
      <c r="Q181" s="307">
        <f t="shared" si="19"/>
        <v>667.68999999999994</v>
      </c>
      <c r="R181" s="307">
        <f t="shared" si="19"/>
        <v>1.1850000000000001</v>
      </c>
      <c r="S181" s="161">
        <f t="shared" si="19"/>
        <v>669.9</v>
      </c>
      <c r="T181" s="161">
        <f t="shared" si="19"/>
        <v>1.05</v>
      </c>
      <c r="U181" s="159">
        <v>4124</v>
      </c>
      <c r="V181" s="159">
        <v>1696</v>
      </c>
      <c r="W181" s="159" t="e">
        <f t="shared" si="14"/>
        <v>#DIV/0!</v>
      </c>
      <c r="X181" s="159">
        <f t="shared" si="13"/>
        <v>0</v>
      </c>
    </row>
    <row r="182" spans="1:24" x14ac:dyDescent="0.2">
      <c r="A182" s="147">
        <v>2016</v>
      </c>
      <c r="B182" s="147">
        <v>1</v>
      </c>
      <c r="C182" s="161"/>
      <c r="D182" s="161"/>
      <c r="E182" s="166">
        <v>12.772604561174989</v>
      </c>
      <c r="F182" s="256">
        <f>HLOOKUP($A182,'LE rate projection'!$C$17:$K$27,11,0)*100</f>
        <v>12.3600856287173</v>
      </c>
      <c r="G182" s="256">
        <f>HLOOKUP($A182,'LE rate projection'!$C$32:$M$41,10,0)*100</f>
        <v>10.9739050105853</v>
      </c>
      <c r="H182" s="166">
        <v>32.520000000000003</v>
      </c>
      <c r="I182" s="148">
        <v>761104.58381907106</v>
      </c>
      <c r="J182" s="181">
        <f>VLOOKUP($A182&amp;$B182,'LE Inputs'!$C$2:$J$505,MATCH('LE UtilityData'!J$1,'LE Inputs'!$C$1:$J$1,0),0)*1000</f>
        <v>1341444.341480464</v>
      </c>
      <c r="K182" s="181">
        <v>542222.01950661617</v>
      </c>
      <c r="L182" s="157">
        <v>365948.96550448478</v>
      </c>
      <c r="M182" s="306"/>
      <c r="N182" s="150">
        <v>47522.908704573303</v>
      </c>
      <c r="O182" s="181">
        <f>VLOOKUP($A182&amp;$B182,'LE Inputs'!$C$2:$J$525,MATCH('LE UtilityData'!O$1,'LE Inputs'!$C$1:$J$1,0),0)</f>
        <v>49378.354045083113</v>
      </c>
      <c r="P182" s="181" t="e">
        <f>VLOOKUP($A182&amp;$B182,'LE Inputs'!$C$2:$J$505,MATCH('LE UtilityData'!P$1,'LE Inputs'!$C$1:$J$1,0),0)</f>
        <v>#N/A</v>
      </c>
      <c r="Q182" s="307">
        <f t="shared" si="19"/>
        <v>927.57249999999999</v>
      </c>
      <c r="R182" s="307">
        <f t="shared" si="19"/>
        <v>0.35</v>
      </c>
      <c r="S182" s="161">
        <f t="shared" si="19"/>
        <v>932.4</v>
      </c>
      <c r="T182" s="161">
        <f t="shared" si="19"/>
        <v>0.35</v>
      </c>
      <c r="U182" s="159">
        <v>4124</v>
      </c>
      <c r="V182" s="159">
        <v>1696</v>
      </c>
      <c r="W182" s="159" t="e">
        <f t="shared" si="14"/>
        <v>#DIV/0!</v>
      </c>
      <c r="X182" s="159">
        <f t="shared" si="13"/>
        <v>0</v>
      </c>
    </row>
    <row r="183" spans="1:24" x14ac:dyDescent="0.2">
      <c r="A183" s="147">
        <v>2016</v>
      </c>
      <c r="B183" s="147">
        <v>2</v>
      </c>
      <c r="C183" s="161"/>
      <c r="D183" s="161"/>
      <c r="E183" s="166">
        <v>12.772604561174989</v>
      </c>
      <c r="F183" s="256">
        <f>HLOOKUP($A183,'LE rate projection'!$C$17:$K$27,11,0)*100</f>
        <v>12.3600856287173</v>
      </c>
      <c r="G183" s="256">
        <f>HLOOKUP($A183,'LE rate projection'!$C$32:$M$41,10,0)*100</f>
        <v>10.9739050105853</v>
      </c>
      <c r="H183" s="166">
        <v>30.14</v>
      </c>
      <c r="I183" s="148">
        <v>761559.58381907106</v>
      </c>
      <c r="J183" s="181">
        <f>VLOOKUP($A183&amp;$B183,'LE Inputs'!$C$2:$J$505,MATCH('LE UtilityData'!J$1,'LE Inputs'!$C$1:$J$1,0),0)*1000</f>
        <v>1341444.341480464</v>
      </c>
      <c r="K183" s="181">
        <v>542222.01950661617</v>
      </c>
      <c r="L183" s="157">
        <v>366167.73541185947</v>
      </c>
      <c r="M183" s="306"/>
      <c r="N183" s="150">
        <v>47522.908704573303</v>
      </c>
      <c r="O183" s="181">
        <f>VLOOKUP($A183&amp;$B183,'LE Inputs'!$C$2:$J$525,MATCH('LE UtilityData'!O$1,'LE Inputs'!$C$1:$J$1,0),0)</f>
        <v>49378.354045083113</v>
      </c>
      <c r="P183" s="181" t="e">
        <f>VLOOKUP($A183&amp;$B183,'LE Inputs'!$C$2:$J$505,MATCH('LE UtilityData'!P$1,'LE Inputs'!$C$1:$J$1,0),0)</f>
        <v>#N/A</v>
      </c>
      <c r="Q183" s="307">
        <f t="shared" si="19"/>
        <v>858.35750000000007</v>
      </c>
      <c r="R183" s="307">
        <f t="shared" si="19"/>
        <v>0.05</v>
      </c>
      <c r="S183" s="161">
        <f t="shared" si="19"/>
        <v>864.1</v>
      </c>
      <c r="T183" s="161">
        <f t="shared" si="19"/>
        <v>0.05</v>
      </c>
      <c r="U183" s="159">
        <v>4124</v>
      </c>
      <c r="V183" s="159">
        <v>1696</v>
      </c>
      <c r="W183" s="159" t="e">
        <f t="shared" si="14"/>
        <v>#DIV/0!</v>
      </c>
      <c r="X183" s="159">
        <f t="shared" si="13"/>
        <v>0</v>
      </c>
    </row>
    <row r="184" spans="1:24" x14ac:dyDescent="0.2">
      <c r="A184" s="147">
        <v>2016</v>
      </c>
      <c r="B184" s="147">
        <v>3</v>
      </c>
      <c r="C184" s="161"/>
      <c r="D184" s="161"/>
      <c r="E184" s="166">
        <v>12.772604561174989</v>
      </c>
      <c r="F184" s="256">
        <f>HLOOKUP($A184,'LE rate projection'!$C$17:$K$27,11,0)*100</f>
        <v>12.3600856287173</v>
      </c>
      <c r="G184" s="256">
        <f>HLOOKUP($A184,'LE rate projection'!$C$32:$M$41,10,0)*100</f>
        <v>10.9739050105853</v>
      </c>
      <c r="H184" s="166">
        <v>30.33</v>
      </c>
      <c r="I184" s="148">
        <v>762014.58381907106</v>
      </c>
      <c r="J184" s="181">
        <f>VLOOKUP($A184&amp;$B184,'LE Inputs'!$C$2:$J$505,MATCH('LE UtilityData'!J$1,'LE Inputs'!$C$1:$J$1,0),0)*1000</f>
        <v>1341444.341480464</v>
      </c>
      <c r="K184" s="181">
        <v>542222.01950661617</v>
      </c>
      <c r="L184" s="157">
        <v>366386.50531923416</v>
      </c>
      <c r="M184" s="306"/>
      <c r="N184" s="150">
        <v>47522.908704573303</v>
      </c>
      <c r="O184" s="181">
        <f>VLOOKUP($A184&amp;$B184,'LE Inputs'!$C$2:$J$525,MATCH('LE UtilityData'!O$1,'LE Inputs'!$C$1:$J$1,0),0)</f>
        <v>49378.354045083113</v>
      </c>
      <c r="P184" s="181" t="e">
        <f>VLOOKUP($A184&amp;$B184,'LE Inputs'!$C$2:$J$505,MATCH('LE UtilityData'!P$1,'LE Inputs'!$C$1:$J$1,0),0)</f>
        <v>#N/A</v>
      </c>
      <c r="Q184" s="307">
        <f t="shared" si="19"/>
        <v>666.12749999999994</v>
      </c>
      <c r="R184" s="307">
        <f t="shared" si="19"/>
        <v>2.0225</v>
      </c>
      <c r="S184" s="161">
        <f t="shared" si="19"/>
        <v>674.3</v>
      </c>
      <c r="T184" s="161">
        <f t="shared" si="19"/>
        <v>1.1499999999999999</v>
      </c>
      <c r="U184" s="159">
        <v>4124</v>
      </c>
      <c r="V184" s="159">
        <v>1696</v>
      </c>
      <c r="W184" s="159" t="e">
        <f t="shared" si="14"/>
        <v>#DIV/0!</v>
      </c>
      <c r="X184" s="159">
        <f t="shared" si="13"/>
        <v>0</v>
      </c>
    </row>
    <row r="185" spans="1:24" x14ac:dyDescent="0.2">
      <c r="A185" s="147">
        <v>2016</v>
      </c>
      <c r="B185" s="147">
        <v>4</v>
      </c>
      <c r="C185" s="161"/>
      <c r="D185" s="161"/>
      <c r="E185" s="166">
        <v>12.772604561174989</v>
      </c>
      <c r="F185" s="256">
        <f>HLOOKUP($A185,'LE rate projection'!$C$17:$K$27,11,0)*100</f>
        <v>12.3600856287173</v>
      </c>
      <c r="G185" s="256">
        <f>HLOOKUP($A185,'LE rate projection'!$C$32:$M$41,10,0)*100</f>
        <v>10.9739050105853</v>
      </c>
      <c r="H185" s="166">
        <v>30.52</v>
      </c>
      <c r="I185" s="148">
        <v>762469.58381907106</v>
      </c>
      <c r="J185" s="181">
        <f>VLOOKUP($A185&amp;$B185,'LE Inputs'!$C$2:$J$505,MATCH('LE UtilityData'!J$1,'LE Inputs'!$C$1:$J$1,0),0)*1000</f>
        <v>1343874.1846014056</v>
      </c>
      <c r="K185" s="181">
        <v>543349.97317783523</v>
      </c>
      <c r="L185" s="157">
        <v>366605.27522660879</v>
      </c>
      <c r="M185" s="306"/>
      <c r="N185" s="150">
        <v>47937.108573920501</v>
      </c>
      <c r="O185" s="181">
        <f>VLOOKUP($A185&amp;$B185,'LE Inputs'!$C$2:$J$525,MATCH('LE UtilityData'!O$1,'LE Inputs'!$C$1:$J$1,0),0)</f>
        <v>49639.207620979076</v>
      </c>
      <c r="P185" s="181" t="e">
        <f>VLOOKUP($A185&amp;$B185,'LE Inputs'!$C$2:$J$505,MATCH('LE UtilityData'!P$1,'LE Inputs'!$C$1:$J$1,0),0)</f>
        <v>#N/A</v>
      </c>
      <c r="Q185" s="307">
        <f t="shared" si="19"/>
        <v>370.83499999999998</v>
      </c>
      <c r="R185" s="307">
        <f t="shared" si="19"/>
        <v>22.565000000000001</v>
      </c>
      <c r="S185" s="161">
        <f t="shared" si="19"/>
        <v>377.1</v>
      </c>
      <c r="T185" s="161">
        <f t="shared" si="19"/>
        <v>20.25</v>
      </c>
      <c r="U185" s="159">
        <v>4124</v>
      </c>
      <c r="V185" s="159">
        <v>1696</v>
      </c>
      <c r="W185" s="159" t="e">
        <f t="shared" si="14"/>
        <v>#DIV/0!</v>
      </c>
      <c r="X185" s="159">
        <f t="shared" si="13"/>
        <v>0</v>
      </c>
    </row>
    <row r="186" spans="1:24" x14ac:dyDescent="0.2">
      <c r="A186" s="147">
        <v>2016</v>
      </c>
      <c r="B186" s="147">
        <v>5</v>
      </c>
      <c r="C186" s="161"/>
      <c r="D186" s="161"/>
      <c r="E186" s="166">
        <v>12.772604561174989</v>
      </c>
      <c r="F186" s="256">
        <f>HLOOKUP($A186,'LE rate projection'!$C$17:$K$27,11,0)*100</f>
        <v>12.3600856287173</v>
      </c>
      <c r="G186" s="256">
        <f>HLOOKUP($A186,'LE rate projection'!$C$32:$M$41,10,0)*100</f>
        <v>10.9739050105853</v>
      </c>
      <c r="H186" s="166">
        <v>29.48</v>
      </c>
      <c r="I186" s="148">
        <v>762924.58381907106</v>
      </c>
      <c r="J186" s="181">
        <f>VLOOKUP($A186&amp;$B186,'LE Inputs'!$C$2:$J$505,MATCH('LE UtilityData'!J$1,'LE Inputs'!$C$1:$J$1,0),0)*1000</f>
        <v>1343874.1846014056</v>
      </c>
      <c r="K186" s="181">
        <v>543349.97317783523</v>
      </c>
      <c r="L186" s="157">
        <v>366824.04513398348</v>
      </c>
      <c r="M186" s="306"/>
      <c r="N186" s="150">
        <v>47937.108573920501</v>
      </c>
      <c r="O186" s="181">
        <f>VLOOKUP($A186&amp;$B186,'LE Inputs'!$C$2:$J$525,MATCH('LE UtilityData'!O$1,'LE Inputs'!$C$1:$J$1,0),0)</f>
        <v>49639.207620979076</v>
      </c>
      <c r="P186" s="181" t="e">
        <f>VLOOKUP($A186&amp;$B186,'LE Inputs'!$C$2:$J$505,MATCH('LE UtilityData'!P$1,'LE Inputs'!$C$1:$J$1,0),0)</f>
        <v>#N/A</v>
      </c>
      <c r="Q186" s="307">
        <f t="shared" si="19"/>
        <v>141.76749999999998</v>
      </c>
      <c r="R186" s="307">
        <f t="shared" si="19"/>
        <v>69.552499999999995</v>
      </c>
      <c r="S186" s="161">
        <f t="shared" si="19"/>
        <v>141</v>
      </c>
      <c r="T186" s="161">
        <f t="shared" si="19"/>
        <v>69.349999999999994</v>
      </c>
      <c r="U186" s="159">
        <v>4124</v>
      </c>
      <c r="V186" s="159">
        <v>1696</v>
      </c>
      <c r="W186" s="159" t="e">
        <f t="shared" si="14"/>
        <v>#DIV/0!</v>
      </c>
      <c r="X186" s="159">
        <f t="shared" si="13"/>
        <v>0</v>
      </c>
    </row>
    <row r="187" spans="1:24" x14ac:dyDescent="0.2">
      <c r="A187" s="147">
        <v>2016</v>
      </c>
      <c r="B187" s="147">
        <v>6</v>
      </c>
      <c r="C187" s="161"/>
      <c r="D187" s="161"/>
      <c r="E187" s="166">
        <v>12.772604561174989</v>
      </c>
      <c r="F187" s="256">
        <f>HLOOKUP($A187,'LE rate projection'!$C$17:$K$27,11,0)*100</f>
        <v>12.3600856287173</v>
      </c>
      <c r="G187" s="256">
        <f>HLOOKUP($A187,'LE rate projection'!$C$32:$M$41,10,0)*100</f>
        <v>10.9739050105853</v>
      </c>
      <c r="H187" s="166">
        <v>30.67</v>
      </c>
      <c r="I187" s="148">
        <v>763373.87983146776</v>
      </c>
      <c r="J187" s="181">
        <f>VLOOKUP($A187&amp;$B187,'LE Inputs'!$C$2:$J$505,MATCH('LE UtilityData'!J$1,'LE Inputs'!$C$1:$J$1,0),0)*1000</f>
        <v>1343874.1846014056</v>
      </c>
      <c r="K187" s="181">
        <v>543349.97317783523</v>
      </c>
      <c r="L187" s="157">
        <v>367040.07249006222</v>
      </c>
      <c r="M187" s="306"/>
      <c r="N187" s="150">
        <v>47937.108573920501</v>
      </c>
      <c r="O187" s="181">
        <f>VLOOKUP($A187&amp;$B187,'LE Inputs'!$C$2:$J$525,MATCH('LE UtilityData'!O$1,'LE Inputs'!$C$1:$J$1,0),0)</f>
        <v>49639.207620979076</v>
      </c>
      <c r="P187" s="181" t="e">
        <f>VLOOKUP($A187&amp;$B187,'LE Inputs'!$C$2:$J$505,MATCH('LE UtilityData'!P$1,'LE Inputs'!$C$1:$J$1,0),0)</f>
        <v>#N/A</v>
      </c>
      <c r="Q187" s="307">
        <f t="shared" si="19"/>
        <v>29.807499999999997</v>
      </c>
      <c r="R187" s="307">
        <f t="shared" si="19"/>
        <v>219.05749999999998</v>
      </c>
      <c r="S187" s="161">
        <f t="shared" si="19"/>
        <v>29.5</v>
      </c>
      <c r="T187" s="161">
        <f t="shared" si="19"/>
        <v>224.8</v>
      </c>
      <c r="U187" s="159">
        <v>4124</v>
      </c>
      <c r="V187" s="159">
        <v>1696</v>
      </c>
      <c r="W187" s="159" t="e">
        <f t="shared" si="14"/>
        <v>#DIV/0!</v>
      </c>
      <c r="X187" s="159">
        <f t="shared" si="13"/>
        <v>0</v>
      </c>
    </row>
    <row r="188" spans="1:24" x14ac:dyDescent="0.2">
      <c r="A188" s="147">
        <v>2016</v>
      </c>
      <c r="B188" s="147">
        <v>7</v>
      </c>
      <c r="C188" s="161"/>
      <c r="D188" s="161"/>
      <c r="E188" s="166">
        <v>12.772604561174989</v>
      </c>
      <c r="F188" s="256">
        <f>HLOOKUP($A188,'LE rate projection'!$C$17:$K$27,11,0)*100</f>
        <v>12.3600856287173</v>
      </c>
      <c r="G188" s="256">
        <f>HLOOKUP($A188,'LE rate projection'!$C$32:$M$41,10,0)*100</f>
        <v>10.9739050105853</v>
      </c>
      <c r="H188" s="166">
        <v>30.71</v>
      </c>
      <c r="I188" s="148">
        <v>763827.87983146776</v>
      </c>
      <c r="J188" s="181">
        <f>VLOOKUP($A188&amp;$B188,'LE Inputs'!$C$2:$J$505,MATCH('LE UtilityData'!J$1,'LE Inputs'!$C$1:$J$1,0),0)*1000</f>
        <v>1346296.8769740344</v>
      </c>
      <c r="K188" s="181">
        <v>544459.60234854009</v>
      </c>
      <c r="L188" s="157">
        <v>367258.36158445367</v>
      </c>
      <c r="M188" s="306"/>
      <c r="N188" s="150">
        <v>48315.343210666797</v>
      </c>
      <c r="O188" s="181">
        <f>VLOOKUP($A188&amp;$B188,'LE Inputs'!$C$2:$J$525,MATCH('LE UtilityData'!O$1,'LE Inputs'!$C$1:$J$1,0),0)</f>
        <v>49844.700069672268</v>
      </c>
      <c r="P188" s="181" t="e">
        <f>VLOOKUP($A188&amp;$B188,'LE Inputs'!$C$2:$J$505,MATCH('LE UtilityData'!P$1,'LE Inputs'!$C$1:$J$1,0),0)</f>
        <v>#N/A</v>
      </c>
      <c r="Q188" s="307">
        <f t="shared" si="19"/>
        <v>0.57250000000000001</v>
      </c>
      <c r="R188" s="307">
        <f t="shared" si="19"/>
        <v>397.17500000000001</v>
      </c>
      <c r="S188" s="161">
        <f t="shared" si="19"/>
        <v>0.55000000000000004</v>
      </c>
      <c r="T188" s="161">
        <f t="shared" si="19"/>
        <v>396.4</v>
      </c>
      <c r="U188" s="159">
        <v>4124</v>
      </c>
      <c r="V188" s="159">
        <v>1696</v>
      </c>
      <c r="W188" s="159" t="e">
        <f t="shared" si="14"/>
        <v>#DIV/0!</v>
      </c>
      <c r="X188" s="159">
        <f t="shared" si="13"/>
        <v>0</v>
      </c>
    </row>
    <row r="189" spans="1:24" x14ac:dyDescent="0.2">
      <c r="A189" s="147">
        <v>2016</v>
      </c>
      <c r="B189" s="147">
        <v>8</v>
      </c>
      <c r="C189" s="161"/>
      <c r="D189" s="161"/>
      <c r="E189" s="166">
        <v>12.772604561174989</v>
      </c>
      <c r="F189" s="256">
        <f>HLOOKUP($A189,'LE rate projection'!$C$17:$K$27,11,0)*100</f>
        <v>12.3600856287173</v>
      </c>
      <c r="G189" s="256">
        <f>HLOOKUP($A189,'LE rate projection'!$C$32:$M$41,10,0)*100</f>
        <v>10.9739050105853</v>
      </c>
      <c r="H189" s="166">
        <v>29.52</v>
      </c>
      <c r="I189" s="148">
        <v>764281.87983146776</v>
      </c>
      <c r="J189" s="181">
        <f>VLOOKUP($A189&amp;$B189,'LE Inputs'!$C$2:$J$505,MATCH('LE UtilityData'!J$1,'LE Inputs'!$C$1:$J$1,0),0)*1000</f>
        <v>1346296.8769740344</v>
      </c>
      <c r="K189" s="181">
        <v>544459.60234854009</v>
      </c>
      <c r="L189" s="157">
        <v>367476.65067884512</v>
      </c>
      <c r="M189" s="306"/>
      <c r="N189" s="150">
        <v>48315.343210666797</v>
      </c>
      <c r="O189" s="181">
        <f>VLOOKUP($A189&amp;$B189,'LE Inputs'!$C$2:$J$525,MATCH('LE UtilityData'!O$1,'LE Inputs'!$C$1:$J$1,0),0)</f>
        <v>49844.700069672268</v>
      </c>
      <c r="P189" s="181" t="e">
        <f>VLOOKUP($A189&amp;$B189,'LE Inputs'!$C$2:$J$505,MATCH('LE UtilityData'!P$1,'LE Inputs'!$C$1:$J$1,0),0)</f>
        <v>#N/A</v>
      </c>
      <c r="Q189" s="307">
        <f t="shared" si="19"/>
        <v>0.1</v>
      </c>
      <c r="R189" s="307">
        <f t="shared" si="19"/>
        <v>418.51750000000004</v>
      </c>
      <c r="S189" s="161">
        <f t="shared" si="19"/>
        <v>0.1</v>
      </c>
      <c r="T189" s="161">
        <f t="shared" si="19"/>
        <v>417.05</v>
      </c>
      <c r="U189" s="159">
        <v>4124</v>
      </c>
      <c r="V189" s="159">
        <v>1696</v>
      </c>
      <c r="W189" s="159" t="e">
        <f t="shared" si="14"/>
        <v>#DIV/0!</v>
      </c>
      <c r="X189" s="159">
        <f t="shared" si="13"/>
        <v>0</v>
      </c>
    </row>
    <row r="190" spans="1:24" x14ac:dyDescent="0.2">
      <c r="A190" s="147">
        <v>2016</v>
      </c>
      <c r="B190" s="147">
        <v>9</v>
      </c>
      <c r="C190" s="161"/>
      <c r="D190" s="161"/>
      <c r="E190" s="166">
        <v>12.772604561174989</v>
      </c>
      <c r="F190" s="256">
        <f>HLOOKUP($A190,'LE rate projection'!$C$17:$K$27,11,0)*100</f>
        <v>12.3600856287173</v>
      </c>
      <c r="G190" s="256">
        <f>HLOOKUP($A190,'LE rate projection'!$C$32:$M$41,10,0)*100</f>
        <v>10.9739050105853</v>
      </c>
      <c r="H190" s="166">
        <v>30.52</v>
      </c>
      <c r="I190" s="148">
        <v>764735.87983146776</v>
      </c>
      <c r="J190" s="181">
        <f>VLOOKUP($A190&amp;$B190,'LE Inputs'!$C$2:$J$505,MATCH('LE UtilityData'!J$1,'LE Inputs'!$C$1:$J$1,0),0)*1000</f>
        <v>1346296.8769740344</v>
      </c>
      <c r="K190" s="181">
        <v>544459.60234854009</v>
      </c>
      <c r="L190" s="157">
        <v>367694.93977323658</v>
      </c>
      <c r="M190" s="306"/>
      <c r="N190" s="150">
        <v>48315.343210666797</v>
      </c>
      <c r="O190" s="181">
        <f>VLOOKUP($A190&amp;$B190,'LE Inputs'!$C$2:$J$525,MATCH('LE UtilityData'!O$1,'LE Inputs'!$C$1:$J$1,0),0)</f>
        <v>49844.700069672268</v>
      </c>
      <c r="P190" s="181" t="e">
        <f>VLOOKUP($A190&amp;$B190,'LE Inputs'!$C$2:$J$505,MATCH('LE UtilityData'!P$1,'LE Inputs'!$C$1:$J$1,0),0)</f>
        <v>#N/A</v>
      </c>
      <c r="Q190" s="307">
        <f t="shared" si="19"/>
        <v>5.2125000000000004</v>
      </c>
      <c r="R190" s="307">
        <f t="shared" si="19"/>
        <v>326.05</v>
      </c>
      <c r="S190" s="161">
        <f t="shared" si="19"/>
        <v>5.35</v>
      </c>
      <c r="T190" s="161">
        <f t="shared" si="19"/>
        <v>330.2</v>
      </c>
      <c r="U190" s="159">
        <v>4124</v>
      </c>
      <c r="V190" s="159">
        <v>1696</v>
      </c>
      <c r="W190" s="159" t="e">
        <f t="shared" si="14"/>
        <v>#DIV/0!</v>
      </c>
      <c r="X190" s="159">
        <f t="shared" si="13"/>
        <v>0</v>
      </c>
    </row>
    <row r="191" spans="1:24" x14ac:dyDescent="0.2">
      <c r="A191" s="147">
        <v>2016</v>
      </c>
      <c r="B191" s="147">
        <v>10</v>
      </c>
      <c r="C191" s="161"/>
      <c r="D191" s="161"/>
      <c r="E191" s="166">
        <v>12.772604561174989</v>
      </c>
      <c r="F191" s="256">
        <f>HLOOKUP($A191,'LE rate projection'!$C$17:$K$27,11,0)*100</f>
        <v>12.3600856287173</v>
      </c>
      <c r="G191" s="256">
        <f>HLOOKUP($A191,'LE rate projection'!$C$32:$M$41,10,0)*100</f>
        <v>10.9739050105853</v>
      </c>
      <c r="H191" s="166">
        <v>29.62</v>
      </c>
      <c r="I191" s="148">
        <v>765189.87983146776</v>
      </c>
      <c r="J191" s="181">
        <f>VLOOKUP($A191&amp;$B191,'LE Inputs'!$C$2:$J$505,MATCH('LE UtilityData'!J$1,'LE Inputs'!$C$1:$J$1,0),0)*1000</f>
        <v>1349810.1770103867</v>
      </c>
      <c r="K191" s="181">
        <v>545999.26713612617</v>
      </c>
      <c r="L191" s="157">
        <v>367913.22886762803</v>
      </c>
      <c r="M191" s="306"/>
      <c r="N191" s="150">
        <v>48711.106097442404</v>
      </c>
      <c r="O191" s="181">
        <f>VLOOKUP($A191&amp;$B191,'LE Inputs'!$C$2:$J$525,MATCH('LE UtilityData'!O$1,'LE Inputs'!$C$1:$J$1,0),0)</f>
        <v>50159.537182867571</v>
      </c>
      <c r="P191" s="181" t="e">
        <f>VLOOKUP($A191&amp;$B191,'LE Inputs'!$C$2:$J$505,MATCH('LE UtilityData'!P$1,'LE Inputs'!$C$1:$J$1,0),0)</f>
        <v>#N/A</v>
      </c>
      <c r="Q191" s="307">
        <f t="shared" si="19"/>
        <v>99.232500000000002</v>
      </c>
      <c r="R191" s="307">
        <f t="shared" si="19"/>
        <v>97.24</v>
      </c>
      <c r="S191" s="161">
        <f t="shared" si="19"/>
        <v>99.3</v>
      </c>
      <c r="T191" s="161">
        <f t="shared" si="19"/>
        <v>100.05</v>
      </c>
      <c r="U191" s="159">
        <v>4124</v>
      </c>
      <c r="V191" s="159">
        <v>1696</v>
      </c>
      <c r="W191" s="159" t="e">
        <f t="shared" si="14"/>
        <v>#DIV/0!</v>
      </c>
      <c r="X191" s="159">
        <f t="shared" si="13"/>
        <v>0</v>
      </c>
    </row>
    <row r="192" spans="1:24" x14ac:dyDescent="0.2">
      <c r="A192" s="147">
        <v>2016</v>
      </c>
      <c r="B192" s="147">
        <v>11</v>
      </c>
      <c r="C192" s="161"/>
      <c r="D192" s="161"/>
      <c r="E192" s="166">
        <v>12.772604561174989</v>
      </c>
      <c r="F192" s="256">
        <f>HLOOKUP($A192,'LE rate projection'!$C$17:$K$27,11,0)*100</f>
        <v>12.3600856287173</v>
      </c>
      <c r="G192" s="256">
        <f>HLOOKUP($A192,'LE rate projection'!$C$32:$M$41,10,0)*100</f>
        <v>10.9739050105853</v>
      </c>
      <c r="H192" s="166">
        <v>29.95</v>
      </c>
      <c r="I192" s="148">
        <v>765643.87983146776</v>
      </c>
      <c r="J192" s="181">
        <f>VLOOKUP($A192&amp;$B192,'LE Inputs'!$C$2:$J$505,MATCH('LE UtilityData'!J$1,'LE Inputs'!$C$1:$J$1,0),0)*1000</f>
        <v>1349810.1770103867</v>
      </c>
      <c r="K192" s="181">
        <v>545999.26713612617</v>
      </c>
      <c r="L192" s="157">
        <v>368131.51796201948</v>
      </c>
      <c r="M192" s="306"/>
      <c r="N192" s="150">
        <v>48711.106097442404</v>
      </c>
      <c r="O192" s="181">
        <f>VLOOKUP($A192&amp;$B192,'LE Inputs'!$C$2:$J$525,MATCH('LE UtilityData'!O$1,'LE Inputs'!$C$1:$J$1,0),0)</f>
        <v>50159.537182867571</v>
      </c>
      <c r="P192" s="181" t="e">
        <f>VLOOKUP($A192&amp;$B192,'LE Inputs'!$C$2:$J$505,MATCH('LE UtilityData'!P$1,'LE Inputs'!$C$1:$J$1,0),0)</f>
        <v>#N/A</v>
      </c>
      <c r="Q192" s="307">
        <f t="shared" si="19"/>
        <v>353.59499999999997</v>
      </c>
      <c r="R192" s="307">
        <f t="shared" si="19"/>
        <v>11.487500000000001</v>
      </c>
      <c r="S192" s="161">
        <f t="shared" si="19"/>
        <v>352.6</v>
      </c>
      <c r="T192" s="161">
        <f t="shared" si="19"/>
        <v>12.75</v>
      </c>
      <c r="U192" s="159">
        <v>4124</v>
      </c>
      <c r="V192" s="159">
        <v>1696</v>
      </c>
      <c r="W192" s="159" t="e">
        <f t="shared" si="14"/>
        <v>#DIV/0!</v>
      </c>
      <c r="X192" s="159">
        <f t="shared" si="13"/>
        <v>0</v>
      </c>
    </row>
    <row r="193" spans="1:24" x14ac:dyDescent="0.2">
      <c r="A193" s="147">
        <v>2016</v>
      </c>
      <c r="B193" s="147">
        <v>12</v>
      </c>
      <c r="C193" s="161"/>
      <c r="D193" s="161"/>
      <c r="E193" s="166">
        <v>12.772604561174989</v>
      </c>
      <c r="F193" s="256">
        <f>HLOOKUP($A193,'LE rate projection'!$C$17:$K$27,11,0)*100</f>
        <v>12.3600856287173</v>
      </c>
      <c r="G193" s="256">
        <f>HLOOKUP($A193,'LE rate projection'!$C$32:$M$41,10,0)*100</f>
        <v>10.9739050105853</v>
      </c>
      <c r="H193" s="166">
        <v>31.24</v>
      </c>
      <c r="I193" s="148">
        <v>766097.87983146776</v>
      </c>
      <c r="J193" s="181">
        <f>VLOOKUP($A193&amp;$B193,'LE Inputs'!$C$2:$J$505,MATCH('LE UtilityData'!J$1,'LE Inputs'!$C$1:$J$1,0),0)*1000</f>
        <v>1349810.1770103867</v>
      </c>
      <c r="K193" s="181">
        <v>545999.26713612617</v>
      </c>
      <c r="L193" s="157">
        <v>368349.80705641094</v>
      </c>
      <c r="M193" s="306"/>
      <c r="N193" s="150">
        <v>48711.106097442404</v>
      </c>
      <c r="O193" s="181">
        <f>VLOOKUP($A193&amp;$B193,'LE Inputs'!$C$2:$J$525,MATCH('LE UtilityData'!O$1,'LE Inputs'!$C$1:$J$1,0),0)</f>
        <v>50159.537182867571</v>
      </c>
      <c r="P193" s="181" t="e">
        <f>VLOOKUP($A193&amp;$B193,'LE Inputs'!$C$2:$J$505,MATCH('LE UtilityData'!P$1,'LE Inputs'!$C$1:$J$1,0),0)</f>
        <v>#N/A</v>
      </c>
      <c r="Q193" s="307">
        <f t="shared" si="19"/>
        <v>667.68999999999994</v>
      </c>
      <c r="R193" s="307">
        <f t="shared" si="19"/>
        <v>1.1850000000000001</v>
      </c>
      <c r="S193" s="161">
        <f t="shared" si="19"/>
        <v>669.9</v>
      </c>
      <c r="T193" s="161">
        <f t="shared" si="19"/>
        <v>1.05</v>
      </c>
      <c r="U193" s="159">
        <v>4124</v>
      </c>
      <c r="V193" s="159">
        <v>1696</v>
      </c>
      <c r="W193" s="159" t="e">
        <f t="shared" si="14"/>
        <v>#DIV/0!</v>
      </c>
      <c r="X193" s="159">
        <f t="shared" si="13"/>
        <v>0</v>
      </c>
    </row>
    <row r="194" spans="1:24" x14ac:dyDescent="0.2">
      <c r="A194" s="147">
        <v>2017</v>
      </c>
      <c r="B194" s="147">
        <v>1</v>
      </c>
      <c r="C194" s="161"/>
      <c r="D194" s="161"/>
      <c r="E194" s="166">
        <v>13.276189156742458</v>
      </c>
      <c r="F194" s="258">
        <f>F182*(1+0.02)</f>
        <v>12.607287341291647</v>
      </c>
      <c r="G194" s="258">
        <f>G182*(1+0.02)</f>
        <v>11.193383110797006</v>
      </c>
      <c r="H194" s="166">
        <v>32.67</v>
      </c>
      <c r="I194" s="148">
        <v>766551.87983146776</v>
      </c>
      <c r="J194" s="181">
        <f>VLOOKUP($A194&amp;$B194,'LE Inputs'!$C$2:$J$505,MATCH('LE UtilityData'!J$1,'LE Inputs'!$C$1:$J$1,0),0)*1000</f>
        <v>1352253.572754198</v>
      </c>
      <c r="K194" s="181">
        <v>546703.79626038112</v>
      </c>
      <c r="L194" s="157">
        <v>368568.09615080233</v>
      </c>
      <c r="M194" s="306"/>
      <c r="N194" s="150">
        <v>49202.100919641198</v>
      </c>
      <c r="O194" s="181">
        <f>VLOOKUP($A194&amp;$B194,'LE Inputs'!$C$2:$J$525,MATCH('LE UtilityData'!O$1,'LE Inputs'!$C$1:$J$1,0),0)</f>
        <v>50368.026204928363</v>
      </c>
      <c r="P194" s="181" t="e">
        <f>VLOOKUP($A194&amp;$B194,'LE Inputs'!$C$2:$J$505,MATCH('LE UtilityData'!P$1,'LE Inputs'!$C$1:$J$1,0),0)</f>
        <v>#N/A</v>
      </c>
      <c r="Q194" s="307">
        <f t="shared" si="19"/>
        <v>927.57249999999999</v>
      </c>
      <c r="R194" s="307">
        <f t="shared" si="19"/>
        <v>0.35</v>
      </c>
      <c r="S194" s="161">
        <f t="shared" si="19"/>
        <v>932.4</v>
      </c>
      <c r="T194" s="161">
        <f t="shared" si="19"/>
        <v>0.35</v>
      </c>
      <c r="U194" s="159">
        <v>4124</v>
      </c>
      <c r="V194" s="159">
        <v>1696</v>
      </c>
      <c r="W194" s="159" t="e">
        <f t="shared" si="14"/>
        <v>#DIV/0!</v>
      </c>
      <c r="X194" s="159">
        <f t="shared" ref="X194:X257" si="20">C194/L194*1000</f>
        <v>0</v>
      </c>
    </row>
    <row r="195" spans="1:24" x14ac:dyDescent="0.2">
      <c r="A195" s="147">
        <v>2017</v>
      </c>
      <c r="B195" s="147">
        <v>2</v>
      </c>
      <c r="C195" s="161"/>
      <c r="D195" s="161"/>
      <c r="E195" s="166">
        <v>13.276189156742458</v>
      </c>
      <c r="F195" s="258">
        <f t="shared" ref="F195:G210" si="21">F183*(1+0.02)</f>
        <v>12.607287341291647</v>
      </c>
      <c r="G195" s="258">
        <f t="shared" si="21"/>
        <v>11.193383110797006</v>
      </c>
      <c r="H195" s="166">
        <v>29.86</v>
      </c>
      <c r="I195" s="148">
        <v>767005.87983146776</v>
      </c>
      <c r="J195" s="181">
        <f>VLOOKUP($A195&amp;$B195,'LE Inputs'!$C$2:$J$505,MATCH('LE UtilityData'!J$1,'LE Inputs'!$C$1:$J$1,0),0)*1000</f>
        <v>1352253.572754198</v>
      </c>
      <c r="K195" s="181">
        <v>546703.79626038112</v>
      </c>
      <c r="L195" s="157">
        <v>368786.38524519379</v>
      </c>
      <c r="M195" s="306"/>
      <c r="N195" s="150">
        <v>49202.100919641198</v>
      </c>
      <c r="O195" s="181">
        <f>VLOOKUP($A195&amp;$B195,'LE Inputs'!$C$2:$J$525,MATCH('LE UtilityData'!O$1,'LE Inputs'!$C$1:$J$1,0),0)</f>
        <v>50368.026204928363</v>
      </c>
      <c r="P195" s="181" t="e">
        <f>VLOOKUP($A195&amp;$B195,'LE Inputs'!$C$2:$J$505,MATCH('LE UtilityData'!P$1,'LE Inputs'!$C$1:$J$1,0),0)</f>
        <v>#N/A</v>
      </c>
      <c r="Q195" s="307">
        <f t="shared" ref="Q195:T210" si="22">Q183</f>
        <v>858.35750000000007</v>
      </c>
      <c r="R195" s="307">
        <f t="shared" si="22"/>
        <v>0.05</v>
      </c>
      <c r="S195" s="161">
        <f t="shared" si="22"/>
        <v>864.1</v>
      </c>
      <c r="T195" s="161">
        <f t="shared" si="22"/>
        <v>0.05</v>
      </c>
      <c r="U195" s="159">
        <v>4124</v>
      </c>
      <c r="V195" s="159">
        <v>1696</v>
      </c>
      <c r="W195" s="159" t="e">
        <f t="shared" ref="W195:W258" si="23">D195/M195*1000</f>
        <v>#DIV/0!</v>
      </c>
      <c r="X195" s="159">
        <f t="shared" si="20"/>
        <v>0</v>
      </c>
    </row>
    <row r="196" spans="1:24" x14ac:dyDescent="0.2">
      <c r="A196" s="147">
        <v>2017</v>
      </c>
      <c r="B196" s="147">
        <v>3</v>
      </c>
      <c r="C196" s="161"/>
      <c r="D196" s="161"/>
      <c r="E196" s="166">
        <v>13.276189156742458</v>
      </c>
      <c r="F196" s="258">
        <f t="shared" si="21"/>
        <v>12.607287341291647</v>
      </c>
      <c r="G196" s="258">
        <f t="shared" si="21"/>
        <v>11.193383110797006</v>
      </c>
      <c r="H196" s="166">
        <v>30.29</v>
      </c>
      <c r="I196" s="148">
        <v>767459.87983146776</v>
      </c>
      <c r="J196" s="181">
        <f>VLOOKUP($A196&amp;$B196,'LE Inputs'!$C$2:$J$505,MATCH('LE UtilityData'!J$1,'LE Inputs'!$C$1:$J$1,0),0)*1000</f>
        <v>1352253.572754198</v>
      </c>
      <c r="K196" s="181">
        <v>546703.79626038112</v>
      </c>
      <c r="L196" s="157">
        <v>369004.67433958524</v>
      </c>
      <c r="M196" s="306"/>
      <c r="N196" s="150">
        <v>49202.100919641198</v>
      </c>
      <c r="O196" s="181">
        <f>VLOOKUP($A196&amp;$B196,'LE Inputs'!$C$2:$J$525,MATCH('LE UtilityData'!O$1,'LE Inputs'!$C$1:$J$1,0),0)</f>
        <v>50368.026204928363</v>
      </c>
      <c r="P196" s="181" t="e">
        <f>VLOOKUP($A196&amp;$B196,'LE Inputs'!$C$2:$J$505,MATCH('LE UtilityData'!P$1,'LE Inputs'!$C$1:$J$1,0),0)</f>
        <v>#N/A</v>
      </c>
      <c r="Q196" s="307">
        <f t="shared" si="22"/>
        <v>666.12749999999994</v>
      </c>
      <c r="R196" s="307">
        <f t="shared" si="22"/>
        <v>2.0225</v>
      </c>
      <c r="S196" s="161">
        <f t="shared" si="22"/>
        <v>674.3</v>
      </c>
      <c r="T196" s="161">
        <f t="shared" si="22"/>
        <v>1.1499999999999999</v>
      </c>
      <c r="U196" s="159">
        <v>4124</v>
      </c>
      <c r="V196" s="159">
        <v>1696</v>
      </c>
      <c r="W196" s="159" t="e">
        <f t="shared" si="23"/>
        <v>#DIV/0!</v>
      </c>
      <c r="X196" s="159">
        <f t="shared" si="20"/>
        <v>0</v>
      </c>
    </row>
    <row r="197" spans="1:24" x14ac:dyDescent="0.2">
      <c r="A197" s="147">
        <v>2017</v>
      </c>
      <c r="B197" s="147">
        <v>4</v>
      </c>
      <c r="C197" s="161"/>
      <c r="D197" s="161"/>
      <c r="E197" s="166">
        <v>13.276189156742458</v>
      </c>
      <c r="F197" s="258">
        <f t="shared" si="21"/>
        <v>12.607287341291647</v>
      </c>
      <c r="G197" s="258">
        <f t="shared" si="21"/>
        <v>11.193383110797006</v>
      </c>
      <c r="H197" s="166">
        <v>30.33</v>
      </c>
      <c r="I197" s="148">
        <v>767913.87983146776</v>
      </c>
      <c r="J197" s="181">
        <f>VLOOKUP($A197&amp;$B197,'LE Inputs'!$C$2:$J$505,MATCH('LE UtilityData'!J$1,'LE Inputs'!$C$1:$J$1,0),0)*1000</f>
        <v>1355624.7603896083</v>
      </c>
      <c r="K197" s="181">
        <v>547821.18724552996</v>
      </c>
      <c r="L197" s="157">
        <v>369222.96343397663</v>
      </c>
      <c r="M197" s="306"/>
      <c r="N197" s="150">
        <v>49602.185992844999</v>
      </c>
      <c r="O197" s="181">
        <f>VLOOKUP($A197&amp;$B197,'LE Inputs'!$C$2:$J$525,MATCH('LE UtilityData'!O$1,'LE Inputs'!$C$1:$J$1,0),0)</f>
        <v>50719.748787748103</v>
      </c>
      <c r="P197" s="181" t="e">
        <f>VLOOKUP($A197&amp;$B197,'LE Inputs'!$C$2:$J$505,MATCH('LE UtilityData'!P$1,'LE Inputs'!$C$1:$J$1,0),0)</f>
        <v>#N/A</v>
      </c>
      <c r="Q197" s="307">
        <f t="shared" si="22"/>
        <v>370.83499999999998</v>
      </c>
      <c r="R197" s="307">
        <f t="shared" si="22"/>
        <v>22.565000000000001</v>
      </c>
      <c r="S197" s="161">
        <f t="shared" si="22"/>
        <v>377.1</v>
      </c>
      <c r="T197" s="161">
        <f t="shared" si="22"/>
        <v>20.25</v>
      </c>
      <c r="U197" s="159">
        <v>4124</v>
      </c>
      <c r="V197" s="159">
        <v>1696</v>
      </c>
      <c r="W197" s="159" t="e">
        <f t="shared" si="23"/>
        <v>#DIV/0!</v>
      </c>
      <c r="X197" s="159">
        <f t="shared" si="20"/>
        <v>0</v>
      </c>
    </row>
    <row r="198" spans="1:24" x14ac:dyDescent="0.2">
      <c r="A198" s="147">
        <v>2017</v>
      </c>
      <c r="B198" s="147">
        <v>5</v>
      </c>
      <c r="C198" s="161"/>
      <c r="D198" s="161"/>
      <c r="E198" s="166">
        <v>13.276189156742458</v>
      </c>
      <c r="F198" s="258">
        <f t="shared" si="21"/>
        <v>12.607287341291647</v>
      </c>
      <c r="G198" s="258">
        <f t="shared" si="21"/>
        <v>11.193383110797006</v>
      </c>
      <c r="H198" s="166">
        <v>30.05</v>
      </c>
      <c r="I198" s="148">
        <v>768367.87983146776</v>
      </c>
      <c r="J198" s="181">
        <f>VLOOKUP($A198&amp;$B198,'LE Inputs'!$C$2:$J$505,MATCH('LE UtilityData'!J$1,'LE Inputs'!$C$1:$J$1,0),0)*1000</f>
        <v>1355624.7603896083</v>
      </c>
      <c r="K198" s="181">
        <v>547821.18724552996</v>
      </c>
      <c r="L198" s="157">
        <v>369441.25252836803</v>
      </c>
      <c r="M198" s="306"/>
      <c r="N198" s="150">
        <v>49602.185992844999</v>
      </c>
      <c r="O198" s="181">
        <f>VLOOKUP($A198&amp;$B198,'LE Inputs'!$C$2:$J$525,MATCH('LE UtilityData'!O$1,'LE Inputs'!$C$1:$J$1,0),0)</f>
        <v>50719.748787748103</v>
      </c>
      <c r="P198" s="181" t="e">
        <f>VLOOKUP($A198&amp;$B198,'LE Inputs'!$C$2:$J$505,MATCH('LE UtilityData'!P$1,'LE Inputs'!$C$1:$J$1,0),0)</f>
        <v>#N/A</v>
      </c>
      <c r="Q198" s="307">
        <f t="shared" si="22"/>
        <v>141.76749999999998</v>
      </c>
      <c r="R198" s="307">
        <f t="shared" si="22"/>
        <v>69.552499999999995</v>
      </c>
      <c r="S198" s="161">
        <f t="shared" si="22"/>
        <v>141</v>
      </c>
      <c r="T198" s="161">
        <f t="shared" si="22"/>
        <v>69.349999999999994</v>
      </c>
      <c r="U198" s="159">
        <v>4124</v>
      </c>
      <c r="V198" s="159">
        <v>1696</v>
      </c>
      <c r="W198" s="159" t="e">
        <f t="shared" si="23"/>
        <v>#DIV/0!</v>
      </c>
      <c r="X198" s="159">
        <f t="shared" si="20"/>
        <v>0</v>
      </c>
    </row>
    <row r="199" spans="1:24" x14ac:dyDescent="0.2">
      <c r="A199" s="147">
        <v>2017</v>
      </c>
      <c r="B199" s="147">
        <v>6</v>
      </c>
      <c r="C199" s="161"/>
      <c r="D199" s="161"/>
      <c r="E199" s="166">
        <v>13.276189156742458</v>
      </c>
      <c r="F199" s="258">
        <f t="shared" si="21"/>
        <v>12.607287341291647</v>
      </c>
      <c r="G199" s="258">
        <f t="shared" si="21"/>
        <v>11.193383110797006</v>
      </c>
      <c r="H199" s="166">
        <v>30.62</v>
      </c>
      <c r="I199" s="148">
        <v>768817.97652266792</v>
      </c>
      <c r="J199" s="181">
        <f>VLOOKUP($A199&amp;$B199,'LE Inputs'!$C$2:$J$505,MATCH('LE UtilityData'!J$1,'LE Inputs'!$C$1:$J$1,0),0)*1000</f>
        <v>1355624.7603896083</v>
      </c>
      <c r="K199" s="181">
        <v>547821.18724552996</v>
      </c>
      <c r="L199" s="157">
        <v>369657.66486121085</v>
      </c>
      <c r="M199" s="306"/>
      <c r="N199" s="150">
        <v>49602.185992844999</v>
      </c>
      <c r="O199" s="181">
        <f>VLOOKUP($A199&amp;$B199,'LE Inputs'!$C$2:$J$525,MATCH('LE UtilityData'!O$1,'LE Inputs'!$C$1:$J$1,0),0)</f>
        <v>50719.748787748103</v>
      </c>
      <c r="P199" s="181" t="e">
        <f>VLOOKUP($A199&amp;$B199,'LE Inputs'!$C$2:$J$505,MATCH('LE UtilityData'!P$1,'LE Inputs'!$C$1:$J$1,0),0)</f>
        <v>#N/A</v>
      </c>
      <c r="Q199" s="307">
        <f t="shared" si="22"/>
        <v>29.807499999999997</v>
      </c>
      <c r="R199" s="307">
        <f t="shared" si="22"/>
        <v>219.05749999999998</v>
      </c>
      <c r="S199" s="161">
        <f t="shared" si="22"/>
        <v>29.5</v>
      </c>
      <c r="T199" s="161">
        <f t="shared" si="22"/>
        <v>224.8</v>
      </c>
      <c r="U199" s="159">
        <v>4124</v>
      </c>
      <c r="V199" s="159">
        <v>1696</v>
      </c>
      <c r="W199" s="159" t="e">
        <f t="shared" si="23"/>
        <v>#DIV/0!</v>
      </c>
      <c r="X199" s="159">
        <f t="shared" si="20"/>
        <v>0</v>
      </c>
    </row>
    <row r="200" spans="1:24" x14ac:dyDescent="0.2">
      <c r="A200" s="147">
        <v>2017</v>
      </c>
      <c r="B200" s="147">
        <v>7</v>
      </c>
      <c r="C200" s="161"/>
      <c r="D200" s="161"/>
      <c r="E200" s="166">
        <v>13.276189156742458</v>
      </c>
      <c r="F200" s="258">
        <f t="shared" si="21"/>
        <v>12.607287341291647</v>
      </c>
      <c r="G200" s="258">
        <f t="shared" si="21"/>
        <v>11.193383110797006</v>
      </c>
      <c r="H200" s="166">
        <v>30.81</v>
      </c>
      <c r="I200" s="148">
        <v>769270.97652266792</v>
      </c>
      <c r="J200" s="181">
        <f>VLOOKUP($A200&amp;$B200,'LE Inputs'!$C$2:$J$505,MATCH('LE UtilityData'!J$1,'LE Inputs'!$C$1:$J$1,0),0)*1000</f>
        <v>1358018.5639300745</v>
      </c>
      <c r="K200" s="181">
        <v>548512.64204130636</v>
      </c>
      <c r="L200" s="157">
        <v>369875.47314261901</v>
      </c>
      <c r="M200" s="306"/>
      <c r="N200" s="150">
        <v>49971.507759908702</v>
      </c>
      <c r="O200" s="181">
        <f>VLOOKUP($A200&amp;$B200,'LE Inputs'!$C$2:$J$525,MATCH('LE UtilityData'!O$1,'LE Inputs'!$C$1:$J$1,0),0)</f>
        <v>51038.685726348667</v>
      </c>
      <c r="P200" s="181" t="e">
        <f>VLOOKUP($A200&amp;$B200,'LE Inputs'!$C$2:$J$505,MATCH('LE UtilityData'!P$1,'LE Inputs'!$C$1:$J$1,0),0)</f>
        <v>#N/A</v>
      </c>
      <c r="Q200" s="307">
        <f t="shared" si="22"/>
        <v>0.57250000000000001</v>
      </c>
      <c r="R200" s="307">
        <f t="shared" si="22"/>
        <v>397.17500000000001</v>
      </c>
      <c r="S200" s="161">
        <f t="shared" si="22"/>
        <v>0.55000000000000004</v>
      </c>
      <c r="T200" s="161">
        <f t="shared" si="22"/>
        <v>396.4</v>
      </c>
      <c r="U200" s="159">
        <v>4124</v>
      </c>
      <c r="V200" s="159">
        <v>1696</v>
      </c>
      <c r="W200" s="159" t="e">
        <f t="shared" si="23"/>
        <v>#DIV/0!</v>
      </c>
      <c r="X200" s="159">
        <f t="shared" si="20"/>
        <v>0</v>
      </c>
    </row>
    <row r="201" spans="1:24" x14ac:dyDescent="0.2">
      <c r="A201" s="147">
        <v>2017</v>
      </c>
      <c r="B201" s="147">
        <v>8</v>
      </c>
      <c r="C201" s="161"/>
      <c r="D201" s="161"/>
      <c r="E201" s="166">
        <v>13.276189156742458</v>
      </c>
      <c r="F201" s="258">
        <f t="shared" si="21"/>
        <v>12.607287341291647</v>
      </c>
      <c r="G201" s="258">
        <f t="shared" si="21"/>
        <v>11.193383110797006</v>
      </c>
      <c r="H201" s="166">
        <v>29.43</v>
      </c>
      <c r="I201" s="148">
        <v>769723.97652266792</v>
      </c>
      <c r="J201" s="181">
        <f>VLOOKUP($A201&amp;$B201,'LE Inputs'!$C$2:$J$505,MATCH('LE UtilityData'!J$1,'LE Inputs'!$C$1:$J$1,0),0)*1000</f>
        <v>1358018.5639300745</v>
      </c>
      <c r="K201" s="181">
        <v>548512.64204130636</v>
      </c>
      <c r="L201" s="157">
        <v>370093.28142402717</v>
      </c>
      <c r="M201" s="306"/>
      <c r="N201" s="150">
        <v>49971.507759908702</v>
      </c>
      <c r="O201" s="181">
        <f>VLOOKUP($A201&amp;$B201,'LE Inputs'!$C$2:$J$525,MATCH('LE UtilityData'!O$1,'LE Inputs'!$C$1:$J$1,0),0)</f>
        <v>51038.685726348667</v>
      </c>
      <c r="P201" s="181" t="e">
        <f>VLOOKUP($A201&amp;$B201,'LE Inputs'!$C$2:$J$505,MATCH('LE UtilityData'!P$1,'LE Inputs'!$C$1:$J$1,0),0)</f>
        <v>#N/A</v>
      </c>
      <c r="Q201" s="307">
        <f t="shared" si="22"/>
        <v>0.1</v>
      </c>
      <c r="R201" s="307">
        <f t="shared" si="22"/>
        <v>418.51750000000004</v>
      </c>
      <c r="S201" s="161">
        <f t="shared" si="22"/>
        <v>0.1</v>
      </c>
      <c r="T201" s="161">
        <f t="shared" si="22"/>
        <v>417.05</v>
      </c>
      <c r="U201" s="159">
        <v>4124</v>
      </c>
      <c r="V201" s="159">
        <v>1696</v>
      </c>
      <c r="W201" s="159" t="e">
        <f t="shared" si="23"/>
        <v>#DIV/0!</v>
      </c>
      <c r="X201" s="159">
        <f t="shared" si="20"/>
        <v>0</v>
      </c>
    </row>
    <row r="202" spans="1:24" x14ac:dyDescent="0.2">
      <c r="A202" s="147">
        <v>2017</v>
      </c>
      <c r="B202" s="147">
        <v>9</v>
      </c>
      <c r="C202" s="161"/>
      <c r="D202" s="161"/>
      <c r="E202" s="166">
        <v>13.276189156742458</v>
      </c>
      <c r="F202" s="258">
        <f t="shared" si="21"/>
        <v>12.607287341291647</v>
      </c>
      <c r="G202" s="258">
        <f t="shared" si="21"/>
        <v>11.193383110797006</v>
      </c>
      <c r="H202" s="166">
        <v>30.57</v>
      </c>
      <c r="I202" s="148">
        <v>770176.97652266792</v>
      </c>
      <c r="J202" s="181">
        <f>VLOOKUP($A202&amp;$B202,'LE Inputs'!$C$2:$J$505,MATCH('LE UtilityData'!J$1,'LE Inputs'!$C$1:$J$1,0),0)*1000</f>
        <v>1358018.5639300745</v>
      </c>
      <c r="K202" s="181">
        <v>548512.64204130636</v>
      </c>
      <c r="L202" s="157">
        <v>370311.08970543538</v>
      </c>
      <c r="M202" s="306"/>
      <c r="N202" s="150">
        <v>49971.507759908702</v>
      </c>
      <c r="O202" s="181">
        <f>VLOOKUP($A202&amp;$B202,'LE Inputs'!$C$2:$J$525,MATCH('LE UtilityData'!O$1,'LE Inputs'!$C$1:$J$1,0),0)</f>
        <v>51038.685726348667</v>
      </c>
      <c r="P202" s="181" t="e">
        <f>VLOOKUP($A202&amp;$B202,'LE Inputs'!$C$2:$J$505,MATCH('LE UtilityData'!P$1,'LE Inputs'!$C$1:$J$1,0),0)</f>
        <v>#N/A</v>
      </c>
      <c r="Q202" s="307">
        <f t="shared" si="22"/>
        <v>5.2125000000000004</v>
      </c>
      <c r="R202" s="307">
        <f t="shared" si="22"/>
        <v>326.05</v>
      </c>
      <c r="S202" s="161">
        <f t="shared" si="22"/>
        <v>5.35</v>
      </c>
      <c r="T202" s="161">
        <f t="shared" si="22"/>
        <v>330.2</v>
      </c>
      <c r="U202" s="159">
        <v>4124</v>
      </c>
      <c r="V202" s="159">
        <v>1696</v>
      </c>
      <c r="W202" s="159" t="e">
        <f t="shared" si="23"/>
        <v>#DIV/0!</v>
      </c>
      <c r="X202" s="159">
        <f t="shared" si="20"/>
        <v>0</v>
      </c>
    </row>
    <row r="203" spans="1:24" x14ac:dyDescent="0.2">
      <c r="A203" s="147">
        <v>2017</v>
      </c>
      <c r="B203" s="147">
        <v>10</v>
      </c>
      <c r="C203" s="161"/>
      <c r="D203" s="161"/>
      <c r="E203" s="166">
        <v>13.276189156742458</v>
      </c>
      <c r="F203" s="258">
        <f t="shared" si="21"/>
        <v>12.607287341291647</v>
      </c>
      <c r="G203" s="258">
        <f t="shared" si="21"/>
        <v>11.193383110797006</v>
      </c>
      <c r="H203" s="166">
        <v>29.67</v>
      </c>
      <c r="I203" s="148">
        <v>770629.97652266792</v>
      </c>
      <c r="J203" s="181">
        <f>VLOOKUP($A203&amp;$B203,'LE Inputs'!$C$2:$J$505,MATCH('LE UtilityData'!J$1,'LE Inputs'!$C$1:$J$1,0),0)*1000</f>
        <v>1361106.7204817112</v>
      </c>
      <c r="K203" s="181">
        <v>549485.78309977264</v>
      </c>
      <c r="L203" s="157">
        <v>370528.8979868436</v>
      </c>
      <c r="M203" s="306"/>
      <c r="N203" s="150">
        <v>50277.416730374403</v>
      </c>
      <c r="O203" s="181">
        <f>VLOOKUP($A203&amp;$B203,'LE Inputs'!$C$2:$J$525,MATCH('LE UtilityData'!O$1,'LE Inputs'!$C$1:$J$1,0),0)</f>
        <v>51319.989089706825</v>
      </c>
      <c r="P203" s="181" t="e">
        <f>VLOOKUP($A203&amp;$B203,'LE Inputs'!$C$2:$J$505,MATCH('LE UtilityData'!P$1,'LE Inputs'!$C$1:$J$1,0),0)</f>
        <v>#N/A</v>
      </c>
      <c r="Q203" s="307">
        <f t="shared" si="22"/>
        <v>99.232500000000002</v>
      </c>
      <c r="R203" s="307">
        <f t="shared" si="22"/>
        <v>97.24</v>
      </c>
      <c r="S203" s="161">
        <f t="shared" si="22"/>
        <v>99.3</v>
      </c>
      <c r="T203" s="161">
        <f t="shared" si="22"/>
        <v>100.05</v>
      </c>
      <c r="U203" s="159">
        <v>4124</v>
      </c>
      <c r="V203" s="159">
        <v>1696</v>
      </c>
      <c r="W203" s="159" t="e">
        <f t="shared" si="23"/>
        <v>#DIV/0!</v>
      </c>
      <c r="X203" s="159">
        <f t="shared" si="20"/>
        <v>0</v>
      </c>
    </row>
    <row r="204" spans="1:24" x14ac:dyDescent="0.2">
      <c r="A204" s="147">
        <v>2017</v>
      </c>
      <c r="B204" s="147">
        <v>11</v>
      </c>
      <c r="C204" s="161"/>
      <c r="D204" s="161"/>
      <c r="E204" s="166">
        <v>13.276189156742458</v>
      </c>
      <c r="F204" s="258">
        <f t="shared" si="21"/>
        <v>12.607287341291647</v>
      </c>
      <c r="G204" s="258">
        <f t="shared" si="21"/>
        <v>11.193383110797006</v>
      </c>
      <c r="H204" s="166">
        <v>30.05</v>
      </c>
      <c r="I204" s="148">
        <v>771082.97652266792</v>
      </c>
      <c r="J204" s="181">
        <f>VLOOKUP($A204&amp;$B204,'LE Inputs'!$C$2:$J$505,MATCH('LE UtilityData'!J$1,'LE Inputs'!$C$1:$J$1,0),0)*1000</f>
        <v>1361106.7204817112</v>
      </c>
      <c r="K204" s="181">
        <v>549485.78309977264</v>
      </c>
      <c r="L204" s="157">
        <v>370746.70626825176</v>
      </c>
      <c r="M204" s="306"/>
      <c r="N204" s="150">
        <v>50277.416730374403</v>
      </c>
      <c r="O204" s="181">
        <f>VLOOKUP($A204&amp;$B204,'LE Inputs'!$C$2:$J$525,MATCH('LE UtilityData'!O$1,'LE Inputs'!$C$1:$J$1,0),0)</f>
        <v>51319.989089706825</v>
      </c>
      <c r="P204" s="181" t="e">
        <f>VLOOKUP($A204&amp;$B204,'LE Inputs'!$C$2:$J$505,MATCH('LE UtilityData'!P$1,'LE Inputs'!$C$1:$J$1,0),0)</f>
        <v>#N/A</v>
      </c>
      <c r="Q204" s="307">
        <f t="shared" si="22"/>
        <v>353.59499999999997</v>
      </c>
      <c r="R204" s="307">
        <f t="shared" si="22"/>
        <v>11.487500000000001</v>
      </c>
      <c r="S204" s="161">
        <f t="shared" si="22"/>
        <v>352.6</v>
      </c>
      <c r="T204" s="161">
        <f t="shared" si="22"/>
        <v>12.75</v>
      </c>
      <c r="U204" s="159">
        <v>4124</v>
      </c>
      <c r="V204" s="159">
        <v>1696</v>
      </c>
      <c r="W204" s="159" t="e">
        <f t="shared" si="23"/>
        <v>#DIV/0!</v>
      </c>
      <c r="X204" s="159">
        <f t="shared" si="20"/>
        <v>0</v>
      </c>
    </row>
    <row r="205" spans="1:24" x14ac:dyDescent="0.2">
      <c r="A205" s="147">
        <v>2017</v>
      </c>
      <c r="B205" s="147">
        <v>12</v>
      </c>
      <c r="C205" s="161"/>
      <c r="D205" s="161"/>
      <c r="E205" s="166">
        <v>13.276189156742458</v>
      </c>
      <c r="F205" s="258">
        <f t="shared" si="21"/>
        <v>12.607287341291647</v>
      </c>
      <c r="G205" s="258">
        <f t="shared" si="21"/>
        <v>11.193383110797006</v>
      </c>
      <c r="H205" s="166">
        <v>30.67</v>
      </c>
      <c r="I205" s="148">
        <v>771535.97652266792</v>
      </c>
      <c r="J205" s="181">
        <f>VLOOKUP($A205&amp;$B205,'LE Inputs'!$C$2:$J$505,MATCH('LE UtilityData'!J$1,'LE Inputs'!$C$1:$J$1,0),0)*1000</f>
        <v>1361106.7204817112</v>
      </c>
      <c r="K205" s="181">
        <v>549485.78309977264</v>
      </c>
      <c r="L205" s="157">
        <v>370964.51454965997</v>
      </c>
      <c r="M205" s="306"/>
      <c r="N205" s="150">
        <v>50277.416730374403</v>
      </c>
      <c r="O205" s="181">
        <f>VLOOKUP($A205&amp;$B205,'LE Inputs'!$C$2:$J$525,MATCH('LE UtilityData'!O$1,'LE Inputs'!$C$1:$J$1,0),0)</f>
        <v>51319.989089706825</v>
      </c>
      <c r="P205" s="181" t="e">
        <f>VLOOKUP($A205&amp;$B205,'LE Inputs'!$C$2:$J$505,MATCH('LE UtilityData'!P$1,'LE Inputs'!$C$1:$J$1,0),0)</f>
        <v>#N/A</v>
      </c>
      <c r="Q205" s="307">
        <f t="shared" si="22"/>
        <v>667.68999999999994</v>
      </c>
      <c r="R205" s="307">
        <f t="shared" si="22"/>
        <v>1.1850000000000001</v>
      </c>
      <c r="S205" s="161">
        <f t="shared" si="22"/>
        <v>669.9</v>
      </c>
      <c r="T205" s="161">
        <f t="shared" si="22"/>
        <v>1.05</v>
      </c>
      <c r="U205" s="159">
        <v>4124</v>
      </c>
      <c r="V205" s="159">
        <v>1696</v>
      </c>
      <c r="W205" s="159" t="e">
        <f t="shared" si="23"/>
        <v>#DIV/0!</v>
      </c>
      <c r="X205" s="159">
        <f t="shared" si="20"/>
        <v>0</v>
      </c>
    </row>
    <row r="206" spans="1:24" x14ac:dyDescent="0.2">
      <c r="A206" s="147">
        <v>2018</v>
      </c>
      <c r="B206" s="147">
        <v>1</v>
      </c>
      <c r="C206" s="161"/>
      <c r="D206" s="161"/>
      <c r="E206" s="166">
        <v>13.372037505036205</v>
      </c>
      <c r="F206" s="258">
        <f t="shared" si="21"/>
        <v>12.859433088117481</v>
      </c>
      <c r="G206" s="258">
        <f t="shared" si="21"/>
        <v>11.417250773012947</v>
      </c>
      <c r="H206" s="166">
        <v>32.67</v>
      </c>
      <c r="I206" s="148">
        <v>771988.97652266792</v>
      </c>
      <c r="J206" s="181">
        <f>VLOOKUP($A206&amp;$B206,'LE Inputs'!$C$2:$J$505,MATCH('LE UtilityData'!J$1,'LE Inputs'!$C$1:$J$1,0),0)*1000</f>
        <v>1364371.7319823133</v>
      </c>
      <c r="K206" s="181">
        <v>550782.42885989218</v>
      </c>
      <c r="L206" s="157">
        <v>371182.32283106813</v>
      </c>
      <c r="M206" s="306"/>
      <c r="N206" s="150">
        <v>50498.0568929035</v>
      </c>
      <c r="O206" s="181">
        <f>VLOOKUP($A206&amp;$B206,'LE Inputs'!$C$2:$J$525,MATCH('LE UtilityData'!O$1,'LE Inputs'!$C$1:$J$1,0),0)</f>
        <v>51716.257151257239</v>
      </c>
      <c r="P206" s="181" t="e">
        <f>VLOOKUP($A206&amp;$B206,'LE Inputs'!$C$2:$J$505,MATCH('LE UtilityData'!P$1,'LE Inputs'!$C$1:$J$1,0),0)</f>
        <v>#N/A</v>
      </c>
      <c r="Q206" s="307">
        <f t="shared" si="22"/>
        <v>927.57249999999999</v>
      </c>
      <c r="R206" s="307">
        <f t="shared" si="22"/>
        <v>0.35</v>
      </c>
      <c r="S206" s="161">
        <f t="shared" si="22"/>
        <v>932.4</v>
      </c>
      <c r="T206" s="161">
        <f t="shared" si="22"/>
        <v>0.35</v>
      </c>
      <c r="U206" s="159">
        <v>4124</v>
      </c>
      <c r="V206" s="159">
        <v>1696</v>
      </c>
      <c r="W206" s="159" t="e">
        <f t="shared" si="23"/>
        <v>#DIV/0!</v>
      </c>
      <c r="X206" s="159">
        <f t="shared" si="20"/>
        <v>0</v>
      </c>
    </row>
    <row r="207" spans="1:24" x14ac:dyDescent="0.2">
      <c r="A207" s="147">
        <v>2018</v>
      </c>
      <c r="B207" s="147">
        <v>2</v>
      </c>
      <c r="C207" s="161"/>
      <c r="D207" s="161"/>
      <c r="E207" s="166">
        <v>13.372037505036205</v>
      </c>
      <c r="F207" s="258">
        <f t="shared" si="21"/>
        <v>12.859433088117481</v>
      </c>
      <c r="G207" s="258">
        <f t="shared" si="21"/>
        <v>11.417250773012947</v>
      </c>
      <c r="H207" s="166">
        <v>29.86</v>
      </c>
      <c r="I207" s="148">
        <v>772441.97652266792</v>
      </c>
      <c r="J207" s="181">
        <f>VLOOKUP($A207&amp;$B207,'LE Inputs'!$C$2:$J$505,MATCH('LE UtilityData'!J$1,'LE Inputs'!$C$1:$J$1,0),0)*1000</f>
        <v>1364371.7319823133</v>
      </c>
      <c r="K207" s="181">
        <v>550782.42885989218</v>
      </c>
      <c r="L207" s="157">
        <v>371400.13111247635</v>
      </c>
      <c r="M207" s="306"/>
      <c r="N207" s="150">
        <v>50498.0568929035</v>
      </c>
      <c r="O207" s="181">
        <f>VLOOKUP($A207&amp;$B207,'LE Inputs'!$C$2:$J$525,MATCH('LE UtilityData'!O$1,'LE Inputs'!$C$1:$J$1,0),0)</f>
        <v>51716.257151257239</v>
      </c>
      <c r="P207" s="181" t="e">
        <f>VLOOKUP($A207&amp;$B207,'LE Inputs'!$C$2:$J$505,MATCH('LE UtilityData'!P$1,'LE Inputs'!$C$1:$J$1,0),0)</f>
        <v>#N/A</v>
      </c>
      <c r="Q207" s="307">
        <f t="shared" si="22"/>
        <v>858.35750000000007</v>
      </c>
      <c r="R207" s="307">
        <f t="shared" si="22"/>
        <v>0.05</v>
      </c>
      <c r="S207" s="161">
        <f t="shared" si="22"/>
        <v>864.1</v>
      </c>
      <c r="T207" s="161">
        <f t="shared" si="22"/>
        <v>0.05</v>
      </c>
      <c r="U207" s="159">
        <v>4124</v>
      </c>
      <c r="V207" s="159">
        <v>1696</v>
      </c>
      <c r="W207" s="159" t="e">
        <f t="shared" si="23"/>
        <v>#DIV/0!</v>
      </c>
      <c r="X207" s="159">
        <f t="shared" si="20"/>
        <v>0</v>
      </c>
    </row>
    <row r="208" spans="1:24" x14ac:dyDescent="0.2">
      <c r="A208" s="147">
        <v>2018</v>
      </c>
      <c r="B208" s="147">
        <v>3</v>
      </c>
      <c r="C208" s="161"/>
      <c r="D208" s="161"/>
      <c r="E208" s="166">
        <v>13.372037505036205</v>
      </c>
      <c r="F208" s="258">
        <f t="shared" si="21"/>
        <v>12.859433088117481</v>
      </c>
      <c r="G208" s="258">
        <f t="shared" si="21"/>
        <v>11.417250773012947</v>
      </c>
      <c r="H208" s="166">
        <v>30.43</v>
      </c>
      <c r="I208" s="148">
        <v>772894.97652266792</v>
      </c>
      <c r="J208" s="181">
        <f>VLOOKUP($A208&amp;$B208,'LE Inputs'!$C$2:$J$505,MATCH('LE UtilityData'!J$1,'LE Inputs'!$C$1:$J$1,0),0)*1000</f>
        <v>1364371.7319823133</v>
      </c>
      <c r="K208" s="181">
        <v>550782.42885989218</v>
      </c>
      <c r="L208" s="157">
        <v>371617.93939388456</v>
      </c>
      <c r="M208" s="306"/>
      <c r="N208" s="150">
        <v>50498.0568929035</v>
      </c>
      <c r="O208" s="181">
        <f>VLOOKUP($A208&amp;$B208,'LE Inputs'!$C$2:$J$525,MATCH('LE UtilityData'!O$1,'LE Inputs'!$C$1:$J$1,0),0)</f>
        <v>51716.257151257239</v>
      </c>
      <c r="P208" s="181" t="e">
        <f>VLOOKUP($A208&amp;$B208,'LE Inputs'!$C$2:$J$505,MATCH('LE UtilityData'!P$1,'LE Inputs'!$C$1:$J$1,0),0)</f>
        <v>#N/A</v>
      </c>
      <c r="Q208" s="307">
        <f t="shared" si="22"/>
        <v>666.12749999999994</v>
      </c>
      <c r="R208" s="307">
        <f t="shared" si="22"/>
        <v>2.0225</v>
      </c>
      <c r="S208" s="161">
        <f t="shared" si="22"/>
        <v>674.3</v>
      </c>
      <c r="T208" s="161">
        <f t="shared" si="22"/>
        <v>1.1499999999999999</v>
      </c>
      <c r="U208" s="159">
        <v>4124</v>
      </c>
      <c r="V208" s="159">
        <v>1696</v>
      </c>
      <c r="W208" s="159" t="e">
        <f t="shared" si="23"/>
        <v>#DIV/0!</v>
      </c>
      <c r="X208" s="159">
        <f t="shared" si="20"/>
        <v>0</v>
      </c>
    </row>
    <row r="209" spans="1:24" x14ac:dyDescent="0.2">
      <c r="A209" s="147">
        <v>2018</v>
      </c>
      <c r="B209" s="147">
        <v>4</v>
      </c>
      <c r="C209" s="161"/>
      <c r="D209" s="161"/>
      <c r="E209" s="166">
        <v>13.372037505036205</v>
      </c>
      <c r="F209" s="258">
        <f t="shared" si="21"/>
        <v>12.859433088117481</v>
      </c>
      <c r="G209" s="258">
        <f t="shared" si="21"/>
        <v>11.417250773012947</v>
      </c>
      <c r="H209" s="166">
        <v>30.71</v>
      </c>
      <c r="I209" s="148">
        <v>773347.97652266792</v>
      </c>
      <c r="J209" s="181">
        <f>VLOOKUP($A209&amp;$B209,'LE Inputs'!$C$2:$J$505,MATCH('LE UtilityData'!J$1,'LE Inputs'!$C$1:$J$1,0),0)*1000</f>
        <v>1366845.0445227297</v>
      </c>
      <c r="K209" s="181">
        <v>551690.70371431648</v>
      </c>
      <c r="L209" s="157">
        <v>371835.74767529278</v>
      </c>
      <c r="M209" s="306"/>
      <c r="N209" s="150">
        <v>50766.2043970452</v>
      </c>
      <c r="O209" s="181">
        <f>VLOOKUP($A209&amp;$B209,'LE Inputs'!$C$2:$J$525,MATCH('LE UtilityData'!O$1,'LE Inputs'!$C$1:$J$1,0),0)</f>
        <v>51972.835733517146</v>
      </c>
      <c r="P209" s="181" t="e">
        <f>VLOOKUP($A209&amp;$B209,'LE Inputs'!$C$2:$J$505,MATCH('LE UtilityData'!P$1,'LE Inputs'!$C$1:$J$1,0),0)</f>
        <v>#N/A</v>
      </c>
      <c r="Q209" s="307">
        <f t="shared" si="22"/>
        <v>370.83499999999998</v>
      </c>
      <c r="R209" s="307">
        <f t="shared" si="22"/>
        <v>22.565000000000001</v>
      </c>
      <c r="S209" s="161">
        <f t="shared" si="22"/>
        <v>377.1</v>
      </c>
      <c r="T209" s="161">
        <f t="shared" si="22"/>
        <v>20.25</v>
      </c>
      <c r="U209" s="159">
        <v>4124</v>
      </c>
      <c r="V209" s="159">
        <v>1696</v>
      </c>
      <c r="W209" s="159" t="e">
        <f t="shared" si="23"/>
        <v>#DIV/0!</v>
      </c>
      <c r="X209" s="159">
        <f t="shared" si="20"/>
        <v>0</v>
      </c>
    </row>
    <row r="210" spans="1:24" x14ac:dyDescent="0.2">
      <c r="A210" s="147">
        <v>2018</v>
      </c>
      <c r="B210" s="147">
        <v>5</v>
      </c>
      <c r="C210" s="161"/>
      <c r="D210" s="161"/>
      <c r="E210" s="166">
        <v>13.372037505036205</v>
      </c>
      <c r="F210" s="258">
        <f t="shared" si="21"/>
        <v>12.859433088117481</v>
      </c>
      <c r="G210" s="258">
        <f t="shared" si="21"/>
        <v>11.417250773012947</v>
      </c>
      <c r="H210" s="166">
        <v>29.52</v>
      </c>
      <c r="I210" s="148">
        <v>773800.97652266792</v>
      </c>
      <c r="J210" s="181">
        <f>VLOOKUP($A210&amp;$B210,'LE Inputs'!$C$2:$J$505,MATCH('LE UtilityData'!J$1,'LE Inputs'!$C$1:$J$1,0),0)*1000</f>
        <v>1366845.0445227297</v>
      </c>
      <c r="K210" s="181">
        <v>551690.70371431648</v>
      </c>
      <c r="L210" s="157">
        <v>372053.55595670093</v>
      </c>
      <c r="M210" s="306"/>
      <c r="N210" s="150">
        <v>50766.2043970452</v>
      </c>
      <c r="O210" s="181">
        <f>VLOOKUP($A210&amp;$B210,'LE Inputs'!$C$2:$J$525,MATCH('LE UtilityData'!O$1,'LE Inputs'!$C$1:$J$1,0),0)</f>
        <v>51972.835733517146</v>
      </c>
      <c r="P210" s="181" t="e">
        <f>VLOOKUP($A210&amp;$B210,'LE Inputs'!$C$2:$J$505,MATCH('LE UtilityData'!P$1,'LE Inputs'!$C$1:$J$1,0),0)</f>
        <v>#N/A</v>
      </c>
      <c r="Q210" s="307">
        <f t="shared" si="22"/>
        <v>141.76749999999998</v>
      </c>
      <c r="R210" s="307">
        <f t="shared" si="22"/>
        <v>69.552499999999995</v>
      </c>
      <c r="S210" s="161">
        <f t="shared" si="22"/>
        <v>141</v>
      </c>
      <c r="T210" s="161">
        <f t="shared" si="22"/>
        <v>69.349999999999994</v>
      </c>
      <c r="U210" s="159">
        <v>4124</v>
      </c>
      <c r="V210" s="159">
        <v>1696</v>
      </c>
      <c r="W210" s="159" t="e">
        <f t="shared" si="23"/>
        <v>#DIV/0!</v>
      </c>
      <c r="X210" s="159">
        <f t="shared" si="20"/>
        <v>0</v>
      </c>
    </row>
    <row r="211" spans="1:24" x14ac:dyDescent="0.2">
      <c r="A211" s="147">
        <v>2018</v>
      </c>
      <c r="B211" s="147">
        <v>6</v>
      </c>
      <c r="C211" s="161"/>
      <c r="D211" s="161"/>
      <c r="E211" s="166">
        <v>13.372037505036205</v>
      </c>
      <c r="F211" s="258">
        <f t="shared" ref="F211:G226" si="24">F199*(1+0.02)</f>
        <v>12.859433088117481</v>
      </c>
      <c r="G211" s="258">
        <f t="shared" si="24"/>
        <v>11.417250773012947</v>
      </c>
      <c r="H211" s="166">
        <v>30.62</v>
      </c>
      <c r="I211" s="148">
        <v>774248.19544896099</v>
      </c>
      <c r="J211" s="181">
        <f>VLOOKUP($A211&amp;$B211,'LE Inputs'!$C$2:$J$505,MATCH('LE UtilityData'!J$1,'LE Inputs'!$C$1:$J$1,0),0)*1000</f>
        <v>1366845.0445227297</v>
      </c>
      <c r="K211" s="181">
        <v>551690.70371431648</v>
      </c>
      <c r="L211" s="157">
        <v>372268.58462281374</v>
      </c>
      <c r="M211" s="306"/>
      <c r="N211" s="150">
        <v>50766.2043970452</v>
      </c>
      <c r="O211" s="181">
        <f>VLOOKUP($A211&amp;$B211,'LE Inputs'!$C$2:$J$525,MATCH('LE UtilityData'!O$1,'LE Inputs'!$C$1:$J$1,0),0)</f>
        <v>51972.835733517146</v>
      </c>
      <c r="P211" s="181" t="e">
        <f>VLOOKUP($A211&amp;$B211,'LE Inputs'!$C$2:$J$505,MATCH('LE UtilityData'!P$1,'LE Inputs'!$C$1:$J$1,0),0)</f>
        <v>#N/A</v>
      </c>
      <c r="Q211" s="307">
        <f t="shared" ref="Q211:T226" si="25">Q199</f>
        <v>29.807499999999997</v>
      </c>
      <c r="R211" s="307">
        <f t="shared" si="25"/>
        <v>219.05749999999998</v>
      </c>
      <c r="S211" s="161">
        <f t="shared" si="25"/>
        <v>29.5</v>
      </c>
      <c r="T211" s="161">
        <f t="shared" si="25"/>
        <v>224.8</v>
      </c>
      <c r="U211" s="159">
        <v>4124</v>
      </c>
      <c r="V211" s="159">
        <v>1696</v>
      </c>
      <c r="W211" s="159" t="e">
        <f t="shared" si="23"/>
        <v>#DIV/0!</v>
      </c>
      <c r="X211" s="159">
        <f t="shared" si="20"/>
        <v>0</v>
      </c>
    </row>
    <row r="212" spans="1:24" x14ac:dyDescent="0.2">
      <c r="A212" s="147">
        <v>2018</v>
      </c>
      <c r="B212" s="147">
        <v>7</v>
      </c>
      <c r="C212" s="161"/>
      <c r="D212" s="161"/>
      <c r="E212" s="166">
        <v>13.372037505036205</v>
      </c>
      <c r="F212" s="258">
        <f t="shared" si="24"/>
        <v>12.859433088117481</v>
      </c>
      <c r="G212" s="258">
        <f t="shared" si="24"/>
        <v>11.417250773012947</v>
      </c>
      <c r="H212" s="166">
        <v>30.76</v>
      </c>
      <c r="I212" s="148">
        <v>774699.19544896099</v>
      </c>
      <c r="J212" s="181">
        <f>VLOOKUP($A212&amp;$B212,'LE Inputs'!$C$2:$J$505,MATCH('LE UtilityData'!J$1,'LE Inputs'!$C$1:$J$1,0),0)*1000</f>
        <v>1369427.1187304622</v>
      </c>
      <c r="K212" s="181">
        <v>552764.59498891223</v>
      </c>
      <c r="L212" s="157">
        <v>372485.43127825542</v>
      </c>
      <c r="M212" s="306"/>
      <c r="N212" s="150">
        <v>51200.209297431204</v>
      </c>
      <c r="O212" s="181">
        <f>VLOOKUP($A212&amp;$B212,'LE Inputs'!$C$2:$J$525,MATCH('LE UtilityData'!O$1,'LE Inputs'!$C$1:$J$1,0),0)</f>
        <v>52322.037059531205</v>
      </c>
      <c r="P212" s="181" t="e">
        <f>VLOOKUP($A212&amp;$B212,'LE Inputs'!$C$2:$J$505,MATCH('LE UtilityData'!P$1,'LE Inputs'!$C$1:$J$1,0),0)</f>
        <v>#N/A</v>
      </c>
      <c r="Q212" s="307">
        <f t="shared" si="25"/>
        <v>0.57250000000000001</v>
      </c>
      <c r="R212" s="307">
        <f t="shared" si="25"/>
        <v>397.17500000000001</v>
      </c>
      <c r="S212" s="161">
        <f t="shared" si="25"/>
        <v>0.55000000000000004</v>
      </c>
      <c r="T212" s="161">
        <f t="shared" si="25"/>
        <v>396.4</v>
      </c>
      <c r="U212" s="159">
        <v>4124</v>
      </c>
      <c r="V212" s="159">
        <v>1696</v>
      </c>
      <c r="W212" s="159" t="e">
        <f t="shared" si="23"/>
        <v>#DIV/0!</v>
      </c>
      <c r="X212" s="159">
        <f t="shared" si="20"/>
        <v>0</v>
      </c>
    </row>
    <row r="213" spans="1:24" x14ac:dyDescent="0.2">
      <c r="A213" s="147">
        <v>2018</v>
      </c>
      <c r="B213" s="147">
        <v>8</v>
      </c>
      <c r="C213" s="161"/>
      <c r="D213" s="161"/>
      <c r="E213" s="166">
        <v>13.372037505036205</v>
      </c>
      <c r="F213" s="258">
        <f t="shared" si="24"/>
        <v>12.859433088117481</v>
      </c>
      <c r="G213" s="258">
        <f t="shared" si="24"/>
        <v>11.417250773012947</v>
      </c>
      <c r="H213" s="166">
        <v>29.48</v>
      </c>
      <c r="I213" s="148">
        <v>775150.19544896099</v>
      </c>
      <c r="J213" s="181">
        <f>VLOOKUP($A213&amp;$B213,'LE Inputs'!$C$2:$J$505,MATCH('LE UtilityData'!J$1,'LE Inputs'!$C$1:$J$1,0),0)*1000</f>
        <v>1369427.1187304622</v>
      </c>
      <c r="K213" s="181">
        <v>552764.59498891223</v>
      </c>
      <c r="L213" s="157">
        <v>372702.27793369716</v>
      </c>
      <c r="M213" s="306"/>
      <c r="N213" s="150">
        <v>51200.209297431204</v>
      </c>
      <c r="O213" s="181">
        <f>VLOOKUP($A213&amp;$B213,'LE Inputs'!$C$2:$J$525,MATCH('LE UtilityData'!O$1,'LE Inputs'!$C$1:$J$1,0),0)</f>
        <v>52322.037059531205</v>
      </c>
      <c r="P213" s="181" t="e">
        <f>VLOOKUP($A213&amp;$B213,'LE Inputs'!$C$2:$J$505,MATCH('LE UtilityData'!P$1,'LE Inputs'!$C$1:$J$1,0),0)</f>
        <v>#N/A</v>
      </c>
      <c r="Q213" s="307">
        <f t="shared" si="25"/>
        <v>0.1</v>
      </c>
      <c r="R213" s="307">
        <f t="shared" si="25"/>
        <v>418.51750000000004</v>
      </c>
      <c r="S213" s="161">
        <f t="shared" si="25"/>
        <v>0.1</v>
      </c>
      <c r="T213" s="161">
        <f t="shared" si="25"/>
        <v>417.05</v>
      </c>
      <c r="U213" s="159">
        <v>4124</v>
      </c>
      <c r="V213" s="159">
        <v>1696</v>
      </c>
      <c r="W213" s="159" t="e">
        <f t="shared" si="23"/>
        <v>#DIV/0!</v>
      </c>
      <c r="X213" s="159">
        <f t="shared" si="20"/>
        <v>0</v>
      </c>
    </row>
    <row r="214" spans="1:24" x14ac:dyDescent="0.2">
      <c r="A214" s="147">
        <v>2018</v>
      </c>
      <c r="B214" s="147">
        <v>9</v>
      </c>
      <c r="C214" s="161"/>
      <c r="D214" s="161"/>
      <c r="E214" s="166">
        <v>13.372037505036205</v>
      </c>
      <c r="F214" s="258">
        <f t="shared" si="24"/>
        <v>12.859433088117481</v>
      </c>
      <c r="G214" s="258">
        <f t="shared" si="24"/>
        <v>11.417250773012947</v>
      </c>
      <c r="H214" s="166">
        <v>30.57</v>
      </c>
      <c r="I214" s="148">
        <v>775601.19544896099</v>
      </c>
      <c r="J214" s="181">
        <f>VLOOKUP($A214&amp;$B214,'LE Inputs'!$C$2:$J$505,MATCH('LE UtilityData'!J$1,'LE Inputs'!$C$1:$J$1,0),0)*1000</f>
        <v>1369427.1187304622</v>
      </c>
      <c r="K214" s="181">
        <v>552764.59498891223</v>
      </c>
      <c r="L214" s="157">
        <v>372919.12458913884</v>
      </c>
      <c r="M214" s="306"/>
      <c r="N214" s="150">
        <v>51200.209297431204</v>
      </c>
      <c r="O214" s="181">
        <f>VLOOKUP($A214&amp;$B214,'LE Inputs'!$C$2:$J$525,MATCH('LE UtilityData'!O$1,'LE Inputs'!$C$1:$J$1,0),0)</f>
        <v>52322.037059531205</v>
      </c>
      <c r="P214" s="181" t="e">
        <f>VLOOKUP($A214&amp;$B214,'LE Inputs'!$C$2:$J$505,MATCH('LE UtilityData'!P$1,'LE Inputs'!$C$1:$J$1,0),0)</f>
        <v>#N/A</v>
      </c>
      <c r="Q214" s="307">
        <f t="shared" si="25"/>
        <v>5.2125000000000004</v>
      </c>
      <c r="R214" s="307">
        <f t="shared" si="25"/>
        <v>326.05</v>
      </c>
      <c r="S214" s="161">
        <f t="shared" si="25"/>
        <v>5.35</v>
      </c>
      <c r="T214" s="161">
        <f t="shared" si="25"/>
        <v>330.2</v>
      </c>
      <c r="U214" s="159">
        <v>4124</v>
      </c>
      <c r="V214" s="159">
        <v>1696</v>
      </c>
      <c r="W214" s="159" t="e">
        <f t="shared" si="23"/>
        <v>#DIV/0!</v>
      </c>
      <c r="X214" s="159">
        <f t="shared" si="20"/>
        <v>0</v>
      </c>
    </row>
    <row r="215" spans="1:24" x14ac:dyDescent="0.2">
      <c r="A215" s="147">
        <v>2018</v>
      </c>
      <c r="B215" s="147">
        <v>10</v>
      </c>
      <c r="C215" s="161"/>
      <c r="D215" s="161"/>
      <c r="E215" s="166">
        <v>13.372037505036205</v>
      </c>
      <c r="F215" s="258">
        <f t="shared" si="24"/>
        <v>12.859433088117481</v>
      </c>
      <c r="G215" s="258">
        <f t="shared" si="24"/>
        <v>11.417250773012947</v>
      </c>
      <c r="H215" s="166">
        <v>29.67</v>
      </c>
      <c r="I215" s="148">
        <v>776052.19544896099</v>
      </c>
      <c r="J215" s="181">
        <f>VLOOKUP($A215&amp;$B215,'LE Inputs'!$C$2:$J$505,MATCH('LE UtilityData'!J$1,'LE Inputs'!$C$1:$J$1,0),0)*1000</f>
        <v>1371950.3650990047</v>
      </c>
      <c r="K215" s="181">
        <v>553732.37869408738</v>
      </c>
      <c r="L215" s="157">
        <v>373135.97124458052</v>
      </c>
      <c r="M215" s="306"/>
      <c r="N215" s="150">
        <v>51533.293047143998</v>
      </c>
      <c r="O215" s="181">
        <f>VLOOKUP($A215&amp;$B215,'LE Inputs'!$C$2:$J$525,MATCH('LE UtilityData'!O$1,'LE Inputs'!$C$1:$J$1,0),0)</f>
        <v>52578.057835776512</v>
      </c>
      <c r="P215" s="181" t="e">
        <f>VLOOKUP($A215&amp;$B215,'LE Inputs'!$C$2:$J$505,MATCH('LE UtilityData'!P$1,'LE Inputs'!$C$1:$J$1,0),0)</f>
        <v>#N/A</v>
      </c>
      <c r="Q215" s="307">
        <f t="shared" si="25"/>
        <v>99.232500000000002</v>
      </c>
      <c r="R215" s="307">
        <f t="shared" si="25"/>
        <v>97.24</v>
      </c>
      <c r="S215" s="161">
        <f t="shared" si="25"/>
        <v>99.3</v>
      </c>
      <c r="T215" s="161">
        <f t="shared" si="25"/>
        <v>100.05</v>
      </c>
      <c r="U215" s="159">
        <v>4124</v>
      </c>
      <c r="V215" s="159">
        <v>1696</v>
      </c>
      <c r="W215" s="159" t="e">
        <f t="shared" si="23"/>
        <v>#DIV/0!</v>
      </c>
      <c r="X215" s="159">
        <f t="shared" si="20"/>
        <v>0</v>
      </c>
    </row>
    <row r="216" spans="1:24" x14ac:dyDescent="0.2">
      <c r="A216" s="147">
        <v>2018</v>
      </c>
      <c r="B216" s="147">
        <v>11</v>
      </c>
      <c r="C216" s="161"/>
      <c r="D216" s="161"/>
      <c r="E216" s="166">
        <v>13.372037505036205</v>
      </c>
      <c r="F216" s="258">
        <f t="shared" si="24"/>
        <v>12.859433088117481</v>
      </c>
      <c r="G216" s="258">
        <f t="shared" si="24"/>
        <v>11.417250773012947</v>
      </c>
      <c r="H216" s="166">
        <v>29.95</v>
      </c>
      <c r="I216" s="148">
        <v>776503.19544896099</v>
      </c>
      <c r="J216" s="181">
        <f>VLOOKUP($A216&amp;$B216,'LE Inputs'!$C$2:$J$505,MATCH('LE UtilityData'!J$1,'LE Inputs'!$C$1:$J$1,0),0)*1000</f>
        <v>1371950.3650990047</v>
      </c>
      <c r="K216" s="181">
        <v>553732.37869408738</v>
      </c>
      <c r="L216" s="157">
        <v>373352.81790002226</v>
      </c>
      <c r="M216" s="306"/>
      <c r="N216" s="150">
        <v>51533.293047143998</v>
      </c>
      <c r="O216" s="181">
        <f>VLOOKUP($A216&amp;$B216,'LE Inputs'!$C$2:$J$525,MATCH('LE UtilityData'!O$1,'LE Inputs'!$C$1:$J$1,0),0)</f>
        <v>52578.057835776512</v>
      </c>
      <c r="P216" s="181" t="e">
        <f>VLOOKUP($A216&amp;$B216,'LE Inputs'!$C$2:$J$505,MATCH('LE UtilityData'!P$1,'LE Inputs'!$C$1:$J$1,0),0)</f>
        <v>#N/A</v>
      </c>
      <c r="Q216" s="307">
        <f t="shared" si="25"/>
        <v>353.59499999999997</v>
      </c>
      <c r="R216" s="307">
        <f t="shared" si="25"/>
        <v>11.487500000000001</v>
      </c>
      <c r="S216" s="161">
        <f t="shared" si="25"/>
        <v>352.6</v>
      </c>
      <c r="T216" s="161">
        <f t="shared" si="25"/>
        <v>12.75</v>
      </c>
      <c r="U216" s="159">
        <v>4124</v>
      </c>
      <c r="V216" s="159">
        <v>1696</v>
      </c>
      <c r="W216" s="159" t="e">
        <f t="shared" si="23"/>
        <v>#DIV/0!</v>
      </c>
      <c r="X216" s="159">
        <f t="shared" si="20"/>
        <v>0</v>
      </c>
    </row>
    <row r="217" spans="1:24" x14ac:dyDescent="0.2">
      <c r="A217" s="147">
        <v>2018</v>
      </c>
      <c r="B217" s="147">
        <v>12</v>
      </c>
      <c r="C217" s="161"/>
      <c r="D217" s="161"/>
      <c r="E217" s="166">
        <v>13.372037505036205</v>
      </c>
      <c r="F217" s="258">
        <f t="shared" si="24"/>
        <v>12.859433088117481</v>
      </c>
      <c r="G217" s="258">
        <f t="shared" si="24"/>
        <v>11.417250773012947</v>
      </c>
      <c r="H217" s="166">
        <v>31.1</v>
      </c>
      <c r="I217" s="148">
        <v>776954.19544896099</v>
      </c>
      <c r="J217" s="181">
        <f>VLOOKUP($A217&amp;$B217,'LE Inputs'!$C$2:$J$505,MATCH('LE UtilityData'!J$1,'LE Inputs'!$C$1:$J$1,0),0)*1000</f>
        <v>1371950.3650990047</v>
      </c>
      <c r="K217" s="181">
        <v>553732.37869408738</v>
      </c>
      <c r="L217" s="157">
        <v>373569.66455546394</v>
      </c>
      <c r="M217" s="306"/>
      <c r="N217" s="150">
        <v>51533.293047143998</v>
      </c>
      <c r="O217" s="181">
        <f>VLOOKUP($A217&amp;$B217,'LE Inputs'!$C$2:$J$525,MATCH('LE UtilityData'!O$1,'LE Inputs'!$C$1:$J$1,0),0)</f>
        <v>52578.057835776512</v>
      </c>
      <c r="P217" s="181" t="e">
        <f>VLOOKUP($A217&amp;$B217,'LE Inputs'!$C$2:$J$505,MATCH('LE UtilityData'!P$1,'LE Inputs'!$C$1:$J$1,0),0)</f>
        <v>#N/A</v>
      </c>
      <c r="Q217" s="307">
        <f t="shared" si="25"/>
        <v>667.68999999999994</v>
      </c>
      <c r="R217" s="307">
        <f t="shared" si="25"/>
        <v>1.1850000000000001</v>
      </c>
      <c r="S217" s="161">
        <f t="shared" si="25"/>
        <v>669.9</v>
      </c>
      <c r="T217" s="161">
        <f t="shared" si="25"/>
        <v>1.05</v>
      </c>
      <c r="U217" s="159">
        <v>4124</v>
      </c>
      <c r="V217" s="159">
        <v>1696</v>
      </c>
      <c r="W217" s="159" t="e">
        <f t="shared" si="23"/>
        <v>#DIV/0!</v>
      </c>
      <c r="X217" s="159">
        <f t="shared" si="20"/>
        <v>0</v>
      </c>
    </row>
    <row r="218" spans="1:24" x14ac:dyDescent="0.2">
      <c r="A218" s="147">
        <v>2019</v>
      </c>
      <c r="B218" s="147">
        <v>1</v>
      </c>
      <c r="C218" s="161"/>
      <c r="D218" s="161"/>
      <c r="E218" s="166">
        <v>13.470782159288195</v>
      </c>
      <c r="F218" s="258">
        <f t="shared" si="24"/>
        <v>13.11662174987983</v>
      </c>
      <c r="G218" s="258">
        <f t="shared" si="24"/>
        <v>11.645595788473207</v>
      </c>
      <c r="H218" s="166">
        <v>32.71</v>
      </c>
      <c r="I218" s="148">
        <v>777405.19544896099</v>
      </c>
      <c r="J218" s="181">
        <f>VLOOKUP($A218&amp;$B218,'LE Inputs'!$C$2:$J$505,MATCH('LE UtilityData'!J$1,'LE Inputs'!$C$1:$J$1,0),0)*1000</f>
        <v>1375694.3144598522</v>
      </c>
      <c r="K218" s="181">
        <v>555213.47465929529</v>
      </c>
      <c r="L218" s="157">
        <v>373786.51121090562</v>
      </c>
      <c r="M218" s="306"/>
      <c r="N218" s="150">
        <v>52113.031260412099</v>
      </c>
      <c r="O218" s="181">
        <f>VLOOKUP($A218&amp;$B218,'LE Inputs'!$C$2:$J$525,MATCH('LE UtilityData'!O$1,'LE Inputs'!$C$1:$J$1,0),0)</f>
        <v>53122.153021982267</v>
      </c>
      <c r="P218" s="181" t="e">
        <f>VLOOKUP($A218&amp;$B218,'LE Inputs'!$C$2:$J$505,MATCH('LE UtilityData'!P$1,'LE Inputs'!$C$1:$J$1,0),0)</f>
        <v>#N/A</v>
      </c>
      <c r="Q218" s="307">
        <f t="shared" si="25"/>
        <v>927.57249999999999</v>
      </c>
      <c r="R218" s="307">
        <f t="shared" si="25"/>
        <v>0.35</v>
      </c>
      <c r="S218" s="161">
        <f t="shared" si="25"/>
        <v>932.4</v>
      </c>
      <c r="T218" s="161">
        <f t="shared" si="25"/>
        <v>0.35</v>
      </c>
      <c r="U218" s="159">
        <v>4124</v>
      </c>
      <c r="V218" s="159">
        <v>1696</v>
      </c>
      <c r="W218" s="159" t="e">
        <f t="shared" si="23"/>
        <v>#DIV/0!</v>
      </c>
      <c r="X218" s="159">
        <f t="shared" si="20"/>
        <v>0</v>
      </c>
    </row>
    <row r="219" spans="1:24" x14ac:dyDescent="0.2">
      <c r="A219" s="147">
        <v>2019</v>
      </c>
      <c r="B219" s="147">
        <v>2</v>
      </c>
      <c r="C219" s="161"/>
      <c r="D219" s="161"/>
      <c r="E219" s="166">
        <v>13.470782159288195</v>
      </c>
      <c r="F219" s="258">
        <f t="shared" si="24"/>
        <v>13.11662174987983</v>
      </c>
      <c r="G219" s="258">
        <f t="shared" si="24"/>
        <v>11.645595788473207</v>
      </c>
      <c r="H219" s="166">
        <v>29.9</v>
      </c>
      <c r="I219" s="148">
        <v>777856.19544896099</v>
      </c>
      <c r="J219" s="181">
        <f>VLOOKUP($A219&amp;$B219,'LE Inputs'!$C$2:$J$505,MATCH('LE UtilityData'!J$1,'LE Inputs'!$C$1:$J$1,0),0)*1000</f>
        <v>1375694.3144598522</v>
      </c>
      <c r="K219" s="181">
        <v>555213.47465929529</v>
      </c>
      <c r="L219" s="157">
        <v>374003.35786634736</v>
      </c>
      <c r="M219" s="306"/>
      <c r="N219" s="150">
        <v>52113.031260412099</v>
      </c>
      <c r="O219" s="181">
        <f>VLOOKUP($A219&amp;$B219,'LE Inputs'!$C$2:$J$525,MATCH('LE UtilityData'!O$1,'LE Inputs'!$C$1:$J$1,0),0)</f>
        <v>53122.153021982267</v>
      </c>
      <c r="P219" s="181" t="e">
        <f>VLOOKUP($A219&amp;$B219,'LE Inputs'!$C$2:$J$505,MATCH('LE UtilityData'!P$1,'LE Inputs'!$C$1:$J$1,0),0)</f>
        <v>#N/A</v>
      </c>
      <c r="Q219" s="307">
        <f t="shared" si="25"/>
        <v>858.35750000000007</v>
      </c>
      <c r="R219" s="307">
        <f t="shared" si="25"/>
        <v>0.05</v>
      </c>
      <c r="S219" s="161">
        <f t="shared" si="25"/>
        <v>864.1</v>
      </c>
      <c r="T219" s="161">
        <f t="shared" si="25"/>
        <v>0.05</v>
      </c>
      <c r="U219" s="159">
        <v>4124</v>
      </c>
      <c r="V219" s="159">
        <v>1696</v>
      </c>
      <c r="W219" s="159" t="e">
        <f t="shared" si="23"/>
        <v>#DIV/0!</v>
      </c>
      <c r="X219" s="159">
        <f t="shared" si="20"/>
        <v>0</v>
      </c>
    </row>
    <row r="220" spans="1:24" x14ac:dyDescent="0.2">
      <c r="A220" s="147">
        <v>2019</v>
      </c>
      <c r="B220" s="147">
        <v>3</v>
      </c>
      <c r="C220" s="161"/>
      <c r="D220" s="161"/>
      <c r="E220" s="166">
        <v>13.470782159288195</v>
      </c>
      <c r="F220" s="258">
        <f t="shared" si="24"/>
        <v>13.11662174987983</v>
      </c>
      <c r="G220" s="258">
        <f t="shared" si="24"/>
        <v>11.645595788473207</v>
      </c>
      <c r="H220" s="166">
        <v>30.33</v>
      </c>
      <c r="I220" s="148">
        <v>778307.19544896099</v>
      </c>
      <c r="J220" s="181">
        <f>VLOOKUP($A220&amp;$B220,'LE Inputs'!$C$2:$J$505,MATCH('LE UtilityData'!J$1,'LE Inputs'!$C$1:$J$1,0),0)*1000</f>
        <v>1375694.3144598522</v>
      </c>
      <c r="K220" s="181">
        <v>555213.47465929529</v>
      </c>
      <c r="L220" s="157">
        <v>374220.2045217891</v>
      </c>
      <c r="M220" s="306"/>
      <c r="N220" s="150">
        <v>52113.031260412099</v>
      </c>
      <c r="O220" s="181">
        <f>VLOOKUP($A220&amp;$B220,'LE Inputs'!$C$2:$J$525,MATCH('LE UtilityData'!O$1,'LE Inputs'!$C$1:$J$1,0),0)</f>
        <v>53122.153021982267</v>
      </c>
      <c r="P220" s="181" t="e">
        <f>VLOOKUP($A220&amp;$B220,'LE Inputs'!$C$2:$J$505,MATCH('LE UtilityData'!P$1,'LE Inputs'!$C$1:$J$1,0),0)</f>
        <v>#N/A</v>
      </c>
      <c r="Q220" s="307">
        <f t="shared" si="25"/>
        <v>666.12749999999994</v>
      </c>
      <c r="R220" s="307">
        <f t="shared" si="25"/>
        <v>2.0225</v>
      </c>
      <c r="S220" s="161">
        <f t="shared" si="25"/>
        <v>674.3</v>
      </c>
      <c r="T220" s="161">
        <f t="shared" si="25"/>
        <v>1.1499999999999999</v>
      </c>
      <c r="U220" s="159">
        <v>4124</v>
      </c>
      <c r="V220" s="159">
        <v>1696</v>
      </c>
      <c r="W220" s="159" t="e">
        <f t="shared" si="23"/>
        <v>#DIV/0!</v>
      </c>
      <c r="X220" s="159">
        <f t="shared" si="20"/>
        <v>0</v>
      </c>
    </row>
    <row r="221" spans="1:24" x14ac:dyDescent="0.2">
      <c r="A221" s="147">
        <v>2019</v>
      </c>
      <c r="B221" s="147">
        <v>4</v>
      </c>
      <c r="C221" s="161"/>
      <c r="D221" s="161"/>
      <c r="E221" s="166">
        <v>13.470782159288195</v>
      </c>
      <c r="F221" s="258">
        <f t="shared" si="24"/>
        <v>13.11662174987983</v>
      </c>
      <c r="G221" s="258">
        <f t="shared" si="24"/>
        <v>11.645595788473207</v>
      </c>
      <c r="H221" s="166">
        <v>29.95</v>
      </c>
      <c r="I221" s="148">
        <v>778758.19544896099</v>
      </c>
      <c r="J221" s="181">
        <f>VLOOKUP($A221&amp;$B221,'LE Inputs'!$C$2:$J$505,MATCH('LE UtilityData'!J$1,'LE Inputs'!$C$1:$J$1,0),0)*1000</f>
        <v>1378197.5182127694</v>
      </c>
      <c r="K221" s="181">
        <v>556130.4142388904</v>
      </c>
      <c r="L221" s="157">
        <v>374437.05117723078</v>
      </c>
      <c r="M221" s="306"/>
      <c r="N221" s="150">
        <v>52581.134339279</v>
      </c>
      <c r="O221" s="181">
        <f>VLOOKUP($A221&amp;$B221,'LE Inputs'!$C$2:$J$525,MATCH('LE UtilityData'!O$1,'LE Inputs'!$C$1:$J$1,0),0)</f>
        <v>53511.558804897133</v>
      </c>
      <c r="P221" s="181" t="e">
        <f>VLOOKUP($A221&amp;$B221,'LE Inputs'!$C$2:$J$505,MATCH('LE UtilityData'!P$1,'LE Inputs'!$C$1:$J$1,0),0)</f>
        <v>#N/A</v>
      </c>
      <c r="Q221" s="307">
        <f t="shared" si="25"/>
        <v>370.83499999999998</v>
      </c>
      <c r="R221" s="307">
        <f t="shared" si="25"/>
        <v>22.565000000000001</v>
      </c>
      <c r="S221" s="161">
        <f t="shared" si="25"/>
        <v>377.1</v>
      </c>
      <c r="T221" s="161">
        <f t="shared" si="25"/>
        <v>20.25</v>
      </c>
      <c r="U221" s="159">
        <v>4124</v>
      </c>
      <c r="V221" s="159">
        <v>1696</v>
      </c>
      <c r="W221" s="159" t="e">
        <f t="shared" si="23"/>
        <v>#DIV/0!</v>
      </c>
      <c r="X221" s="159">
        <f t="shared" si="20"/>
        <v>0</v>
      </c>
    </row>
    <row r="222" spans="1:24" x14ac:dyDescent="0.2">
      <c r="A222" s="147">
        <v>2019</v>
      </c>
      <c r="B222" s="147">
        <v>5</v>
      </c>
      <c r="C222" s="161"/>
      <c r="D222" s="161"/>
      <c r="E222" s="166">
        <v>13.470782159288195</v>
      </c>
      <c r="F222" s="258">
        <f t="shared" si="24"/>
        <v>13.11662174987983</v>
      </c>
      <c r="G222" s="258">
        <f t="shared" si="24"/>
        <v>11.645595788473207</v>
      </c>
      <c r="H222" s="166">
        <v>30.38</v>
      </c>
      <c r="I222" s="148">
        <v>779209.19544896099</v>
      </c>
      <c r="J222" s="181">
        <f>VLOOKUP($A222&amp;$B222,'LE Inputs'!$C$2:$J$505,MATCH('LE UtilityData'!J$1,'LE Inputs'!$C$1:$J$1,0),0)*1000</f>
        <v>1378197.5182127694</v>
      </c>
      <c r="K222" s="181">
        <v>556130.4142388904</v>
      </c>
      <c r="L222" s="157">
        <v>374653.89783267252</v>
      </c>
      <c r="M222" s="306"/>
      <c r="N222" s="150">
        <v>52581.134339279</v>
      </c>
      <c r="O222" s="181">
        <f>VLOOKUP($A222&amp;$B222,'LE Inputs'!$C$2:$J$525,MATCH('LE UtilityData'!O$1,'LE Inputs'!$C$1:$J$1,0),0)</f>
        <v>53511.558804897133</v>
      </c>
      <c r="P222" s="181" t="e">
        <f>VLOOKUP($A222&amp;$B222,'LE Inputs'!$C$2:$J$505,MATCH('LE UtilityData'!P$1,'LE Inputs'!$C$1:$J$1,0),0)</f>
        <v>#N/A</v>
      </c>
      <c r="Q222" s="307">
        <f t="shared" si="25"/>
        <v>141.76749999999998</v>
      </c>
      <c r="R222" s="307">
        <f t="shared" si="25"/>
        <v>69.552499999999995</v>
      </c>
      <c r="S222" s="161">
        <f t="shared" si="25"/>
        <v>141</v>
      </c>
      <c r="T222" s="161">
        <f t="shared" si="25"/>
        <v>69.349999999999994</v>
      </c>
      <c r="U222" s="159">
        <v>4124</v>
      </c>
      <c r="V222" s="159">
        <v>1696</v>
      </c>
      <c r="W222" s="159" t="e">
        <f t="shared" si="23"/>
        <v>#DIV/0!</v>
      </c>
      <c r="X222" s="159">
        <f t="shared" si="20"/>
        <v>0</v>
      </c>
    </row>
    <row r="223" spans="1:24" x14ac:dyDescent="0.2">
      <c r="A223" s="147">
        <v>2019</v>
      </c>
      <c r="B223" s="147">
        <v>6</v>
      </c>
      <c r="C223" s="161"/>
      <c r="D223" s="161"/>
      <c r="E223" s="166">
        <v>13.470782159288195</v>
      </c>
      <c r="F223" s="258">
        <f t="shared" si="24"/>
        <v>13.11662174987983</v>
      </c>
      <c r="G223" s="258">
        <f t="shared" si="24"/>
        <v>11.645595788473207</v>
      </c>
      <c r="H223" s="166">
        <v>30.67</v>
      </c>
      <c r="I223" s="148">
        <v>779655.84210703208</v>
      </c>
      <c r="J223" s="181">
        <f>VLOOKUP($A223&amp;$B223,'LE Inputs'!$C$2:$J$505,MATCH('LE UtilityData'!J$1,'LE Inputs'!$C$1:$J$1,0),0)*1000</f>
        <v>1378197.5182127694</v>
      </c>
      <c r="K223" s="181">
        <v>556130.4142388904</v>
      </c>
      <c r="L223" s="157">
        <v>374868.65134479431</v>
      </c>
      <c r="M223" s="306"/>
      <c r="N223" s="150">
        <v>52581.134339279</v>
      </c>
      <c r="O223" s="181">
        <f>VLOOKUP($A223&amp;$B223,'LE Inputs'!$C$2:$J$525,MATCH('LE UtilityData'!O$1,'LE Inputs'!$C$1:$J$1,0),0)</f>
        <v>53511.558804897133</v>
      </c>
      <c r="P223" s="181" t="e">
        <f>VLOOKUP($A223&amp;$B223,'LE Inputs'!$C$2:$J$505,MATCH('LE UtilityData'!P$1,'LE Inputs'!$C$1:$J$1,0),0)</f>
        <v>#N/A</v>
      </c>
      <c r="Q223" s="307">
        <f t="shared" si="25"/>
        <v>29.807499999999997</v>
      </c>
      <c r="R223" s="307">
        <f t="shared" si="25"/>
        <v>219.05749999999998</v>
      </c>
      <c r="S223" s="161">
        <f t="shared" si="25"/>
        <v>29.5</v>
      </c>
      <c r="T223" s="161">
        <f t="shared" si="25"/>
        <v>224.8</v>
      </c>
      <c r="U223" s="159">
        <v>4124</v>
      </c>
      <c r="V223" s="159">
        <v>1696</v>
      </c>
      <c r="W223" s="159" t="e">
        <f t="shared" si="23"/>
        <v>#DIV/0!</v>
      </c>
      <c r="X223" s="159">
        <f t="shared" si="20"/>
        <v>0</v>
      </c>
    </row>
    <row r="224" spans="1:24" x14ac:dyDescent="0.2">
      <c r="A224" s="147">
        <v>2019</v>
      </c>
      <c r="B224" s="147">
        <v>7</v>
      </c>
      <c r="C224" s="161"/>
      <c r="D224" s="161"/>
      <c r="E224" s="166">
        <v>13.470782159288195</v>
      </c>
      <c r="F224" s="258">
        <f t="shared" si="24"/>
        <v>13.11662174987983</v>
      </c>
      <c r="G224" s="258">
        <f t="shared" si="24"/>
        <v>11.645595788473207</v>
      </c>
      <c r="H224" s="166">
        <v>30.67</v>
      </c>
      <c r="I224" s="148">
        <v>780103.84210703208</v>
      </c>
      <c r="J224" s="181">
        <f>VLOOKUP($A224&amp;$B224,'LE Inputs'!$C$2:$J$505,MATCH('LE UtilityData'!J$1,'LE Inputs'!$C$1:$J$1,0),0)*1000</f>
        <v>1381523.7765878248</v>
      </c>
      <c r="K224" s="181">
        <v>557428.11221819138</v>
      </c>
      <c r="L224" s="157">
        <v>375084.05556128628</v>
      </c>
      <c r="M224" s="306"/>
      <c r="N224" s="150">
        <v>52886.873351148999</v>
      </c>
      <c r="O224" s="181">
        <f>VLOOKUP($A224&amp;$B224,'LE Inputs'!$C$2:$J$525,MATCH('LE UtilityData'!O$1,'LE Inputs'!$C$1:$J$1,0),0)</f>
        <v>53716.289595514107</v>
      </c>
      <c r="P224" s="181" t="e">
        <f>VLOOKUP($A224&amp;$B224,'LE Inputs'!$C$2:$J$505,MATCH('LE UtilityData'!P$1,'LE Inputs'!$C$1:$J$1,0),0)</f>
        <v>#N/A</v>
      </c>
      <c r="Q224" s="307">
        <f t="shared" si="25"/>
        <v>0.57250000000000001</v>
      </c>
      <c r="R224" s="307">
        <f t="shared" si="25"/>
        <v>397.17500000000001</v>
      </c>
      <c r="S224" s="161">
        <f t="shared" si="25"/>
        <v>0.55000000000000004</v>
      </c>
      <c r="T224" s="161">
        <f t="shared" si="25"/>
        <v>396.4</v>
      </c>
      <c r="U224" s="159">
        <v>4124</v>
      </c>
      <c r="V224" s="159">
        <v>1696</v>
      </c>
      <c r="W224" s="159" t="e">
        <f t="shared" si="23"/>
        <v>#DIV/0!</v>
      </c>
      <c r="X224" s="159">
        <f t="shared" si="20"/>
        <v>0</v>
      </c>
    </row>
    <row r="225" spans="1:24" x14ac:dyDescent="0.2">
      <c r="A225" s="147">
        <v>2019</v>
      </c>
      <c r="B225" s="147">
        <v>8</v>
      </c>
      <c r="C225" s="161"/>
      <c r="D225" s="161"/>
      <c r="E225" s="166">
        <v>13.470782159288195</v>
      </c>
      <c r="F225" s="258">
        <f t="shared" si="24"/>
        <v>13.11662174987983</v>
      </c>
      <c r="G225" s="258">
        <f t="shared" si="24"/>
        <v>11.645595788473207</v>
      </c>
      <c r="H225" s="166">
        <v>29.48</v>
      </c>
      <c r="I225" s="148">
        <v>780551.84210703208</v>
      </c>
      <c r="J225" s="181">
        <f>VLOOKUP($A225&amp;$B225,'LE Inputs'!$C$2:$J$505,MATCH('LE UtilityData'!J$1,'LE Inputs'!$C$1:$J$1,0),0)*1000</f>
        <v>1381523.7765878248</v>
      </c>
      <c r="K225" s="181">
        <v>557428.11221819138</v>
      </c>
      <c r="L225" s="157">
        <v>375299.45977777831</v>
      </c>
      <c r="M225" s="306"/>
      <c r="N225" s="150">
        <v>52886.873351148999</v>
      </c>
      <c r="O225" s="181">
        <f>VLOOKUP($A225&amp;$B225,'LE Inputs'!$C$2:$J$525,MATCH('LE UtilityData'!O$1,'LE Inputs'!$C$1:$J$1,0),0)</f>
        <v>53716.289595514107</v>
      </c>
      <c r="P225" s="181" t="e">
        <f>VLOOKUP($A225&amp;$B225,'LE Inputs'!$C$2:$J$505,MATCH('LE UtilityData'!P$1,'LE Inputs'!$C$1:$J$1,0),0)</f>
        <v>#N/A</v>
      </c>
      <c r="Q225" s="307">
        <f t="shared" si="25"/>
        <v>0.1</v>
      </c>
      <c r="R225" s="307">
        <f t="shared" si="25"/>
        <v>418.51750000000004</v>
      </c>
      <c r="S225" s="161">
        <f t="shared" si="25"/>
        <v>0.1</v>
      </c>
      <c r="T225" s="161">
        <f t="shared" si="25"/>
        <v>417.05</v>
      </c>
      <c r="U225" s="159">
        <v>4124</v>
      </c>
      <c r="V225" s="159">
        <v>1696</v>
      </c>
      <c r="W225" s="159" t="e">
        <f t="shared" si="23"/>
        <v>#DIV/0!</v>
      </c>
      <c r="X225" s="159">
        <f t="shared" si="20"/>
        <v>0</v>
      </c>
    </row>
    <row r="226" spans="1:24" x14ac:dyDescent="0.2">
      <c r="A226" s="147">
        <v>2019</v>
      </c>
      <c r="B226" s="147">
        <v>9</v>
      </c>
      <c r="C226" s="161"/>
      <c r="D226" s="161"/>
      <c r="E226" s="166">
        <v>13.470782159288195</v>
      </c>
      <c r="F226" s="258">
        <f t="shared" si="24"/>
        <v>13.11662174987983</v>
      </c>
      <c r="G226" s="258">
        <f t="shared" si="24"/>
        <v>11.645595788473207</v>
      </c>
      <c r="H226" s="166">
        <v>30.71</v>
      </c>
      <c r="I226" s="148">
        <v>780999.84210703208</v>
      </c>
      <c r="J226" s="181">
        <f>VLOOKUP($A226&amp;$B226,'LE Inputs'!$C$2:$J$505,MATCH('LE UtilityData'!J$1,'LE Inputs'!$C$1:$J$1,0),0)*1000</f>
        <v>1381523.7765878248</v>
      </c>
      <c r="K226" s="181">
        <v>557428.11221819138</v>
      </c>
      <c r="L226" s="157">
        <v>375514.86399427027</v>
      </c>
      <c r="M226" s="306"/>
      <c r="N226" s="150">
        <v>52886.873351148999</v>
      </c>
      <c r="O226" s="181">
        <f>VLOOKUP($A226&amp;$B226,'LE Inputs'!$C$2:$J$525,MATCH('LE UtilityData'!O$1,'LE Inputs'!$C$1:$J$1,0),0)</f>
        <v>53716.289595514107</v>
      </c>
      <c r="P226" s="181" t="e">
        <f>VLOOKUP($A226&amp;$B226,'LE Inputs'!$C$2:$J$505,MATCH('LE UtilityData'!P$1,'LE Inputs'!$C$1:$J$1,0),0)</f>
        <v>#N/A</v>
      </c>
      <c r="Q226" s="307">
        <f t="shared" si="25"/>
        <v>5.2125000000000004</v>
      </c>
      <c r="R226" s="307">
        <f t="shared" si="25"/>
        <v>326.05</v>
      </c>
      <c r="S226" s="161">
        <f t="shared" si="25"/>
        <v>5.35</v>
      </c>
      <c r="T226" s="161">
        <f t="shared" si="25"/>
        <v>330.2</v>
      </c>
      <c r="U226" s="159">
        <v>4124</v>
      </c>
      <c r="V226" s="159">
        <v>1696</v>
      </c>
      <c r="W226" s="159" t="e">
        <f t="shared" si="23"/>
        <v>#DIV/0!</v>
      </c>
      <c r="X226" s="159">
        <f t="shared" si="20"/>
        <v>0</v>
      </c>
    </row>
    <row r="227" spans="1:24" x14ac:dyDescent="0.2">
      <c r="A227" s="147">
        <v>2019</v>
      </c>
      <c r="B227" s="147">
        <v>10</v>
      </c>
      <c r="C227" s="161"/>
      <c r="D227" s="161"/>
      <c r="E227" s="166">
        <v>13.470782159288195</v>
      </c>
      <c r="F227" s="258">
        <f t="shared" ref="F227:G242" si="26">F215*(1+0.02)</f>
        <v>13.11662174987983</v>
      </c>
      <c r="G227" s="258">
        <f t="shared" si="26"/>
        <v>11.645595788473207</v>
      </c>
      <c r="H227" s="166">
        <v>29.52</v>
      </c>
      <c r="I227" s="148">
        <v>781447.84210703208</v>
      </c>
      <c r="J227" s="181">
        <f>VLOOKUP($A227&amp;$B227,'LE Inputs'!$C$2:$J$505,MATCH('LE UtilityData'!J$1,'LE Inputs'!$C$1:$J$1,0),0)*1000</f>
        <v>1385182.6457277234</v>
      </c>
      <c r="K227" s="181">
        <v>558868.48263437033</v>
      </c>
      <c r="L227" s="157">
        <v>375730.26821076224</v>
      </c>
      <c r="M227" s="306"/>
      <c r="N227" s="150">
        <v>53276.823364763397</v>
      </c>
      <c r="O227" s="181">
        <f>VLOOKUP($A227&amp;$B227,'LE Inputs'!$C$2:$J$525,MATCH('LE UtilityData'!O$1,'LE Inputs'!$C$1:$J$1,0),0)</f>
        <v>54001.980329679893</v>
      </c>
      <c r="P227" s="181" t="e">
        <f>VLOOKUP($A227&amp;$B227,'LE Inputs'!$C$2:$J$505,MATCH('LE UtilityData'!P$1,'LE Inputs'!$C$1:$J$1,0),0)</f>
        <v>#N/A</v>
      </c>
      <c r="Q227" s="307">
        <f t="shared" ref="Q227:T242" si="27">Q215</f>
        <v>99.232500000000002</v>
      </c>
      <c r="R227" s="307">
        <f t="shared" si="27"/>
        <v>97.24</v>
      </c>
      <c r="S227" s="161">
        <f t="shared" si="27"/>
        <v>99.3</v>
      </c>
      <c r="T227" s="161">
        <f t="shared" si="27"/>
        <v>100.05</v>
      </c>
      <c r="U227" s="159">
        <v>4124</v>
      </c>
      <c r="V227" s="159">
        <v>1696</v>
      </c>
      <c r="W227" s="159" t="e">
        <f t="shared" si="23"/>
        <v>#DIV/0!</v>
      </c>
      <c r="X227" s="159">
        <f t="shared" si="20"/>
        <v>0</v>
      </c>
    </row>
    <row r="228" spans="1:24" x14ac:dyDescent="0.2">
      <c r="A228" s="147">
        <v>2019</v>
      </c>
      <c r="B228" s="147">
        <v>11</v>
      </c>
      <c r="C228" s="161"/>
      <c r="D228" s="161"/>
      <c r="E228" s="166">
        <v>13.470782159288195</v>
      </c>
      <c r="F228" s="258">
        <f t="shared" si="26"/>
        <v>13.11662174987983</v>
      </c>
      <c r="G228" s="258">
        <f t="shared" si="26"/>
        <v>11.645595788473207</v>
      </c>
      <c r="H228" s="166">
        <v>29.38</v>
      </c>
      <c r="I228" s="148">
        <v>781895.84210703208</v>
      </c>
      <c r="J228" s="181">
        <f>VLOOKUP($A228&amp;$B228,'LE Inputs'!$C$2:$J$505,MATCH('LE UtilityData'!J$1,'LE Inputs'!$C$1:$J$1,0),0)*1000</f>
        <v>1385182.6457277234</v>
      </c>
      <c r="K228" s="181">
        <v>558868.48263437033</v>
      </c>
      <c r="L228" s="157">
        <v>375945.67242725426</v>
      </c>
      <c r="M228" s="306"/>
      <c r="N228" s="150">
        <v>53276.823364763397</v>
      </c>
      <c r="O228" s="181">
        <f>VLOOKUP($A228&amp;$B228,'LE Inputs'!$C$2:$J$525,MATCH('LE UtilityData'!O$1,'LE Inputs'!$C$1:$J$1,0),0)</f>
        <v>54001.980329679893</v>
      </c>
      <c r="P228" s="181" t="e">
        <f>VLOOKUP($A228&amp;$B228,'LE Inputs'!$C$2:$J$505,MATCH('LE UtilityData'!P$1,'LE Inputs'!$C$1:$J$1,0),0)</f>
        <v>#N/A</v>
      </c>
      <c r="Q228" s="307">
        <f t="shared" si="27"/>
        <v>353.59499999999997</v>
      </c>
      <c r="R228" s="307">
        <f t="shared" si="27"/>
        <v>11.487500000000001</v>
      </c>
      <c r="S228" s="161">
        <f t="shared" si="27"/>
        <v>352.6</v>
      </c>
      <c r="T228" s="161">
        <f t="shared" si="27"/>
        <v>12.75</v>
      </c>
      <c r="U228" s="159">
        <v>4124</v>
      </c>
      <c r="V228" s="159">
        <v>1696</v>
      </c>
      <c r="W228" s="159" t="e">
        <f t="shared" si="23"/>
        <v>#DIV/0!</v>
      </c>
      <c r="X228" s="159">
        <f t="shared" si="20"/>
        <v>0</v>
      </c>
    </row>
    <row r="229" spans="1:24" x14ac:dyDescent="0.2">
      <c r="A229" s="147">
        <v>2019</v>
      </c>
      <c r="B229" s="147">
        <v>12</v>
      </c>
      <c r="C229" s="161"/>
      <c r="D229" s="161"/>
      <c r="E229" s="166">
        <v>13.470782159288195</v>
      </c>
      <c r="F229" s="258">
        <f t="shared" si="26"/>
        <v>13.11662174987983</v>
      </c>
      <c r="G229" s="258">
        <f t="shared" si="26"/>
        <v>11.645595788473207</v>
      </c>
      <c r="H229" s="166">
        <v>32.049999999999997</v>
      </c>
      <c r="I229" s="148">
        <v>782343.84210703208</v>
      </c>
      <c r="J229" s="181">
        <f>VLOOKUP($A229&amp;$B229,'LE Inputs'!$C$2:$J$505,MATCH('LE UtilityData'!J$1,'LE Inputs'!$C$1:$J$1,0),0)*1000</f>
        <v>1385182.6457277234</v>
      </c>
      <c r="K229" s="181">
        <v>558868.48263437033</v>
      </c>
      <c r="L229" s="157">
        <v>376161.07664374623</v>
      </c>
      <c r="M229" s="306"/>
      <c r="N229" s="150">
        <v>53276.823364763397</v>
      </c>
      <c r="O229" s="181">
        <f>VLOOKUP($A229&amp;$B229,'LE Inputs'!$C$2:$J$525,MATCH('LE UtilityData'!O$1,'LE Inputs'!$C$1:$J$1,0),0)</f>
        <v>54001.980329679893</v>
      </c>
      <c r="P229" s="181" t="e">
        <f>VLOOKUP($A229&amp;$B229,'LE Inputs'!$C$2:$J$505,MATCH('LE UtilityData'!P$1,'LE Inputs'!$C$1:$J$1,0),0)</f>
        <v>#N/A</v>
      </c>
      <c r="Q229" s="307">
        <f t="shared" si="27"/>
        <v>667.68999999999994</v>
      </c>
      <c r="R229" s="307">
        <f t="shared" si="27"/>
        <v>1.1850000000000001</v>
      </c>
      <c r="S229" s="161">
        <f t="shared" si="27"/>
        <v>669.9</v>
      </c>
      <c r="T229" s="161">
        <f t="shared" si="27"/>
        <v>1.05</v>
      </c>
      <c r="U229" s="159">
        <v>4124</v>
      </c>
      <c r="V229" s="159">
        <v>1696</v>
      </c>
      <c r="W229" s="159" t="e">
        <f t="shared" si="23"/>
        <v>#DIV/0!</v>
      </c>
      <c r="X229" s="159">
        <f t="shared" si="20"/>
        <v>0</v>
      </c>
    </row>
    <row r="230" spans="1:24" x14ac:dyDescent="0.2">
      <c r="A230" s="147">
        <v>2020</v>
      </c>
      <c r="B230" s="147">
        <v>1</v>
      </c>
      <c r="C230" s="161"/>
      <c r="D230" s="161"/>
      <c r="E230" s="166">
        <v>13.424370704735015</v>
      </c>
      <c r="F230" s="258">
        <f t="shared" si="26"/>
        <v>13.378954184877426</v>
      </c>
      <c r="G230" s="258">
        <f t="shared" si="26"/>
        <v>11.87850770424267</v>
      </c>
      <c r="H230" s="166">
        <v>32.33</v>
      </c>
      <c r="I230" s="148">
        <v>782791.84210703208</v>
      </c>
      <c r="J230" s="181">
        <f>VLOOKUP($A230&amp;$B230,'LE Inputs'!$C$2:$J$505,MATCH('LE UtilityData'!J$1,'LE Inputs'!$C$1:$J$1,0),0)*1000</f>
        <v>1387705.0532664843</v>
      </c>
      <c r="K230" s="181">
        <v>559829.63233879546</v>
      </c>
      <c r="L230" s="157">
        <v>376376.4808602382</v>
      </c>
      <c r="M230" s="306"/>
      <c r="N230" s="150">
        <v>53980.865732478203</v>
      </c>
      <c r="O230" s="181">
        <f>VLOOKUP($A230&amp;$B230,'LE Inputs'!$C$2:$J$525,MATCH('LE UtilityData'!O$1,'LE Inputs'!$C$1:$J$1,0),0)</f>
        <v>54626.264660326895</v>
      </c>
      <c r="P230" s="181" t="e">
        <f>VLOOKUP($A230&amp;$B230,'LE Inputs'!$C$2:$J$505,MATCH('LE UtilityData'!P$1,'LE Inputs'!$C$1:$J$1,0),0)</f>
        <v>#N/A</v>
      </c>
      <c r="Q230" s="307">
        <f t="shared" si="27"/>
        <v>927.57249999999999</v>
      </c>
      <c r="R230" s="307">
        <f t="shared" si="27"/>
        <v>0.35</v>
      </c>
      <c r="S230" s="161">
        <f t="shared" si="27"/>
        <v>932.4</v>
      </c>
      <c r="T230" s="161">
        <f t="shared" si="27"/>
        <v>0.35</v>
      </c>
      <c r="U230" s="159">
        <v>4124</v>
      </c>
      <c r="V230" s="159">
        <v>1696</v>
      </c>
      <c r="W230" s="159" t="e">
        <f t="shared" si="23"/>
        <v>#DIV/0!</v>
      </c>
      <c r="X230" s="159">
        <f t="shared" si="20"/>
        <v>0</v>
      </c>
    </row>
    <row r="231" spans="1:24" x14ac:dyDescent="0.2">
      <c r="A231" s="147">
        <v>2020</v>
      </c>
      <c r="B231" s="147">
        <v>2</v>
      </c>
      <c r="C231" s="161"/>
      <c r="D231" s="161"/>
      <c r="E231" s="166">
        <v>13.424370704735015</v>
      </c>
      <c r="F231" s="258">
        <f t="shared" si="26"/>
        <v>13.378954184877426</v>
      </c>
      <c r="G231" s="258">
        <f t="shared" si="26"/>
        <v>11.87850770424267</v>
      </c>
      <c r="H231" s="166">
        <v>30.05</v>
      </c>
      <c r="I231" s="148">
        <v>783239.84210703208</v>
      </c>
      <c r="J231" s="181">
        <f>VLOOKUP($A231&amp;$B231,'LE Inputs'!$C$2:$J$505,MATCH('LE UtilityData'!J$1,'LE Inputs'!$C$1:$J$1,0),0)*1000</f>
        <v>1387705.0532664843</v>
      </c>
      <c r="K231" s="181">
        <v>559829.63233879546</v>
      </c>
      <c r="L231" s="157">
        <v>376591.88507673022</v>
      </c>
      <c r="M231" s="306"/>
      <c r="N231" s="150">
        <v>53980.865732478203</v>
      </c>
      <c r="O231" s="181">
        <f>VLOOKUP($A231&amp;$B231,'LE Inputs'!$C$2:$J$525,MATCH('LE UtilityData'!O$1,'LE Inputs'!$C$1:$J$1,0),0)</f>
        <v>54626.264660326895</v>
      </c>
      <c r="P231" s="181" t="e">
        <f>VLOOKUP($A231&amp;$B231,'LE Inputs'!$C$2:$J$505,MATCH('LE UtilityData'!P$1,'LE Inputs'!$C$1:$J$1,0),0)</f>
        <v>#N/A</v>
      </c>
      <c r="Q231" s="307">
        <f t="shared" si="27"/>
        <v>858.35750000000007</v>
      </c>
      <c r="R231" s="307">
        <f t="shared" si="27"/>
        <v>0.05</v>
      </c>
      <c r="S231" s="161">
        <f t="shared" si="27"/>
        <v>864.1</v>
      </c>
      <c r="T231" s="161">
        <f t="shared" si="27"/>
        <v>0.05</v>
      </c>
      <c r="U231" s="159">
        <v>4124</v>
      </c>
      <c r="V231" s="159">
        <v>1696</v>
      </c>
      <c r="W231" s="159" t="e">
        <f t="shared" si="23"/>
        <v>#DIV/0!</v>
      </c>
      <c r="X231" s="159">
        <f t="shared" si="20"/>
        <v>0</v>
      </c>
    </row>
    <row r="232" spans="1:24" x14ac:dyDescent="0.2">
      <c r="A232" s="147">
        <v>2020</v>
      </c>
      <c r="B232" s="147">
        <v>3</v>
      </c>
      <c r="C232" s="161"/>
      <c r="D232" s="161"/>
      <c r="E232" s="166">
        <v>13.424370704735015</v>
      </c>
      <c r="F232" s="258">
        <f t="shared" si="26"/>
        <v>13.378954184877426</v>
      </c>
      <c r="G232" s="258">
        <f t="shared" si="26"/>
        <v>11.87850770424267</v>
      </c>
      <c r="H232" s="166">
        <v>30.19</v>
      </c>
      <c r="I232" s="148">
        <v>783687.84210703208</v>
      </c>
      <c r="J232" s="181">
        <f>VLOOKUP($A232&amp;$B232,'LE Inputs'!$C$2:$J$505,MATCH('LE UtilityData'!J$1,'LE Inputs'!$C$1:$J$1,0),0)*1000</f>
        <v>1387705.0532664843</v>
      </c>
      <c r="K232" s="181">
        <v>559829.63233879546</v>
      </c>
      <c r="L232" s="157">
        <v>376807.28929322219</v>
      </c>
      <c r="M232" s="306"/>
      <c r="N232" s="150">
        <v>53980.865732478203</v>
      </c>
      <c r="O232" s="181">
        <f>VLOOKUP($A232&amp;$B232,'LE Inputs'!$C$2:$J$525,MATCH('LE UtilityData'!O$1,'LE Inputs'!$C$1:$J$1,0),0)</f>
        <v>54626.264660326895</v>
      </c>
      <c r="P232" s="181" t="e">
        <f>VLOOKUP($A232&amp;$B232,'LE Inputs'!$C$2:$J$505,MATCH('LE UtilityData'!P$1,'LE Inputs'!$C$1:$J$1,0),0)</f>
        <v>#N/A</v>
      </c>
      <c r="Q232" s="307">
        <f t="shared" si="27"/>
        <v>666.12749999999994</v>
      </c>
      <c r="R232" s="307">
        <f t="shared" si="27"/>
        <v>2.0225</v>
      </c>
      <c r="S232" s="161">
        <f t="shared" si="27"/>
        <v>674.3</v>
      </c>
      <c r="T232" s="161">
        <f t="shared" si="27"/>
        <v>1.1499999999999999</v>
      </c>
      <c r="U232" s="159">
        <v>4124</v>
      </c>
      <c r="V232" s="159">
        <v>1696</v>
      </c>
      <c r="W232" s="159" t="e">
        <f t="shared" si="23"/>
        <v>#DIV/0!</v>
      </c>
      <c r="X232" s="159">
        <f t="shared" si="20"/>
        <v>0</v>
      </c>
    </row>
    <row r="233" spans="1:24" x14ac:dyDescent="0.2">
      <c r="A233" s="147">
        <v>2020</v>
      </c>
      <c r="B233" s="147">
        <v>4</v>
      </c>
      <c r="C233" s="161"/>
      <c r="D233" s="161"/>
      <c r="E233" s="166">
        <v>13.424370704735015</v>
      </c>
      <c r="F233" s="258">
        <f t="shared" si="26"/>
        <v>13.378954184877426</v>
      </c>
      <c r="G233" s="258">
        <f t="shared" si="26"/>
        <v>11.87850770424267</v>
      </c>
      <c r="H233" s="166">
        <v>30.33</v>
      </c>
      <c r="I233" s="148">
        <v>784135.84210703208</v>
      </c>
      <c r="J233" s="181">
        <f>VLOOKUP($A233&amp;$B233,'LE Inputs'!$C$2:$J$505,MATCH('LE UtilityData'!J$1,'LE Inputs'!$C$1:$J$1,0),0)*1000</f>
        <v>1391039.1818327508</v>
      </c>
      <c r="K233" s="181">
        <v>561059.56900788774</v>
      </c>
      <c r="L233" s="157">
        <v>377022.69350971421</v>
      </c>
      <c r="M233" s="306"/>
      <c r="N233" s="150">
        <v>54386.974215748902</v>
      </c>
      <c r="O233" s="181">
        <f>VLOOKUP($A233&amp;$B233,'LE Inputs'!$C$2:$J$525,MATCH('LE UtilityData'!O$1,'LE Inputs'!$C$1:$J$1,0),0)</f>
        <v>54901.94441327465</v>
      </c>
      <c r="P233" s="181" t="e">
        <f>VLOOKUP($A233&amp;$B233,'LE Inputs'!$C$2:$J$505,MATCH('LE UtilityData'!P$1,'LE Inputs'!$C$1:$J$1,0),0)</f>
        <v>#N/A</v>
      </c>
      <c r="Q233" s="307">
        <f t="shared" si="27"/>
        <v>370.83499999999998</v>
      </c>
      <c r="R233" s="307">
        <f t="shared" si="27"/>
        <v>22.565000000000001</v>
      </c>
      <c r="S233" s="161">
        <f t="shared" si="27"/>
        <v>377.1</v>
      </c>
      <c r="T233" s="161">
        <f t="shared" si="27"/>
        <v>20.25</v>
      </c>
      <c r="U233" s="159">
        <v>4124</v>
      </c>
      <c r="V233" s="159">
        <v>1696</v>
      </c>
      <c r="W233" s="159" t="e">
        <f t="shared" si="23"/>
        <v>#DIV/0!</v>
      </c>
      <c r="X233" s="159">
        <f t="shared" si="20"/>
        <v>0</v>
      </c>
    </row>
    <row r="234" spans="1:24" x14ac:dyDescent="0.2">
      <c r="A234" s="147">
        <v>2020</v>
      </c>
      <c r="B234" s="147">
        <v>5</v>
      </c>
      <c r="C234" s="161"/>
      <c r="D234" s="161"/>
      <c r="E234" s="166">
        <v>13.424370704735015</v>
      </c>
      <c r="F234" s="258">
        <f t="shared" si="26"/>
        <v>13.378954184877426</v>
      </c>
      <c r="G234" s="258">
        <f t="shared" si="26"/>
        <v>11.87850770424267</v>
      </c>
      <c r="H234" s="166">
        <v>30.14</v>
      </c>
      <c r="I234" s="148">
        <v>784583.84210703208</v>
      </c>
      <c r="J234" s="181">
        <f>VLOOKUP($A234&amp;$B234,'LE Inputs'!$C$2:$J$505,MATCH('LE UtilityData'!J$1,'LE Inputs'!$C$1:$J$1,0),0)*1000</f>
        <v>1391039.1818327508</v>
      </c>
      <c r="K234" s="181">
        <v>561059.56900788774</v>
      </c>
      <c r="L234" s="157">
        <v>377238.09772620618</v>
      </c>
      <c r="M234" s="306"/>
      <c r="N234" s="150">
        <v>54386.974215748902</v>
      </c>
      <c r="O234" s="181">
        <f>VLOOKUP($A234&amp;$B234,'LE Inputs'!$C$2:$J$525,MATCH('LE UtilityData'!O$1,'LE Inputs'!$C$1:$J$1,0),0)</f>
        <v>54901.94441327465</v>
      </c>
      <c r="P234" s="181" t="e">
        <f>VLOOKUP($A234&amp;$B234,'LE Inputs'!$C$2:$J$505,MATCH('LE UtilityData'!P$1,'LE Inputs'!$C$1:$J$1,0),0)</f>
        <v>#N/A</v>
      </c>
      <c r="Q234" s="307">
        <f t="shared" si="27"/>
        <v>141.76749999999998</v>
      </c>
      <c r="R234" s="307">
        <f t="shared" si="27"/>
        <v>69.552499999999995</v>
      </c>
      <c r="S234" s="161">
        <f t="shared" si="27"/>
        <v>141</v>
      </c>
      <c r="T234" s="161">
        <f t="shared" si="27"/>
        <v>69.349999999999994</v>
      </c>
      <c r="U234" s="159">
        <v>4124</v>
      </c>
      <c r="V234" s="159">
        <v>1696</v>
      </c>
      <c r="W234" s="159" t="e">
        <f t="shared" si="23"/>
        <v>#DIV/0!</v>
      </c>
      <c r="X234" s="159">
        <f t="shared" si="20"/>
        <v>0</v>
      </c>
    </row>
    <row r="235" spans="1:24" x14ac:dyDescent="0.2">
      <c r="A235" s="147">
        <v>2020</v>
      </c>
      <c r="B235" s="147">
        <v>6</v>
      </c>
      <c r="C235" s="161"/>
      <c r="D235" s="161"/>
      <c r="E235" s="166">
        <v>13.424370704735015</v>
      </c>
      <c r="F235" s="258">
        <f t="shared" si="26"/>
        <v>13.378954184877426</v>
      </c>
      <c r="G235" s="258">
        <f t="shared" si="26"/>
        <v>11.87850770424267</v>
      </c>
      <c r="H235" s="166">
        <v>30.52</v>
      </c>
      <c r="I235" s="148">
        <v>785037.5724571445</v>
      </c>
      <c r="J235" s="181">
        <f>VLOOKUP($A235&amp;$B235,'LE Inputs'!$C$2:$J$505,MATCH('LE UtilityData'!J$1,'LE Inputs'!$C$1:$J$1,0),0)*1000</f>
        <v>1391039.1818327508</v>
      </c>
      <c r="K235" s="181">
        <v>561059.56900788774</v>
      </c>
      <c r="L235" s="157">
        <v>377456.25716943073</v>
      </c>
      <c r="M235" s="306"/>
      <c r="N235" s="150">
        <v>54386.974215748902</v>
      </c>
      <c r="O235" s="181">
        <f>VLOOKUP($A235&amp;$B235,'LE Inputs'!$C$2:$J$525,MATCH('LE UtilityData'!O$1,'LE Inputs'!$C$1:$J$1,0),0)</f>
        <v>54901.94441327465</v>
      </c>
      <c r="P235" s="181" t="e">
        <f>VLOOKUP($A235&amp;$B235,'LE Inputs'!$C$2:$J$505,MATCH('LE UtilityData'!P$1,'LE Inputs'!$C$1:$J$1,0),0)</f>
        <v>#N/A</v>
      </c>
      <c r="Q235" s="307">
        <f t="shared" si="27"/>
        <v>29.807499999999997</v>
      </c>
      <c r="R235" s="307">
        <f t="shared" si="27"/>
        <v>219.05749999999998</v>
      </c>
      <c r="S235" s="161">
        <f t="shared" si="27"/>
        <v>29.5</v>
      </c>
      <c r="T235" s="161">
        <f t="shared" si="27"/>
        <v>224.8</v>
      </c>
      <c r="U235" s="159">
        <v>4124</v>
      </c>
      <c r="V235" s="159">
        <v>1696</v>
      </c>
      <c r="W235" s="159" t="e">
        <f t="shared" si="23"/>
        <v>#DIV/0!</v>
      </c>
      <c r="X235" s="159">
        <f t="shared" si="20"/>
        <v>0</v>
      </c>
    </row>
    <row r="236" spans="1:24" x14ac:dyDescent="0.2">
      <c r="A236" s="147">
        <v>2020</v>
      </c>
      <c r="B236" s="147">
        <v>7</v>
      </c>
      <c r="C236" s="161"/>
      <c r="D236" s="161"/>
      <c r="E236" s="166">
        <v>13.424370704735015</v>
      </c>
      <c r="F236" s="258">
        <f t="shared" si="26"/>
        <v>13.378954184877426</v>
      </c>
      <c r="G236" s="258">
        <f t="shared" si="26"/>
        <v>11.87850770424267</v>
      </c>
      <c r="H236" s="166">
        <v>30.67</v>
      </c>
      <c r="I236" s="148">
        <v>785483.5724571445</v>
      </c>
      <c r="J236" s="181">
        <f>VLOOKUP($A236&amp;$B236,'LE Inputs'!$C$2:$J$505,MATCH('LE UtilityData'!J$1,'LE Inputs'!$C$1:$J$1,0),0)*1000</f>
        <v>1394356.8192945186</v>
      </c>
      <c r="K236" s="181">
        <v>562306.61791393638</v>
      </c>
      <c r="L236" s="157">
        <v>377670.69975995622</v>
      </c>
      <c r="M236" s="306"/>
      <c r="N236" s="150">
        <v>54764.934033209996</v>
      </c>
      <c r="O236" s="181">
        <f>VLOOKUP($A236&amp;$B236,'LE Inputs'!$C$2:$J$525,MATCH('LE UtilityData'!O$1,'LE Inputs'!$C$1:$J$1,0),0)</f>
        <v>55151.245712384502</v>
      </c>
      <c r="P236" s="181" t="e">
        <f>VLOOKUP($A236&amp;$B236,'LE Inputs'!$C$2:$J$505,MATCH('LE UtilityData'!P$1,'LE Inputs'!$C$1:$J$1,0),0)</f>
        <v>#N/A</v>
      </c>
      <c r="Q236" s="307">
        <f t="shared" si="27"/>
        <v>0.57250000000000001</v>
      </c>
      <c r="R236" s="307">
        <f t="shared" si="27"/>
        <v>397.17500000000001</v>
      </c>
      <c r="S236" s="161">
        <f t="shared" si="27"/>
        <v>0.55000000000000004</v>
      </c>
      <c r="T236" s="161">
        <f t="shared" si="27"/>
        <v>396.4</v>
      </c>
      <c r="U236" s="159">
        <v>4124</v>
      </c>
      <c r="V236" s="159">
        <v>1696</v>
      </c>
      <c r="W236" s="159" t="e">
        <f t="shared" si="23"/>
        <v>#DIV/0!</v>
      </c>
      <c r="X236" s="159">
        <f t="shared" si="20"/>
        <v>0</v>
      </c>
    </row>
    <row r="237" spans="1:24" x14ac:dyDescent="0.2">
      <c r="A237" s="147">
        <v>2020</v>
      </c>
      <c r="B237" s="147">
        <v>8</v>
      </c>
      <c r="C237" s="161"/>
      <c r="D237" s="161"/>
      <c r="E237" s="166">
        <v>13.424370704735015</v>
      </c>
      <c r="F237" s="258">
        <f t="shared" si="26"/>
        <v>13.378954184877426</v>
      </c>
      <c r="G237" s="258">
        <f t="shared" si="26"/>
        <v>11.87850770424267</v>
      </c>
      <c r="H237" s="166">
        <v>29.48</v>
      </c>
      <c r="I237" s="148">
        <v>785929.5724571445</v>
      </c>
      <c r="J237" s="181">
        <f>VLOOKUP($A237&amp;$B237,'LE Inputs'!$C$2:$J$505,MATCH('LE UtilityData'!J$1,'LE Inputs'!$C$1:$J$1,0),0)*1000</f>
        <v>1394356.8192945186</v>
      </c>
      <c r="K237" s="181">
        <v>562306.61791393638</v>
      </c>
      <c r="L237" s="157">
        <v>377885.14235048171</v>
      </c>
      <c r="M237" s="306"/>
      <c r="N237" s="150">
        <v>54764.934033209996</v>
      </c>
      <c r="O237" s="181">
        <f>VLOOKUP($A237&amp;$B237,'LE Inputs'!$C$2:$J$525,MATCH('LE UtilityData'!O$1,'LE Inputs'!$C$1:$J$1,0),0)</f>
        <v>55151.245712384502</v>
      </c>
      <c r="P237" s="181" t="e">
        <f>VLOOKUP($A237&amp;$B237,'LE Inputs'!$C$2:$J$505,MATCH('LE UtilityData'!P$1,'LE Inputs'!$C$1:$J$1,0),0)</f>
        <v>#N/A</v>
      </c>
      <c r="Q237" s="307">
        <f t="shared" si="27"/>
        <v>0.1</v>
      </c>
      <c r="R237" s="307">
        <f t="shared" si="27"/>
        <v>418.51750000000004</v>
      </c>
      <c r="S237" s="161">
        <f t="shared" si="27"/>
        <v>0.1</v>
      </c>
      <c r="T237" s="161">
        <f t="shared" si="27"/>
        <v>417.05</v>
      </c>
      <c r="U237" s="159">
        <v>4124</v>
      </c>
      <c r="V237" s="159">
        <v>1696</v>
      </c>
      <c r="W237" s="159" t="e">
        <f t="shared" si="23"/>
        <v>#DIV/0!</v>
      </c>
      <c r="X237" s="159">
        <f t="shared" si="20"/>
        <v>0</v>
      </c>
    </row>
    <row r="238" spans="1:24" x14ac:dyDescent="0.2">
      <c r="A238" s="147">
        <v>2020</v>
      </c>
      <c r="B238" s="147">
        <v>9</v>
      </c>
      <c r="C238" s="161"/>
      <c r="D238" s="161"/>
      <c r="E238" s="166">
        <v>13.424370704735015</v>
      </c>
      <c r="F238" s="258">
        <f t="shared" si="26"/>
        <v>13.378954184877426</v>
      </c>
      <c r="G238" s="258">
        <f t="shared" si="26"/>
        <v>11.87850770424267</v>
      </c>
      <c r="H238" s="166">
        <v>30.52</v>
      </c>
      <c r="I238" s="148">
        <v>786375.5724571445</v>
      </c>
      <c r="J238" s="181">
        <f>VLOOKUP($A238&amp;$B238,'LE Inputs'!$C$2:$J$505,MATCH('LE UtilityData'!J$1,'LE Inputs'!$C$1:$J$1,0),0)*1000</f>
        <v>1394356.8192945186</v>
      </c>
      <c r="K238" s="181">
        <v>562306.61791393638</v>
      </c>
      <c r="L238" s="157">
        <v>378099.5849410072</v>
      </c>
      <c r="M238" s="306"/>
      <c r="N238" s="150">
        <v>54764.934033209996</v>
      </c>
      <c r="O238" s="181">
        <f>VLOOKUP($A238&amp;$B238,'LE Inputs'!$C$2:$J$525,MATCH('LE UtilityData'!O$1,'LE Inputs'!$C$1:$J$1,0),0)</f>
        <v>55151.245712384502</v>
      </c>
      <c r="P238" s="181" t="e">
        <f>VLOOKUP($A238&amp;$B238,'LE Inputs'!$C$2:$J$505,MATCH('LE UtilityData'!P$1,'LE Inputs'!$C$1:$J$1,0),0)</f>
        <v>#N/A</v>
      </c>
      <c r="Q238" s="307">
        <f t="shared" si="27"/>
        <v>5.2125000000000004</v>
      </c>
      <c r="R238" s="307">
        <f t="shared" si="27"/>
        <v>326.05</v>
      </c>
      <c r="S238" s="161">
        <f t="shared" si="27"/>
        <v>5.35</v>
      </c>
      <c r="T238" s="161">
        <f t="shared" si="27"/>
        <v>330.2</v>
      </c>
      <c r="U238" s="159">
        <v>4124</v>
      </c>
      <c r="V238" s="159">
        <v>1696</v>
      </c>
      <c r="W238" s="159" t="e">
        <f t="shared" si="23"/>
        <v>#DIV/0!</v>
      </c>
      <c r="X238" s="159">
        <f t="shared" si="20"/>
        <v>0</v>
      </c>
    </row>
    <row r="239" spans="1:24" x14ac:dyDescent="0.2">
      <c r="A239" s="147">
        <v>2020</v>
      </c>
      <c r="B239" s="147">
        <v>10</v>
      </c>
      <c r="C239" s="161"/>
      <c r="D239" s="161"/>
      <c r="E239" s="166">
        <v>13.424370704735015</v>
      </c>
      <c r="F239" s="258">
        <f t="shared" si="26"/>
        <v>13.378954184877426</v>
      </c>
      <c r="G239" s="258">
        <f t="shared" si="26"/>
        <v>11.87850770424267</v>
      </c>
      <c r="H239" s="166">
        <v>29.71</v>
      </c>
      <c r="I239" s="148">
        <v>786821.5724571445</v>
      </c>
      <c r="J239" s="181">
        <f>VLOOKUP($A239&amp;$B239,'LE Inputs'!$C$2:$J$505,MATCH('LE UtilityData'!J$1,'LE Inputs'!$C$1:$J$1,0),0)*1000</f>
        <v>1397669.9795618462</v>
      </c>
      <c r="K239" s="181">
        <v>563527.23044376762</v>
      </c>
      <c r="L239" s="157">
        <v>378314.02753153275</v>
      </c>
      <c r="M239" s="306"/>
      <c r="N239" s="150">
        <v>54827.863419289301</v>
      </c>
      <c r="O239" s="181">
        <f>VLOOKUP($A239&amp;$B239,'LE Inputs'!$C$2:$J$525,MATCH('LE UtilityData'!O$1,'LE Inputs'!$C$1:$J$1,0),0)</f>
        <v>55287.553945045285</v>
      </c>
      <c r="P239" s="181" t="e">
        <f>VLOOKUP($A239&amp;$B239,'LE Inputs'!$C$2:$J$505,MATCH('LE UtilityData'!P$1,'LE Inputs'!$C$1:$J$1,0),0)</f>
        <v>#N/A</v>
      </c>
      <c r="Q239" s="307">
        <f t="shared" si="27"/>
        <v>99.232500000000002</v>
      </c>
      <c r="R239" s="307">
        <f t="shared" si="27"/>
        <v>97.24</v>
      </c>
      <c r="S239" s="161">
        <f t="shared" si="27"/>
        <v>99.3</v>
      </c>
      <c r="T239" s="161">
        <f t="shared" si="27"/>
        <v>100.05</v>
      </c>
      <c r="U239" s="159">
        <v>4124</v>
      </c>
      <c r="V239" s="159">
        <v>1696</v>
      </c>
      <c r="W239" s="159" t="e">
        <f t="shared" si="23"/>
        <v>#DIV/0!</v>
      </c>
      <c r="X239" s="159">
        <f t="shared" si="20"/>
        <v>0</v>
      </c>
    </row>
    <row r="240" spans="1:24" x14ac:dyDescent="0.2">
      <c r="A240" s="147">
        <v>2020</v>
      </c>
      <c r="B240" s="147">
        <v>11</v>
      </c>
      <c r="C240" s="161"/>
      <c r="D240" s="161"/>
      <c r="E240" s="166">
        <v>13.424370704735015</v>
      </c>
      <c r="F240" s="258">
        <f t="shared" si="26"/>
        <v>13.378954184877426</v>
      </c>
      <c r="G240" s="258">
        <f t="shared" si="26"/>
        <v>11.87850770424267</v>
      </c>
      <c r="H240" s="166">
        <v>29.57</v>
      </c>
      <c r="I240" s="148">
        <v>787267.5724571445</v>
      </c>
      <c r="J240" s="181">
        <f>VLOOKUP($A240&amp;$B240,'LE Inputs'!$C$2:$J$505,MATCH('LE UtilityData'!J$1,'LE Inputs'!$C$1:$J$1,0),0)*1000</f>
        <v>1397669.9795618462</v>
      </c>
      <c r="K240" s="181">
        <v>563527.23044376762</v>
      </c>
      <c r="L240" s="157">
        <v>378528.47012205824</v>
      </c>
      <c r="M240" s="306"/>
      <c r="N240" s="150">
        <v>54827.863419289301</v>
      </c>
      <c r="O240" s="181">
        <f>VLOOKUP($A240&amp;$B240,'LE Inputs'!$C$2:$J$525,MATCH('LE UtilityData'!O$1,'LE Inputs'!$C$1:$J$1,0),0)</f>
        <v>55287.553945045285</v>
      </c>
      <c r="P240" s="181" t="e">
        <f>VLOOKUP($A240&amp;$B240,'LE Inputs'!$C$2:$J$505,MATCH('LE UtilityData'!P$1,'LE Inputs'!$C$1:$J$1,0),0)</f>
        <v>#N/A</v>
      </c>
      <c r="Q240" s="307">
        <f t="shared" si="27"/>
        <v>353.59499999999997</v>
      </c>
      <c r="R240" s="307">
        <f t="shared" si="27"/>
        <v>11.487500000000001</v>
      </c>
      <c r="S240" s="161">
        <f t="shared" si="27"/>
        <v>352.6</v>
      </c>
      <c r="T240" s="161">
        <f t="shared" si="27"/>
        <v>12.75</v>
      </c>
      <c r="U240" s="159">
        <v>4124</v>
      </c>
      <c r="V240" s="159">
        <v>1696</v>
      </c>
      <c r="W240" s="159" t="e">
        <f t="shared" si="23"/>
        <v>#DIV/0!</v>
      </c>
      <c r="X240" s="159">
        <f t="shared" si="20"/>
        <v>0</v>
      </c>
    </row>
    <row r="241" spans="1:24" x14ac:dyDescent="0.2">
      <c r="A241" s="147">
        <v>2020</v>
      </c>
      <c r="B241" s="147">
        <v>12</v>
      </c>
      <c r="C241" s="169"/>
      <c r="D241" s="169"/>
      <c r="E241" s="166">
        <v>13.424370704735015</v>
      </c>
      <c r="F241" s="258">
        <f t="shared" si="26"/>
        <v>13.378954184877426</v>
      </c>
      <c r="G241" s="258">
        <f t="shared" si="26"/>
        <v>11.87850770424267</v>
      </c>
      <c r="H241" s="166">
        <v>32.619999999999997</v>
      </c>
      <c r="I241" s="154">
        <v>787713.5724571445</v>
      </c>
      <c r="J241" s="181">
        <f>VLOOKUP($A241&amp;$B241,'LE Inputs'!$C$2:$J$505,MATCH('LE UtilityData'!J$1,'LE Inputs'!$C$1:$J$1,0),0)*1000</f>
        <v>1397669.9795618462</v>
      </c>
      <c r="K241" s="181">
        <v>563527.23044376762</v>
      </c>
      <c r="L241" s="157">
        <v>378742.91271258373</v>
      </c>
      <c r="M241" s="306"/>
      <c r="N241" s="153">
        <v>54827.863419289301</v>
      </c>
      <c r="O241" s="181">
        <f>VLOOKUP($A241&amp;$B241,'LE Inputs'!$C$2:$J$525,MATCH('LE UtilityData'!O$1,'LE Inputs'!$C$1:$J$1,0),0)</f>
        <v>55287.553945045285</v>
      </c>
      <c r="P241" s="181" t="e">
        <f>VLOOKUP($A241&amp;$B241,'LE Inputs'!$C$2:$J$505,MATCH('LE UtilityData'!P$1,'LE Inputs'!$C$1:$J$1,0),0)</f>
        <v>#N/A</v>
      </c>
      <c r="Q241" s="307">
        <f t="shared" si="27"/>
        <v>667.68999999999994</v>
      </c>
      <c r="R241" s="307">
        <f t="shared" si="27"/>
        <v>1.1850000000000001</v>
      </c>
      <c r="S241" s="161">
        <f t="shared" si="27"/>
        <v>669.9</v>
      </c>
      <c r="T241" s="161">
        <f t="shared" si="27"/>
        <v>1.05</v>
      </c>
      <c r="U241" s="159">
        <v>4124</v>
      </c>
      <c r="V241" s="159">
        <v>1696</v>
      </c>
      <c r="W241" s="159" t="e">
        <f t="shared" si="23"/>
        <v>#DIV/0!</v>
      </c>
      <c r="X241" s="159">
        <f t="shared" si="20"/>
        <v>0</v>
      </c>
    </row>
    <row r="242" spans="1:24" x14ac:dyDescent="0.2">
      <c r="A242" s="147">
        <v>2021</v>
      </c>
      <c r="B242" s="147">
        <v>1</v>
      </c>
      <c r="C242" s="169"/>
      <c r="D242" s="308"/>
      <c r="E242" s="166">
        <v>13.75997997235339</v>
      </c>
      <c r="F242" s="258">
        <f t="shared" si="26"/>
        <v>13.646533268574974</v>
      </c>
      <c r="G242" s="258">
        <f t="shared" si="26"/>
        <v>12.116077858327523</v>
      </c>
      <c r="H242" s="166">
        <v>33.049999999999997</v>
      </c>
      <c r="I242" s="148">
        <v>788159.5724571445</v>
      </c>
      <c r="J242" s="181">
        <f>VLOOKUP($A242&amp;$B242,'LE Inputs'!$C$2:$J$505,MATCH('LE UtilityData'!J$1,'LE Inputs'!$C$1:$J$1,0),0)*1000</f>
        <v>1400304.2071178607</v>
      </c>
      <c r="K242" s="181">
        <v>564499.55793077149</v>
      </c>
      <c r="L242" s="157">
        <v>378957.35530310927</v>
      </c>
      <c r="M242" s="306"/>
      <c r="N242" s="150">
        <v>55407.6271323908</v>
      </c>
      <c r="O242" s="181">
        <f>VLOOKUP($A242&amp;$B242,'LE Inputs'!$C$2:$J$525,MATCH('LE UtilityData'!O$1,'LE Inputs'!$C$1:$J$1,0),0)</f>
        <v>55760.417503843637</v>
      </c>
      <c r="P242" s="181" t="e">
        <f>VLOOKUP($A242&amp;$B242,'LE Inputs'!$C$2:$J$505,MATCH('LE UtilityData'!P$1,'LE Inputs'!$C$1:$J$1,0),0)</f>
        <v>#N/A</v>
      </c>
      <c r="Q242" s="307">
        <f t="shared" si="27"/>
        <v>927.57249999999999</v>
      </c>
      <c r="R242" s="307">
        <f t="shared" si="27"/>
        <v>0.35</v>
      </c>
      <c r="S242" s="161">
        <f t="shared" si="27"/>
        <v>932.4</v>
      </c>
      <c r="T242" s="161">
        <f t="shared" si="27"/>
        <v>0.35</v>
      </c>
      <c r="U242" s="159">
        <v>4124</v>
      </c>
      <c r="V242" s="159">
        <v>1696</v>
      </c>
      <c r="W242" s="159" t="e">
        <f t="shared" si="23"/>
        <v>#DIV/0!</v>
      </c>
      <c r="X242" s="159">
        <f t="shared" si="20"/>
        <v>0</v>
      </c>
    </row>
    <row r="243" spans="1:24" x14ac:dyDescent="0.2">
      <c r="A243" s="147">
        <v>2021</v>
      </c>
      <c r="B243" s="147">
        <v>2</v>
      </c>
      <c r="C243" s="169"/>
      <c r="D243" s="169"/>
      <c r="E243" s="166">
        <v>13.75997997235339</v>
      </c>
      <c r="F243" s="258">
        <f t="shared" ref="F243:G258" si="28">F231*(1+0.02)</f>
        <v>13.646533268574974</v>
      </c>
      <c r="G243" s="258">
        <f t="shared" si="28"/>
        <v>12.116077858327523</v>
      </c>
      <c r="H243" s="166">
        <v>30.14</v>
      </c>
      <c r="I243" s="148">
        <v>788605.5724571445</v>
      </c>
      <c r="J243" s="181">
        <f>VLOOKUP($A243&amp;$B243,'LE Inputs'!$C$2:$J$505,MATCH('LE UtilityData'!J$1,'LE Inputs'!$C$1:$J$1,0),0)*1000</f>
        <v>1400304.2071178607</v>
      </c>
      <c r="K243" s="181">
        <v>564499.55793077149</v>
      </c>
      <c r="L243" s="157">
        <v>379171.79789363482</v>
      </c>
      <c r="M243" s="306"/>
      <c r="N243" s="150">
        <v>55407.6271323908</v>
      </c>
      <c r="O243" s="181">
        <f>VLOOKUP($A243&amp;$B243,'LE Inputs'!$C$2:$J$525,MATCH('LE UtilityData'!O$1,'LE Inputs'!$C$1:$J$1,0),0)</f>
        <v>55760.417503843637</v>
      </c>
      <c r="P243" s="181" t="e">
        <f>VLOOKUP($A243&amp;$B243,'LE Inputs'!$C$2:$J$505,MATCH('LE UtilityData'!P$1,'LE Inputs'!$C$1:$J$1,0),0)</f>
        <v>#N/A</v>
      </c>
      <c r="Q243" s="307">
        <f t="shared" ref="Q243:T258" si="29">Q231</f>
        <v>858.35750000000007</v>
      </c>
      <c r="R243" s="307">
        <f t="shared" si="29"/>
        <v>0.05</v>
      </c>
      <c r="S243" s="161">
        <f t="shared" si="29"/>
        <v>864.1</v>
      </c>
      <c r="T243" s="161">
        <f t="shared" si="29"/>
        <v>0.05</v>
      </c>
      <c r="U243" s="159">
        <v>4124</v>
      </c>
      <c r="V243" s="159">
        <v>1696</v>
      </c>
      <c r="W243" s="159" t="e">
        <f t="shared" si="23"/>
        <v>#DIV/0!</v>
      </c>
      <c r="X243" s="159">
        <f t="shared" si="20"/>
        <v>0</v>
      </c>
    </row>
    <row r="244" spans="1:24" x14ac:dyDescent="0.2">
      <c r="A244" s="147">
        <v>2021</v>
      </c>
      <c r="B244" s="147">
        <v>3</v>
      </c>
      <c r="C244" s="169"/>
      <c r="D244" s="169"/>
      <c r="E244" s="166">
        <v>13.75997997235339</v>
      </c>
      <c r="F244" s="258">
        <f t="shared" si="28"/>
        <v>13.646533268574974</v>
      </c>
      <c r="G244" s="258">
        <f t="shared" si="28"/>
        <v>12.116077858327523</v>
      </c>
      <c r="H244" s="166">
        <v>30</v>
      </c>
      <c r="I244" s="148">
        <v>789051.5724571445</v>
      </c>
      <c r="J244" s="181">
        <f>VLOOKUP($A244&amp;$B244,'LE Inputs'!$C$2:$J$505,MATCH('LE UtilityData'!J$1,'LE Inputs'!$C$1:$J$1,0),0)*1000</f>
        <v>1400304.2071178607</v>
      </c>
      <c r="K244" s="181">
        <v>564499.55793077149</v>
      </c>
      <c r="L244" s="157">
        <v>379386.24048416037</v>
      </c>
      <c r="M244" s="306"/>
      <c r="N244" s="150">
        <v>55407.6271323908</v>
      </c>
      <c r="O244" s="181">
        <f>VLOOKUP($A244&amp;$B244,'LE Inputs'!$C$2:$J$525,MATCH('LE UtilityData'!O$1,'LE Inputs'!$C$1:$J$1,0),0)</f>
        <v>55760.417503843637</v>
      </c>
      <c r="P244" s="181" t="e">
        <f>VLOOKUP($A244&amp;$B244,'LE Inputs'!$C$2:$J$505,MATCH('LE UtilityData'!P$1,'LE Inputs'!$C$1:$J$1,0),0)</f>
        <v>#N/A</v>
      </c>
      <c r="Q244" s="307">
        <f t="shared" si="29"/>
        <v>666.12749999999994</v>
      </c>
      <c r="R244" s="307">
        <f t="shared" si="29"/>
        <v>2.0225</v>
      </c>
      <c r="S244" s="161">
        <f t="shared" si="29"/>
        <v>674.3</v>
      </c>
      <c r="T244" s="161">
        <f t="shared" si="29"/>
        <v>1.1499999999999999</v>
      </c>
      <c r="U244" s="159">
        <v>4124</v>
      </c>
      <c r="V244" s="159">
        <v>1696</v>
      </c>
      <c r="W244" s="159" t="e">
        <f t="shared" si="23"/>
        <v>#DIV/0!</v>
      </c>
      <c r="X244" s="159">
        <f t="shared" si="20"/>
        <v>0</v>
      </c>
    </row>
    <row r="245" spans="1:24" x14ac:dyDescent="0.2">
      <c r="A245" s="147">
        <v>2021</v>
      </c>
      <c r="B245" s="147">
        <v>4</v>
      </c>
      <c r="C245" s="169"/>
      <c r="D245" s="169"/>
      <c r="E245" s="166">
        <v>13.75997997235339</v>
      </c>
      <c r="F245" s="258">
        <f t="shared" si="28"/>
        <v>13.646533268574974</v>
      </c>
      <c r="G245" s="258">
        <f t="shared" si="28"/>
        <v>12.116077858327523</v>
      </c>
      <c r="H245" s="166">
        <v>30.86</v>
      </c>
      <c r="I245" s="148">
        <v>789497.5724571445</v>
      </c>
      <c r="J245" s="181">
        <f>VLOOKUP($A245&amp;$B245,'LE Inputs'!$C$2:$J$505,MATCH('LE UtilityData'!J$1,'LE Inputs'!$C$1:$J$1,0),0)*1000</f>
        <v>1403594.6446527613</v>
      </c>
      <c r="K245" s="181">
        <v>565701.4840063944</v>
      </c>
      <c r="L245" s="157">
        <v>379600.68307468586</v>
      </c>
      <c r="M245" s="306"/>
      <c r="N245" s="150">
        <v>55792.319972705402</v>
      </c>
      <c r="O245" s="181">
        <f>VLOOKUP($A245&amp;$B245,'LE Inputs'!$C$2:$J$525,MATCH('LE UtilityData'!O$1,'LE Inputs'!$C$1:$J$1,0),0)</f>
        <v>55997.72567069441</v>
      </c>
      <c r="P245" s="181" t="e">
        <f>VLOOKUP($A245&amp;$B245,'LE Inputs'!$C$2:$J$505,MATCH('LE UtilityData'!P$1,'LE Inputs'!$C$1:$J$1,0),0)</f>
        <v>#N/A</v>
      </c>
      <c r="Q245" s="307">
        <f t="shared" si="29"/>
        <v>370.83499999999998</v>
      </c>
      <c r="R245" s="307">
        <f t="shared" si="29"/>
        <v>22.565000000000001</v>
      </c>
      <c r="S245" s="161">
        <f t="shared" si="29"/>
        <v>377.1</v>
      </c>
      <c r="T245" s="161">
        <f t="shared" si="29"/>
        <v>20.25</v>
      </c>
      <c r="U245" s="159">
        <v>4124</v>
      </c>
      <c r="V245" s="159">
        <v>1696</v>
      </c>
      <c r="W245" s="159" t="e">
        <f t="shared" si="23"/>
        <v>#DIV/0!</v>
      </c>
      <c r="X245" s="159">
        <f t="shared" si="20"/>
        <v>0</v>
      </c>
    </row>
    <row r="246" spans="1:24" x14ac:dyDescent="0.2">
      <c r="A246" s="147">
        <v>2021</v>
      </c>
      <c r="B246" s="147">
        <v>5</v>
      </c>
      <c r="C246" s="169"/>
      <c r="D246" s="169"/>
      <c r="E246" s="166">
        <v>13.75997997235339</v>
      </c>
      <c r="F246" s="258">
        <f t="shared" si="28"/>
        <v>13.646533268574974</v>
      </c>
      <c r="G246" s="258">
        <f t="shared" si="28"/>
        <v>12.116077858327523</v>
      </c>
      <c r="H246" s="166">
        <v>29.48</v>
      </c>
      <c r="I246" s="148">
        <v>789943.5724571445</v>
      </c>
      <c r="J246" s="181">
        <f>VLOOKUP($A246&amp;$B246,'LE Inputs'!$C$2:$J$505,MATCH('LE UtilityData'!J$1,'LE Inputs'!$C$1:$J$1,0),0)*1000</f>
        <v>1403594.6446527613</v>
      </c>
      <c r="K246" s="181">
        <v>565701.4840063944</v>
      </c>
      <c r="L246" s="157">
        <v>379815.12566521141</v>
      </c>
      <c r="M246" s="306"/>
      <c r="N246" s="150">
        <v>55792.319972705402</v>
      </c>
      <c r="O246" s="181">
        <f>VLOOKUP($A246&amp;$B246,'LE Inputs'!$C$2:$J$525,MATCH('LE UtilityData'!O$1,'LE Inputs'!$C$1:$J$1,0),0)</f>
        <v>55997.72567069441</v>
      </c>
      <c r="P246" s="181" t="e">
        <f>VLOOKUP($A246&amp;$B246,'LE Inputs'!$C$2:$J$505,MATCH('LE UtilityData'!P$1,'LE Inputs'!$C$1:$J$1,0),0)</f>
        <v>#N/A</v>
      </c>
      <c r="Q246" s="307">
        <f t="shared" si="29"/>
        <v>141.76749999999998</v>
      </c>
      <c r="R246" s="307">
        <f t="shared" si="29"/>
        <v>69.552499999999995</v>
      </c>
      <c r="S246" s="161">
        <f t="shared" si="29"/>
        <v>141</v>
      </c>
      <c r="T246" s="161">
        <f t="shared" si="29"/>
        <v>69.349999999999994</v>
      </c>
      <c r="U246" s="159">
        <v>4124</v>
      </c>
      <c r="V246" s="159">
        <v>1696</v>
      </c>
      <c r="W246" s="159" t="e">
        <f t="shared" si="23"/>
        <v>#DIV/0!</v>
      </c>
      <c r="X246" s="159">
        <f t="shared" si="20"/>
        <v>0</v>
      </c>
    </row>
    <row r="247" spans="1:24" x14ac:dyDescent="0.2">
      <c r="A247" s="147">
        <v>2021</v>
      </c>
      <c r="B247" s="147">
        <v>6</v>
      </c>
      <c r="C247" s="169"/>
      <c r="D247" s="169"/>
      <c r="E247" s="166">
        <v>13.75997997235339</v>
      </c>
      <c r="F247" s="258">
        <f t="shared" si="28"/>
        <v>13.646533268574974</v>
      </c>
      <c r="G247" s="258">
        <f t="shared" si="28"/>
        <v>12.116077858327523</v>
      </c>
      <c r="H247" s="166">
        <v>30.67</v>
      </c>
      <c r="I247" s="148">
        <v>790383.68878406181</v>
      </c>
      <c r="J247" s="181">
        <f>VLOOKUP($A247&amp;$B247,'LE Inputs'!$C$2:$J$505,MATCH('LE UtilityData'!J$1,'LE Inputs'!$C$1:$J$1,0),0)*1000</f>
        <v>1403594.6446527613</v>
      </c>
      <c r="K247" s="181">
        <v>565701.4840063944</v>
      </c>
      <c r="L247" s="157">
        <v>380026.7393093296</v>
      </c>
      <c r="M247" s="306"/>
      <c r="N247" s="150">
        <v>55792.319972705402</v>
      </c>
      <c r="O247" s="181">
        <f>VLOOKUP($A247&amp;$B247,'LE Inputs'!$C$2:$J$525,MATCH('LE UtilityData'!O$1,'LE Inputs'!$C$1:$J$1,0),0)</f>
        <v>55997.72567069441</v>
      </c>
      <c r="P247" s="181" t="e">
        <f>VLOOKUP($A247&amp;$B247,'LE Inputs'!$C$2:$J$505,MATCH('LE UtilityData'!P$1,'LE Inputs'!$C$1:$J$1,0),0)</f>
        <v>#N/A</v>
      </c>
      <c r="Q247" s="307">
        <f t="shared" si="29"/>
        <v>29.807499999999997</v>
      </c>
      <c r="R247" s="307">
        <f t="shared" si="29"/>
        <v>219.05749999999998</v>
      </c>
      <c r="S247" s="161">
        <f t="shared" si="29"/>
        <v>29.5</v>
      </c>
      <c r="T247" s="161">
        <f t="shared" si="29"/>
        <v>224.8</v>
      </c>
      <c r="U247" s="159">
        <v>4124</v>
      </c>
      <c r="V247" s="159">
        <v>1696</v>
      </c>
      <c r="W247" s="159" t="e">
        <f t="shared" si="23"/>
        <v>#DIV/0!</v>
      </c>
      <c r="X247" s="159">
        <f t="shared" si="20"/>
        <v>0</v>
      </c>
    </row>
    <row r="248" spans="1:24" x14ac:dyDescent="0.2">
      <c r="A248" s="147">
        <v>2021</v>
      </c>
      <c r="B248" s="147">
        <v>7</v>
      </c>
      <c r="C248" s="169"/>
      <c r="D248" s="169"/>
      <c r="E248" s="166">
        <v>13.75997997235339</v>
      </c>
      <c r="F248" s="258">
        <f t="shared" si="28"/>
        <v>13.646533268574974</v>
      </c>
      <c r="G248" s="258">
        <f t="shared" si="28"/>
        <v>12.116077858327523</v>
      </c>
      <c r="H248" s="166">
        <v>30.71</v>
      </c>
      <c r="I248" s="148">
        <v>790825.68878406181</v>
      </c>
      <c r="J248" s="181">
        <f>VLOOKUP($A248&amp;$B248,'LE Inputs'!$C$2:$J$505,MATCH('LE UtilityData'!J$1,'LE Inputs'!$C$1:$J$1,0),0)*1000</f>
        <v>1407336.8286541724</v>
      </c>
      <c r="K248" s="181">
        <v>567024.73947974201</v>
      </c>
      <c r="L248" s="157">
        <v>380239.25864792214</v>
      </c>
      <c r="M248" s="306"/>
      <c r="N248" s="150">
        <v>56127.638712663997</v>
      </c>
      <c r="O248" s="181">
        <f>VLOOKUP($A248&amp;$B248,'LE Inputs'!$C$2:$J$525,MATCH('LE UtilityData'!O$1,'LE Inputs'!$C$1:$J$1,0),0)</f>
        <v>56175.190964946436</v>
      </c>
      <c r="P248" s="181" t="e">
        <f>VLOOKUP($A248&amp;$B248,'LE Inputs'!$C$2:$J$505,MATCH('LE UtilityData'!P$1,'LE Inputs'!$C$1:$J$1,0),0)</f>
        <v>#N/A</v>
      </c>
      <c r="Q248" s="307">
        <f t="shared" si="29"/>
        <v>0.57250000000000001</v>
      </c>
      <c r="R248" s="307">
        <f t="shared" si="29"/>
        <v>397.17500000000001</v>
      </c>
      <c r="S248" s="161">
        <f t="shared" si="29"/>
        <v>0.55000000000000004</v>
      </c>
      <c r="T248" s="161">
        <f t="shared" si="29"/>
        <v>396.4</v>
      </c>
      <c r="U248" s="159">
        <v>4124</v>
      </c>
      <c r="V248" s="159">
        <v>1696</v>
      </c>
      <c r="W248" s="159" t="e">
        <f t="shared" si="23"/>
        <v>#DIV/0!</v>
      </c>
      <c r="X248" s="159">
        <f t="shared" si="20"/>
        <v>0</v>
      </c>
    </row>
    <row r="249" spans="1:24" x14ac:dyDescent="0.2">
      <c r="A249" s="147">
        <v>2021</v>
      </c>
      <c r="B249" s="147">
        <v>8</v>
      </c>
      <c r="C249" s="169"/>
      <c r="D249" s="169"/>
      <c r="E249" s="166">
        <v>13.75997997235339</v>
      </c>
      <c r="F249" s="258">
        <f t="shared" si="28"/>
        <v>13.646533268574974</v>
      </c>
      <c r="G249" s="258">
        <f t="shared" si="28"/>
        <v>12.116077858327523</v>
      </c>
      <c r="H249" s="166">
        <v>29.52</v>
      </c>
      <c r="I249" s="148">
        <v>791267.68878406181</v>
      </c>
      <c r="J249" s="181">
        <f>VLOOKUP($A249&amp;$B249,'LE Inputs'!$C$2:$J$505,MATCH('LE UtilityData'!J$1,'LE Inputs'!$C$1:$J$1,0),0)*1000</f>
        <v>1407336.8286541724</v>
      </c>
      <c r="K249" s="181">
        <v>567024.73947974201</v>
      </c>
      <c r="L249" s="157">
        <v>380451.77798651467</v>
      </c>
      <c r="M249" s="306"/>
      <c r="N249" s="150">
        <v>56127.638712663997</v>
      </c>
      <c r="O249" s="181">
        <f>VLOOKUP($A249&amp;$B249,'LE Inputs'!$C$2:$J$525,MATCH('LE UtilityData'!O$1,'LE Inputs'!$C$1:$J$1,0),0)</f>
        <v>56175.190964946436</v>
      </c>
      <c r="P249" s="181" t="e">
        <f>VLOOKUP($A249&amp;$B249,'LE Inputs'!$C$2:$J$505,MATCH('LE UtilityData'!P$1,'LE Inputs'!$C$1:$J$1,0),0)</f>
        <v>#N/A</v>
      </c>
      <c r="Q249" s="307">
        <f t="shared" si="29"/>
        <v>0.1</v>
      </c>
      <c r="R249" s="307">
        <f t="shared" si="29"/>
        <v>418.51750000000004</v>
      </c>
      <c r="S249" s="161">
        <f t="shared" si="29"/>
        <v>0.1</v>
      </c>
      <c r="T249" s="161">
        <f t="shared" si="29"/>
        <v>417.05</v>
      </c>
      <c r="U249" s="159">
        <v>4124</v>
      </c>
      <c r="V249" s="159">
        <v>1696</v>
      </c>
      <c r="W249" s="159" t="e">
        <f t="shared" si="23"/>
        <v>#DIV/0!</v>
      </c>
      <c r="X249" s="159">
        <f t="shared" si="20"/>
        <v>0</v>
      </c>
    </row>
    <row r="250" spans="1:24" x14ac:dyDescent="0.2">
      <c r="A250" s="147">
        <v>2021</v>
      </c>
      <c r="B250" s="147">
        <v>9</v>
      </c>
      <c r="C250" s="169"/>
      <c r="D250" s="169"/>
      <c r="E250" s="166">
        <v>13.75997997235339</v>
      </c>
      <c r="F250" s="258">
        <f t="shared" si="28"/>
        <v>13.646533268574974</v>
      </c>
      <c r="G250" s="258">
        <f t="shared" si="28"/>
        <v>12.116077858327523</v>
      </c>
      <c r="H250" s="166">
        <v>30.52</v>
      </c>
      <c r="I250" s="148">
        <v>791709.68878406181</v>
      </c>
      <c r="J250" s="181">
        <f>VLOOKUP($A250&amp;$B250,'LE Inputs'!$C$2:$J$505,MATCH('LE UtilityData'!J$1,'LE Inputs'!$C$1:$J$1,0),0)*1000</f>
        <v>1407336.8286541724</v>
      </c>
      <c r="K250" s="181">
        <v>567024.73947974201</v>
      </c>
      <c r="L250" s="157">
        <v>380664.29732510721</v>
      </c>
      <c r="M250" s="306"/>
      <c r="N250" s="150">
        <v>56127.638712663997</v>
      </c>
      <c r="O250" s="181">
        <f>VLOOKUP($A250&amp;$B250,'LE Inputs'!$C$2:$J$525,MATCH('LE UtilityData'!O$1,'LE Inputs'!$C$1:$J$1,0),0)</f>
        <v>56175.190964946436</v>
      </c>
      <c r="P250" s="181" t="e">
        <f>VLOOKUP($A250&amp;$B250,'LE Inputs'!$C$2:$J$505,MATCH('LE UtilityData'!P$1,'LE Inputs'!$C$1:$J$1,0),0)</f>
        <v>#N/A</v>
      </c>
      <c r="Q250" s="307">
        <f t="shared" si="29"/>
        <v>5.2125000000000004</v>
      </c>
      <c r="R250" s="307">
        <f t="shared" si="29"/>
        <v>326.05</v>
      </c>
      <c r="S250" s="161">
        <f t="shared" si="29"/>
        <v>5.35</v>
      </c>
      <c r="T250" s="161">
        <f t="shared" si="29"/>
        <v>330.2</v>
      </c>
      <c r="U250" s="159">
        <v>4124</v>
      </c>
      <c r="V250" s="159">
        <v>1696</v>
      </c>
      <c r="W250" s="159" t="e">
        <f t="shared" si="23"/>
        <v>#DIV/0!</v>
      </c>
      <c r="X250" s="159">
        <f t="shared" si="20"/>
        <v>0</v>
      </c>
    </row>
    <row r="251" spans="1:24" x14ac:dyDescent="0.2">
      <c r="A251" s="147">
        <v>2021</v>
      </c>
      <c r="B251" s="147">
        <v>10</v>
      </c>
      <c r="C251" s="169"/>
      <c r="D251" s="169"/>
      <c r="E251" s="166">
        <v>13.75997997235339</v>
      </c>
      <c r="F251" s="258">
        <f t="shared" si="28"/>
        <v>13.646533268574974</v>
      </c>
      <c r="G251" s="258">
        <f t="shared" si="28"/>
        <v>12.116077858327523</v>
      </c>
      <c r="H251" s="166">
        <v>29.62</v>
      </c>
      <c r="I251" s="148">
        <v>792151.68878406181</v>
      </c>
      <c r="J251" s="181">
        <f>VLOOKUP($A251&amp;$B251,'LE Inputs'!$C$2:$J$505,MATCH('LE UtilityData'!J$1,'LE Inputs'!$C$1:$J$1,0),0)*1000</f>
        <v>1410541.4388105047</v>
      </c>
      <c r="K251" s="181">
        <v>568477.31185423571</v>
      </c>
      <c r="L251" s="157">
        <v>380876.81666369981</v>
      </c>
      <c r="M251" s="306"/>
      <c r="N251" s="150">
        <v>56646.347107956601</v>
      </c>
      <c r="O251" s="181">
        <f>VLOOKUP($A251&amp;$B251,'LE Inputs'!$C$2:$J$525,MATCH('LE UtilityData'!O$1,'LE Inputs'!$C$1:$J$1,0),0)</f>
        <v>56554.773682165433</v>
      </c>
      <c r="P251" s="181" t="e">
        <f>VLOOKUP($A251&amp;$B251,'LE Inputs'!$C$2:$J$505,MATCH('LE UtilityData'!P$1,'LE Inputs'!$C$1:$J$1,0),0)</f>
        <v>#N/A</v>
      </c>
      <c r="Q251" s="307">
        <f t="shared" si="29"/>
        <v>99.232500000000002</v>
      </c>
      <c r="R251" s="307">
        <f t="shared" si="29"/>
        <v>97.24</v>
      </c>
      <c r="S251" s="161">
        <f t="shared" si="29"/>
        <v>99.3</v>
      </c>
      <c r="T251" s="161">
        <f t="shared" si="29"/>
        <v>100.05</v>
      </c>
      <c r="U251" s="159">
        <v>4124</v>
      </c>
      <c r="V251" s="159">
        <v>1696</v>
      </c>
      <c r="W251" s="159" t="e">
        <f t="shared" si="23"/>
        <v>#DIV/0!</v>
      </c>
      <c r="X251" s="159">
        <f t="shared" si="20"/>
        <v>0</v>
      </c>
    </row>
    <row r="252" spans="1:24" x14ac:dyDescent="0.2">
      <c r="A252" s="147">
        <v>2021</v>
      </c>
      <c r="B252" s="147">
        <v>11</v>
      </c>
      <c r="C252" s="169"/>
      <c r="D252" s="169"/>
      <c r="E252" s="166">
        <v>13.75997997235339</v>
      </c>
      <c r="F252" s="258">
        <f t="shared" si="28"/>
        <v>13.646533268574974</v>
      </c>
      <c r="G252" s="258">
        <f t="shared" si="28"/>
        <v>12.116077858327523</v>
      </c>
      <c r="H252" s="166">
        <v>29.1</v>
      </c>
      <c r="I252" s="148">
        <v>792593.68878406181</v>
      </c>
      <c r="J252" s="181">
        <f>VLOOKUP($A252&amp;$B252,'LE Inputs'!$C$2:$J$505,MATCH('LE UtilityData'!J$1,'LE Inputs'!$C$1:$J$1,0),0)*1000</f>
        <v>1410541.4388105047</v>
      </c>
      <c r="K252" s="181">
        <v>568477.31185423571</v>
      </c>
      <c r="L252" s="157">
        <v>381089.33600229234</v>
      </c>
      <c r="M252" s="306"/>
      <c r="N252" s="150">
        <v>56646.347107956601</v>
      </c>
      <c r="O252" s="181">
        <f>VLOOKUP($A252&amp;$B252,'LE Inputs'!$C$2:$J$525,MATCH('LE UtilityData'!O$1,'LE Inputs'!$C$1:$J$1,0),0)</f>
        <v>56554.773682165433</v>
      </c>
      <c r="P252" s="181" t="e">
        <f>VLOOKUP($A252&amp;$B252,'LE Inputs'!$C$2:$J$505,MATCH('LE UtilityData'!P$1,'LE Inputs'!$C$1:$J$1,0),0)</f>
        <v>#N/A</v>
      </c>
      <c r="Q252" s="307">
        <f t="shared" si="29"/>
        <v>353.59499999999997</v>
      </c>
      <c r="R252" s="307">
        <f t="shared" si="29"/>
        <v>11.487500000000001</v>
      </c>
      <c r="S252" s="161">
        <f t="shared" si="29"/>
        <v>352.6</v>
      </c>
      <c r="T252" s="161">
        <f t="shared" si="29"/>
        <v>12.75</v>
      </c>
      <c r="U252" s="159">
        <v>4124</v>
      </c>
      <c r="V252" s="159">
        <v>1696</v>
      </c>
      <c r="W252" s="159" t="e">
        <f t="shared" si="23"/>
        <v>#DIV/0!</v>
      </c>
      <c r="X252" s="159">
        <f t="shared" si="20"/>
        <v>0</v>
      </c>
    </row>
    <row r="253" spans="1:24" x14ac:dyDescent="0.2">
      <c r="A253" s="147">
        <v>2021</v>
      </c>
      <c r="B253" s="147">
        <v>12</v>
      </c>
      <c r="C253" s="169"/>
      <c r="D253" s="169"/>
      <c r="E253" s="166">
        <v>13.75997997235339</v>
      </c>
      <c r="F253" s="258">
        <f t="shared" si="28"/>
        <v>13.646533268574974</v>
      </c>
      <c r="G253" s="258">
        <f t="shared" si="28"/>
        <v>12.116077858327523</v>
      </c>
      <c r="H253" s="166">
        <v>31.67</v>
      </c>
      <c r="I253" s="148">
        <v>793035.68878406181</v>
      </c>
      <c r="J253" s="181">
        <f>VLOOKUP($A253&amp;$B253,'LE Inputs'!$C$2:$J$505,MATCH('LE UtilityData'!J$1,'LE Inputs'!$C$1:$J$1,0),0)*1000</f>
        <v>1410541.4388105047</v>
      </c>
      <c r="K253" s="181">
        <v>568477.31185423571</v>
      </c>
      <c r="L253" s="157">
        <v>381301.85534088488</v>
      </c>
      <c r="M253" s="306"/>
      <c r="N253" s="150">
        <v>56646.347107956601</v>
      </c>
      <c r="O253" s="181">
        <f>VLOOKUP($A253&amp;$B253,'LE Inputs'!$C$2:$J$525,MATCH('LE UtilityData'!O$1,'LE Inputs'!$C$1:$J$1,0),0)</f>
        <v>56554.773682165433</v>
      </c>
      <c r="P253" s="181" t="e">
        <f>VLOOKUP($A253&amp;$B253,'LE Inputs'!$C$2:$J$505,MATCH('LE UtilityData'!P$1,'LE Inputs'!$C$1:$J$1,0),0)</f>
        <v>#N/A</v>
      </c>
      <c r="Q253" s="307">
        <f t="shared" si="29"/>
        <v>667.68999999999994</v>
      </c>
      <c r="R253" s="307">
        <f t="shared" si="29"/>
        <v>1.1850000000000001</v>
      </c>
      <c r="S253" s="161">
        <f t="shared" si="29"/>
        <v>669.9</v>
      </c>
      <c r="T253" s="161">
        <f t="shared" si="29"/>
        <v>1.05</v>
      </c>
      <c r="U253" s="159">
        <v>4124</v>
      </c>
      <c r="V253" s="159">
        <v>1696</v>
      </c>
      <c r="W253" s="159" t="e">
        <f t="shared" si="23"/>
        <v>#DIV/0!</v>
      </c>
      <c r="X253" s="159">
        <f t="shared" si="20"/>
        <v>0</v>
      </c>
    </row>
    <row r="254" spans="1:24" x14ac:dyDescent="0.2">
      <c r="A254" s="147">
        <v>2022</v>
      </c>
      <c r="B254" s="147">
        <v>1</v>
      </c>
      <c r="C254" s="169"/>
      <c r="D254" s="169"/>
      <c r="E254" s="166">
        <v>14.103979471662223</v>
      </c>
      <c r="F254" s="258">
        <f t="shared" si="28"/>
        <v>13.919463933946473</v>
      </c>
      <c r="G254" s="258">
        <f t="shared" si="28"/>
        <v>12.358399415494075</v>
      </c>
      <c r="H254" s="166">
        <v>32.71</v>
      </c>
      <c r="I254" s="148">
        <v>793477.68878406181</v>
      </c>
      <c r="J254" s="181">
        <f>VLOOKUP($A254&amp;$B254,'LE Inputs'!$C$2:$J$505,MATCH('LE UtilityData'!J$1,'LE Inputs'!$C$1:$J$1,0),0)*1000</f>
        <v>1413661.4308768339</v>
      </c>
      <c r="K254" s="181">
        <v>569396.91159972001</v>
      </c>
      <c r="L254" s="157">
        <v>381514.37467947742</v>
      </c>
      <c r="M254" s="306"/>
      <c r="N254" s="150">
        <v>57126.3159283364</v>
      </c>
      <c r="O254" s="181">
        <f>VLOOKUP($A254&amp;$B254,'LE Inputs'!$C$2:$J$525,MATCH('LE UtilityData'!O$1,'LE Inputs'!$C$1:$J$1,0),0)</f>
        <v>56954.584699121246</v>
      </c>
      <c r="P254" s="181" t="e">
        <f>VLOOKUP($A254&amp;$B254,'LE Inputs'!$C$2:$J$505,MATCH('LE UtilityData'!P$1,'LE Inputs'!$C$1:$J$1,0),0)</f>
        <v>#N/A</v>
      </c>
      <c r="Q254" s="307">
        <f t="shared" si="29"/>
        <v>927.57249999999999</v>
      </c>
      <c r="R254" s="307">
        <f t="shared" si="29"/>
        <v>0.35</v>
      </c>
      <c r="S254" s="161">
        <f t="shared" si="29"/>
        <v>932.4</v>
      </c>
      <c r="T254" s="161">
        <f t="shared" si="29"/>
        <v>0.35</v>
      </c>
      <c r="U254" s="159">
        <v>4124</v>
      </c>
      <c r="V254" s="159">
        <v>1696</v>
      </c>
      <c r="W254" s="159" t="e">
        <f t="shared" si="23"/>
        <v>#DIV/0!</v>
      </c>
      <c r="X254" s="159">
        <f t="shared" si="20"/>
        <v>0</v>
      </c>
    </row>
    <row r="255" spans="1:24" x14ac:dyDescent="0.2">
      <c r="A255" s="147">
        <v>2022</v>
      </c>
      <c r="B255" s="147">
        <v>2</v>
      </c>
      <c r="C255" s="169"/>
      <c r="D255" s="169"/>
      <c r="E255" s="166">
        <v>14.103979471662223</v>
      </c>
      <c r="F255" s="258">
        <f t="shared" si="28"/>
        <v>13.919463933946473</v>
      </c>
      <c r="G255" s="258">
        <f t="shared" si="28"/>
        <v>12.358399415494075</v>
      </c>
      <c r="H255" s="166">
        <v>29.81</v>
      </c>
      <c r="I255" s="148">
        <v>793919.68878406181</v>
      </c>
      <c r="J255" s="181">
        <f>VLOOKUP($A255&amp;$B255,'LE Inputs'!$C$2:$J$505,MATCH('LE UtilityData'!J$1,'LE Inputs'!$C$1:$J$1,0),0)*1000</f>
        <v>1413661.4308768339</v>
      </c>
      <c r="K255" s="181">
        <v>569396.91159972001</v>
      </c>
      <c r="L255" s="157">
        <v>381726.89401806996</v>
      </c>
      <c r="M255" s="306"/>
      <c r="N255" s="150">
        <v>57126.3159283364</v>
      </c>
      <c r="O255" s="181">
        <f>VLOOKUP($A255&amp;$B255,'LE Inputs'!$C$2:$J$525,MATCH('LE UtilityData'!O$1,'LE Inputs'!$C$1:$J$1,0),0)</f>
        <v>56954.584699121246</v>
      </c>
      <c r="P255" s="181" t="e">
        <f>VLOOKUP($A255&amp;$B255,'LE Inputs'!$C$2:$J$505,MATCH('LE UtilityData'!P$1,'LE Inputs'!$C$1:$J$1,0),0)</f>
        <v>#N/A</v>
      </c>
      <c r="Q255" s="307">
        <f t="shared" si="29"/>
        <v>858.35750000000007</v>
      </c>
      <c r="R255" s="307">
        <f t="shared" si="29"/>
        <v>0.05</v>
      </c>
      <c r="S255" s="161">
        <f t="shared" si="29"/>
        <v>864.1</v>
      </c>
      <c r="T255" s="161">
        <f t="shared" si="29"/>
        <v>0.05</v>
      </c>
      <c r="U255" s="159">
        <v>4124</v>
      </c>
      <c r="V255" s="159">
        <v>1696</v>
      </c>
      <c r="W255" s="159" t="e">
        <f t="shared" si="23"/>
        <v>#DIV/0!</v>
      </c>
      <c r="X255" s="159">
        <f t="shared" si="20"/>
        <v>0</v>
      </c>
    </row>
    <row r="256" spans="1:24" x14ac:dyDescent="0.2">
      <c r="A256" s="147">
        <v>2022</v>
      </c>
      <c r="B256" s="147">
        <v>3</v>
      </c>
      <c r="C256" s="169"/>
      <c r="D256" s="169"/>
      <c r="E256" s="166">
        <v>14.103979471662223</v>
      </c>
      <c r="F256" s="258">
        <f t="shared" si="28"/>
        <v>13.919463933946473</v>
      </c>
      <c r="G256" s="258">
        <f t="shared" si="28"/>
        <v>12.358399415494075</v>
      </c>
      <c r="H256" s="166">
        <v>30.33</v>
      </c>
      <c r="I256" s="148">
        <v>794361.68878406181</v>
      </c>
      <c r="J256" s="181">
        <f>VLOOKUP($A256&amp;$B256,'LE Inputs'!$C$2:$J$505,MATCH('LE UtilityData'!J$1,'LE Inputs'!$C$1:$J$1,0),0)*1000</f>
        <v>1413661.4308768339</v>
      </c>
      <c r="K256" s="181">
        <v>569396.91159972001</v>
      </c>
      <c r="L256" s="157">
        <v>381939.4133566625</v>
      </c>
      <c r="M256" s="306"/>
      <c r="N256" s="150">
        <v>57126.3159283364</v>
      </c>
      <c r="O256" s="181">
        <f>VLOOKUP($A256&amp;$B256,'LE Inputs'!$C$2:$J$525,MATCH('LE UtilityData'!O$1,'LE Inputs'!$C$1:$J$1,0),0)</f>
        <v>56954.584699121246</v>
      </c>
      <c r="P256" s="181" t="e">
        <f>VLOOKUP($A256&amp;$B256,'LE Inputs'!$C$2:$J$505,MATCH('LE UtilityData'!P$1,'LE Inputs'!$C$1:$J$1,0),0)</f>
        <v>#N/A</v>
      </c>
      <c r="Q256" s="307">
        <f t="shared" si="29"/>
        <v>666.12749999999994</v>
      </c>
      <c r="R256" s="307">
        <f t="shared" si="29"/>
        <v>2.0225</v>
      </c>
      <c r="S256" s="161">
        <f t="shared" si="29"/>
        <v>674.3</v>
      </c>
      <c r="T256" s="161">
        <f t="shared" si="29"/>
        <v>1.1499999999999999</v>
      </c>
      <c r="U256" s="159">
        <v>4124</v>
      </c>
      <c r="V256" s="159">
        <v>1696</v>
      </c>
      <c r="W256" s="159" t="e">
        <f t="shared" si="23"/>
        <v>#DIV/0!</v>
      </c>
      <c r="X256" s="159">
        <f t="shared" si="20"/>
        <v>0</v>
      </c>
    </row>
    <row r="257" spans="1:24" x14ac:dyDescent="0.2">
      <c r="A257" s="147">
        <v>2022</v>
      </c>
      <c r="B257" s="147">
        <v>4</v>
      </c>
      <c r="C257" s="169"/>
      <c r="D257" s="169"/>
      <c r="E257" s="166">
        <v>14.103979471662223</v>
      </c>
      <c r="F257" s="258">
        <f t="shared" si="28"/>
        <v>13.919463933946473</v>
      </c>
      <c r="G257" s="258">
        <f t="shared" si="28"/>
        <v>12.358399415494075</v>
      </c>
      <c r="H257" s="166">
        <v>30.19</v>
      </c>
      <c r="I257" s="148">
        <v>794803.68878406181</v>
      </c>
      <c r="J257" s="181">
        <f>VLOOKUP($A257&amp;$B257,'LE Inputs'!$C$2:$J$505,MATCH('LE UtilityData'!J$1,'LE Inputs'!$C$1:$J$1,0),0)*1000</f>
        <v>1416936.4853411675</v>
      </c>
      <c r="K257" s="181">
        <v>570632.49671426986</v>
      </c>
      <c r="L257" s="157">
        <v>382151.93269525497</v>
      </c>
      <c r="M257" s="306"/>
      <c r="N257" s="150">
        <v>57444.975609944202</v>
      </c>
      <c r="O257" s="181">
        <f>VLOOKUP($A257&amp;$B257,'LE Inputs'!$C$2:$J$525,MATCH('LE UtilityData'!O$1,'LE Inputs'!$C$1:$J$1,0),0)</f>
        <v>57220.946881443437</v>
      </c>
      <c r="P257" s="181" t="e">
        <f>VLOOKUP($A257&amp;$B257,'LE Inputs'!$C$2:$J$505,MATCH('LE UtilityData'!P$1,'LE Inputs'!$C$1:$J$1,0),0)</f>
        <v>#N/A</v>
      </c>
      <c r="Q257" s="307">
        <f t="shared" si="29"/>
        <v>370.83499999999998</v>
      </c>
      <c r="R257" s="307">
        <f t="shared" si="29"/>
        <v>22.565000000000001</v>
      </c>
      <c r="S257" s="161">
        <f t="shared" si="29"/>
        <v>377.1</v>
      </c>
      <c r="T257" s="161">
        <f t="shared" si="29"/>
        <v>20.25</v>
      </c>
      <c r="U257" s="159">
        <v>4124</v>
      </c>
      <c r="V257" s="159">
        <v>1696</v>
      </c>
      <c r="W257" s="159" t="e">
        <f t="shared" si="23"/>
        <v>#DIV/0!</v>
      </c>
      <c r="X257" s="159">
        <f t="shared" si="20"/>
        <v>0</v>
      </c>
    </row>
    <row r="258" spans="1:24" x14ac:dyDescent="0.2">
      <c r="A258" s="147">
        <v>2022</v>
      </c>
      <c r="B258" s="147">
        <v>5</v>
      </c>
      <c r="C258" s="169"/>
      <c r="D258" s="169"/>
      <c r="E258" s="166">
        <v>14.103979471662223</v>
      </c>
      <c r="F258" s="258">
        <f t="shared" si="28"/>
        <v>13.919463933946473</v>
      </c>
      <c r="G258" s="258">
        <f t="shared" si="28"/>
        <v>12.358399415494075</v>
      </c>
      <c r="H258" s="166">
        <v>30.14</v>
      </c>
      <c r="I258" s="148">
        <v>795245.68878406181</v>
      </c>
      <c r="J258" s="181">
        <f>VLOOKUP($A258&amp;$B258,'LE Inputs'!$C$2:$J$505,MATCH('LE UtilityData'!J$1,'LE Inputs'!$C$1:$J$1,0),0)*1000</f>
        <v>1416936.4853411675</v>
      </c>
      <c r="K258" s="181">
        <v>570632.49671426986</v>
      </c>
      <c r="L258" s="157">
        <v>382364.45203384751</v>
      </c>
      <c r="M258" s="306"/>
      <c r="N258" s="150">
        <v>57444.975609944202</v>
      </c>
      <c r="O258" s="181">
        <f>VLOOKUP($A258&amp;$B258,'LE Inputs'!$C$2:$J$525,MATCH('LE UtilityData'!O$1,'LE Inputs'!$C$1:$J$1,0),0)</f>
        <v>57220.946881443437</v>
      </c>
      <c r="P258" s="181" t="e">
        <f>VLOOKUP($A258&amp;$B258,'LE Inputs'!$C$2:$J$505,MATCH('LE UtilityData'!P$1,'LE Inputs'!$C$1:$J$1,0),0)</f>
        <v>#N/A</v>
      </c>
      <c r="Q258" s="307">
        <f t="shared" si="29"/>
        <v>141.76749999999998</v>
      </c>
      <c r="R258" s="307">
        <f t="shared" si="29"/>
        <v>69.552499999999995</v>
      </c>
      <c r="S258" s="161">
        <f t="shared" si="29"/>
        <v>141</v>
      </c>
      <c r="T258" s="161">
        <f t="shared" si="29"/>
        <v>69.349999999999994</v>
      </c>
      <c r="U258" s="159">
        <v>4124</v>
      </c>
      <c r="V258" s="159">
        <v>1696</v>
      </c>
      <c r="W258" s="159" t="e">
        <f t="shared" si="23"/>
        <v>#DIV/0!</v>
      </c>
      <c r="X258" s="159">
        <f t="shared" ref="X258:X321" si="30">C258/L258*1000</f>
        <v>0</v>
      </c>
    </row>
    <row r="259" spans="1:24" x14ac:dyDescent="0.2">
      <c r="A259" s="147">
        <v>2022</v>
      </c>
      <c r="B259" s="147">
        <v>6</v>
      </c>
      <c r="C259" s="169"/>
      <c r="D259" s="169"/>
      <c r="E259" s="166">
        <v>14.103979471662223</v>
      </c>
      <c r="F259" s="258">
        <f t="shared" ref="F259:G274" si="31">F247*(1+0.02)</f>
        <v>13.919463933946473</v>
      </c>
      <c r="G259" s="258">
        <f t="shared" si="31"/>
        <v>12.358399415494075</v>
      </c>
      <c r="H259" s="166">
        <v>30.67</v>
      </c>
      <c r="I259" s="148">
        <v>795684.99497850868</v>
      </c>
      <c r="J259" s="181">
        <f>VLOOKUP($A259&amp;$B259,'LE Inputs'!$C$2:$J$505,MATCH('LE UtilityData'!J$1,'LE Inputs'!$C$1:$J$1,0),0)*1000</f>
        <v>1416936.4853411675</v>
      </c>
      <c r="K259" s="181">
        <v>570632.49671426986</v>
      </c>
      <c r="L259" s="157">
        <v>382575.67615575582</v>
      </c>
      <c r="M259" s="306"/>
      <c r="N259" s="150">
        <v>57444.975609944202</v>
      </c>
      <c r="O259" s="181">
        <f>VLOOKUP($A259&amp;$B259,'LE Inputs'!$C$2:$J$525,MATCH('LE UtilityData'!O$1,'LE Inputs'!$C$1:$J$1,0),0)</f>
        <v>57220.946881443437</v>
      </c>
      <c r="P259" s="181" t="e">
        <f>VLOOKUP($A259&amp;$B259,'LE Inputs'!$C$2:$J$505,MATCH('LE UtilityData'!P$1,'LE Inputs'!$C$1:$J$1,0),0)</f>
        <v>#N/A</v>
      </c>
      <c r="Q259" s="307">
        <f t="shared" ref="Q259:T274" si="32">Q247</f>
        <v>29.807499999999997</v>
      </c>
      <c r="R259" s="307">
        <f t="shared" si="32"/>
        <v>219.05749999999998</v>
      </c>
      <c r="S259" s="161">
        <f t="shared" si="32"/>
        <v>29.5</v>
      </c>
      <c r="T259" s="161">
        <f t="shared" si="32"/>
        <v>224.8</v>
      </c>
      <c r="U259" s="159">
        <v>4124</v>
      </c>
      <c r="V259" s="159">
        <v>1696</v>
      </c>
      <c r="W259" s="159" t="e">
        <f t="shared" ref="W259:W322" si="33">D259/M259*1000</f>
        <v>#DIV/0!</v>
      </c>
      <c r="X259" s="159">
        <f t="shared" si="30"/>
        <v>0</v>
      </c>
    </row>
    <row r="260" spans="1:24" x14ac:dyDescent="0.2">
      <c r="A260" s="147">
        <v>2022</v>
      </c>
      <c r="B260" s="147">
        <v>7</v>
      </c>
      <c r="C260" s="169"/>
      <c r="D260" s="169"/>
      <c r="E260" s="166">
        <v>14.103979471662223</v>
      </c>
      <c r="F260" s="258">
        <f t="shared" si="31"/>
        <v>13.919463933946473</v>
      </c>
      <c r="G260" s="258">
        <f t="shared" si="31"/>
        <v>12.358399415494075</v>
      </c>
      <c r="H260" s="166">
        <v>30.71</v>
      </c>
      <c r="I260" s="148">
        <v>796121.99497850868</v>
      </c>
      <c r="J260" s="181">
        <f>VLOOKUP($A260&amp;$B260,'LE Inputs'!$C$2:$J$505,MATCH('LE UtilityData'!J$1,'LE Inputs'!$C$1:$J$1,0),0)*1000</f>
        <v>1419335.5879434561</v>
      </c>
      <c r="K260" s="181">
        <v>571486.18687233201</v>
      </c>
      <c r="L260" s="157">
        <v>382785.79142943217</v>
      </c>
      <c r="M260" s="306"/>
      <c r="N260" s="150">
        <v>57942.890111002402</v>
      </c>
      <c r="O260" s="181">
        <f>VLOOKUP($A260&amp;$B260,'LE Inputs'!$C$2:$J$525,MATCH('LE UtilityData'!O$1,'LE Inputs'!$C$1:$J$1,0),0)</f>
        <v>57667.431448795258</v>
      </c>
      <c r="P260" s="181" t="e">
        <f>VLOOKUP($A260&amp;$B260,'LE Inputs'!$C$2:$J$505,MATCH('LE UtilityData'!P$1,'LE Inputs'!$C$1:$J$1,0),0)</f>
        <v>#N/A</v>
      </c>
      <c r="Q260" s="307">
        <f t="shared" si="32"/>
        <v>0.57250000000000001</v>
      </c>
      <c r="R260" s="307">
        <f t="shared" si="32"/>
        <v>397.17500000000001</v>
      </c>
      <c r="S260" s="161">
        <f t="shared" si="32"/>
        <v>0.55000000000000004</v>
      </c>
      <c r="T260" s="161">
        <f t="shared" si="32"/>
        <v>396.4</v>
      </c>
      <c r="U260" s="159">
        <v>4124</v>
      </c>
      <c r="V260" s="159">
        <v>1696</v>
      </c>
      <c r="W260" s="159" t="e">
        <f t="shared" si="33"/>
        <v>#DIV/0!</v>
      </c>
      <c r="X260" s="159">
        <f t="shared" si="30"/>
        <v>0</v>
      </c>
    </row>
    <row r="261" spans="1:24" x14ac:dyDescent="0.2">
      <c r="A261" s="147">
        <v>2022</v>
      </c>
      <c r="B261" s="147">
        <v>8</v>
      </c>
      <c r="C261" s="169"/>
      <c r="D261" s="169"/>
      <c r="E261" s="166">
        <v>14.103979471662223</v>
      </c>
      <c r="F261" s="258">
        <f t="shared" si="31"/>
        <v>13.919463933946473</v>
      </c>
      <c r="G261" s="258">
        <f t="shared" si="31"/>
        <v>12.358399415494075</v>
      </c>
      <c r="H261" s="166">
        <v>29.52</v>
      </c>
      <c r="I261" s="148">
        <v>796558.99497850868</v>
      </c>
      <c r="J261" s="181">
        <f>VLOOKUP($A261&amp;$B261,'LE Inputs'!$C$2:$J$505,MATCH('LE UtilityData'!J$1,'LE Inputs'!$C$1:$J$1,0),0)*1000</f>
        <v>1419335.5879434561</v>
      </c>
      <c r="K261" s="181">
        <v>571486.18687233201</v>
      </c>
      <c r="L261" s="157">
        <v>382995.90670310846</v>
      </c>
      <c r="M261" s="306"/>
      <c r="N261" s="150">
        <v>57942.890111002402</v>
      </c>
      <c r="O261" s="181">
        <f>VLOOKUP($A261&amp;$B261,'LE Inputs'!$C$2:$J$525,MATCH('LE UtilityData'!O$1,'LE Inputs'!$C$1:$J$1,0),0)</f>
        <v>57667.431448795258</v>
      </c>
      <c r="P261" s="181" t="e">
        <f>VLOOKUP($A261&amp;$B261,'LE Inputs'!$C$2:$J$505,MATCH('LE UtilityData'!P$1,'LE Inputs'!$C$1:$J$1,0),0)</f>
        <v>#N/A</v>
      </c>
      <c r="Q261" s="307">
        <f t="shared" si="32"/>
        <v>0.1</v>
      </c>
      <c r="R261" s="307">
        <f t="shared" si="32"/>
        <v>418.51750000000004</v>
      </c>
      <c r="S261" s="161">
        <f t="shared" si="32"/>
        <v>0.1</v>
      </c>
      <c r="T261" s="161">
        <f t="shared" si="32"/>
        <v>417.05</v>
      </c>
      <c r="U261" s="159">
        <v>4124</v>
      </c>
      <c r="V261" s="159">
        <v>1696</v>
      </c>
      <c r="W261" s="159" t="e">
        <f t="shared" si="33"/>
        <v>#DIV/0!</v>
      </c>
      <c r="X261" s="159">
        <f t="shared" si="30"/>
        <v>0</v>
      </c>
    </row>
    <row r="262" spans="1:24" x14ac:dyDescent="0.2">
      <c r="A262" s="147">
        <v>2022</v>
      </c>
      <c r="B262" s="147">
        <v>9</v>
      </c>
      <c r="C262" s="169"/>
      <c r="D262" s="169"/>
      <c r="E262" s="166">
        <v>14.103979471662223</v>
      </c>
      <c r="F262" s="258">
        <f t="shared" si="31"/>
        <v>13.919463933946473</v>
      </c>
      <c r="G262" s="258">
        <f t="shared" si="31"/>
        <v>12.358399415494075</v>
      </c>
      <c r="H262" s="166">
        <v>30.52</v>
      </c>
      <c r="I262" s="148">
        <v>796995.99497850868</v>
      </c>
      <c r="J262" s="181">
        <f>VLOOKUP($A262&amp;$B262,'LE Inputs'!$C$2:$J$505,MATCH('LE UtilityData'!J$1,'LE Inputs'!$C$1:$J$1,0),0)*1000</f>
        <v>1419335.5879434561</v>
      </c>
      <c r="K262" s="181">
        <v>571486.18687233201</v>
      </c>
      <c r="L262" s="157">
        <v>383206.0219767848</v>
      </c>
      <c r="M262" s="306"/>
      <c r="N262" s="150">
        <v>57942.890111002402</v>
      </c>
      <c r="O262" s="181">
        <f>VLOOKUP($A262&amp;$B262,'LE Inputs'!$C$2:$J$525,MATCH('LE UtilityData'!O$1,'LE Inputs'!$C$1:$J$1,0),0)</f>
        <v>57667.431448795258</v>
      </c>
      <c r="P262" s="181" t="e">
        <f>VLOOKUP($A262&amp;$B262,'LE Inputs'!$C$2:$J$505,MATCH('LE UtilityData'!P$1,'LE Inputs'!$C$1:$J$1,0),0)</f>
        <v>#N/A</v>
      </c>
      <c r="Q262" s="307">
        <f t="shared" si="32"/>
        <v>5.2125000000000004</v>
      </c>
      <c r="R262" s="307">
        <f t="shared" si="32"/>
        <v>326.05</v>
      </c>
      <c r="S262" s="161">
        <f t="shared" si="32"/>
        <v>5.35</v>
      </c>
      <c r="T262" s="161">
        <f t="shared" si="32"/>
        <v>330.2</v>
      </c>
      <c r="U262" s="159">
        <v>4124</v>
      </c>
      <c r="V262" s="159">
        <v>1696</v>
      </c>
      <c r="W262" s="159" t="e">
        <f t="shared" si="33"/>
        <v>#DIV/0!</v>
      </c>
      <c r="X262" s="159">
        <f t="shared" si="30"/>
        <v>0</v>
      </c>
    </row>
    <row r="263" spans="1:24" x14ac:dyDescent="0.2">
      <c r="A263" s="147">
        <v>2022</v>
      </c>
      <c r="B263" s="147">
        <v>10</v>
      </c>
      <c r="C263" s="169"/>
      <c r="D263" s="169"/>
      <c r="E263" s="166">
        <v>14.103979471662223</v>
      </c>
      <c r="F263" s="258">
        <f t="shared" si="31"/>
        <v>13.919463933946473</v>
      </c>
      <c r="G263" s="258">
        <f t="shared" si="31"/>
        <v>12.358399415494075</v>
      </c>
      <c r="H263" s="166">
        <v>29.62</v>
      </c>
      <c r="I263" s="148">
        <v>797432.99497850868</v>
      </c>
      <c r="J263" s="181">
        <f>VLOOKUP($A263&amp;$B263,'LE Inputs'!$C$2:$J$505,MATCH('LE UtilityData'!J$1,'LE Inputs'!$C$1:$J$1,0),0)*1000</f>
        <v>1423052.7256474458</v>
      </c>
      <c r="K263" s="181">
        <v>572912.07387827756</v>
      </c>
      <c r="L263" s="157">
        <v>383416.13725046109</v>
      </c>
      <c r="M263" s="306"/>
      <c r="N263" s="150">
        <v>58273.783860789503</v>
      </c>
      <c r="O263" s="181">
        <f>VLOOKUP($A263&amp;$B263,'LE Inputs'!$C$2:$J$525,MATCH('LE UtilityData'!O$1,'LE Inputs'!$C$1:$J$1,0),0)</f>
        <v>57924.427032180763</v>
      </c>
      <c r="P263" s="181" t="e">
        <f>VLOOKUP($A263&amp;$B263,'LE Inputs'!$C$2:$J$505,MATCH('LE UtilityData'!P$1,'LE Inputs'!$C$1:$J$1,0),0)</f>
        <v>#N/A</v>
      </c>
      <c r="Q263" s="307">
        <f t="shared" si="32"/>
        <v>99.232500000000002</v>
      </c>
      <c r="R263" s="307">
        <f t="shared" si="32"/>
        <v>97.24</v>
      </c>
      <c r="S263" s="161">
        <f t="shared" si="32"/>
        <v>99.3</v>
      </c>
      <c r="T263" s="161">
        <f t="shared" si="32"/>
        <v>100.05</v>
      </c>
      <c r="U263" s="159">
        <v>4124</v>
      </c>
      <c r="V263" s="159">
        <v>1696</v>
      </c>
      <c r="W263" s="159" t="e">
        <f t="shared" si="33"/>
        <v>#DIV/0!</v>
      </c>
      <c r="X263" s="159">
        <f t="shared" si="30"/>
        <v>0</v>
      </c>
    </row>
    <row r="264" spans="1:24" x14ac:dyDescent="0.2">
      <c r="A264" s="147">
        <v>2022</v>
      </c>
      <c r="B264" s="147">
        <v>11</v>
      </c>
      <c r="C264" s="169"/>
      <c r="D264" s="169"/>
      <c r="E264" s="166">
        <v>14.103979471662223</v>
      </c>
      <c r="F264" s="258">
        <f t="shared" si="31"/>
        <v>13.919463933946473</v>
      </c>
      <c r="G264" s="258">
        <f t="shared" si="31"/>
        <v>12.358399415494075</v>
      </c>
      <c r="H264" s="166">
        <v>29.95</v>
      </c>
      <c r="I264" s="148">
        <v>797869.99497850868</v>
      </c>
      <c r="J264" s="181">
        <f>VLOOKUP($A264&amp;$B264,'LE Inputs'!$C$2:$J$505,MATCH('LE UtilityData'!J$1,'LE Inputs'!$C$1:$J$1,0),0)*1000</f>
        <v>1423052.7256474458</v>
      </c>
      <c r="K264" s="181">
        <v>572912.07387827756</v>
      </c>
      <c r="L264" s="157">
        <v>383626.25252413744</v>
      </c>
      <c r="M264" s="306"/>
      <c r="N264" s="150">
        <v>58273.783860789503</v>
      </c>
      <c r="O264" s="181">
        <f>VLOOKUP($A264&amp;$B264,'LE Inputs'!$C$2:$J$525,MATCH('LE UtilityData'!O$1,'LE Inputs'!$C$1:$J$1,0),0)</f>
        <v>57924.427032180763</v>
      </c>
      <c r="P264" s="181" t="e">
        <f>VLOOKUP($A264&amp;$B264,'LE Inputs'!$C$2:$J$505,MATCH('LE UtilityData'!P$1,'LE Inputs'!$C$1:$J$1,0),0)</f>
        <v>#N/A</v>
      </c>
      <c r="Q264" s="307">
        <f t="shared" si="32"/>
        <v>353.59499999999997</v>
      </c>
      <c r="R264" s="307">
        <f t="shared" si="32"/>
        <v>11.487500000000001</v>
      </c>
      <c r="S264" s="161">
        <f t="shared" si="32"/>
        <v>352.6</v>
      </c>
      <c r="T264" s="161">
        <f t="shared" si="32"/>
        <v>12.75</v>
      </c>
      <c r="U264" s="159">
        <v>4124</v>
      </c>
      <c r="V264" s="159">
        <v>1696</v>
      </c>
      <c r="W264" s="159" t="e">
        <f t="shared" si="33"/>
        <v>#DIV/0!</v>
      </c>
      <c r="X264" s="159">
        <f t="shared" si="30"/>
        <v>0</v>
      </c>
    </row>
    <row r="265" spans="1:24" x14ac:dyDescent="0.2">
      <c r="A265" s="147">
        <v>2022</v>
      </c>
      <c r="B265" s="147">
        <v>12</v>
      </c>
      <c r="C265" s="169"/>
      <c r="D265" s="169"/>
      <c r="E265" s="166">
        <v>14.103979471662223</v>
      </c>
      <c r="F265" s="258">
        <f t="shared" si="31"/>
        <v>13.919463933946473</v>
      </c>
      <c r="G265" s="258">
        <f t="shared" si="31"/>
        <v>12.358399415494075</v>
      </c>
      <c r="H265" s="166">
        <v>31.24</v>
      </c>
      <c r="I265" s="148">
        <v>798306.99497850868</v>
      </c>
      <c r="J265" s="181">
        <f>VLOOKUP($A265&amp;$B265,'LE Inputs'!$C$2:$J$505,MATCH('LE UtilityData'!J$1,'LE Inputs'!$C$1:$J$1,0),0)*1000</f>
        <v>1423052.7256474458</v>
      </c>
      <c r="K265" s="181">
        <v>572912.07387827756</v>
      </c>
      <c r="L265" s="157">
        <v>383836.36779781379</v>
      </c>
      <c r="M265" s="306"/>
      <c r="N265" s="150">
        <v>58273.783860789503</v>
      </c>
      <c r="O265" s="181">
        <f>VLOOKUP($A265&amp;$B265,'LE Inputs'!$C$2:$J$525,MATCH('LE UtilityData'!O$1,'LE Inputs'!$C$1:$J$1,0),0)</f>
        <v>57924.427032180763</v>
      </c>
      <c r="P265" s="181" t="e">
        <f>VLOOKUP($A265&amp;$B265,'LE Inputs'!$C$2:$J$505,MATCH('LE UtilityData'!P$1,'LE Inputs'!$C$1:$J$1,0),0)</f>
        <v>#N/A</v>
      </c>
      <c r="Q265" s="307">
        <f t="shared" si="32"/>
        <v>667.68999999999994</v>
      </c>
      <c r="R265" s="307">
        <f t="shared" si="32"/>
        <v>1.1850000000000001</v>
      </c>
      <c r="S265" s="161">
        <f t="shared" si="32"/>
        <v>669.9</v>
      </c>
      <c r="T265" s="161">
        <f t="shared" si="32"/>
        <v>1.05</v>
      </c>
      <c r="U265" s="159">
        <v>4124</v>
      </c>
      <c r="V265" s="159">
        <v>1696</v>
      </c>
      <c r="W265" s="159" t="e">
        <f t="shared" si="33"/>
        <v>#DIV/0!</v>
      </c>
      <c r="X265" s="159">
        <f t="shared" si="30"/>
        <v>0</v>
      </c>
    </row>
    <row r="266" spans="1:24" x14ac:dyDescent="0.2">
      <c r="A266" s="147">
        <v>2023</v>
      </c>
      <c r="B266" s="147">
        <v>1</v>
      </c>
      <c r="C266" s="169"/>
      <c r="D266" s="169"/>
      <c r="E266" s="166">
        <v>14.456578958453777</v>
      </c>
      <c r="F266" s="258">
        <f t="shared" si="31"/>
        <v>14.197853212625402</v>
      </c>
      <c r="G266" s="258">
        <f t="shared" si="31"/>
        <v>12.605567403803956</v>
      </c>
      <c r="H266" s="166">
        <v>32.67</v>
      </c>
      <c r="I266" s="148">
        <v>798743.99497850868</v>
      </c>
      <c r="J266" s="181">
        <f>VLOOKUP($A266&amp;$B266,'LE Inputs'!$C$2:$J$505,MATCH('LE UtilityData'!J$1,'LE Inputs'!$C$1:$J$1,0),0)*1000</f>
        <v>1425541.6288180705</v>
      </c>
      <c r="K266" s="181">
        <v>573930.57831627422</v>
      </c>
      <c r="L266" s="157">
        <v>384046.48307149007</v>
      </c>
      <c r="M266" s="306"/>
      <c r="N266" s="150">
        <v>58847.561093530501</v>
      </c>
      <c r="O266" s="181">
        <f>VLOOKUP($A266&amp;$B266,'LE Inputs'!$C$2:$J$525,MATCH('LE UtilityData'!O$1,'LE Inputs'!$C$1:$J$1,0),0)</f>
        <v>58430.758515600988</v>
      </c>
      <c r="P266" s="181" t="e">
        <f>VLOOKUP($A266&amp;$B266,'LE Inputs'!$C$2:$J$505,MATCH('LE UtilityData'!P$1,'LE Inputs'!$C$1:$J$1,0),0)</f>
        <v>#N/A</v>
      </c>
      <c r="Q266" s="307">
        <f t="shared" si="32"/>
        <v>927.57249999999999</v>
      </c>
      <c r="R266" s="307">
        <f t="shared" si="32"/>
        <v>0.35</v>
      </c>
      <c r="S266" s="161">
        <f t="shared" si="32"/>
        <v>932.4</v>
      </c>
      <c r="T266" s="161">
        <f t="shared" si="32"/>
        <v>0.35</v>
      </c>
      <c r="U266" s="159">
        <v>4124</v>
      </c>
      <c r="V266" s="159">
        <v>1696</v>
      </c>
      <c r="W266" s="159" t="e">
        <f t="shared" si="33"/>
        <v>#DIV/0!</v>
      </c>
      <c r="X266" s="159">
        <f t="shared" si="30"/>
        <v>0</v>
      </c>
    </row>
    <row r="267" spans="1:24" x14ac:dyDescent="0.2">
      <c r="A267" s="147">
        <v>2023</v>
      </c>
      <c r="B267" s="147">
        <v>2</v>
      </c>
      <c r="C267" s="169"/>
      <c r="D267" s="169"/>
      <c r="E267" s="166">
        <v>14.456578958453777</v>
      </c>
      <c r="F267" s="258">
        <f t="shared" si="31"/>
        <v>14.197853212625402</v>
      </c>
      <c r="G267" s="258">
        <f t="shared" si="31"/>
        <v>12.605567403803956</v>
      </c>
      <c r="H267" s="166">
        <v>29.86</v>
      </c>
      <c r="I267" s="148">
        <v>799180.99497850868</v>
      </c>
      <c r="J267" s="181">
        <f>VLOOKUP($A267&amp;$B267,'LE Inputs'!$C$2:$J$505,MATCH('LE UtilityData'!J$1,'LE Inputs'!$C$1:$J$1,0),0)*1000</f>
        <v>1425541.6288180705</v>
      </c>
      <c r="K267" s="181">
        <v>573930.57831627422</v>
      </c>
      <c r="L267" s="157">
        <v>384256.59834516642</v>
      </c>
      <c r="M267" s="306"/>
      <c r="N267" s="150">
        <v>58847.561093530501</v>
      </c>
      <c r="O267" s="181">
        <f>VLOOKUP($A267&amp;$B267,'LE Inputs'!$C$2:$J$525,MATCH('LE UtilityData'!O$1,'LE Inputs'!$C$1:$J$1,0),0)</f>
        <v>58430.758515600988</v>
      </c>
      <c r="P267" s="181" t="e">
        <f>VLOOKUP($A267&amp;$B267,'LE Inputs'!$C$2:$J$505,MATCH('LE UtilityData'!P$1,'LE Inputs'!$C$1:$J$1,0),0)</f>
        <v>#N/A</v>
      </c>
      <c r="Q267" s="307">
        <f t="shared" si="32"/>
        <v>858.35750000000007</v>
      </c>
      <c r="R267" s="307">
        <f t="shared" si="32"/>
        <v>0.05</v>
      </c>
      <c r="S267" s="161">
        <f t="shared" si="32"/>
        <v>864.1</v>
      </c>
      <c r="T267" s="161">
        <f t="shared" si="32"/>
        <v>0.05</v>
      </c>
      <c r="U267" s="159">
        <v>4124</v>
      </c>
      <c r="V267" s="159">
        <v>1696</v>
      </c>
      <c r="W267" s="159" t="e">
        <f t="shared" si="33"/>
        <v>#DIV/0!</v>
      </c>
      <c r="X267" s="159">
        <f t="shared" si="30"/>
        <v>0</v>
      </c>
    </row>
    <row r="268" spans="1:24" x14ac:dyDescent="0.2">
      <c r="A268" s="147">
        <v>2023</v>
      </c>
      <c r="B268" s="147">
        <v>3</v>
      </c>
      <c r="C268" s="169"/>
      <c r="D268" s="169"/>
      <c r="E268" s="166">
        <v>14.456578958453777</v>
      </c>
      <c r="F268" s="258">
        <f t="shared" si="31"/>
        <v>14.197853212625402</v>
      </c>
      <c r="G268" s="258">
        <f t="shared" si="31"/>
        <v>12.605567403803956</v>
      </c>
      <c r="H268" s="166">
        <v>30.29</v>
      </c>
      <c r="I268" s="148">
        <v>799617.99497850868</v>
      </c>
      <c r="J268" s="181">
        <f>VLOOKUP($A268&amp;$B268,'LE Inputs'!$C$2:$J$505,MATCH('LE UtilityData'!J$1,'LE Inputs'!$C$1:$J$1,0),0)*1000</f>
        <v>1425541.6288180705</v>
      </c>
      <c r="K268" s="181">
        <v>573930.57831627422</v>
      </c>
      <c r="L268" s="157">
        <v>384466.71361884277</v>
      </c>
      <c r="M268" s="306"/>
      <c r="N268" s="150">
        <v>58847.561093530501</v>
      </c>
      <c r="O268" s="181">
        <f>VLOOKUP($A268&amp;$B268,'LE Inputs'!$C$2:$J$525,MATCH('LE UtilityData'!O$1,'LE Inputs'!$C$1:$J$1,0),0)</f>
        <v>58430.758515600988</v>
      </c>
      <c r="P268" s="181" t="e">
        <f>VLOOKUP($A268&amp;$B268,'LE Inputs'!$C$2:$J$505,MATCH('LE UtilityData'!P$1,'LE Inputs'!$C$1:$J$1,0),0)</f>
        <v>#N/A</v>
      </c>
      <c r="Q268" s="307">
        <f t="shared" si="32"/>
        <v>666.12749999999994</v>
      </c>
      <c r="R268" s="307">
        <f t="shared" si="32"/>
        <v>2.0225</v>
      </c>
      <c r="S268" s="161">
        <f t="shared" si="32"/>
        <v>674.3</v>
      </c>
      <c r="T268" s="161">
        <f t="shared" si="32"/>
        <v>1.1499999999999999</v>
      </c>
      <c r="U268" s="159">
        <v>4124</v>
      </c>
      <c r="V268" s="159">
        <v>1696</v>
      </c>
      <c r="W268" s="159" t="e">
        <f t="shared" si="33"/>
        <v>#DIV/0!</v>
      </c>
      <c r="X268" s="159">
        <f t="shared" si="30"/>
        <v>0</v>
      </c>
    </row>
    <row r="269" spans="1:24" x14ac:dyDescent="0.2">
      <c r="A269" s="147">
        <v>2023</v>
      </c>
      <c r="B269" s="147">
        <v>4</v>
      </c>
      <c r="C269" s="169"/>
      <c r="D269" s="169"/>
      <c r="E269" s="166">
        <v>14.456578958453777</v>
      </c>
      <c r="F269" s="258">
        <f t="shared" si="31"/>
        <v>14.197853212625402</v>
      </c>
      <c r="G269" s="258">
        <f t="shared" si="31"/>
        <v>12.605567403803956</v>
      </c>
      <c r="H269" s="166">
        <v>30.67</v>
      </c>
      <c r="I269" s="148">
        <v>800054.99497850868</v>
      </c>
      <c r="J269" s="181">
        <f>VLOOKUP($A269&amp;$B269,'LE Inputs'!$C$2:$J$505,MATCH('LE UtilityData'!J$1,'LE Inputs'!$C$1:$J$1,0),0)*1000</f>
        <v>1428657.6286441742</v>
      </c>
      <c r="K269" s="181">
        <v>575166.98820090585</v>
      </c>
      <c r="L269" s="157">
        <v>384676.82889251912</v>
      </c>
      <c r="M269" s="306"/>
      <c r="N269" s="150">
        <v>59322.4023923071</v>
      </c>
      <c r="O269" s="181">
        <f>VLOOKUP($A269&amp;$B269,'LE Inputs'!$C$2:$J$525,MATCH('LE UtilityData'!O$1,'LE Inputs'!$C$1:$J$1,0),0)</f>
        <v>58843.550391753022</v>
      </c>
      <c r="P269" s="181" t="e">
        <f>VLOOKUP($A269&amp;$B269,'LE Inputs'!$C$2:$J$505,MATCH('LE UtilityData'!P$1,'LE Inputs'!$C$1:$J$1,0),0)</f>
        <v>#N/A</v>
      </c>
      <c r="Q269" s="307">
        <f t="shared" si="32"/>
        <v>370.83499999999998</v>
      </c>
      <c r="R269" s="307">
        <f t="shared" si="32"/>
        <v>22.565000000000001</v>
      </c>
      <c r="S269" s="161">
        <f t="shared" si="32"/>
        <v>377.1</v>
      </c>
      <c r="T269" s="161">
        <f t="shared" si="32"/>
        <v>20.25</v>
      </c>
      <c r="U269" s="159">
        <v>4124</v>
      </c>
      <c r="V269" s="159">
        <v>1696</v>
      </c>
      <c r="W269" s="159" t="e">
        <f t="shared" si="33"/>
        <v>#DIV/0!</v>
      </c>
      <c r="X269" s="159">
        <f t="shared" si="30"/>
        <v>0</v>
      </c>
    </row>
    <row r="270" spans="1:24" x14ac:dyDescent="0.2">
      <c r="A270" s="147">
        <v>2023</v>
      </c>
      <c r="B270" s="147">
        <v>5</v>
      </c>
      <c r="C270" s="169"/>
      <c r="D270" s="169"/>
      <c r="E270" s="166">
        <v>14.456578958453777</v>
      </c>
      <c r="F270" s="258">
        <f t="shared" si="31"/>
        <v>14.197853212625402</v>
      </c>
      <c r="G270" s="258">
        <f t="shared" si="31"/>
        <v>12.605567403803956</v>
      </c>
      <c r="H270" s="166">
        <v>29.71</v>
      </c>
      <c r="I270" s="148">
        <v>800491.99497850868</v>
      </c>
      <c r="J270" s="181">
        <f>VLOOKUP($A270&amp;$B270,'LE Inputs'!$C$2:$J$505,MATCH('LE UtilityData'!J$1,'LE Inputs'!$C$1:$J$1,0),0)*1000</f>
        <v>1428657.6286441742</v>
      </c>
      <c r="K270" s="181">
        <v>575166.98820090585</v>
      </c>
      <c r="L270" s="157">
        <v>384886.94416619546</v>
      </c>
      <c r="M270" s="306"/>
      <c r="N270" s="150">
        <v>59322.4023923071</v>
      </c>
      <c r="O270" s="181">
        <f>VLOOKUP($A270&amp;$B270,'LE Inputs'!$C$2:$J$525,MATCH('LE UtilityData'!O$1,'LE Inputs'!$C$1:$J$1,0),0)</f>
        <v>58843.550391753022</v>
      </c>
      <c r="P270" s="181" t="e">
        <f>VLOOKUP($A270&amp;$B270,'LE Inputs'!$C$2:$J$505,MATCH('LE UtilityData'!P$1,'LE Inputs'!$C$1:$J$1,0),0)</f>
        <v>#N/A</v>
      </c>
      <c r="Q270" s="307">
        <f t="shared" si="32"/>
        <v>141.76749999999998</v>
      </c>
      <c r="R270" s="307">
        <f t="shared" si="32"/>
        <v>69.552499999999995</v>
      </c>
      <c r="S270" s="161">
        <f t="shared" si="32"/>
        <v>141</v>
      </c>
      <c r="T270" s="161">
        <f t="shared" si="32"/>
        <v>69.349999999999994</v>
      </c>
      <c r="U270" s="159">
        <v>4124</v>
      </c>
      <c r="V270" s="159">
        <v>1696</v>
      </c>
      <c r="W270" s="159" t="e">
        <f t="shared" si="33"/>
        <v>#DIV/0!</v>
      </c>
      <c r="X270" s="159">
        <f t="shared" si="30"/>
        <v>0</v>
      </c>
    </row>
    <row r="271" spans="1:24" x14ac:dyDescent="0.2">
      <c r="A271" s="147">
        <v>2023</v>
      </c>
      <c r="B271" s="147">
        <v>6</v>
      </c>
      <c r="C271" s="169"/>
      <c r="D271" s="169"/>
      <c r="E271" s="166">
        <v>14.456578958453777</v>
      </c>
      <c r="F271" s="258">
        <f t="shared" si="31"/>
        <v>14.197853212625402</v>
      </c>
      <c r="G271" s="258">
        <f t="shared" si="31"/>
        <v>12.605567403803956</v>
      </c>
      <c r="H271" s="166">
        <v>30.62</v>
      </c>
      <c r="I271" s="148">
        <v>800930.95731531468</v>
      </c>
      <c r="J271" s="181">
        <f>VLOOKUP($A271&amp;$B271,'LE Inputs'!$C$2:$J$505,MATCH('LE UtilityData'!J$1,'LE Inputs'!$C$1:$J$1,0),0)*1000</f>
        <v>1428657.6286441742</v>
      </c>
      <c r="K271" s="181">
        <v>575166.98820090585</v>
      </c>
      <c r="L271" s="157">
        <v>385098.00295688561</v>
      </c>
      <c r="M271" s="306"/>
      <c r="N271" s="150">
        <v>59322.4023923071</v>
      </c>
      <c r="O271" s="181">
        <f>VLOOKUP($A271&amp;$B271,'LE Inputs'!$C$2:$J$525,MATCH('LE UtilityData'!O$1,'LE Inputs'!$C$1:$J$1,0),0)</f>
        <v>58843.550391753022</v>
      </c>
      <c r="P271" s="181" t="e">
        <f>VLOOKUP($A271&amp;$B271,'LE Inputs'!$C$2:$J$505,MATCH('LE UtilityData'!P$1,'LE Inputs'!$C$1:$J$1,0),0)</f>
        <v>#N/A</v>
      </c>
      <c r="Q271" s="307">
        <f t="shared" si="32"/>
        <v>29.807499999999997</v>
      </c>
      <c r="R271" s="307">
        <f t="shared" si="32"/>
        <v>219.05749999999998</v>
      </c>
      <c r="S271" s="161">
        <f t="shared" si="32"/>
        <v>29.5</v>
      </c>
      <c r="T271" s="161">
        <f t="shared" si="32"/>
        <v>224.8</v>
      </c>
      <c r="U271" s="159">
        <v>4124</v>
      </c>
      <c r="V271" s="159">
        <v>1696</v>
      </c>
      <c r="W271" s="159" t="e">
        <f t="shared" si="33"/>
        <v>#DIV/0!</v>
      </c>
      <c r="X271" s="159">
        <f t="shared" si="30"/>
        <v>0</v>
      </c>
    </row>
    <row r="272" spans="1:24" x14ac:dyDescent="0.2">
      <c r="A272" s="147">
        <v>2023</v>
      </c>
      <c r="B272" s="147">
        <v>7</v>
      </c>
      <c r="C272" s="169"/>
      <c r="D272" s="169"/>
      <c r="E272" s="166">
        <v>14.456578958453777</v>
      </c>
      <c r="F272" s="258">
        <f t="shared" si="31"/>
        <v>14.197853212625402</v>
      </c>
      <c r="G272" s="258">
        <f t="shared" si="31"/>
        <v>12.605567403803956</v>
      </c>
      <c r="H272" s="166">
        <v>30.81</v>
      </c>
      <c r="I272" s="148">
        <v>801363.95731531468</v>
      </c>
      <c r="J272" s="181">
        <f>VLOOKUP($A272&amp;$B272,'LE Inputs'!$C$2:$J$505,MATCH('LE UtilityData'!J$1,'LE Inputs'!$C$1:$J$1,0),0)*1000</f>
        <v>1431917.9997949624</v>
      </c>
      <c r="K272" s="181">
        <v>576445.93176762422</v>
      </c>
      <c r="L272" s="157">
        <v>385306.19497862895</v>
      </c>
      <c r="M272" s="306"/>
      <c r="N272" s="150">
        <v>59791.580090029602</v>
      </c>
      <c r="O272" s="181">
        <f>VLOOKUP($A272&amp;$B272,'LE Inputs'!$C$2:$J$525,MATCH('LE UtilityData'!O$1,'LE Inputs'!$C$1:$J$1,0),0)</f>
        <v>59224.463020901843</v>
      </c>
      <c r="P272" s="181" t="e">
        <f>VLOOKUP($A272&amp;$B272,'LE Inputs'!$C$2:$J$505,MATCH('LE UtilityData'!P$1,'LE Inputs'!$C$1:$J$1,0),0)</f>
        <v>#N/A</v>
      </c>
      <c r="Q272" s="307">
        <f t="shared" si="32"/>
        <v>0.57250000000000001</v>
      </c>
      <c r="R272" s="307">
        <f t="shared" si="32"/>
        <v>397.17500000000001</v>
      </c>
      <c r="S272" s="161">
        <f t="shared" si="32"/>
        <v>0.55000000000000004</v>
      </c>
      <c r="T272" s="161">
        <f t="shared" si="32"/>
        <v>396.4</v>
      </c>
      <c r="U272" s="159">
        <v>4124</v>
      </c>
      <c r="V272" s="159">
        <v>1696</v>
      </c>
      <c r="W272" s="159" t="e">
        <f t="shared" si="33"/>
        <v>#DIV/0!</v>
      </c>
      <c r="X272" s="159">
        <f t="shared" si="30"/>
        <v>0</v>
      </c>
    </row>
    <row r="273" spans="1:24" x14ac:dyDescent="0.2">
      <c r="A273" s="147">
        <v>2023</v>
      </c>
      <c r="B273" s="147">
        <v>8</v>
      </c>
      <c r="C273" s="169"/>
      <c r="D273" s="169"/>
      <c r="E273" s="166">
        <v>14.456578958453777</v>
      </c>
      <c r="F273" s="258">
        <f t="shared" si="31"/>
        <v>14.197853212625402</v>
      </c>
      <c r="G273" s="258">
        <f t="shared" si="31"/>
        <v>12.605567403803956</v>
      </c>
      <c r="H273" s="166">
        <v>29.43</v>
      </c>
      <c r="I273" s="148">
        <v>801796.95731531468</v>
      </c>
      <c r="J273" s="181">
        <f>VLOOKUP($A273&amp;$B273,'LE Inputs'!$C$2:$J$505,MATCH('LE UtilityData'!J$1,'LE Inputs'!$C$1:$J$1,0),0)*1000</f>
        <v>1431917.9997949624</v>
      </c>
      <c r="K273" s="181">
        <v>576445.93176762422</v>
      </c>
      <c r="L273" s="157">
        <v>385514.38700037228</v>
      </c>
      <c r="M273" s="306"/>
      <c r="N273" s="150">
        <v>59791.580090029602</v>
      </c>
      <c r="O273" s="181">
        <f>VLOOKUP($A273&amp;$B273,'LE Inputs'!$C$2:$J$525,MATCH('LE UtilityData'!O$1,'LE Inputs'!$C$1:$J$1,0),0)</f>
        <v>59224.463020901843</v>
      </c>
      <c r="P273" s="181" t="e">
        <f>VLOOKUP($A273&amp;$B273,'LE Inputs'!$C$2:$J$505,MATCH('LE UtilityData'!P$1,'LE Inputs'!$C$1:$J$1,0),0)</f>
        <v>#N/A</v>
      </c>
      <c r="Q273" s="307">
        <f t="shared" si="32"/>
        <v>0.1</v>
      </c>
      <c r="R273" s="307">
        <f t="shared" si="32"/>
        <v>418.51750000000004</v>
      </c>
      <c r="S273" s="161">
        <f t="shared" si="32"/>
        <v>0.1</v>
      </c>
      <c r="T273" s="161">
        <f t="shared" si="32"/>
        <v>417.05</v>
      </c>
      <c r="U273" s="159">
        <v>4124</v>
      </c>
      <c r="V273" s="159">
        <v>1696</v>
      </c>
      <c r="W273" s="159" t="e">
        <f t="shared" si="33"/>
        <v>#DIV/0!</v>
      </c>
      <c r="X273" s="159">
        <f t="shared" si="30"/>
        <v>0</v>
      </c>
    </row>
    <row r="274" spans="1:24" x14ac:dyDescent="0.2">
      <c r="A274" s="147">
        <v>2023</v>
      </c>
      <c r="B274" s="147">
        <v>9</v>
      </c>
      <c r="C274" s="169"/>
      <c r="D274" s="169"/>
      <c r="E274" s="166">
        <v>14.456578958453777</v>
      </c>
      <c r="F274" s="258">
        <f t="shared" si="31"/>
        <v>14.197853212625402</v>
      </c>
      <c r="G274" s="258">
        <f t="shared" si="31"/>
        <v>12.605567403803956</v>
      </c>
      <c r="H274" s="166">
        <v>30.57</v>
      </c>
      <c r="I274" s="148">
        <v>802229.95731531468</v>
      </c>
      <c r="J274" s="181">
        <f>VLOOKUP($A274&amp;$B274,'LE Inputs'!$C$2:$J$505,MATCH('LE UtilityData'!J$1,'LE Inputs'!$C$1:$J$1,0),0)*1000</f>
        <v>1431917.9997949624</v>
      </c>
      <c r="K274" s="181">
        <v>576445.93176762422</v>
      </c>
      <c r="L274" s="157">
        <v>385722.57902211568</v>
      </c>
      <c r="M274" s="306"/>
      <c r="N274" s="150">
        <v>59791.580090029602</v>
      </c>
      <c r="O274" s="181">
        <f>VLOOKUP($A274&amp;$B274,'LE Inputs'!$C$2:$J$525,MATCH('LE UtilityData'!O$1,'LE Inputs'!$C$1:$J$1,0),0)</f>
        <v>59224.463020901843</v>
      </c>
      <c r="P274" s="181" t="e">
        <f>VLOOKUP($A274&amp;$B274,'LE Inputs'!$C$2:$J$505,MATCH('LE UtilityData'!P$1,'LE Inputs'!$C$1:$J$1,0),0)</f>
        <v>#N/A</v>
      </c>
      <c r="Q274" s="307">
        <f t="shared" si="32"/>
        <v>5.2125000000000004</v>
      </c>
      <c r="R274" s="307">
        <f t="shared" si="32"/>
        <v>326.05</v>
      </c>
      <c r="S274" s="161">
        <f t="shared" si="32"/>
        <v>5.35</v>
      </c>
      <c r="T274" s="161">
        <f t="shared" si="32"/>
        <v>330.2</v>
      </c>
      <c r="U274" s="159">
        <v>4124</v>
      </c>
      <c r="V274" s="159">
        <v>1696</v>
      </c>
      <c r="W274" s="159" t="e">
        <f t="shared" si="33"/>
        <v>#DIV/0!</v>
      </c>
      <c r="X274" s="159">
        <f t="shared" si="30"/>
        <v>0</v>
      </c>
    </row>
    <row r="275" spans="1:24" x14ac:dyDescent="0.2">
      <c r="A275" s="147">
        <v>2023</v>
      </c>
      <c r="B275" s="147">
        <v>10</v>
      </c>
      <c r="C275" s="169"/>
      <c r="D275" s="169"/>
      <c r="E275" s="166">
        <v>14.456578958453777</v>
      </c>
      <c r="F275" s="258">
        <f t="shared" ref="F275:G290" si="34">F263*(1+0.02)</f>
        <v>14.197853212625402</v>
      </c>
      <c r="G275" s="258">
        <f t="shared" si="34"/>
        <v>12.605567403803956</v>
      </c>
      <c r="H275" s="166">
        <v>29.67</v>
      </c>
      <c r="I275" s="148">
        <v>802662.95731531468</v>
      </c>
      <c r="J275" s="181">
        <f>VLOOKUP($A275&amp;$B275,'LE Inputs'!$C$2:$J$505,MATCH('LE UtilityData'!J$1,'LE Inputs'!$C$1:$J$1,0),0)*1000</f>
        <v>1435680.7229889657</v>
      </c>
      <c r="K275" s="181">
        <v>578400.56670692784</v>
      </c>
      <c r="L275" s="157">
        <v>385930.77104385907</v>
      </c>
      <c r="M275" s="306"/>
      <c r="N275" s="150">
        <v>60193.897117292698</v>
      </c>
      <c r="O275" s="181">
        <f>VLOOKUP($A275&amp;$B275,'LE Inputs'!$C$2:$J$525,MATCH('LE UtilityData'!O$1,'LE Inputs'!$C$1:$J$1,0),0)</f>
        <v>59553.735963105908</v>
      </c>
      <c r="P275" s="181" t="e">
        <f>VLOOKUP($A275&amp;$B275,'LE Inputs'!$C$2:$J$505,MATCH('LE UtilityData'!P$1,'LE Inputs'!$C$1:$J$1,0),0)</f>
        <v>#N/A</v>
      </c>
      <c r="Q275" s="307">
        <f t="shared" ref="Q275:T290" si="35">Q263</f>
        <v>99.232500000000002</v>
      </c>
      <c r="R275" s="307">
        <f t="shared" si="35"/>
        <v>97.24</v>
      </c>
      <c r="S275" s="161">
        <f t="shared" si="35"/>
        <v>99.3</v>
      </c>
      <c r="T275" s="161">
        <f t="shared" si="35"/>
        <v>100.05</v>
      </c>
      <c r="U275" s="159">
        <v>4124</v>
      </c>
      <c r="V275" s="159">
        <v>1696</v>
      </c>
      <c r="W275" s="159" t="e">
        <f t="shared" si="33"/>
        <v>#DIV/0!</v>
      </c>
      <c r="X275" s="159">
        <f t="shared" si="30"/>
        <v>0</v>
      </c>
    </row>
    <row r="276" spans="1:24" x14ac:dyDescent="0.2">
      <c r="A276" s="147">
        <v>2023</v>
      </c>
      <c r="B276" s="147">
        <v>11</v>
      </c>
      <c r="C276" s="169"/>
      <c r="D276" s="169"/>
      <c r="E276" s="166">
        <v>14.456578958453777</v>
      </c>
      <c r="F276" s="258">
        <f t="shared" si="34"/>
        <v>14.197853212625402</v>
      </c>
      <c r="G276" s="258">
        <f t="shared" si="34"/>
        <v>12.605567403803956</v>
      </c>
      <c r="H276" s="166">
        <v>30.05</v>
      </c>
      <c r="I276" s="148">
        <v>803095.95731531468</v>
      </c>
      <c r="J276" s="181">
        <f>VLOOKUP($A276&amp;$B276,'LE Inputs'!$C$2:$J$505,MATCH('LE UtilityData'!J$1,'LE Inputs'!$C$1:$J$1,0),0)*1000</f>
        <v>1435680.7229889657</v>
      </c>
      <c r="K276" s="181">
        <v>578400.56670692784</v>
      </c>
      <c r="L276" s="157">
        <v>386138.96306560247</v>
      </c>
      <c r="M276" s="306"/>
      <c r="N276" s="150">
        <v>60193.897117292698</v>
      </c>
      <c r="O276" s="181">
        <f>VLOOKUP($A276&amp;$B276,'LE Inputs'!$C$2:$J$525,MATCH('LE UtilityData'!O$1,'LE Inputs'!$C$1:$J$1,0),0)</f>
        <v>59553.735963105908</v>
      </c>
      <c r="P276" s="181" t="e">
        <f>VLOOKUP($A276&amp;$B276,'LE Inputs'!$C$2:$J$505,MATCH('LE UtilityData'!P$1,'LE Inputs'!$C$1:$J$1,0),0)</f>
        <v>#N/A</v>
      </c>
      <c r="Q276" s="307">
        <f t="shared" si="35"/>
        <v>353.59499999999997</v>
      </c>
      <c r="R276" s="307">
        <f t="shared" si="35"/>
        <v>11.487500000000001</v>
      </c>
      <c r="S276" s="161">
        <f t="shared" si="35"/>
        <v>352.6</v>
      </c>
      <c r="T276" s="161">
        <f t="shared" si="35"/>
        <v>12.75</v>
      </c>
      <c r="U276" s="159">
        <v>4124</v>
      </c>
      <c r="V276" s="159">
        <v>1696</v>
      </c>
      <c r="W276" s="159" t="e">
        <f t="shared" si="33"/>
        <v>#DIV/0!</v>
      </c>
      <c r="X276" s="159">
        <f t="shared" si="30"/>
        <v>0</v>
      </c>
    </row>
    <row r="277" spans="1:24" x14ac:dyDescent="0.2">
      <c r="A277" s="147">
        <v>2023</v>
      </c>
      <c r="B277" s="147">
        <v>12</v>
      </c>
      <c r="C277" s="169"/>
      <c r="D277" s="169"/>
      <c r="E277" s="166">
        <v>14.456578958453777</v>
      </c>
      <c r="F277" s="258">
        <f t="shared" si="34"/>
        <v>14.197853212625402</v>
      </c>
      <c r="G277" s="258">
        <f t="shared" si="34"/>
        <v>12.605567403803956</v>
      </c>
      <c r="H277" s="166">
        <v>30.67</v>
      </c>
      <c r="I277" s="148">
        <v>803528.95731531468</v>
      </c>
      <c r="J277" s="181">
        <f>VLOOKUP($A277&amp;$B277,'LE Inputs'!$C$2:$J$505,MATCH('LE UtilityData'!J$1,'LE Inputs'!$C$1:$J$1,0),0)*1000</f>
        <v>1435680.7229889657</v>
      </c>
      <c r="K277" s="181">
        <v>578400.56670692784</v>
      </c>
      <c r="L277" s="157">
        <v>386347.15508734586</v>
      </c>
      <c r="M277" s="306"/>
      <c r="N277" s="150">
        <v>60193.897117292698</v>
      </c>
      <c r="O277" s="181">
        <f>VLOOKUP($A277&amp;$B277,'LE Inputs'!$C$2:$J$525,MATCH('LE UtilityData'!O$1,'LE Inputs'!$C$1:$J$1,0),0)</f>
        <v>59553.735963105908</v>
      </c>
      <c r="P277" s="181" t="e">
        <f>VLOOKUP($A277&amp;$B277,'LE Inputs'!$C$2:$J$505,MATCH('LE UtilityData'!P$1,'LE Inputs'!$C$1:$J$1,0),0)</f>
        <v>#N/A</v>
      </c>
      <c r="Q277" s="307">
        <f t="shared" si="35"/>
        <v>667.68999999999994</v>
      </c>
      <c r="R277" s="307">
        <f t="shared" si="35"/>
        <v>1.1850000000000001</v>
      </c>
      <c r="S277" s="161">
        <f t="shared" si="35"/>
        <v>669.9</v>
      </c>
      <c r="T277" s="161">
        <f t="shared" si="35"/>
        <v>1.05</v>
      </c>
      <c r="U277" s="159">
        <v>4124</v>
      </c>
      <c r="V277" s="159">
        <v>1696</v>
      </c>
      <c r="W277" s="159" t="e">
        <f t="shared" si="33"/>
        <v>#DIV/0!</v>
      </c>
      <c r="X277" s="159">
        <f t="shared" si="30"/>
        <v>0</v>
      </c>
    </row>
    <row r="278" spans="1:24" x14ac:dyDescent="0.2">
      <c r="A278" s="147">
        <v>2024</v>
      </c>
      <c r="B278" s="147">
        <v>1</v>
      </c>
      <c r="C278" s="169"/>
      <c r="D278" s="169"/>
      <c r="E278" s="166">
        <v>14.817993432415122</v>
      </c>
      <c r="F278" s="258">
        <f t="shared" si="34"/>
        <v>14.48181027687791</v>
      </c>
      <c r="G278" s="258">
        <f t="shared" si="34"/>
        <v>12.857678751880036</v>
      </c>
      <c r="H278" s="166">
        <v>32.67</v>
      </c>
      <c r="I278" s="148">
        <v>803961.95731531468</v>
      </c>
      <c r="J278" s="181">
        <f>VLOOKUP($A278&amp;$B278,'LE Inputs'!$C$2:$J$505,MATCH('LE UtilityData'!J$1,'LE Inputs'!$C$1:$J$1,0),0)*1000</f>
        <v>1438016.4946277356</v>
      </c>
      <c r="K278" s="181">
        <v>579128.99336216215</v>
      </c>
      <c r="L278" s="157">
        <v>386555.3471090892</v>
      </c>
      <c r="M278" s="306"/>
      <c r="N278" s="150">
        <v>60864.283289977902</v>
      </c>
      <c r="O278" s="181">
        <f>VLOOKUP($A278&amp;$B278,'LE Inputs'!$C$2:$J$525,MATCH('LE UtilityData'!O$1,'LE Inputs'!$C$1:$J$1,0),0)</f>
        <v>60202.834221378995</v>
      </c>
      <c r="P278" s="181" t="e">
        <f>VLOOKUP($A278&amp;$B278,'LE Inputs'!$C$2:$J$505,MATCH('LE UtilityData'!P$1,'LE Inputs'!$C$1:$J$1,0),0)</f>
        <v>#N/A</v>
      </c>
      <c r="Q278" s="307">
        <f t="shared" si="35"/>
        <v>927.57249999999999</v>
      </c>
      <c r="R278" s="307">
        <f t="shared" si="35"/>
        <v>0.35</v>
      </c>
      <c r="S278" s="161">
        <f t="shared" si="35"/>
        <v>932.4</v>
      </c>
      <c r="T278" s="161">
        <f t="shared" si="35"/>
        <v>0.35</v>
      </c>
      <c r="U278" s="159">
        <v>4124</v>
      </c>
      <c r="V278" s="159">
        <v>1696</v>
      </c>
      <c r="W278" s="159" t="e">
        <f t="shared" si="33"/>
        <v>#DIV/0!</v>
      </c>
      <c r="X278" s="159">
        <f t="shared" si="30"/>
        <v>0</v>
      </c>
    </row>
    <row r="279" spans="1:24" x14ac:dyDescent="0.2">
      <c r="A279" s="147">
        <v>2024</v>
      </c>
      <c r="B279" s="147">
        <v>2</v>
      </c>
      <c r="C279" s="169"/>
      <c r="D279" s="169"/>
      <c r="E279" s="166">
        <v>14.817993432415122</v>
      </c>
      <c r="F279" s="258">
        <f t="shared" si="34"/>
        <v>14.48181027687791</v>
      </c>
      <c r="G279" s="258">
        <f t="shared" si="34"/>
        <v>12.857678751880036</v>
      </c>
      <c r="H279" s="166">
        <v>29.86</v>
      </c>
      <c r="I279" s="148">
        <v>804394.95731531468</v>
      </c>
      <c r="J279" s="181">
        <f>VLOOKUP($A279&amp;$B279,'LE Inputs'!$C$2:$J$505,MATCH('LE UtilityData'!J$1,'LE Inputs'!$C$1:$J$1,0),0)*1000</f>
        <v>1438016.4946277356</v>
      </c>
      <c r="K279" s="181">
        <v>579128.99336216215</v>
      </c>
      <c r="L279" s="157">
        <v>386763.53913083259</v>
      </c>
      <c r="M279" s="306"/>
      <c r="N279" s="150">
        <v>60864.283289977902</v>
      </c>
      <c r="O279" s="181">
        <f>VLOOKUP($A279&amp;$B279,'LE Inputs'!$C$2:$J$525,MATCH('LE UtilityData'!O$1,'LE Inputs'!$C$1:$J$1,0),0)</f>
        <v>60202.834221378995</v>
      </c>
      <c r="P279" s="181" t="e">
        <f>VLOOKUP($A279&amp;$B279,'LE Inputs'!$C$2:$J$505,MATCH('LE UtilityData'!P$1,'LE Inputs'!$C$1:$J$1,0),0)</f>
        <v>#N/A</v>
      </c>
      <c r="Q279" s="307">
        <f t="shared" si="35"/>
        <v>858.35750000000007</v>
      </c>
      <c r="R279" s="307">
        <f t="shared" si="35"/>
        <v>0.05</v>
      </c>
      <c r="S279" s="161">
        <f t="shared" si="35"/>
        <v>864.1</v>
      </c>
      <c r="T279" s="161">
        <f t="shared" si="35"/>
        <v>0.05</v>
      </c>
      <c r="U279" s="159">
        <v>4124</v>
      </c>
      <c r="V279" s="159">
        <v>1696</v>
      </c>
      <c r="W279" s="159" t="e">
        <f t="shared" si="33"/>
        <v>#DIV/0!</v>
      </c>
      <c r="X279" s="159">
        <f t="shared" si="30"/>
        <v>0</v>
      </c>
    </row>
    <row r="280" spans="1:24" x14ac:dyDescent="0.2">
      <c r="A280" s="147">
        <v>2024</v>
      </c>
      <c r="B280" s="147">
        <v>3</v>
      </c>
      <c r="C280" s="169"/>
      <c r="D280" s="169"/>
      <c r="E280" s="166">
        <v>14.817993432415122</v>
      </c>
      <c r="F280" s="258">
        <f t="shared" si="34"/>
        <v>14.48181027687791</v>
      </c>
      <c r="G280" s="258">
        <f t="shared" si="34"/>
        <v>12.857678751880036</v>
      </c>
      <c r="H280" s="166">
        <v>30.43</v>
      </c>
      <c r="I280" s="148">
        <v>804827.95731531468</v>
      </c>
      <c r="J280" s="181">
        <f>VLOOKUP($A280&amp;$B280,'LE Inputs'!$C$2:$J$505,MATCH('LE UtilityData'!J$1,'LE Inputs'!$C$1:$J$1,0),0)*1000</f>
        <v>1438016.4946277356</v>
      </c>
      <c r="K280" s="181">
        <v>579128.99336216215</v>
      </c>
      <c r="L280" s="157">
        <v>386971.73115257593</v>
      </c>
      <c r="M280" s="306"/>
      <c r="N280" s="150">
        <v>60864.283289977902</v>
      </c>
      <c r="O280" s="181">
        <f>VLOOKUP($A280&amp;$B280,'LE Inputs'!$C$2:$J$525,MATCH('LE UtilityData'!O$1,'LE Inputs'!$C$1:$J$1,0),0)</f>
        <v>60202.834221378995</v>
      </c>
      <c r="P280" s="181" t="e">
        <f>VLOOKUP($A280&amp;$B280,'LE Inputs'!$C$2:$J$505,MATCH('LE UtilityData'!P$1,'LE Inputs'!$C$1:$J$1,0),0)</f>
        <v>#N/A</v>
      </c>
      <c r="Q280" s="307">
        <f t="shared" si="35"/>
        <v>666.12749999999994</v>
      </c>
      <c r="R280" s="307">
        <f t="shared" si="35"/>
        <v>2.0225</v>
      </c>
      <c r="S280" s="161">
        <f t="shared" si="35"/>
        <v>674.3</v>
      </c>
      <c r="T280" s="161">
        <f t="shared" si="35"/>
        <v>1.1499999999999999</v>
      </c>
      <c r="U280" s="159">
        <v>4124</v>
      </c>
      <c r="V280" s="159">
        <v>1696</v>
      </c>
      <c r="W280" s="159" t="e">
        <f t="shared" si="33"/>
        <v>#DIV/0!</v>
      </c>
      <c r="X280" s="159">
        <f t="shared" si="30"/>
        <v>0</v>
      </c>
    </row>
    <row r="281" spans="1:24" x14ac:dyDescent="0.2">
      <c r="A281" s="147">
        <v>2024</v>
      </c>
      <c r="B281" s="147">
        <v>4</v>
      </c>
      <c r="C281" s="169"/>
      <c r="D281" s="169"/>
      <c r="E281" s="166">
        <v>14.817993432415122</v>
      </c>
      <c r="F281" s="258">
        <f t="shared" si="34"/>
        <v>14.48181027687791</v>
      </c>
      <c r="G281" s="258">
        <f t="shared" si="34"/>
        <v>12.857678751880036</v>
      </c>
      <c r="H281" s="166">
        <v>30.71</v>
      </c>
      <c r="I281" s="148">
        <v>805260.95731531468</v>
      </c>
      <c r="J281" s="181">
        <f>VLOOKUP($A281&amp;$B281,'LE Inputs'!$C$2:$J$505,MATCH('LE UtilityData'!J$1,'LE Inputs'!$C$1:$J$1,0),0)*1000</f>
        <v>1441692.4171035907</v>
      </c>
      <c r="K281" s="181">
        <v>580436.55654475931</v>
      </c>
      <c r="L281" s="157">
        <v>387179.92317431932</v>
      </c>
      <c r="M281" s="306"/>
      <c r="N281" s="150">
        <v>61119.177155117599</v>
      </c>
      <c r="O281" s="181">
        <f>VLOOKUP($A281&amp;$B281,'LE Inputs'!$C$2:$J$525,MATCH('LE UtilityData'!O$1,'LE Inputs'!$C$1:$J$1,0),0)</f>
        <v>60478.898314996564</v>
      </c>
      <c r="P281" s="181" t="e">
        <f>VLOOKUP($A281&amp;$B281,'LE Inputs'!$C$2:$J$505,MATCH('LE UtilityData'!P$1,'LE Inputs'!$C$1:$J$1,0),0)</f>
        <v>#N/A</v>
      </c>
      <c r="Q281" s="307">
        <f t="shared" si="35"/>
        <v>370.83499999999998</v>
      </c>
      <c r="R281" s="307">
        <f t="shared" si="35"/>
        <v>22.565000000000001</v>
      </c>
      <c r="S281" s="161">
        <f t="shared" si="35"/>
        <v>377.1</v>
      </c>
      <c r="T281" s="161">
        <f t="shared" si="35"/>
        <v>20.25</v>
      </c>
      <c r="U281" s="159">
        <v>4124</v>
      </c>
      <c r="V281" s="159">
        <v>1696</v>
      </c>
      <c r="W281" s="159" t="e">
        <f t="shared" si="33"/>
        <v>#DIV/0!</v>
      </c>
      <c r="X281" s="159">
        <f t="shared" si="30"/>
        <v>0</v>
      </c>
    </row>
    <row r="282" spans="1:24" x14ac:dyDescent="0.2">
      <c r="A282" s="147">
        <v>2024</v>
      </c>
      <c r="B282" s="147">
        <v>5</v>
      </c>
      <c r="C282" s="169"/>
      <c r="D282" s="169"/>
      <c r="E282" s="166">
        <v>14.817993432415122</v>
      </c>
      <c r="F282" s="258">
        <f t="shared" si="34"/>
        <v>14.48181027687791</v>
      </c>
      <c r="G282" s="258">
        <f t="shared" si="34"/>
        <v>12.857678751880036</v>
      </c>
      <c r="H282" s="166">
        <v>29.52</v>
      </c>
      <c r="I282" s="148">
        <v>805693.95731531468</v>
      </c>
      <c r="J282" s="181">
        <f>VLOOKUP($A282&amp;$B282,'LE Inputs'!$C$2:$J$505,MATCH('LE UtilityData'!J$1,'LE Inputs'!$C$1:$J$1,0),0)*1000</f>
        <v>1441692.4171035907</v>
      </c>
      <c r="K282" s="181">
        <v>580436.55654475931</v>
      </c>
      <c r="L282" s="157">
        <v>387388.11519606272</v>
      </c>
      <c r="M282" s="306"/>
      <c r="N282" s="150">
        <v>61119.177155117599</v>
      </c>
      <c r="O282" s="181">
        <f>VLOOKUP($A282&amp;$B282,'LE Inputs'!$C$2:$J$525,MATCH('LE UtilityData'!O$1,'LE Inputs'!$C$1:$J$1,0),0)</f>
        <v>60478.898314996564</v>
      </c>
      <c r="P282" s="181" t="e">
        <f>VLOOKUP($A282&amp;$B282,'LE Inputs'!$C$2:$J$505,MATCH('LE UtilityData'!P$1,'LE Inputs'!$C$1:$J$1,0),0)</f>
        <v>#N/A</v>
      </c>
      <c r="Q282" s="307">
        <f t="shared" si="35"/>
        <v>141.76749999999998</v>
      </c>
      <c r="R282" s="307">
        <f t="shared" si="35"/>
        <v>69.552499999999995</v>
      </c>
      <c r="S282" s="161">
        <f t="shared" si="35"/>
        <v>141</v>
      </c>
      <c r="T282" s="161">
        <f t="shared" si="35"/>
        <v>69.349999999999994</v>
      </c>
      <c r="U282" s="159">
        <v>4124</v>
      </c>
      <c r="V282" s="159">
        <v>1696</v>
      </c>
      <c r="W282" s="159" t="e">
        <f t="shared" si="33"/>
        <v>#DIV/0!</v>
      </c>
      <c r="X282" s="159">
        <f t="shared" si="30"/>
        <v>0</v>
      </c>
    </row>
    <row r="283" spans="1:24" x14ac:dyDescent="0.2">
      <c r="A283" s="147">
        <v>2024</v>
      </c>
      <c r="B283" s="147">
        <v>6</v>
      </c>
      <c r="C283" s="169"/>
      <c r="D283" s="169"/>
      <c r="E283" s="166">
        <v>14.817993432415122</v>
      </c>
      <c r="F283" s="258">
        <f t="shared" si="34"/>
        <v>14.48181027687791</v>
      </c>
      <c r="G283" s="258">
        <f t="shared" si="34"/>
        <v>12.857678751880036</v>
      </c>
      <c r="H283" s="166">
        <v>30.62</v>
      </c>
      <c r="I283" s="148">
        <v>806123.58221832186</v>
      </c>
      <c r="J283" s="181">
        <f>VLOOKUP($A283&amp;$B283,'LE Inputs'!$C$2:$J$505,MATCH('LE UtilityData'!J$1,'LE Inputs'!$C$1:$J$1,0),0)*1000</f>
        <v>1441692.4171035907</v>
      </c>
      <c r="K283" s="181">
        <v>580436.55654475931</v>
      </c>
      <c r="L283" s="157">
        <v>387594.68442735221</v>
      </c>
      <c r="M283" s="306"/>
      <c r="N283" s="150">
        <v>61119.177155117599</v>
      </c>
      <c r="O283" s="181">
        <f>VLOOKUP($A283&amp;$B283,'LE Inputs'!$C$2:$J$525,MATCH('LE UtilityData'!O$1,'LE Inputs'!$C$1:$J$1,0),0)</f>
        <v>60478.898314996564</v>
      </c>
      <c r="P283" s="181" t="e">
        <f>VLOOKUP($A283&amp;$B283,'LE Inputs'!$C$2:$J$505,MATCH('LE UtilityData'!P$1,'LE Inputs'!$C$1:$J$1,0),0)</f>
        <v>#N/A</v>
      </c>
      <c r="Q283" s="307">
        <f t="shared" si="35"/>
        <v>29.807499999999997</v>
      </c>
      <c r="R283" s="307">
        <f t="shared" si="35"/>
        <v>219.05749999999998</v>
      </c>
      <c r="S283" s="161">
        <f t="shared" si="35"/>
        <v>29.5</v>
      </c>
      <c r="T283" s="161">
        <f t="shared" si="35"/>
        <v>224.8</v>
      </c>
      <c r="U283" s="159">
        <v>4124</v>
      </c>
      <c r="V283" s="159">
        <v>1696</v>
      </c>
      <c r="W283" s="159" t="e">
        <f t="shared" si="33"/>
        <v>#DIV/0!</v>
      </c>
      <c r="X283" s="159">
        <f t="shared" si="30"/>
        <v>0</v>
      </c>
    </row>
    <row r="284" spans="1:24" x14ac:dyDescent="0.2">
      <c r="A284" s="147">
        <v>2024</v>
      </c>
      <c r="B284" s="147">
        <v>7</v>
      </c>
      <c r="C284" s="169"/>
      <c r="D284" s="169"/>
      <c r="E284" s="166">
        <v>14.817993432415122</v>
      </c>
      <c r="F284" s="258">
        <f t="shared" si="34"/>
        <v>14.48181027687791</v>
      </c>
      <c r="G284" s="258">
        <f t="shared" si="34"/>
        <v>12.857678751880036</v>
      </c>
      <c r="H284" s="166">
        <v>30.71</v>
      </c>
      <c r="I284" s="148">
        <v>806550.58221832186</v>
      </c>
      <c r="J284" s="181">
        <f>VLOOKUP($A284&amp;$B284,'LE Inputs'!$C$2:$J$505,MATCH('LE UtilityData'!J$1,'LE Inputs'!$C$1:$J$1,0),0)*1000</f>
        <v>1444953.4456805738</v>
      </c>
      <c r="K284" s="181">
        <v>581568.45771979121</v>
      </c>
      <c r="L284" s="157">
        <v>387799.99157119612</v>
      </c>
      <c r="M284" s="306"/>
      <c r="N284" s="150">
        <v>61534.153839436003</v>
      </c>
      <c r="O284" s="181">
        <f>VLOOKUP($A284&amp;$B284,'LE Inputs'!$C$2:$J$525,MATCH('LE UtilityData'!O$1,'LE Inputs'!$C$1:$J$1,0),0)</f>
        <v>60833.810362384065</v>
      </c>
      <c r="P284" s="181" t="e">
        <f>VLOOKUP($A284&amp;$B284,'LE Inputs'!$C$2:$J$505,MATCH('LE UtilityData'!P$1,'LE Inputs'!$C$1:$J$1,0),0)</f>
        <v>#N/A</v>
      </c>
      <c r="Q284" s="307">
        <f t="shared" si="35"/>
        <v>0.57250000000000001</v>
      </c>
      <c r="R284" s="307">
        <f t="shared" si="35"/>
        <v>397.17500000000001</v>
      </c>
      <c r="S284" s="161">
        <f t="shared" si="35"/>
        <v>0.55000000000000004</v>
      </c>
      <c r="T284" s="161">
        <f t="shared" si="35"/>
        <v>396.4</v>
      </c>
      <c r="U284" s="159">
        <v>4124</v>
      </c>
      <c r="V284" s="159">
        <v>1696</v>
      </c>
      <c r="W284" s="159" t="e">
        <f t="shared" si="33"/>
        <v>#DIV/0!</v>
      </c>
      <c r="X284" s="159">
        <f t="shared" si="30"/>
        <v>0</v>
      </c>
    </row>
    <row r="285" spans="1:24" x14ac:dyDescent="0.2">
      <c r="A285" s="147">
        <v>2024</v>
      </c>
      <c r="B285" s="147">
        <v>8</v>
      </c>
      <c r="C285" s="169"/>
      <c r="D285" s="169"/>
      <c r="E285" s="166">
        <v>14.817993432415122</v>
      </c>
      <c r="F285" s="258">
        <f t="shared" si="34"/>
        <v>14.48181027687791</v>
      </c>
      <c r="G285" s="258">
        <f t="shared" si="34"/>
        <v>12.857678751880036</v>
      </c>
      <c r="H285" s="166">
        <v>29.52</v>
      </c>
      <c r="I285" s="148">
        <v>806977.58221832186</v>
      </c>
      <c r="J285" s="181">
        <f>VLOOKUP($A285&amp;$B285,'LE Inputs'!$C$2:$J$505,MATCH('LE UtilityData'!J$1,'LE Inputs'!$C$1:$J$1,0),0)*1000</f>
        <v>1444953.4456805738</v>
      </c>
      <c r="K285" s="181">
        <v>581568.45771979121</v>
      </c>
      <c r="L285" s="157">
        <v>388005.29871504003</v>
      </c>
      <c r="M285" s="306"/>
      <c r="N285" s="150">
        <v>61534.153839436003</v>
      </c>
      <c r="O285" s="181">
        <f>VLOOKUP($A285&amp;$B285,'LE Inputs'!$C$2:$J$525,MATCH('LE UtilityData'!O$1,'LE Inputs'!$C$1:$J$1,0),0)</f>
        <v>60833.810362384065</v>
      </c>
      <c r="P285" s="181" t="e">
        <f>VLOOKUP($A285&amp;$B285,'LE Inputs'!$C$2:$J$505,MATCH('LE UtilityData'!P$1,'LE Inputs'!$C$1:$J$1,0),0)</f>
        <v>#N/A</v>
      </c>
      <c r="Q285" s="307">
        <f t="shared" si="35"/>
        <v>0.1</v>
      </c>
      <c r="R285" s="307">
        <f t="shared" si="35"/>
        <v>418.51750000000004</v>
      </c>
      <c r="S285" s="161">
        <f t="shared" si="35"/>
        <v>0.1</v>
      </c>
      <c r="T285" s="161">
        <f t="shared" si="35"/>
        <v>417.05</v>
      </c>
      <c r="U285" s="159">
        <v>4124</v>
      </c>
      <c r="V285" s="159">
        <v>1696</v>
      </c>
      <c r="W285" s="159" t="e">
        <f t="shared" si="33"/>
        <v>#DIV/0!</v>
      </c>
      <c r="X285" s="159">
        <f t="shared" si="30"/>
        <v>0</v>
      </c>
    </row>
    <row r="286" spans="1:24" x14ac:dyDescent="0.2">
      <c r="A286" s="147">
        <v>2024</v>
      </c>
      <c r="B286" s="147">
        <v>9</v>
      </c>
      <c r="C286" s="169"/>
      <c r="D286" s="169"/>
      <c r="E286" s="166">
        <v>14.817993432415122</v>
      </c>
      <c r="F286" s="258">
        <f t="shared" si="34"/>
        <v>14.48181027687791</v>
      </c>
      <c r="G286" s="258">
        <f t="shared" si="34"/>
        <v>12.857678751880036</v>
      </c>
      <c r="H286" s="166">
        <v>30.57</v>
      </c>
      <c r="I286" s="148">
        <v>807404.58221832186</v>
      </c>
      <c r="J286" s="181">
        <f>VLOOKUP($A286&amp;$B286,'LE Inputs'!$C$2:$J$505,MATCH('LE UtilityData'!J$1,'LE Inputs'!$C$1:$J$1,0),0)*1000</f>
        <v>1444953.4456805738</v>
      </c>
      <c r="K286" s="181">
        <v>581568.45771979121</v>
      </c>
      <c r="L286" s="157">
        <v>388210.60585888394</v>
      </c>
      <c r="M286" s="306"/>
      <c r="N286" s="150">
        <v>61534.153839436003</v>
      </c>
      <c r="O286" s="181">
        <f>VLOOKUP($A286&amp;$B286,'LE Inputs'!$C$2:$J$525,MATCH('LE UtilityData'!O$1,'LE Inputs'!$C$1:$J$1,0),0)</f>
        <v>60833.810362384065</v>
      </c>
      <c r="P286" s="181" t="e">
        <f>VLOOKUP($A286&amp;$B286,'LE Inputs'!$C$2:$J$505,MATCH('LE UtilityData'!P$1,'LE Inputs'!$C$1:$J$1,0),0)</f>
        <v>#N/A</v>
      </c>
      <c r="Q286" s="307">
        <f t="shared" si="35"/>
        <v>5.2125000000000004</v>
      </c>
      <c r="R286" s="307">
        <f t="shared" si="35"/>
        <v>326.05</v>
      </c>
      <c r="S286" s="161">
        <f t="shared" si="35"/>
        <v>5.35</v>
      </c>
      <c r="T286" s="161">
        <f t="shared" si="35"/>
        <v>330.2</v>
      </c>
      <c r="U286" s="159">
        <v>4124</v>
      </c>
      <c r="V286" s="159">
        <v>1696</v>
      </c>
      <c r="W286" s="159" t="e">
        <f t="shared" si="33"/>
        <v>#DIV/0!</v>
      </c>
      <c r="X286" s="159">
        <f t="shared" si="30"/>
        <v>0</v>
      </c>
    </row>
    <row r="287" spans="1:24" x14ac:dyDescent="0.2">
      <c r="A287" s="147">
        <v>2024</v>
      </c>
      <c r="B287" s="147">
        <v>10</v>
      </c>
      <c r="C287" s="169"/>
      <c r="D287" s="169"/>
      <c r="E287" s="166">
        <v>14.817993432415122</v>
      </c>
      <c r="F287" s="258">
        <f t="shared" si="34"/>
        <v>14.48181027687791</v>
      </c>
      <c r="G287" s="258">
        <f t="shared" si="34"/>
        <v>12.857678751880036</v>
      </c>
      <c r="H287" s="166">
        <v>29.67</v>
      </c>
      <c r="I287" s="148">
        <v>807831.58221832186</v>
      </c>
      <c r="J287" s="181">
        <f>VLOOKUP($A287&amp;$B287,'LE Inputs'!$C$2:$J$505,MATCH('LE UtilityData'!J$1,'LE Inputs'!$C$1:$J$1,0),0)*1000</f>
        <v>1448203.3166898021</v>
      </c>
      <c r="K287" s="181">
        <v>582666.20952961768</v>
      </c>
      <c r="L287" s="157">
        <v>388415.91300272784</v>
      </c>
      <c r="M287" s="306"/>
      <c r="N287" s="150">
        <v>61984.265067182001</v>
      </c>
      <c r="O287" s="181">
        <f>VLOOKUP($A287&amp;$B287,'LE Inputs'!$C$2:$J$525,MATCH('LE UtilityData'!O$1,'LE Inputs'!$C$1:$J$1,0),0)</f>
        <v>61221.759440175905</v>
      </c>
      <c r="P287" s="181" t="e">
        <f>VLOOKUP($A287&amp;$B287,'LE Inputs'!$C$2:$J$505,MATCH('LE UtilityData'!P$1,'LE Inputs'!$C$1:$J$1,0),0)</f>
        <v>#N/A</v>
      </c>
      <c r="Q287" s="307">
        <f t="shared" si="35"/>
        <v>99.232500000000002</v>
      </c>
      <c r="R287" s="307">
        <f t="shared" si="35"/>
        <v>97.24</v>
      </c>
      <c r="S287" s="161">
        <f t="shared" si="35"/>
        <v>99.3</v>
      </c>
      <c r="T287" s="161">
        <f t="shared" si="35"/>
        <v>100.05</v>
      </c>
      <c r="U287" s="159">
        <v>4124</v>
      </c>
      <c r="V287" s="159">
        <v>1696</v>
      </c>
      <c r="W287" s="159" t="e">
        <f t="shared" si="33"/>
        <v>#DIV/0!</v>
      </c>
      <c r="X287" s="159">
        <f t="shared" si="30"/>
        <v>0</v>
      </c>
    </row>
    <row r="288" spans="1:24" x14ac:dyDescent="0.2">
      <c r="A288" s="147">
        <v>2024</v>
      </c>
      <c r="B288" s="147">
        <v>11</v>
      </c>
      <c r="C288" s="169"/>
      <c r="D288" s="169"/>
      <c r="E288" s="166">
        <v>14.817993432415122</v>
      </c>
      <c r="F288" s="258">
        <f t="shared" si="34"/>
        <v>14.48181027687791</v>
      </c>
      <c r="G288" s="258">
        <f t="shared" si="34"/>
        <v>12.857678751880036</v>
      </c>
      <c r="H288" s="166">
        <v>29.38</v>
      </c>
      <c r="I288" s="148">
        <v>808258.58221832186</v>
      </c>
      <c r="J288" s="181">
        <f>VLOOKUP($A288&amp;$B288,'LE Inputs'!$C$2:$J$505,MATCH('LE UtilityData'!J$1,'LE Inputs'!$C$1:$J$1,0),0)*1000</f>
        <v>1448203.3166898021</v>
      </c>
      <c r="K288" s="181">
        <v>582666.20952961768</v>
      </c>
      <c r="L288" s="157">
        <v>388621.22014657181</v>
      </c>
      <c r="M288" s="306"/>
      <c r="N288" s="150">
        <v>61984.265067182001</v>
      </c>
      <c r="O288" s="181">
        <f>VLOOKUP($A288&amp;$B288,'LE Inputs'!$C$2:$J$525,MATCH('LE UtilityData'!O$1,'LE Inputs'!$C$1:$J$1,0),0)</f>
        <v>61221.759440175905</v>
      </c>
      <c r="P288" s="181" t="e">
        <f>VLOOKUP($A288&amp;$B288,'LE Inputs'!$C$2:$J$505,MATCH('LE UtilityData'!P$1,'LE Inputs'!$C$1:$J$1,0),0)</f>
        <v>#N/A</v>
      </c>
      <c r="Q288" s="307">
        <f t="shared" si="35"/>
        <v>353.59499999999997</v>
      </c>
      <c r="R288" s="307">
        <f t="shared" si="35"/>
        <v>11.487500000000001</v>
      </c>
      <c r="S288" s="161">
        <f t="shared" si="35"/>
        <v>352.6</v>
      </c>
      <c r="T288" s="161">
        <f t="shared" si="35"/>
        <v>12.75</v>
      </c>
      <c r="U288" s="159">
        <v>4124</v>
      </c>
      <c r="V288" s="159">
        <v>1696</v>
      </c>
      <c r="W288" s="159" t="e">
        <f t="shared" si="33"/>
        <v>#DIV/0!</v>
      </c>
      <c r="X288" s="159">
        <f t="shared" si="30"/>
        <v>0</v>
      </c>
    </row>
    <row r="289" spans="1:24" x14ac:dyDescent="0.2">
      <c r="A289" s="147">
        <v>2024</v>
      </c>
      <c r="B289" s="147">
        <v>12</v>
      </c>
      <c r="C289" s="169"/>
      <c r="D289" s="169"/>
      <c r="E289" s="166">
        <v>14.817993432415122</v>
      </c>
      <c r="F289" s="258">
        <f t="shared" si="34"/>
        <v>14.48181027687791</v>
      </c>
      <c r="G289" s="258">
        <f t="shared" si="34"/>
        <v>12.857678751880036</v>
      </c>
      <c r="H289" s="166">
        <v>32.43</v>
      </c>
      <c r="I289" s="148">
        <v>808685.58221832186</v>
      </c>
      <c r="J289" s="181">
        <f>VLOOKUP($A289&amp;$B289,'LE Inputs'!$C$2:$J$505,MATCH('LE UtilityData'!J$1,'LE Inputs'!$C$1:$J$1,0),0)*1000</f>
        <v>1448203.3166898021</v>
      </c>
      <c r="K289" s="181">
        <v>582666.20952961768</v>
      </c>
      <c r="L289" s="157">
        <v>388826.52729041572</v>
      </c>
      <c r="M289" s="306"/>
      <c r="N289" s="150">
        <v>61984.265067182001</v>
      </c>
      <c r="O289" s="181">
        <f>VLOOKUP($A289&amp;$B289,'LE Inputs'!$C$2:$J$525,MATCH('LE UtilityData'!O$1,'LE Inputs'!$C$1:$J$1,0),0)</f>
        <v>61221.759440175905</v>
      </c>
      <c r="P289" s="181" t="e">
        <f>VLOOKUP($A289&amp;$B289,'LE Inputs'!$C$2:$J$505,MATCH('LE UtilityData'!P$1,'LE Inputs'!$C$1:$J$1,0),0)</f>
        <v>#N/A</v>
      </c>
      <c r="Q289" s="307">
        <f t="shared" si="35"/>
        <v>667.68999999999994</v>
      </c>
      <c r="R289" s="307">
        <f t="shared" si="35"/>
        <v>1.1850000000000001</v>
      </c>
      <c r="S289" s="161">
        <f t="shared" si="35"/>
        <v>669.9</v>
      </c>
      <c r="T289" s="161">
        <f t="shared" si="35"/>
        <v>1.05</v>
      </c>
      <c r="U289" s="159">
        <v>4124</v>
      </c>
      <c r="V289" s="159">
        <v>1696</v>
      </c>
      <c r="W289" s="159" t="e">
        <f t="shared" si="33"/>
        <v>#DIV/0!</v>
      </c>
      <c r="X289" s="159">
        <f t="shared" si="30"/>
        <v>0</v>
      </c>
    </row>
    <row r="290" spans="1:24" x14ac:dyDescent="0.2">
      <c r="A290" s="147">
        <v>2025</v>
      </c>
      <c r="B290" s="147">
        <v>1</v>
      </c>
      <c r="C290" s="169"/>
      <c r="D290" s="169"/>
      <c r="E290" s="166">
        <v>15.188443268225498</v>
      </c>
      <c r="F290" s="258">
        <f t="shared" si="34"/>
        <v>14.771446482415469</v>
      </c>
      <c r="G290" s="258">
        <f t="shared" si="34"/>
        <v>13.114832326917636</v>
      </c>
      <c r="H290" s="166">
        <v>32.33</v>
      </c>
      <c r="I290" s="148">
        <v>809112.58221832186</v>
      </c>
      <c r="J290" s="181">
        <f>VLOOKUP($A290&amp;$B290,'LE Inputs'!$C$2:$J$505,MATCH('LE UtilityData'!J$1,'LE Inputs'!$C$1:$J$1,0),0)*1000</f>
        <v>1450701.1352829402</v>
      </c>
      <c r="K290" s="181">
        <v>583844.34500018775</v>
      </c>
      <c r="L290" s="157">
        <v>389031.83443425962</v>
      </c>
      <c r="M290" s="306"/>
      <c r="N290" s="150">
        <v>62484.505041018398</v>
      </c>
      <c r="O290" s="181">
        <f>VLOOKUP($A290&amp;$B290,'LE Inputs'!$C$2:$J$525,MATCH('LE UtilityData'!O$1,'LE Inputs'!$C$1:$J$1,0),0)</f>
        <v>61579.488824100219</v>
      </c>
      <c r="P290" s="181" t="e">
        <f>VLOOKUP($A290&amp;$B290,'LE Inputs'!$C$2:$J$505,MATCH('LE UtilityData'!P$1,'LE Inputs'!$C$1:$J$1,0),0)</f>
        <v>#N/A</v>
      </c>
      <c r="Q290" s="307">
        <f t="shared" si="35"/>
        <v>927.57249999999999</v>
      </c>
      <c r="R290" s="307">
        <f t="shared" si="35"/>
        <v>0.35</v>
      </c>
      <c r="S290" s="161">
        <f t="shared" si="35"/>
        <v>932.4</v>
      </c>
      <c r="T290" s="161">
        <f t="shared" si="35"/>
        <v>0.35</v>
      </c>
      <c r="U290" s="159">
        <v>4124</v>
      </c>
      <c r="V290" s="159">
        <v>1696</v>
      </c>
      <c r="W290" s="159" t="e">
        <f t="shared" si="33"/>
        <v>#DIV/0!</v>
      </c>
      <c r="X290" s="159">
        <f t="shared" si="30"/>
        <v>0</v>
      </c>
    </row>
    <row r="291" spans="1:24" x14ac:dyDescent="0.2">
      <c r="A291" s="147">
        <v>2025</v>
      </c>
      <c r="B291" s="147">
        <v>2</v>
      </c>
      <c r="C291" s="169"/>
      <c r="D291" s="169"/>
      <c r="E291" s="166">
        <v>15.188443268225498</v>
      </c>
      <c r="F291" s="258">
        <f t="shared" ref="F291:G306" si="36">F279*(1+0.02)</f>
        <v>14.771446482415469</v>
      </c>
      <c r="G291" s="258">
        <f t="shared" si="36"/>
        <v>13.114832326917636</v>
      </c>
      <c r="H291" s="166">
        <v>30.05</v>
      </c>
      <c r="I291" s="148">
        <v>809539.58221832186</v>
      </c>
      <c r="J291" s="181">
        <f>VLOOKUP($A291&amp;$B291,'LE Inputs'!$C$2:$J$505,MATCH('LE UtilityData'!J$1,'LE Inputs'!$C$1:$J$1,0),0)*1000</f>
        <v>1450701.1352829402</v>
      </c>
      <c r="K291" s="181">
        <v>583844.34500018775</v>
      </c>
      <c r="L291" s="157">
        <v>389237.14157810353</v>
      </c>
      <c r="M291" s="306"/>
      <c r="N291" s="150">
        <v>62484.505041018398</v>
      </c>
      <c r="O291" s="181">
        <f>VLOOKUP($A291&amp;$B291,'LE Inputs'!$C$2:$J$525,MATCH('LE UtilityData'!O$1,'LE Inputs'!$C$1:$J$1,0),0)</f>
        <v>61579.488824100219</v>
      </c>
      <c r="P291" s="181" t="e">
        <f>VLOOKUP($A291&amp;$B291,'LE Inputs'!$C$2:$J$505,MATCH('LE UtilityData'!P$1,'LE Inputs'!$C$1:$J$1,0),0)</f>
        <v>#N/A</v>
      </c>
      <c r="Q291" s="307">
        <f t="shared" ref="Q291:T306" si="37">Q279</f>
        <v>858.35750000000007</v>
      </c>
      <c r="R291" s="307">
        <f t="shared" si="37"/>
        <v>0.05</v>
      </c>
      <c r="S291" s="161">
        <f t="shared" si="37"/>
        <v>864.1</v>
      </c>
      <c r="T291" s="161">
        <f t="shared" si="37"/>
        <v>0.05</v>
      </c>
      <c r="U291" s="159">
        <v>4124</v>
      </c>
      <c r="V291" s="159">
        <v>1696</v>
      </c>
      <c r="W291" s="159" t="e">
        <f t="shared" si="33"/>
        <v>#DIV/0!</v>
      </c>
      <c r="X291" s="159">
        <f t="shared" si="30"/>
        <v>0</v>
      </c>
    </row>
    <row r="292" spans="1:24" x14ac:dyDescent="0.2">
      <c r="A292" s="147">
        <v>2025</v>
      </c>
      <c r="B292" s="147">
        <v>3</v>
      </c>
      <c r="C292" s="169"/>
      <c r="D292" s="169"/>
      <c r="E292" s="166">
        <v>15.188443268225498</v>
      </c>
      <c r="F292" s="258">
        <f t="shared" si="36"/>
        <v>14.771446482415469</v>
      </c>
      <c r="G292" s="258">
        <f t="shared" si="36"/>
        <v>13.114832326917636</v>
      </c>
      <c r="H292" s="166">
        <v>30.19</v>
      </c>
      <c r="I292" s="148">
        <v>809966.58221832186</v>
      </c>
      <c r="J292" s="181">
        <f>VLOOKUP($A292&amp;$B292,'LE Inputs'!$C$2:$J$505,MATCH('LE UtilityData'!J$1,'LE Inputs'!$C$1:$J$1,0),0)*1000</f>
        <v>1450701.1352829402</v>
      </c>
      <c r="K292" s="181">
        <v>583844.34500018775</v>
      </c>
      <c r="L292" s="157">
        <v>389442.44872194744</v>
      </c>
      <c r="M292" s="306"/>
      <c r="N292" s="150">
        <v>62484.505041018398</v>
      </c>
      <c r="O292" s="181">
        <f>VLOOKUP($A292&amp;$B292,'LE Inputs'!$C$2:$J$525,MATCH('LE UtilityData'!O$1,'LE Inputs'!$C$1:$J$1,0),0)</f>
        <v>61579.488824100219</v>
      </c>
      <c r="P292" s="181" t="e">
        <f>VLOOKUP($A292&amp;$B292,'LE Inputs'!$C$2:$J$505,MATCH('LE UtilityData'!P$1,'LE Inputs'!$C$1:$J$1,0),0)</f>
        <v>#N/A</v>
      </c>
      <c r="Q292" s="307">
        <f t="shared" si="37"/>
        <v>666.12749999999994</v>
      </c>
      <c r="R292" s="307">
        <f t="shared" si="37"/>
        <v>2.0225</v>
      </c>
      <c r="S292" s="161">
        <f t="shared" si="37"/>
        <v>674.3</v>
      </c>
      <c r="T292" s="161">
        <f t="shared" si="37"/>
        <v>1.1499999999999999</v>
      </c>
      <c r="U292" s="159">
        <v>4124</v>
      </c>
      <c r="V292" s="159">
        <v>1696</v>
      </c>
      <c r="W292" s="159" t="e">
        <f t="shared" si="33"/>
        <v>#DIV/0!</v>
      </c>
      <c r="X292" s="159">
        <f t="shared" si="30"/>
        <v>0</v>
      </c>
    </row>
    <row r="293" spans="1:24" x14ac:dyDescent="0.2">
      <c r="A293" s="147">
        <v>2025</v>
      </c>
      <c r="B293" s="147">
        <v>4</v>
      </c>
      <c r="C293" s="169"/>
      <c r="D293" s="169"/>
      <c r="E293" s="166">
        <v>15.188443268225498</v>
      </c>
      <c r="F293" s="258">
        <f t="shared" si="36"/>
        <v>14.771446482415469</v>
      </c>
      <c r="G293" s="258">
        <f t="shared" si="36"/>
        <v>13.114832326917636</v>
      </c>
      <c r="H293" s="166">
        <v>30</v>
      </c>
      <c r="I293" s="148">
        <v>810393.58221832186</v>
      </c>
      <c r="J293" s="181">
        <f>VLOOKUP($A293&amp;$B293,'LE Inputs'!$C$2:$J$505,MATCH('LE UtilityData'!J$1,'LE Inputs'!$C$1:$J$1,0),0)*1000</f>
        <v>1453947.1250160732</v>
      </c>
      <c r="K293" s="181">
        <v>585284.12774609006</v>
      </c>
      <c r="L293" s="157">
        <v>389647.75586579135</v>
      </c>
      <c r="M293" s="306"/>
      <c r="N293" s="150">
        <v>62889.614843554598</v>
      </c>
      <c r="O293" s="181">
        <f>VLOOKUP($A293&amp;$B293,'LE Inputs'!$C$2:$J$525,MATCH('LE UtilityData'!O$1,'LE Inputs'!$C$1:$J$1,0),0)</f>
        <v>61915.428863347588</v>
      </c>
      <c r="P293" s="181" t="e">
        <f>VLOOKUP($A293&amp;$B293,'LE Inputs'!$C$2:$J$505,MATCH('LE UtilityData'!P$1,'LE Inputs'!$C$1:$J$1,0),0)</f>
        <v>#N/A</v>
      </c>
      <c r="Q293" s="307">
        <f t="shared" si="37"/>
        <v>370.83499999999998</v>
      </c>
      <c r="R293" s="307">
        <f t="shared" si="37"/>
        <v>22.565000000000001</v>
      </c>
      <c r="S293" s="161">
        <f t="shared" si="37"/>
        <v>377.1</v>
      </c>
      <c r="T293" s="161">
        <f t="shared" si="37"/>
        <v>20.25</v>
      </c>
      <c r="U293" s="159">
        <v>4124</v>
      </c>
      <c r="V293" s="159">
        <v>1696</v>
      </c>
      <c r="W293" s="159" t="e">
        <f t="shared" si="33"/>
        <v>#DIV/0!</v>
      </c>
      <c r="X293" s="159">
        <f t="shared" si="30"/>
        <v>0</v>
      </c>
    </row>
    <row r="294" spans="1:24" x14ac:dyDescent="0.2">
      <c r="A294" s="147">
        <v>2025</v>
      </c>
      <c r="B294" s="147">
        <v>5</v>
      </c>
      <c r="C294" s="169"/>
      <c r="D294" s="169"/>
      <c r="E294" s="166">
        <v>15.188443268225498</v>
      </c>
      <c r="F294" s="258">
        <f t="shared" si="36"/>
        <v>14.771446482415469</v>
      </c>
      <c r="G294" s="258">
        <f t="shared" si="36"/>
        <v>13.114832326917636</v>
      </c>
      <c r="H294" s="166">
        <v>30.48</v>
      </c>
      <c r="I294" s="148">
        <v>810820.58221832186</v>
      </c>
      <c r="J294" s="181">
        <f>VLOOKUP($A294&amp;$B294,'LE Inputs'!$C$2:$J$505,MATCH('LE UtilityData'!J$1,'LE Inputs'!$C$1:$J$1,0),0)*1000</f>
        <v>1453947.1250160732</v>
      </c>
      <c r="K294" s="181">
        <v>585284.12774609006</v>
      </c>
      <c r="L294" s="157">
        <v>389853.06300963531</v>
      </c>
      <c r="M294" s="306"/>
      <c r="N294" s="150">
        <v>62889.614843554598</v>
      </c>
      <c r="O294" s="181">
        <f>VLOOKUP($A294&amp;$B294,'LE Inputs'!$C$2:$J$525,MATCH('LE UtilityData'!O$1,'LE Inputs'!$C$1:$J$1,0),0)</f>
        <v>61915.428863347588</v>
      </c>
      <c r="P294" s="181" t="e">
        <f>VLOOKUP($A294&amp;$B294,'LE Inputs'!$C$2:$J$505,MATCH('LE UtilityData'!P$1,'LE Inputs'!$C$1:$J$1,0),0)</f>
        <v>#N/A</v>
      </c>
      <c r="Q294" s="307">
        <f t="shared" si="37"/>
        <v>141.76749999999998</v>
      </c>
      <c r="R294" s="307">
        <f t="shared" si="37"/>
        <v>69.552499999999995</v>
      </c>
      <c r="S294" s="161">
        <f t="shared" si="37"/>
        <v>141</v>
      </c>
      <c r="T294" s="161">
        <f t="shared" si="37"/>
        <v>69.349999999999994</v>
      </c>
      <c r="U294" s="159">
        <v>4124</v>
      </c>
      <c r="V294" s="159">
        <v>1696</v>
      </c>
      <c r="W294" s="159" t="e">
        <f t="shared" si="33"/>
        <v>#DIV/0!</v>
      </c>
      <c r="X294" s="159">
        <f t="shared" si="30"/>
        <v>0</v>
      </c>
    </row>
    <row r="295" spans="1:24" x14ac:dyDescent="0.2">
      <c r="A295" s="147">
        <v>2025</v>
      </c>
      <c r="B295" s="147">
        <v>6</v>
      </c>
      <c r="C295" s="169"/>
      <c r="D295" s="169"/>
      <c r="E295" s="166">
        <v>15.188443268225498</v>
      </c>
      <c r="F295" s="258">
        <f t="shared" si="36"/>
        <v>14.771446482415469</v>
      </c>
      <c r="G295" s="258">
        <f t="shared" si="36"/>
        <v>13.114832326917636</v>
      </c>
      <c r="H295" s="166">
        <v>30.52</v>
      </c>
      <c r="I295" s="148">
        <v>811253.17197229387</v>
      </c>
      <c r="J295" s="181">
        <f>VLOOKUP($A295&amp;$B295,'LE Inputs'!$C$2:$J$505,MATCH('LE UtilityData'!J$1,'LE Inputs'!$C$1:$J$1,0),0)*1000</f>
        <v>1453947.1250160732</v>
      </c>
      <c r="K295" s="181">
        <v>585284.12774609006</v>
      </c>
      <c r="L295" s="157">
        <v>390061.05777976214</v>
      </c>
      <c r="M295" s="306"/>
      <c r="N295" s="150">
        <v>62889.614843554598</v>
      </c>
      <c r="O295" s="181">
        <f>VLOOKUP($A295&amp;$B295,'LE Inputs'!$C$2:$J$525,MATCH('LE UtilityData'!O$1,'LE Inputs'!$C$1:$J$1,0),0)</f>
        <v>61915.428863347588</v>
      </c>
      <c r="P295" s="181" t="e">
        <f>VLOOKUP($A295&amp;$B295,'LE Inputs'!$C$2:$J$505,MATCH('LE UtilityData'!P$1,'LE Inputs'!$C$1:$J$1,0),0)</f>
        <v>#N/A</v>
      </c>
      <c r="Q295" s="307">
        <f t="shared" si="37"/>
        <v>29.807499999999997</v>
      </c>
      <c r="R295" s="307">
        <f t="shared" si="37"/>
        <v>219.05749999999998</v>
      </c>
      <c r="S295" s="161">
        <f t="shared" si="37"/>
        <v>29.5</v>
      </c>
      <c r="T295" s="161">
        <f t="shared" si="37"/>
        <v>224.8</v>
      </c>
      <c r="U295" s="159">
        <v>4124</v>
      </c>
      <c r="V295" s="159">
        <v>1696</v>
      </c>
      <c r="W295" s="159" t="e">
        <f t="shared" si="33"/>
        <v>#DIV/0!</v>
      </c>
      <c r="X295" s="159">
        <f t="shared" si="30"/>
        <v>0</v>
      </c>
    </row>
    <row r="296" spans="1:24" x14ac:dyDescent="0.2">
      <c r="A296" s="147">
        <v>2025</v>
      </c>
      <c r="B296" s="147">
        <v>7</v>
      </c>
      <c r="C296" s="169"/>
      <c r="D296" s="169"/>
      <c r="E296" s="166">
        <v>15.188443268225498</v>
      </c>
      <c r="F296" s="258">
        <f t="shared" si="36"/>
        <v>14.771446482415469</v>
      </c>
      <c r="G296" s="258">
        <f t="shared" si="36"/>
        <v>13.114832326917636</v>
      </c>
      <c r="H296" s="166">
        <v>30.67</v>
      </c>
      <c r="I296" s="148">
        <v>811673.17197229387</v>
      </c>
      <c r="J296" s="181">
        <f>VLOOKUP($A296&amp;$B296,'LE Inputs'!$C$2:$J$505,MATCH('LE UtilityData'!J$1,'LE Inputs'!$C$1:$J$1,0),0)*1000</f>
        <v>1457194.2335058653</v>
      </c>
      <c r="K296" s="181">
        <v>586717.69037746685</v>
      </c>
      <c r="L296" s="157">
        <v>390262.99923272338</v>
      </c>
      <c r="M296" s="306"/>
      <c r="N296" s="150">
        <v>63352.1842004793</v>
      </c>
      <c r="O296" s="181">
        <f>VLOOKUP($A296&amp;$B296,'LE Inputs'!$C$2:$J$525,MATCH('LE UtilityData'!O$1,'LE Inputs'!$C$1:$J$1,0),0)</f>
        <v>62273.834373920268</v>
      </c>
      <c r="P296" s="181" t="e">
        <f>VLOOKUP($A296&amp;$B296,'LE Inputs'!$C$2:$J$505,MATCH('LE UtilityData'!P$1,'LE Inputs'!$C$1:$J$1,0),0)</f>
        <v>#N/A</v>
      </c>
      <c r="Q296" s="307">
        <f t="shared" si="37"/>
        <v>0.57250000000000001</v>
      </c>
      <c r="R296" s="307">
        <f t="shared" si="37"/>
        <v>397.17500000000001</v>
      </c>
      <c r="S296" s="161">
        <f t="shared" si="37"/>
        <v>0.55000000000000004</v>
      </c>
      <c r="T296" s="161">
        <f t="shared" si="37"/>
        <v>396.4</v>
      </c>
      <c r="U296" s="159">
        <v>4124</v>
      </c>
      <c r="V296" s="159">
        <v>1696</v>
      </c>
      <c r="W296" s="159" t="e">
        <f t="shared" si="33"/>
        <v>#DIV/0!</v>
      </c>
      <c r="X296" s="159">
        <f t="shared" si="30"/>
        <v>0</v>
      </c>
    </row>
    <row r="297" spans="1:24" x14ac:dyDescent="0.2">
      <c r="A297" s="147">
        <v>2025</v>
      </c>
      <c r="B297" s="147">
        <v>8</v>
      </c>
      <c r="C297" s="169"/>
      <c r="D297" s="169"/>
      <c r="E297" s="166">
        <v>15.188443268225498</v>
      </c>
      <c r="F297" s="258">
        <f t="shared" si="36"/>
        <v>14.771446482415469</v>
      </c>
      <c r="G297" s="258">
        <f t="shared" si="36"/>
        <v>13.114832326917636</v>
      </c>
      <c r="H297" s="166">
        <v>29.48</v>
      </c>
      <c r="I297" s="148">
        <v>812093.17197229387</v>
      </c>
      <c r="J297" s="181">
        <f>VLOOKUP($A297&amp;$B297,'LE Inputs'!$C$2:$J$505,MATCH('LE UtilityData'!J$1,'LE Inputs'!$C$1:$J$1,0),0)*1000</f>
        <v>1457194.2335058653</v>
      </c>
      <c r="K297" s="181">
        <v>586717.69037746685</v>
      </c>
      <c r="L297" s="157">
        <v>390464.94068568468</v>
      </c>
      <c r="M297" s="306"/>
      <c r="N297" s="150">
        <v>63352.1842004793</v>
      </c>
      <c r="O297" s="181">
        <f>VLOOKUP($A297&amp;$B297,'LE Inputs'!$C$2:$J$525,MATCH('LE UtilityData'!O$1,'LE Inputs'!$C$1:$J$1,0),0)</f>
        <v>62273.834373920268</v>
      </c>
      <c r="P297" s="181" t="e">
        <f>VLOOKUP($A297&amp;$B297,'LE Inputs'!$C$2:$J$505,MATCH('LE UtilityData'!P$1,'LE Inputs'!$C$1:$J$1,0),0)</f>
        <v>#N/A</v>
      </c>
      <c r="Q297" s="307">
        <f t="shared" si="37"/>
        <v>0.1</v>
      </c>
      <c r="R297" s="307">
        <f t="shared" si="37"/>
        <v>418.51750000000004</v>
      </c>
      <c r="S297" s="161">
        <f t="shared" si="37"/>
        <v>0.1</v>
      </c>
      <c r="T297" s="161">
        <f t="shared" si="37"/>
        <v>417.05</v>
      </c>
      <c r="U297" s="159">
        <v>4124</v>
      </c>
      <c r="V297" s="159">
        <v>1696</v>
      </c>
      <c r="W297" s="159" t="e">
        <f t="shared" si="33"/>
        <v>#DIV/0!</v>
      </c>
      <c r="X297" s="159">
        <f t="shared" si="30"/>
        <v>0</v>
      </c>
    </row>
    <row r="298" spans="1:24" x14ac:dyDescent="0.2">
      <c r="A298" s="147">
        <v>2025</v>
      </c>
      <c r="B298" s="147">
        <v>9</v>
      </c>
      <c r="C298" s="169"/>
      <c r="D298" s="169"/>
      <c r="E298" s="166">
        <v>15.188443268225498</v>
      </c>
      <c r="F298" s="258">
        <f t="shared" si="36"/>
        <v>14.771446482415469</v>
      </c>
      <c r="G298" s="258">
        <f t="shared" si="36"/>
        <v>13.114832326917636</v>
      </c>
      <c r="H298" s="166">
        <v>30.86</v>
      </c>
      <c r="I298" s="148">
        <v>812513.17197229387</v>
      </c>
      <c r="J298" s="181">
        <f>VLOOKUP($A298&amp;$B298,'LE Inputs'!$C$2:$J$505,MATCH('LE UtilityData'!J$1,'LE Inputs'!$C$1:$J$1,0),0)*1000</f>
        <v>1457194.2335058653</v>
      </c>
      <c r="K298" s="181">
        <v>586717.69037746685</v>
      </c>
      <c r="L298" s="157">
        <v>390666.88213864592</v>
      </c>
      <c r="M298" s="306"/>
      <c r="N298" s="150">
        <v>63352.1842004793</v>
      </c>
      <c r="O298" s="181">
        <f>VLOOKUP($A298&amp;$B298,'LE Inputs'!$C$2:$J$525,MATCH('LE UtilityData'!O$1,'LE Inputs'!$C$1:$J$1,0),0)</f>
        <v>62273.834373920268</v>
      </c>
      <c r="P298" s="181" t="e">
        <f>VLOOKUP($A298&amp;$B298,'LE Inputs'!$C$2:$J$505,MATCH('LE UtilityData'!P$1,'LE Inputs'!$C$1:$J$1,0),0)</f>
        <v>#N/A</v>
      </c>
      <c r="Q298" s="307">
        <f t="shared" si="37"/>
        <v>5.2125000000000004</v>
      </c>
      <c r="R298" s="307">
        <f t="shared" si="37"/>
        <v>326.05</v>
      </c>
      <c r="S298" s="161">
        <f t="shared" si="37"/>
        <v>5.35</v>
      </c>
      <c r="T298" s="161">
        <f t="shared" si="37"/>
        <v>330.2</v>
      </c>
      <c r="U298" s="159">
        <v>4124</v>
      </c>
      <c r="V298" s="159">
        <v>1696</v>
      </c>
      <c r="W298" s="159" t="e">
        <f t="shared" si="33"/>
        <v>#DIV/0!</v>
      </c>
      <c r="X298" s="159">
        <f t="shared" si="30"/>
        <v>0</v>
      </c>
    </row>
    <row r="299" spans="1:24" x14ac:dyDescent="0.2">
      <c r="A299" s="147">
        <v>2025</v>
      </c>
      <c r="B299" s="147">
        <v>10</v>
      </c>
      <c r="C299" s="169"/>
      <c r="D299" s="169"/>
      <c r="E299" s="166">
        <v>15.188443268225498</v>
      </c>
      <c r="F299" s="258">
        <f t="shared" si="36"/>
        <v>14.771446482415469</v>
      </c>
      <c r="G299" s="258">
        <f t="shared" si="36"/>
        <v>13.114832326917636</v>
      </c>
      <c r="H299" s="166">
        <v>29.38</v>
      </c>
      <c r="I299" s="148">
        <v>812933.17197229387</v>
      </c>
      <c r="J299" s="181">
        <f>VLOOKUP($A299&amp;$B299,'LE Inputs'!$C$2:$J$505,MATCH('LE UtilityData'!J$1,'LE Inputs'!$C$1:$J$1,0),0)*1000</f>
        <v>1460821.1194182308</v>
      </c>
      <c r="K299" s="181">
        <v>588282.58891207736</v>
      </c>
      <c r="L299" s="157">
        <v>390868.82359160716</v>
      </c>
      <c r="M299" s="306"/>
      <c r="N299" s="150">
        <v>63780.539950120001</v>
      </c>
      <c r="O299" s="181">
        <f>VLOOKUP($A299&amp;$B299,'LE Inputs'!$C$2:$J$525,MATCH('LE UtilityData'!O$1,'LE Inputs'!$C$1:$J$1,0),0)</f>
        <v>62495.104166418343</v>
      </c>
      <c r="P299" s="181" t="e">
        <f>VLOOKUP($A299&amp;$B299,'LE Inputs'!$C$2:$J$505,MATCH('LE UtilityData'!P$1,'LE Inputs'!$C$1:$J$1,0),0)</f>
        <v>#N/A</v>
      </c>
      <c r="Q299" s="307">
        <f t="shared" si="37"/>
        <v>99.232500000000002</v>
      </c>
      <c r="R299" s="307">
        <f t="shared" si="37"/>
        <v>97.24</v>
      </c>
      <c r="S299" s="161">
        <f t="shared" si="37"/>
        <v>99.3</v>
      </c>
      <c r="T299" s="161">
        <f t="shared" si="37"/>
        <v>100.05</v>
      </c>
      <c r="U299" s="159">
        <v>4124</v>
      </c>
      <c r="V299" s="159">
        <v>1696</v>
      </c>
      <c r="W299" s="159" t="e">
        <f t="shared" si="33"/>
        <v>#DIV/0!</v>
      </c>
      <c r="X299" s="159">
        <f t="shared" si="30"/>
        <v>0</v>
      </c>
    </row>
    <row r="300" spans="1:24" x14ac:dyDescent="0.2">
      <c r="A300" s="147">
        <v>2025</v>
      </c>
      <c r="B300" s="147">
        <v>11</v>
      </c>
      <c r="C300" s="169"/>
      <c r="D300" s="169"/>
      <c r="E300" s="166">
        <v>15.188443268225498</v>
      </c>
      <c r="F300" s="258">
        <f t="shared" si="36"/>
        <v>14.771446482415469</v>
      </c>
      <c r="G300" s="258">
        <f t="shared" si="36"/>
        <v>13.114832326917636</v>
      </c>
      <c r="H300" s="166">
        <v>29.57</v>
      </c>
      <c r="I300" s="148">
        <v>813353.17197229387</v>
      </c>
      <c r="J300" s="181">
        <f>VLOOKUP($A300&amp;$B300,'LE Inputs'!$C$2:$J$505,MATCH('LE UtilityData'!J$1,'LE Inputs'!$C$1:$J$1,0),0)*1000</f>
        <v>1460821.1194182308</v>
      </c>
      <c r="K300" s="181">
        <v>588282.58891207736</v>
      </c>
      <c r="L300" s="157">
        <v>391070.76504456834</v>
      </c>
      <c r="M300" s="306"/>
      <c r="N300" s="150">
        <v>63780.539950120001</v>
      </c>
      <c r="O300" s="181">
        <f>VLOOKUP($A300&amp;$B300,'LE Inputs'!$C$2:$J$525,MATCH('LE UtilityData'!O$1,'LE Inputs'!$C$1:$J$1,0),0)</f>
        <v>62495.104166418343</v>
      </c>
      <c r="P300" s="181" t="e">
        <f>VLOOKUP($A300&amp;$B300,'LE Inputs'!$C$2:$J$505,MATCH('LE UtilityData'!P$1,'LE Inputs'!$C$1:$J$1,0),0)</f>
        <v>#N/A</v>
      </c>
      <c r="Q300" s="307">
        <f t="shared" si="37"/>
        <v>353.59499999999997</v>
      </c>
      <c r="R300" s="307">
        <f t="shared" si="37"/>
        <v>11.487500000000001</v>
      </c>
      <c r="S300" s="161">
        <f t="shared" si="37"/>
        <v>352.6</v>
      </c>
      <c r="T300" s="161">
        <f t="shared" si="37"/>
        <v>12.75</v>
      </c>
      <c r="U300" s="159">
        <v>4124</v>
      </c>
      <c r="V300" s="159">
        <v>1696</v>
      </c>
      <c r="W300" s="159" t="e">
        <f t="shared" si="33"/>
        <v>#DIV/0!</v>
      </c>
      <c r="X300" s="159">
        <f t="shared" si="30"/>
        <v>0</v>
      </c>
    </row>
    <row r="301" spans="1:24" x14ac:dyDescent="0.2">
      <c r="A301" s="147">
        <v>2025</v>
      </c>
      <c r="B301" s="147">
        <v>12</v>
      </c>
      <c r="C301" s="169"/>
      <c r="D301" s="169"/>
      <c r="E301" s="166">
        <v>15.188443268225498</v>
      </c>
      <c r="F301" s="258">
        <f t="shared" si="36"/>
        <v>14.771446482415469</v>
      </c>
      <c r="G301" s="258">
        <f t="shared" si="36"/>
        <v>13.114832326917636</v>
      </c>
      <c r="H301" s="166">
        <v>31.81</v>
      </c>
      <c r="I301" s="148">
        <v>813773.17197229387</v>
      </c>
      <c r="J301" s="181">
        <f>VLOOKUP($A301&amp;$B301,'LE Inputs'!$C$2:$J$505,MATCH('LE UtilityData'!J$1,'LE Inputs'!$C$1:$J$1,0),0)*1000</f>
        <v>1460821.1194182308</v>
      </c>
      <c r="K301" s="181">
        <v>588282.58891207736</v>
      </c>
      <c r="L301" s="157">
        <v>391272.70649752952</v>
      </c>
      <c r="M301" s="306"/>
      <c r="N301" s="150">
        <v>63780.539950120001</v>
      </c>
      <c r="O301" s="181">
        <f>VLOOKUP($A301&amp;$B301,'LE Inputs'!$C$2:$J$525,MATCH('LE UtilityData'!O$1,'LE Inputs'!$C$1:$J$1,0),0)</f>
        <v>62495.104166418343</v>
      </c>
      <c r="P301" s="181" t="e">
        <f>VLOOKUP($A301&amp;$B301,'LE Inputs'!$C$2:$J$505,MATCH('LE UtilityData'!P$1,'LE Inputs'!$C$1:$J$1,0),0)</f>
        <v>#N/A</v>
      </c>
      <c r="Q301" s="307">
        <f t="shared" si="37"/>
        <v>667.68999999999994</v>
      </c>
      <c r="R301" s="307">
        <f t="shared" si="37"/>
        <v>1.1850000000000001</v>
      </c>
      <c r="S301" s="161">
        <f t="shared" si="37"/>
        <v>669.9</v>
      </c>
      <c r="T301" s="161">
        <f t="shared" si="37"/>
        <v>1.05</v>
      </c>
      <c r="U301" s="159">
        <v>4124</v>
      </c>
      <c r="V301" s="159">
        <v>1696</v>
      </c>
      <c r="W301" s="159" t="e">
        <f t="shared" si="33"/>
        <v>#DIV/0!</v>
      </c>
      <c r="X301" s="159">
        <f t="shared" si="30"/>
        <v>0</v>
      </c>
    </row>
    <row r="302" spans="1:24" x14ac:dyDescent="0.2">
      <c r="A302" s="147">
        <v>2026</v>
      </c>
      <c r="B302" s="147">
        <v>1</v>
      </c>
      <c r="E302" s="166">
        <v>15.568154349931135</v>
      </c>
      <c r="F302" s="258">
        <f t="shared" si="36"/>
        <v>15.066875412063778</v>
      </c>
      <c r="G302" s="258">
        <f t="shared" si="36"/>
        <v>13.377128973455989</v>
      </c>
      <c r="H302" s="166">
        <v>32.380000000000003</v>
      </c>
      <c r="I302" s="148">
        <v>814193.17197229387</v>
      </c>
      <c r="J302" s="181">
        <f>VLOOKUP($A302&amp;$B302,'LE Inputs'!$C$2:$J$505,MATCH('LE UtilityData'!J$1,'LE Inputs'!$C$1:$J$1,0),0)*1000</f>
        <v>1463215.9553176831</v>
      </c>
      <c r="K302" s="181">
        <v>589378.3010509765</v>
      </c>
      <c r="L302" s="157">
        <v>391474.64795049082</v>
      </c>
      <c r="M302" s="306"/>
      <c r="N302" s="150">
        <v>64434.356815373998</v>
      </c>
      <c r="O302" s="181">
        <f>VLOOKUP($A302&amp;$B302,'LE Inputs'!$C$2:$J$525,MATCH('LE UtilityData'!O$1,'LE Inputs'!$C$1:$J$1,0),0)</f>
        <v>63113.167968229041</v>
      </c>
      <c r="P302" s="181" t="e">
        <f>VLOOKUP($A302&amp;$B302,'LE Inputs'!$C$2:$J$505,MATCH('LE UtilityData'!P$1,'LE Inputs'!$C$1:$J$1,0),0)</f>
        <v>#N/A</v>
      </c>
      <c r="Q302" s="307">
        <f t="shared" si="37"/>
        <v>927.57249999999999</v>
      </c>
      <c r="R302" s="307">
        <f t="shared" si="37"/>
        <v>0.35</v>
      </c>
      <c r="S302" s="161">
        <f t="shared" si="37"/>
        <v>932.4</v>
      </c>
      <c r="T302" s="161">
        <f t="shared" si="37"/>
        <v>0.35</v>
      </c>
      <c r="U302" s="159">
        <v>4124</v>
      </c>
      <c r="V302" s="159">
        <v>1696</v>
      </c>
      <c r="W302" s="159" t="e">
        <f t="shared" si="33"/>
        <v>#DIV/0!</v>
      </c>
      <c r="X302" s="159">
        <f t="shared" si="30"/>
        <v>0</v>
      </c>
    </row>
    <row r="303" spans="1:24" x14ac:dyDescent="0.2">
      <c r="A303" s="147">
        <v>2026</v>
      </c>
      <c r="B303" s="147">
        <v>2</v>
      </c>
      <c r="E303" s="166">
        <v>15.568154349931135</v>
      </c>
      <c r="F303" s="258">
        <f t="shared" si="36"/>
        <v>15.066875412063778</v>
      </c>
      <c r="G303" s="258">
        <f t="shared" si="36"/>
        <v>13.377128973455989</v>
      </c>
      <c r="H303" s="166">
        <v>30.19</v>
      </c>
      <c r="I303" s="148">
        <v>814613.17197229387</v>
      </c>
      <c r="J303" s="181">
        <f>VLOOKUP($A303&amp;$B303,'LE Inputs'!$C$2:$J$505,MATCH('LE UtilityData'!J$1,'LE Inputs'!$C$1:$J$1,0),0)*1000</f>
        <v>1463215.9553176831</v>
      </c>
      <c r="K303" s="181">
        <v>589378.3010509765</v>
      </c>
      <c r="L303" s="157">
        <v>391676.58940345206</v>
      </c>
      <c r="M303" s="306"/>
      <c r="N303" s="150">
        <v>64434.356815373998</v>
      </c>
      <c r="O303" s="181">
        <f>VLOOKUP($A303&amp;$B303,'LE Inputs'!$C$2:$J$525,MATCH('LE UtilityData'!O$1,'LE Inputs'!$C$1:$J$1,0),0)</f>
        <v>63113.167968229041</v>
      </c>
      <c r="P303" s="181" t="e">
        <f>VLOOKUP($A303&amp;$B303,'LE Inputs'!$C$2:$J$505,MATCH('LE UtilityData'!P$1,'LE Inputs'!$C$1:$J$1,0),0)</f>
        <v>#N/A</v>
      </c>
      <c r="Q303" s="307">
        <f t="shared" si="37"/>
        <v>858.35750000000007</v>
      </c>
      <c r="R303" s="307">
        <f t="shared" si="37"/>
        <v>0.05</v>
      </c>
      <c r="S303" s="161">
        <f t="shared" si="37"/>
        <v>864.1</v>
      </c>
      <c r="T303" s="161">
        <f t="shared" si="37"/>
        <v>0.05</v>
      </c>
      <c r="U303" s="159">
        <v>4124</v>
      </c>
      <c r="V303" s="159">
        <v>1696</v>
      </c>
      <c r="W303" s="159" t="e">
        <f t="shared" si="33"/>
        <v>#DIV/0!</v>
      </c>
      <c r="X303" s="159">
        <f t="shared" si="30"/>
        <v>0</v>
      </c>
    </row>
    <row r="304" spans="1:24" x14ac:dyDescent="0.2">
      <c r="A304" s="147">
        <v>2026</v>
      </c>
      <c r="B304" s="147">
        <v>3</v>
      </c>
      <c r="E304" s="166">
        <v>15.568154349931135</v>
      </c>
      <c r="F304" s="258">
        <f t="shared" si="36"/>
        <v>15.066875412063778</v>
      </c>
      <c r="G304" s="258">
        <f t="shared" si="36"/>
        <v>13.377128973455989</v>
      </c>
      <c r="H304" s="166">
        <v>30.05</v>
      </c>
      <c r="I304" s="148">
        <v>815033.17197229387</v>
      </c>
      <c r="J304" s="181">
        <f>VLOOKUP($A304&amp;$B304,'LE Inputs'!$C$2:$J$505,MATCH('LE UtilityData'!J$1,'LE Inputs'!$C$1:$J$1,0),0)*1000</f>
        <v>1463215.9553176831</v>
      </c>
      <c r="K304" s="181">
        <v>589378.3010509765</v>
      </c>
      <c r="L304" s="157">
        <v>391878.5308564133</v>
      </c>
      <c r="M304" s="306"/>
      <c r="N304" s="150">
        <v>64434.356815373998</v>
      </c>
      <c r="O304" s="181">
        <f>VLOOKUP($A304&amp;$B304,'LE Inputs'!$C$2:$J$525,MATCH('LE UtilityData'!O$1,'LE Inputs'!$C$1:$J$1,0),0)</f>
        <v>63113.167968229041</v>
      </c>
      <c r="P304" s="181" t="e">
        <f>VLOOKUP($A304&amp;$B304,'LE Inputs'!$C$2:$J$505,MATCH('LE UtilityData'!P$1,'LE Inputs'!$C$1:$J$1,0),0)</f>
        <v>#N/A</v>
      </c>
      <c r="Q304" s="307">
        <f t="shared" si="37"/>
        <v>666.12749999999994</v>
      </c>
      <c r="R304" s="307">
        <f t="shared" si="37"/>
        <v>2.0225</v>
      </c>
      <c r="S304" s="161">
        <f t="shared" si="37"/>
        <v>674.3</v>
      </c>
      <c r="T304" s="161">
        <f t="shared" si="37"/>
        <v>1.1499999999999999</v>
      </c>
      <c r="U304" s="159">
        <v>4124</v>
      </c>
      <c r="V304" s="159">
        <v>1696</v>
      </c>
      <c r="W304" s="159" t="e">
        <f t="shared" si="33"/>
        <v>#DIV/0!</v>
      </c>
      <c r="X304" s="159">
        <f t="shared" si="30"/>
        <v>0</v>
      </c>
    </row>
    <row r="305" spans="1:24" x14ac:dyDescent="0.2">
      <c r="A305" s="147">
        <v>2026</v>
      </c>
      <c r="B305" s="147">
        <v>4</v>
      </c>
      <c r="E305" s="166">
        <v>15.568154349931135</v>
      </c>
      <c r="F305" s="258">
        <f t="shared" si="36"/>
        <v>15.066875412063778</v>
      </c>
      <c r="G305" s="258">
        <f t="shared" si="36"/>
        <v>13.377128973455989</v>
      </c>
      <c r="H305" s="166">
        <v>30.71</v>
      </c>
      <c r="I305" s="148">
        <v>815453.17197229387</v>
      </c>
      <c r="J305" s="181">
        <f>VLOOKUP($A305&amp;$B305,'LE Inputs'!$C$2:$J$505,MATCH('LE UtilityData'!J$1,'LE Inputs'!$C$1:$J$1,0),0)*1000</f>
        <v>1466456.4562701636</v>
      </c>
      <c r="K305" s="181">
        <v>590835.63704066817</v>
      </c>
      <c r="L305" s="157">
        <v>392080.4723093746</v>
      </c>
      <c r="M305" s="306"/>
      <c r="N305" s="150">
        <v>64785.054748465504</v>
      </c>
      <c r="O305" s="181">
        <f>VLOOKUP($A305&amp;$B305,'LE Inputs'!$C$2:$J$525,MATCH('LE UtilityData'!O$1,'LE Inputs'!$C$1:$J$1,0),0)</f>
        <v>63378.825237454439</v>
      </c>
      <c r="P305" s="181" t="e">
        <f>VLOOKUP($A305&amp;$B305,'LE Inputs'!$C$2:$J$505,MATCH('LE UtilityData'!P$1,'LE Inputs'!$C$1:$J$1,0),0)</f>
        <v>#N/A</v>
      </c>
      <c r="Q305" s="307">
        <f t="shared" si="37"/>
        <v>370.83499999999998</v>
      </c>
      <c r="R305" s="307">
        <f t="shared" si="37"/>
        <v>22.565000000000001</v>
      </c>
      <c r="S305" s="161">
        <f t="shared" si="37"/>
        <v>377.1</v>
      </c>
      <c r="T305" s="161">
        <f t="shared" si="37"/>
        <v>20.25</v>
      </c>
      <c r="U305" s="159">
        <v>4124</v>
      </c>
      <c r="V305" s="159">
        <v>1696</v>
      </c>
      <c r="W305" s="159" t="e">
        <f t="shared" si="33"/>
        <v>#DIV/0!</v>
      </c>
      <c r="X305" s="159">
        <f t="shared" si="30"/>
        <v>0</v>
      </c>
    </row>
    <row r="306" spans="1:24" x14ac:dyDescent="0.2">
      <c r="A306" s="147">
        <v>2026</v>
      </c>
      <c r="B306" s="147">
        <v>5</v>
      </c>
      <c r="E306" s="166">
        <v>15.568154349931135</v>
      </c>
      <c r="F306" s="258">
        <f t="shared" si="36"/>
        <v>15.066875412063778</v>
      </c>
      <c r="G306" s="258">
        <f t="shared" si="36"/>
        <v>13.377128973455989</v>
      </c>
      <c r="H306" s="166">
        <v>29.9</v>
      </c>
      <c r="I306" s="148">
        <v>815873.17197229387</v>
      </c>
      <c r="J306" s="181">
        <f>VLOOKUP($A306&amp;$B306,'LE Inputs'!$C$2:$J$505,MATCH('LE UtilityData'!J$1,'LE Inputs'!$C$1:$J$1,0),0)*1000</f>
        <v>1466456.4562701636</v>
      </c>
      <c r="K306" s="181">
        <v>590835.63704066817</v>
      </c>
      <c r="L306" s="157">
        <v>392282.41376233584</v>
      </c>
      <c r="M306" s="306"/>
      <c r="N306" s="150">
        <v>64785.054748465504</v>
      </c>
      <c r="O306" s="181">
        <f>VLOOKUP($A306&amp;$B306,'LE Inputs'!$C$2:$J$525,MATCH('LE UtilityData'!O$1,'LE Inputs'!$C$1:$J$1,0),0)</f>
        <v>63378.825237454439</v>
      </c>
      <c r="P306" s="181" t="e">
        <f>VLOOKUP($A306&amp;$B306,'LE Inputs'!$C$2:$J$505,MATCH('LE UtilityData'!P$1,'LE Inputs'!$C$1:$J$1,0),0)</f>
        <v>#N/A</v>
      </c>
      <c r="Q306" s="307">
        <f t="shared" si="37"/>
        <v>141.76749999999998</v>
      </c>
      <c r="R306" s="307">
        <f t="shared" si="37"/>
        <v>69.552499999999995</v>
      </c>
      <c r="S306" s="161">
        <f t="shared" si="37"/>
        <v>141</v>
      </c>
      <c r="T306" s="161">
        <f t="shared" si="37"/>
        <v>69.349999999999994</v>
      </c>
      <c r="U306" s="159">
        <v>4124</v>
      </c>
      <c r="V306" s="159">
        <v>1696</v>
      </c>
      <c r="W306" s="159" t="e">
        <f t="shared" si="33"/>
        <v>#DIV/0!</v>
      </c>
      <c r="X306" s="159">
        <f t="shared" si="30"/>
        <v>0</v>
      </c>
    </row>
    <row r="307" spans="1:24" x14ac:dyDescent="0.2">
      <c r="A307" s="147">
        <v>2026</v>
      </c>
      <c r="B307" s="147">
        <v>6</v>
      </c>
      <c r="E307" s="166">
        <v>15.568154349931135</v>
      </c>
      <c r="F307" s="258">
        <f t="shared" ref="F307:G322" si="38">F295*(1+0.02)</f>
        <v>15.066875412063778</v>
      </c>
      <c r="G307" s="258">
        <f t="shared" si="38"/>
        <v>13.377128973455989</v>
      </c>
      <c r="H307" s="166">
        <v>30.38</v>
      </c>
      <c r="I307" s="148">
        <v>816296.98710702162</v>
      </c>
      <c r="J307" s="181">
        <f>VLOOKUP($A307&amp;$B307,'LE Inputs'!$C$2:$J$505,MATCH('LE UtilityData'!J$1,'LE Inputs'!$C$1:$J$1,0),0)*1000</f>
        <v>1466456.4562701636</v>
      </c>
      <c r="K307" s="181">
        <v>590835.63704066817</v>
      </c>
      <c r="L307" s="157">
        <v>392486.189581607</v>
      </c>
      <c r="M307" s="306"/>
      <c r="N307" s="150">
        <v>64785.054748465504</v>
      </c>
      <c r="O307" s="181">
        <f>VLOOKUP($A307&amp;$B307,'LE Inputs'!$C$2:$J$525,MATCH('LE UtilityData'!O$1,'LE Inputs'!$C$1:$J$1,0),0)</f>
        <v>63378.825237454439</v>
      </c>
      <c r="P307" s="181" t="e">
        <f>VLOOKUP($A307&amp;$B307,'LE Inputs'!$C$2:$J$505,MATCH('LE UtilityData'!P$1,'LE Inputs'!$C$1:$J$1,0),0)</f>
        <v>#N/A</v>
      </c>
      <c r="Q307" s="307">
        <f t="shared" ref="Q307:T322" si="39">Q295</f>
        <v>29.807499999999997</v>
      </c>
      <c r="R307" s="307">
        <f t="shared" si="39"/>
        <v>219.05749999999998</v>
      </c>
      <c r="S307" s="161">
        <f t="shared" si="39"/>
        <v>29.5</v>
      </c>
      <c r="T307" s="161">
        <f t="shared" si="39"/>
        <v>224.8</v>
      </c>
      <c r="U307" s="159">
        <v>4124</v>
      </c>
      <c r="V307" s="159">
        <v>1696</v>
      </c>
      <c r="W307" s="159" t="e">
        <f t="shared" si="33"/>
        <v>#DIV/0!</v>
      </c>
      <c r="X307" s="159">
        <f t="shared" si="30"/>
        <v>0</v>
      </c>
    </row>
    <row r="308" spans="1:24" x14ac:dyDescent="0.2">
      <c r="A308" s="147">
        <v>2026</v>
      </c>
      <c r="B308" s="147">
        <v>7</v>
      </c>
      <c r="E308" s="166">
        <v>15.568154349931135</v>
      </c>
      <c r="F308" s="258">
        <f t="shared" si="38"/>
        <v>15.066875412063778</v>
      </c>
      <c r="G308" s="258">
        <f t="shared" si="38"/>
        <v>13.377128973455989</v>
      </c>
      <c r="H308" s="166">
        <v>30.71</v>
      </c>
      <c r="I308" s="148">
        <v>816710.98710702162</v>
      </c>
      <c r="J308" s="181">
        <f>VLOOKUP($A308&amp;$B308,'LE Inputs'!$C$2:$J$505,MATCH('LE UtilityData'!J$1,'LE Inputs'!$C$1:$J$1,0),0)*1000</f>
        <v>1468961.3247427074</v>
      </c>
      <c r="K308" s="181">
        <v>592037.050251849</v>
      </c>
      <c r="L308" s="157">
        <v>392685.24615666881</v>
      </c>
      <c r="M308" s="306"/>
      <c r="N308" s="150">
        <v>65281.970342822002</v>
      </c>
      <c r="O308" s="181">
        <f>VLOOKUP($A308&amp;$B308,'LE Inputs'!$C$2:$J$525,MATCH('LE UtilityData'!O$1,'LE Inputs'!$C$1:$J$1,0),0)</f>
        <v>63564.328898661748</v>
      </c>
      <c r="P308" s="181" t="e">
        <f>VLOOKUP($A308&amp;$B308,'LE Inputs'!$C$2:$J$505,MATCH('LE UtilityData'!P$1,'LE Inputs'!$C$1:$J$1,0),0)</f>
        <v>#N/A</v>
      </c>
      <c r="Q308" s="307">
        <f t="shared" si="39"/>
        <v>0.57250000000000001</v>
      </c>
      <c r="R308" s="307">
        <f t="shared" si="39"/>
        <v>397.17500000000001</v>
      </c>
      <c r="S308" s="161">
        <f t="shared" si="39"/>
        <v>0.55000000000000004</v>
      </c>
      <c r="T308" s="161">
        <f t="shared" si="39"/>
        <v>396.4</v>
      </c>
      <c r="U308" s="159">
        <v>4124</v>
      </c>
      <c r="V308" s="159">
        <v>1696</v>
      </c>
      <c r="W308" s="159" t="e">
        <f t="shared" si="33"/>
        <v>#DIV/0!</v>
      </c>
      <c r="X308" s="159">
        <f t="shared" si="30"/>
        <v>0</v>
      </c>
    </row>
    <row r="309" spans="1:24" x14ac:dyDescent="0.2">
      <c r="A309" s="147">
        <v>2026</v>
      </c>
      <c r="B309" s="147">
        <v>8</v>
      </c>
      <c r="E309" s="166">
        <v>15.568154349931135</v>
      </c>
      <c r="F309" s="258">
        <f t="shared" si="38"/>
        <v>15.066875412063778</v>
      </c>
      <c r="G309" s="258">
        <f t="shared" si="38"/>
        <v>13.377128973455989</v>
      </c>
      <c r="H309" s="166">
        <v>29.52</v>
      </c>
      <c r="I309" s="148">
        <v>817124.98710702162</v>
      </c>
      <c r="J309" s="181">
        <f>VLOOKUP($A309&amp;$B309,'LE Inputs'!$C$2:$J$505,MATCH('LE UtilityData'!J$1,'LE Inputs'!$C$1:$J$1,0),0)*1000</f>
        <v>1468961.3247427074</v>
      </c>
      <c r="K309" s="181">
        <v>592037.050251849</v>
      </c>
      <c r="L309" s="157">
        <v>392884.30273173057</v>
      </c>
      <c r="M309" s="306"/>
      <c r="N309" s="150">
        <v>65281.970342822002</v>
      </c>
      <c r="O309" s="181">
        <f>VLOOKUP($A309&amp;$B309,'LE Inputs'!$C$2:$J$525,MATCH('LE UtilityData'!O$1,'LE Inputs'!$C$1:$J$1,0),0)</f>
        <v>63564.328898661748</v>
      </c>
      <c r="P309" s="181" t="e">
        <f>VLOOKUP($A309&amp;$B309,'LE Inputs'!$C$2:$J$505,MATCH('LE UtilityData'!P$1,'LE Inputs'!$C$1:$J$1,0),0)</f>
        <v>#N/A</v>
      </c>
      <c r="Q309" s="307">
        <f t="shared" si="39"/>
        <v>0.1</v>
      </c>
      <c r="R309" s="307">
        <f t="shared" si="39"/>
        <v>418.51750000000004</v>
      </c>
      <c r="S309" s="161">
        <f t="shared" si="39"/>
        <v>0.1</v>
      </c>
      <c r="T309" s="161">
        <f t="shared" si="39"/>
        <v>417.05</v>
      </c>
      <c r="U309" s="159">
        <v>4124</v>
      </c>
      <c r="V309" s="159">
        <v>1696</v>
      </c>
      <c r="W309" s="159" t="e">
        <f t="shared" si="33"/>
        <v>#DIV/0!</v>
      </c>
      <c r="X309" s="159">
        <f t="shared" si="30"/>
        <v>0</v>
      </c>
    </row>
    <row r="310" spans="1:24" x14ac:dyDescent="0.2">
      <c r="A310" s="147">
        <v>2026</v>
      </c>
      <c r="B310" s="147">
        <v>9</v>
      </c>
      <c r="E310" s="166">
        <v>15.568154349931135</v>
      </c>
      <c r="F310" s="258">
        <f t="shared" si="38"/>
        <v>15.066875412063778</v>
      </c>
      <c r="G310" s="258">
        <f t="shared" si="38"/>
        <v>13.377128973455989</v>
      </c>
      <c r="H310" s="166">
        <v>30.48</v>
      </c>
      <c r="I310" s="148">
        <v>817538.98710702162</v>
      </c>
      <c r="J310" s="181">
        <f>VLOOKUP($A310&amp;$B310,'LE Inputs'!$C$2:$J$505,MATCH('LE UtilityData'!J$1,'LE Inputs'!$C$1:$J$1,0),0)*1000</f>
        <v>1468961.3247427074</v>
      </c>
      <c r="K310" s="181">
        <v>592037.050251849</v>
      </c>
      <c r="L310" s="157">
        <v>393083.35930679238</v>
      </c>
      <c r="M310" s="306"/>
      <c r="N310" s="150">
        <v>65281.970342822002</v>
      </c>
      <c r="O310" s="181">
        <f>VLOOKUP($A310&amp;$B310,'LE Inputs'!$C$2:$J$525,MATCH('LE UtilityData'!O$1,'LE Inputs'!$C$1:$J$1,0),0)</f>
        <v>63564.328898661748</v>
      </c>
      <c r="P310" s="181" t="e">
        <f>VLOOKUP($A310&amp;$B310,'LE Inputs'!$C$2:$J$505,MATCH('LE UtilityData'!P$1,'LE Inputs'!$C$1:$J$1,0),0)</f>
        <v>#N/A</v>
      </c>
      <c r="Q310" s="307">
        <f t="shared" si="39"/>
        <v>5.2125000000000004</v>
      </c>
      <c r="R310" s="307">
        <f t="shared" si="39"/>
        <v>326.05</v>
      </c>
      <c r="S310" s="161">
        <f t="shared" si="39"/>
        <v>5.35</v>
      </c>
      <c r="T310" s="161">
        <f t="shared" si="39"/>
        <v>330.2</v>
      </c>
      <c r="U310" s="159">
        <v>4124</v>
      </c>
      <c r="V310" s="159">
        <v>1696</v>
      </c>
      <c r="W310" s="159" t="e">
        <f t="shared" si="33"/>
        <v>#DIV/0!</v>
      </c>
      <c r="X310" s="159">
        <f t="shared" si="30"/>
        <v>0</v>
      </c>
    </row>
    <row r="311" spans="1:24" x14ac:dyDescent="0.2">
      <c r="A311" s="147">
        <v>2026</v>
      </c>
      <c r="B311" s="147">
        <v>10</v>
      </c>
      <c r="E311" s="166">
        <v>15.568154349931135</v>
      </c>
      <c r="F311" s="258">
        <f t="shared" si="38"/>
        <v>15.066875412063778</v>
      </c>
      <c r="G311" s="258">
        <f t="shared" si="38"/>
        <v>13.377128973455989</v>
      </c>
      <c r="H311" s="166">
        <v>29.67</v>
      </c>
      <c r="I311" s="148">
        <v>817952.98710702162</v>
      </c>
      <c r="J311" s="181">
        <f>VLOOKUP($A311&amp;$B311,'LE Inputs'!$C$2:$J$505,MATCH('LE UtilityData'!J$1,'LE Inputs'!$C$1:$J$1,0),0)*1000</f>
        <v>1472189.1344308439</v>
      </c>
      <c r="K311" s="181">
        <v>593447.00159440713</v>
      </c>
      <c r="L311" s="157">
        <v>393282.41588185419</v>
      </c>
      <c r="M311" s="306"/>
      <c r="N311" s="150">
        <v>65796.272207832502</v>
      </c>
      <c r="O311" s="181">
        <f>VLOOKUP($A311&amp;$B311,'LE Inputs'!$C$2:$J$525,MATCH('LE UtilityData'!O$1,'LE Inputs'!$C$1:$J$1,0),0)</f>
        <v>63968.709991649055</v>
      </c>
      <c r="P311" s="181" t="e">
        <f>VLOOKUP($A311&amp;$B311,'LE Inputs'!$C$2:$J$505,MATCH('LE UtilityData'!P$1,'LE Inputs'!$C$1:$J$1,0),0)</f>
        <v>#N/A</v>
      </c>
      <c r="Q311" s="307">
        <f t="shared" si="39"/>
        <v>99.232500000000002</v>
      </c>
      <c r="R311" s="307">
        <f t="shared" si="39"/>
        <v>97.24</v>
      </c>
      <c r="S311" s="161">
        <f t="shared" si="39"/>
        <v>99.3</v>
      </c>
      <c r="T311" s="161">
        <f t="shared" si="39"/>
        <v>100.05</v>
      </c>
      <c r="U311" s="159">
        <v>4124</v>
      </c>
      <c r="V311" s="159">
        <v>1696</v>
      </c>
      <c r="W311" s="159" t="e">
        <f t="shared" si="33"/>
        <v>#DIV/0!</v>
      </c>
      <c r="X311" s="159">
        <f t="shared" si="30"/>
        <v>0</v>
      </c>
    </row>
    <row r="312" spans="1:24" x14ac:dyDescent="0.2">
      <c r="A312" s="147">
        <v>2026</v>
      </c>
      <c r="B312" s="147">
        <v>11</v>
      </c>
      <c r="E312" s="166">
        <v>15.568154349931135</v>
      </c>
      <c r="F312" s="258">
        <f t="shared" si="38"/>
        <v>15.066875412063778</v>
      </c>
      <c r="G312" s="258">
        <f t="shared" si="38"/>
        <v>13.377128973455989</v>
      </c>
      <c r="H312" s="166">
        <v>29.76</v>
      </c>
      <c r="I312" s="148">
        <v>818366.98710702162</v>
      </c>
      <c r="J312" s="181">
        <f>VLOOKUP($A312&amp;$B312,'LE Inputs'!$C$2:$J$505,MATCH('LE UtilityData'!J$1,'LE Inputs'!$C$1:$J$1,0),0)*1000</f>
        <v>1472189.1344308439</v>
      </c>
      <c r="K312" s="181">
        <v>593447.00159440713</v>
      </c>
      <c r="L312" s="157">
        <v>393481.472456916</v>
      </c>
      <c r="M312" s="306"/>
      <c r="N312" s="150">
        <v>65796.272207832502</v>
      </c>
      <c r="O312" s="181">
        <f>VLOOKUP($A312&amp;$B312,'LE Inputs'!$C$2:$J$525,MATCH('LE UtilityData'!O$1,'LE Inputs'!$C$1:$J$1,0),0)</f>
        <v>63968.709991649055</v>
      </c>
      <c r="P312" s="181" t="e">
        <f>VLOOKUP($A312&amp;$B312,'LE Inputs'!$C$2:$J$505,MATCH('LE UtilityData'!P$1,'LE Inputs'!$C$1:$J$1,0),0)</f>
        <v>#N/A</v>
      </c>
      <c r="Q312" s="307">
        <f t="shared" si="39"/>
        <v>353.59499999999997</v>
      </c>
      <c r="R312" s="307">
        <f t="shared" si="39"/>
        <v>11.487500000000001</v>
      </c>
      <c r="S312" s="161">
        <f t="shared" si="39"/>
        <v>352.6</v>
      </c>
      <c r="T312" s="161">
        <f t="shared" si="39"/>
        <v>12.75</v>
      </c>
      <c r="U312" s="159">
        <v>4124</v>
      </c>
      <c r="V312" s="159">
        <v>1696</v>
      </c>
      <c r="W312" s="159" t="e">
        <f t="shared" si="33"/>
        <v>#DIV/0!</v>
      </c>
      <c r="X312" s="159">
        <f t="shared" si="30"/>
        <v>0</v>
      </c>
    </row>
    <row r="313" spans="1:24" x14ac:dyDescent="0.2">
      <c r="A313" s="147">
        <v>2026</v>
      </c>
      <c r="B313" s="147">
        <v>12</v>
      </c>
      <c r="E313" s="166">
        <v>15.568154349931135</v>
      </c>
      <c r="F313" s="258">
        <f t="shared" si="38"/>
        <v>15.066875412063778</v>
      </c>
      <c r="G313" s="258">
        <f t="shared" si="38"/>
        <v>13.377128973455989</v>
      </c>
      <c r="H313" s="166">
        <v>31.57</v>
      </c>
      <c r="I313" s="148">
        <v>818780.98710702162</v>
      </c>
      <c r="J313" s="181">
        <f>VLOOKUP($A313&amp;$B313,'LE Inputs'!$C$2:$J$505,MATCH('LE UtilityData'!J$1,'LE Inputs'!$C$1:$J$1,0),0)*1000</f>
        <v>1472189.1344308439</v>
      </c>
      <c r="K313" s="181">
        <v>593447.00159440713</v>
      </c>
      <c r="L313" s="157">
        <v>393680.52903197776</v>
      </c>
      <c r="M313" s="306"/>
      <c r="N313" s="150">
        <v>65796.272207832502</v>
      </c>
      <c r="O313" s="181">
        <f>VLOOKUP($A313&amp;$B313,'LE Inputs'!$C$2:$J$525,MATCH('LE UtilityData'!O$1,'LE Inputs'!$C$1:$J$1,0),0)</f>
        <v>63968.709991649055</v>
      </c>
      <c r="P313" s="181" t="e">
        <f>VLOOKUP($A313&amp;$B313,'LE Inputs'!$C$2:$J$505,MATCH('LE UtilityData'!P$1,'LE Inputs'!$C$1:$J$1,0),0)</f>
        <v>#N/A</v>
      </c>
      <c r="Q313" s="307">
        <f t="shared" si="39"/>
        <v>667.68999999999994</v>
      </c>
      <c r="R313" s="307">
        <f t="shared" si="39"/>
        <v>1.1850000000000001</v>
      </c>
      <c r="S313" s="161">
        <f t="shared" si="39"/>
        <v>669.9</v>
      </c>
      <c r="T313" s="161">
        <f t="shared" si="39"/>
        <v>1.05</v>
      </c>
      <c r="U313" s="159">
        <v>4124</v>
      </c>
      <c r="V313" s="159">
        <v>1696</v>
      </c>
      <c r="W313" s="159" t="e">
        <f t="shared" si="33"/>
        <v>#DIV/0!</v>
      </c>
      <c r="X313" s="159">
        <f t="shared" si="30"/>
        <v>0</v>
      </c>
    </row>
    <row r="314" spans="1:24" x14ac:dyDescent="0.2">
      <c r="A314" s="147">
        <v>2027</v>
      </c>
      <c r="B314" s="147">
        <v>1</v>
      </c>
      <c r="E314" s="166">
        <v>15.957358208679413</v>
      </c>
      <c r="F314" s="258">
        <f t="shared" si="38"/>
        <v>15.368212920305053</v>
      </c>
      <c r="G314" s="258">
        <f t="shared" si="38"/>
        <v>13.644671552925109</v>
      </c>
      <c r="H314" s="166">
        <v>32.520000000000003</v>
      </c>
      <c r="I314" s="148">
        <v>819194.98710702162</v>
      </c>
      <c r="J314" s="181">
        <f>VLOOKUP($A314&amp;$B314,'LE Inputs'!$C$2:$J$505,MATCH('LE UtilityData'!J$1,'LE Inputs'!$C$1:$J$1,0),0)*1000</f>
        <v>1475298.0818535744</v>
      </c>
      <c r="K314" s="181">
        <v>594820.95610078215</v>
      </c>
      <c r="L314" s="157">
        <v>393879.58560703957</v>
      </c>
      <c r="M314" s="306"/>
      <c r="N314" s="150">
        <v>66405.544222341996</v>
      </c>
      <c r="O314" s="181">
        <f>VLOOKUP($A314&amp;$B314,'LE Inputs'!$C$2:$J$525,MATCH('LE UtilityData'!O$1,'LE Inputs'!$C$1:$J$1,0),0)</f>
        <v>64527.805104201179</v>
      </c>
      <c r="P314" s="181" t="e">
        <f>VLOOKUP($A314&amp;$B314,'LE Inputs'!$C$2:$J$505,MATCH('LE UtilityData'!P$1,'LE Inputs'!$C$1:$J$1,0),0)</f>
        <v>#N/A</v>
      </c>
      <c r="Q314" s="307">
        <f t="shared" si="39"/>
        <v>927.57249999999999</v>
      </c>
      <c r="R314" s="307">
        <f t="shared" si="39"/>
        <v>0.35</v>
      </c>
      <c r="S314" s="161">
        <f t="shared" si="39"/>
        <v>932.4</v>
      </c>
      <c r="T314" s="161">
        <f t="shared" si="39"/>
        <v>0.35</v>
      </c>
      <c r="U314" s="159">
        <v>4124</v>
      </c>
      <c r="V314" s="159">
        <v>1696</v>
      </c>
      <c r="W314" s="159" t="e">
        <f t="shared" si="33"/>
        <v>#DIV/0!</v>
      </c>
      <c r="X314" s="159">
        <f t="shared" si="30"/>
        <v>0</v>
      </c>
    </row>
    <row r="315" spans="1:24" x14ac:dyDescent="0.2">
      <c r="A315" s="147">
        <v>2027</v>
      </c>
      <c r="B315" s="147">
        <v>2</v>
      </c>
      <c r="E315" s="166">
        <v>15.957358208679413</v>
      </c>
      <c r="F315" s="258">
        <f t="shared" si="38"/>
        <v>15.368212920305053</v>
      </c>
      <c r="G315" s="258">
        <f t="shared" si="38"/>
        <v>13.644671552925109</v>
      </c>
      <c r="H315" s="166">
        <v>30.14</v>
      </c>
      <c r="I315" s="148">
        <v>819608.98710702162</v>
      </c>
      <c r="J315" s="181">
        <f>VLOOKUP($A315&amp;$B315,'LE Inputs'!$C$2:$J$505,MATCH('LE UtilityData'!J$1,'LE Inputs'!$C$1:$J$1,0),0)*1000</f>
        <v>1475298.0818535744</v>
      </c>
      <c r="K315" s="181">
        <v>594820.95610078215</v>
      </c>
      <c r="L315" s="157">
        <v>394078.64218210138</v>
      </c>
      <c r="M315" s="306"/>
      <c r="N315" s="150">
        <v>66405.544222341996</v>
      </c>
      <c r="O315" s="181">
        <f>VLOOKUP($A315&amp;$B315,'LE Inputs'!$C$2:$J$525,MATCH('LE UtilityData'!O$1,'LE Inputs'!$C$1:$J$1,0),0)</f>
        <v>64527.805104201179</v>
      </c>
      <c r="P315" s="181" t="e">
        <f>VLOOKUP($A315&amp;$B315,'LE Inputs'!$C$2:$J$505,MATCH('LE UtilityData'!P$1,'LE Inputs'!$C$1:$J$1,0),0)</f>
        <v>#N/A</v>
      </c>
      <c r="Q315" s="307">
        <f t="shared" si="39"/>
        <v>858.35750000000007</v>
      </c>
      <c r="R315" s="307">
        <f t="shared" si="39"/>
        <v>0.05</v>
      </c>
      <c r="S315" s="161">
        <f t="shared" si="39"/>
        <v>864.1</v>
      </c>
      <c r="T315" s="161">
        <f t="shared" si="39"/>
        <v>0.05</v>
      </c>
      <c r="U315" s="159">
        <v>4124</v>
      </c>
      <c r="V315" s="159">
        <v>1696</v>
      </c>
      <c r="W315" s="159" t="e">
        <f t="shared" si="33"/>
        <v>#DIV/0!</v>
      </c>
      <c r="X315" s="159">
        <f t="shared" si="30"/>
        <v>0</v>
      </c>
    </row>
    <row r="316" spans="1:24" x14ac:dyDescent="0.2">
      <c r="A316" s="147">
        <v>2027</v>
      </c>
      <c r="B316" s="147">
        <v>3</v>
      </c>
      <c r="E316" s="166">
        <v>15.957358208679413</v>
      </c>
      <c r="F316" s="258">
        <f t="shared" si="38"/>
        <v>15.368212920305053</v>
      </c>
      <c r="G316" s="258">
        <f t="shared" si="38"/>
        <v>13.644671552925109</v>
      </c>
      <c r="H316" s="166">
        <v>30.33</v>
      </c>
      <c r="I316" s="148">
        <v>820022.98710702162</v>
      </c>
      <c r="J316" s="181">
        <f>VLOOKUP($A316&amp;$B316,'LE Inputs'!$C$2:$J$505,MATCH('LE UtilityData'!J$1,'LE Inputs'!$C$1:$J$1,0),0)*1000</f>
        <v>1475298.0818535744</v>
      </c>
      <c r="K316" s="181">
        <v>594820.95610078215</v>
      </c>
      <c r="L316" s="157">
        <v>394277.69875716319</v>
      </c>
      <c r="M316" s="306"/>
      <c r="N316" s="150">
        <v>66405.544222341996</v>
      </c>
      <c r="O316" s="181">
        <f>VLOOKUP($A316&amp;$B316,'LE Inputs'!$C$2:$J$525,MATCH('LE UtilityData'!O$1,'LE Inputs'!$C$1:$J$1,0),0)</f>
        <v>64527.805104201179</v>
      </c>
      <c r="P316" s="181" t="e">
        <f>VLOOKUP($A316&amp;$B316,'LE Inputs'!$C$2:$J$505,MATCH('LE UtilityData'!P$1,'LE Inputs'!$C$1:$J$1,0),0)</f>
        <v>#N/A</v>
      </c>
      <c r="Q316" s="307">
        <f t="shared" si="39"/>
        <v>666.12749999999994</v>
      </c>
      <c r="R316" s="307">
        <f t="shared" si="39"/>
        <v>2.0225</v>
      </c>
      <c r="S316" s="161">
        <f t="shared" si="39"/>
        <v>674.3</v>
      </c>
      <c r="T316" s="161">
        <f t="shared" si="39"/>
        <v>1.1499999999999999</v>
      </c>
      <c r="U316" s="159">
        <v>4124</v>
      </c>
      <c r="V316" s="159">
        <v>1696</v>
      </c>
      <c r="W316" s="159" t="e">
        <f t="shared" si="33"/>
        <v>#DIV/0!</v>
      </c>
      <c r="X316" s="159">
        <f t="shared" si="30"/>
        <v>0</v>
      </c>
    </row>
    <row r="317" spans="1:24" x14ac:dyDescent="0.2">
      <c r="A317" s="147">
        <v>2027</v>
      </c>
      <c r="B317" s="147">
        <v>4</v>
      </c>
      <c r="E317" s="166">
        <v>15.957358208679413</v>
      </c>
      <c r="F317" s="258">
        <f t="shared" si="38"/>
        <v>15.368212920305053</v>
      </c>
      <c r="G317" s="258">
        <f t="shared" si="38"/>
        <v>13.644671552925109</v>
      </c>
      <c r="H317" s="166">
        <v>30.52</v>
      </c>
      <c r="I317" s="148">
        <v>820436.98710702162</v>
      </c>
      <c r="J317" s="181">
        <f>VLOOKUP($A317&amp;$B317,'LE Inputs'!$C$2:$J$505,MATCH('LE UtilityData'!J$1,'LE Inputs'!$C$1:$J$1,0),0)*1000</f>
        <v>1478307.8936440053</v>
      </c>
      <c r="K317" s="181">
        <v>596179.89665720169</v>
      </c>
      <c r="L317" s="157">
        <v>394476.755332225</v>
      </c>
      <c r="M317" s="306"/>
      <c r="N317" s="150">
        <v>66804.413148161198</v>
      </c>
      <c r="O317" s="181">
        <f>VLOOKUP($A317&amp;$B317,'LE Inputs'!$C$2:$J$525,MATCH('LE UtilityData'!O$1,'LE Inputs'!$C$1:$J$1,0),0)</f>
        <v>64907.283381312103</v>
      </c>
      <c r="P317" s="181" t="e">
        <f>VLOOKUP($A317&amp;$B317,'LE Inputs'!$C$2:$J$505,MATCH('LE UtilityData'!P$1,'LE Inputs'!$C$1:$J$1,0),0)</f>
        <v>#N/A</v>
      </c>
      <c r="Q317" s="307">
        <f t="shared" si="39"/>
        <v>370.83499999999998</v>
      </c>
      <c r="R317" s="307">
        <f t="shared" si="39"/>
        <v>22.565000000000001</v>
      </c>
      <c r="S317" s="161">
        <f t="shared" si="39"/>
        <v>377.1</v>
      </c>
      <c r="T317" s="161">
        <f t="shared" si="39"/>
        <v>20.25</v>
      </c>
      <c r="U317" s="159">
        <v>4124</v>
      </c>
      <c r="V317" s="159">
        <v>1696</v>
      </c>
      <c r="W317" s="159" t="e">
        <f t="shared" si="33"/>
        <v>#DIV/0!</v>
      </c>
      <c r="X317" s="159">
        <f t="shared" si="30"/>
        <v>0</v>
      </c>
    </row>
    <row r="318" spans="1:24" x14ac:dyDescent="0.2">
      <c r="A318" s="147">
        <v>2027</v>
      </c>
      <c r="B318" s="147">
        <v>5</v>
      </c>
      <c r="E318" s="166">
        <v>15.957358208679413</v>
      </c>
      <c r="F318" s="258">
        <f t="shared" si="38"/>
        <v>15.368212920305053</v>
      </c>
      <c r="G318" s="258">
        <f t="shared" si="38"/>
        <v>13.644671552925109</v>
      </c>
      <c r="H318" s="166">
        <v>29.48</v>
      </c>
      <c r="I318" s="148">
        <v>820850.98710702162</v>
      </c>
      <c r="J318" s="181">
        <f>VLOOKUP($A318&amp;$B318,'LE Inputs'!$C$2:$J$505,MATCH('LE UtilityData'!J$1,'LE Inputs'!$C$1:$J$1,0),0)*1000</f>
        <v>1478307.8936440053</v>
      </c>
      <c r="K318" s="181">
        <v>596179.89665720169</v>
      </c>
      <c r="L318" s="157">
        <v>394675.81190728681</v>
      </c>
      <c r="M318" s="306"/>
      <c r="N318" s="150">
        <v>66804.413148161198</v>
      </c>
      <c r="O318" s="181">
        <f>VLOOKUP($A318&amp;$B318,'LE Inputs'!$C$2:$J$525,MATCH('LE UtilityData'!O$1,'LE Inputs'!$C$1:$J$1,0),0)</f>
        <v>64907.283381312103</v>
      </c>
      <c r="P318" s="181" t="e">
        <f>VLOOKUP($A318&amp;$B318,'LE Inputs'!$C$2:$J$505,MATCH('LE UtilityData'!P$1,'LE Inputs'!$C$1:$J$1,0),0)</f>
        <v>#N/A</v>
      </c>
      <c r="Q318" s="307">
        <f t="shared" si="39"/>
        <v>141.76749999999998</v>
      </c>
      <c r="R318" s="307">
        <f t="shared" si="39"/>
        <v>69.552499999999995</v>
      </c>
      <c r="S318" s="161">
        <f t="shared" si="39"/>
        <v>141</v>
      </c>
      <c r="T318" s="161">
        <f t="shared" si="39"/>
        <v>69.349999999999994</v>
      </c>
      <c r="U318" s="159">
        <v>4124</v>
      </c>
      <c r="V318" s="159">
        <v>1696</v>
      </c>
      <c r="W318" s="159" t="e">
        <f t="shared" si="33"/>
        <v>#DIV/0!</v>
      </c>
      <c r="X318" s="159">
        <f t="shared" si="30"/>
        <v>0</v>
      </c>
    </row>
    <row r="319" spans="1:24" x14ac:dyDescent="0.2">
      <c r="A319" s="147">
        <v>2027</v>
      </c>
      <c r="B319" s="147">
        <v>6</v>
      </c>
      <c r="E319" s="166">
        <v>15.957358208679413</v>
      </c>
      <c r="F319" s="258">
        <f t="shared" si="38"/>
        <v>15.368212920305053</v>
      </c>
      <c r="G319" s="258">
        <f t="shared" si="38"/>
        <v>13.644671552925109</v>
      </c>
      <c r="H319" s="166">
        <v>30.67</v>
      </c>
      <c r="I319" s="148">
        <v>821260.71249005781</v>
      </c>
      <c r="J319" s="181">
        <f>VLOOKUP($A319&amp;$B319,'LE Inputs'!$C$2:$J$505,MATCH('LE UtilityData'!J$1,'LE Inputs'!$C$1:$J$1,0),0)*1000</f>
        <v>1478307.8936440053</v>
      </c>
      <c r="K319" s="181">
        <v>596179.89665720169</v>
      </c>
      <c r="L319" s="157">
        <v>394872.81319101399</v>
      </c>
      <c r="M319" s="306"/>
      <c r="N319" s="150">
        <v>66804.413148161198</v>
      </c>
      <c r="O319" s="181">
        <f>VLOOKUP($A319&amp;$B319,'LE Inputs'!$C$2:$J$525,MATCH('LE UtilityData'!O$1,'LE Inputs'!$C$1:$J$1,0),0)</f>
        <v>64907.283381312103</v>
      </c>
      <c r="P319" s="181" t="e">
        <f>VLOOKUP($A319&amp;$B319,'LE Inputs'!$C$2:$J$505,MATCH('LE UtilityData'!P$1,'LE Inputs'!$C$1:$J$1,0),0)</f>
        <v>#N/A</v>
      </c>
      <c r="Q319" s="307">
        <f t="shared" si="39"/>
        <v>29.807499999999997</v>
      </c>
      <c r="R319" s="307">
        <f t="shared" si="39"/>
        <v>219.05749999999998</v>
      </c>
      <c r="S319" s="161">
        <f t="shared" si="39"/>
        <v>29.5</v>
      </c>
      <c r="T319" s="161">
        <f t="shared" si="39"/>
        <v>224.8</v>
      </c>
      <c r="U319" s="159">
        <v>4124</v>
      </c>
      <c r="V319" s="159">
        <v>1696</v>
      </c>
      <c r="W319" s="159" t="e">
        <f t="shared" si="33"/>
        <v>#DIV/0!</v>
      </c>
      <c r="X319" s="159">
        <f t="shared" si="30"/>
        <v>0</v>
      </c>
    </row>
    <row r="320" spans="1:24" x14ac:dyDescent="0.2">
      <c r="A320" s="147">
        <v>2027</v>
      </c>
      <c r="B320" s="147">
        <v>7</v>
      </c>
      <c r="E320" s="166">
        <v>15.957358208679413</v>
      </c>
      <c r="F320" s="258">
        <f t="shared" si="38"/>
        <v>15.368212920305053</v>
      </c>
      <c r="G320" s="258">
        <f t="shared" si="38"/>
        <v>13.644671552925109</v>
      </c>
      <c r="H320" s="166">
        <v>30.71</v>
      </c>
      <c r="I320" s="148">
        <v>821665.71249005781</v>
      </c>
      <c r="J320" s="181">
        <f>VLOOKUP($A320&amp;$B320,'LE Inputs'!$C$2:$J$505,MATCH('LE UtilityData'!J$1,'LE Inputs'!$C$1:$J$1,0),0)*1000</f>
        <v>1481495.3488555888</v>
      </c>
      <c r="K320" s="181">
        <v>598222.16419318225</v>
      </c>
      <c r="L320" s="157">
        <v>395067.54244922666</v>
      </c>
      <c r="M320" s="306"/>
      <c r="N320" s="150">
        <v>67274.290936591598</v>
      </c>
      <c r="O320" s="181">
        <f>VLOOKUP($A320&amp;$B320,'LE Inputs'!$C$2:$J$525,MATCH('LE UtilityData'!O$1,'LE Inputs'!$C$1:$J$1,0),0)</f>
        <v>65295.357111276346</v>
      </c>
      <c r="P320" s="181" t="e">
        <f>VLOOKUP($A320&amp;$B320,'LE Inputs'!$C$2:$J$505,MATCH('LE UtilityData'!P$1,'LE Inputs'!$C$1:$J$1,0),0)</f>
        <v>#N/A</v>
      </c>
      <c r="Q320" s="307">
        <f t="shared" si="39"/>
        <v>0.57250000000000001</v>
      </c>
      <c r="R320" s="307">
        <f t="shared" si="39"/>
        <v>397.17500000000001</v>
      </c>
      <c r="S320" s="161">
        <f t="shared" si="39"/>
        <v>0.55000000000000004</v>
      </c>
      <c r="T320" s="161">
        <f t="shared" si="39"/>
        <v>396.4</v>
      </c>
      <c r="U320" s="159">
        <v>4124</v>
      </c>
      <c r="V320" s="159">
        <v>1696</v>
      </c>
      <c r="W320" s="159" t="e">
        <f t="shared" si="33"/>
        <v>#DIV/0!</v>
      </c>
      <c r="X320" s="159">
        <f t="shared" si="30"/>
        <v>0</v>
      </c>
    </row>
    <row r="321" spans="1:24" x14ac:dyDescent="0.2">
      <c r="A321" s="147">
        <v>2027</v>
      </c>
      <c r="B321" s="147">
        <v>8</v>
      </c>
      <c r="E321" s="166">
        <v>15.957358208679413</v>
      </c>
      <c r="F321" s="258">
        <f t="shared" si="38"/>
        <v>15.368212920305053</v>
      </c>
      <c r="G321" s="258">
        <f t="shared" si="38"/>
        <v>13.644671552925109</v>
      </c>
      <c r="H321" s="166">
        <v>29.52</v>
      </c>
      <c r="I321" s="148">
        <v>822070.71249005781</v>
      </c>
      <c r="J321" s="181">
        <f>VLOOKUP($A321&amp;$B321,'LE Inputs'!$C$2:$J$505,MATCH('LE UtilityData'!J$1,'LE Inputs'!$C$1:$J$1,0),0)*1000</f>
        <v>1481495.3488555888</v>
      </c>
      <c r="K321" s="181">
        <v>598222.16419318225</v>
      </c>
      <c r="L321" s="157">
        <v>395262.27170743927</v>
      </c>
      <c r="M321" s="306"/>
      <c r="N321" s="150">
        <v>67274.290936591598</v>
      </c>
      <c r="O321" s="181">
        <f>VLOOKUP($A321&amp;$B321,'LE Inputs'!$C$2:$J$525,MATCH('LE UtilityData'!O$1,'LE Inputs'!$C$1:$J$1,0),0)</f>
        <v>65295.357111276346</v>
      </c>
      <c r="P321" s="181" t="e">
        <f>VLOOKUP($A321&amp;$B321,'LE Inputs'!$C$2:$J$505,MATCH('LE UtilityData'!P$1,'LE Inputs'!$C$1:$J$1,0),0)</f>
        <v>#N/A</v>
      </c>
      <c r="Q321" s="307">
        <f t="shared" si="39"/>
        <v>0.1</v>
      </c>
      <c r="R321" s="307">
        <f t="shared" si="39"/>
        <v>418.51750000000004</v>
      </c>
      <c r="S321" s="161">
        <f t="shared" si="39"/>
        <v>0.1</v>
      </c>
      <c r="T321" s="161">
        <f t="shared" si="39"/>
        <v>417.05</v>
      </c>
      <c r="U321" s="159">
        <v>4124</v>
      </c>
      <c r="V321" s="159">
        <v>1696</v>
      </c>
      <c r="W321" s="159" t="e">
        <f t="shared" si="33"/>
        <v>#DIV/0!</v>
      </c>
      <c r="X321" s="159">
        <f t="shared" si="30"/>
        <v>0</v>
      </c>
    </row>
    <row r="322" spans="1:24" x14ac:dyDescent="0.2">
      <c r="A322" s="147">
        <v>2027</v>
      </c>
      <c r="B322" s="147">
        <v>9</v>
      </c>
      <c r="E322" s="166">
        <v>15.957358208679413</v>
      </c>
      <c r="F322" s="258">
        <f t="shared" si="38"/>
        <v>15.368212920305053</v>
      </c>
      <c r="G322" s="258">
        <f t="shared" si="38"/>
        <v>13.644671552925109</v>
      </c>
      <c r="H322" s="166">
        <v>30.52</v>
      </c>
      <c r="I322" s="148">
        <v>822475.71249005781</v>
      </c>
      <c r="J322" s="181">
        <f>VLOOKUP($A322&amp;$B322,'LE Inputs'!$C$2:$J$505,MATCH('LE UtilityData'!J$1,'LE Inputs'!$C$1:$J$1,0),0)*1000</f>
        <v>1481495.3488555888</v>
      </c>
      <c r="K322" s="181">
        <v>598222.16419318225</v>
      </c>
      <c r="L322" s="157">
        <v>395457.00096565194</v>
      </c>
      <c r="M322" s="306"/>
      <c r="N322" s="150">
        <v>67274.290936591598</v>
      </c>
      <c r="O322" s="181">
        <f>VLOOKUP($A322&amp;$B322,'LE Inputs'!$C$2:$J$525,MATCH('LE UtilityData'!O$1,'LE Inputs'!$C$1:$J$1,0),0)</f>
        <v>65295.357111276346</v>
      </c>
      <c r="P322" s="181" t="e">
        <f>VLOOKUP($A322&amp;$B322,'LE Inputs'!$C$2:$J$505,MATCH('LE UtilityData'!P$1,'LE Inputs'!$C$1:$J$1,0),0)</f>
        <v>#N/A</v>
      </c>
      <c r="Q322" s="307">
        <f t="shared" si="39"/>
        <v>5.2125000000000004</v>
      </c>
      <c r="R322" s="307">
        <f t="shared" si="39"/>
        <v>326.05</v>
      </c>
      <c r="S322" s="161">
        <f t="shared" si="39"/>
        <v>5.35</v>
      </c>
      <c r="T322" s="161">
        <f t="shared" si="39"/>
        <v>330.2</v>
      </c>
      <c r="U322" s="159">
        <v>4124</v>
      </c>
      <c r="V322" s="159">
        <v>1696</v>
      </c>
      <c r="W322" s="159" t="e">
        <f t="shared" si="33"/>
        <v>#DIV/0!</v>
      </c>
      <c r="X322" s="159">
        <f t="shared" ref="X322:X385" si="40">C322/L322*1000</f>
        <v>0</v>
      </c>
    </row>
    <row r="323" spans="1:24" x14ac:dyDescent="0.2">
      <c r="A323" s="147">
        <v>2027</v>
      </c>
      <c r="B323" s="147">
        <v>10</v>
      </c>
      <c r="E323" s="166">
        <v>15.957358208679413</v>
      </c>
      <c r="F323" s="258">
        <f t="shared" ref="F323:G338" si="41">F311*(1+0.02)</f>
        <v>15.368212920305053</v>
      </c>
      <c r="G323" s="258">
        <f t="shared" si="41"/>
        <v>13.644671552925109</v>
      </c>
      <c r="H323" s="166">
        <v>29.62</v>
      </c>
      <c r="I323" s="148">
        <v>822880.71249005781</v>
      </c>
      <c r="J323" s="181">
        <f>VLOOKUP($A323&amp;$B323,'LE Inputs'!$C$2:$J$505,MATCH('LE UtilityData'!J$1,'LE Inputs'!$C$1:$J$1,0),0)*1000</f>
        <v>1483984.9116873886</v>
      </c>
      <c r="K323" s="181">
        <v>599127.21202533296</v>
      </c>
      <c r="L323" s="157">
        <v>395651.73022386455</v>
      </c>
      <c r="M323" s="306"/>
      <c r="N323" s="150">
        <v>67675.154679376501</v>
      </c>
      <c r="O323" s="181">
        <f>VLOOKUP($A323&amp;$B323,'LE Inputs'!$C$2:$J$525,MATCH('LE UtilityData'!O$1,'LE Inputs'!$C$1:$J$1,0),0)</f>
        <v>65633.143588248247</v>
      </c>
      <c r="P323" s="181" t="e">
        <f>VLOOKUP($A323&amp;$B323,'LE Inputs'!$C$2:$J$505,MATCH('LE UtilityData'!P$1,'LE Inputs'!$C$1:$J$1,0),0)</f>
        <v>#N/A</v>
      </c>
      <c r="Q323" s="307">
        <f t="shared" ref="Q323:T338" si="42">Q311</f>
        <v>99.232500000000002</v>
      </c>
      <c r="R323" s="307">
        <f t="shared" si="42"/>
        <v>97.24</v>
      </c>
      <c r="S323" s="161">
        <f t="shared" si="42"/>
        <v>99.3</v>
      </c>
      <c r="T323" s="161">
        <f t="shared" si="42"/>
        <v>100.05</v>
      </c>
      <c r="U323" s="159">
        <v>4124</v>
      </c>
      <c r="V323" s="159">
        <v>1696</v>
      </c>
      <c r="W323" s="159" t="e">
        <f t="shared" ref="W323:W386" si="43">D323/M323*1000</f>
        <v>#DIV/0!</v>
      </c>
      <c r="X323" s="159">
        <f t="shared" si="40"/>
        <v>0</v>
      </c>
    </row>
    <row r="324" spans="1:24" x14ac:dyDescent="0.2">
      <c r="A324" s="147">
        <v>2027</v>
      </c>
      <c r="B324" s="147">
        <v>11</v>
      </c>
      <c r="E324" s="166">
        <v>15.957358208679413</v>
      </c>
      <c r="F324" s="258">
        <f t="shared" si="41"/>
        <v>15.368212920305053</v>
      </c>
      <c r="G324" s="258">
        <f t="shared" si="41"/>
        <v>13.644671552925109</v>
      </c>
      <c r="H324" s="166">
        <v>29.1</v>
      </c>
      <c r="I324" s="148">
        <v>823285.71249005781</v>
      </c>
      <c r="J324" s="181">
        <f>VLOOKUP($A324&amp;$B324,'LE Inputs'!$C$2:$J$505,MATCH('LE UtilityData'!J$1,'LE Inputs'!$C$1:$J$1,0),0)*1000</f>
        <v>1483984.9116873886</v>
      </c>
      <c r="K324" s="181">
        <v>599127.21202533296</v>
      </c>
      <c r="L324" s="157">
        <v>395846.45948207722</v>
      </c>
      <c r="M324" s="306"/>
      <c r="N324" s="150">
        <v>67675.154679376501</v>
      </c>
      <c r="O324" s="181">
        <f>VLOOKUP($A324&amp;$B324,'LE Inputs'!$C$2:$J$525,MATCH('LE UtilityData'!O$1,'LE Inputs'!$C$1:$J$1,0),0)</f>
        <v>65633.143588248247</v>
      </c>
      <c r="P324" s="181" t="e">
        <f>VLOOKUP($A324&amp;$B324,'LE Inputs'!$C$2:$J$505,MATCH('LE UtilityData'!P$1,'LE Inputs'!$C$1:$J$1,0),0)</f>
        <v>#N/A</v>
      </c>
      <c r="Q324" s="307">
        <f t="shared" si="42"/>
        <v>353.59499999999997</v>
      </c>
      <c r="R324" s="307">
        <f t="shared" si="42"/>
        <v>11.487500000000001</v>
      </c>
      <c r="S324" s="161">
        <f t="shared" si="42"/>
        <v>352.6</v>
      </c>
      <c r="T324" s="161">
        <f t="shared" si="42"/>
        <v>12.75</v>
      </c>
      <c r="U324" s="159">
        <v>4124</v>
      </c>
      <c r="V324" s="159">
        <v>1696</v>
      </c>
      <c r="W324" s="159" t="e">
        <f t="shared" si="43"/>
        <v>#DIV/0!</v>
      </c>
      <c r="X324" s="159">
        <f t="shared" si="40"/>
        <v>0</v>
      </c>
    </row>
    <row r="325" spans="1:24" x14ac:dyDescent="0.2">
      <c r="A325" s="147">
        <v>2027</v>
      </c>
      <c r="B325" s="147">
        <v>12</v>
      </c>
      <c r="E325" s="166">
        <v>15.957358208679413</v>
      </c>
      <c r="F325" s="258">
        <f t="shared" si="41"/>
        <v>15.368212920305053</v>
      </c>
      <c r="G325" s="258">
        <f t="shared" si="41"/>
        <v>13.644671552925109</v>
      </c>
      <c r="H325" s="166">
        <v>31.67</v>
      </c>
      <c r="I325" s="148">
        <v>823690.71249005781</v>
      </c>
      <c r="J325" s="181">
        <f>VLOOKUP($A325&amp;$B325,'LE Inputs'!$C$2:$J$505,MATCH('LE UtilityData'!J$1,'LE Inputs'!$C$1:$J$1,0),0)*1000</f>
        <v>1483984.9116873886</v>
      </c>
      <c r="K325" s="181">
        <v>599127.21202533296</v>
      </c>
      <c r="L325" s="157">
        <v>396041.18874028989</v>
      </c>
      <c r="M325" s="306"/>
      <c r="N325" s="150">
        <v>67675.154679376501</v>
      </c>
      <c r="O325" s="181">
        <f>VLOOKUP($A325&amp;$B325,'LE Inputs'!$C$2:$J$525,MATCH('LE UtilityData'!O$1,'LE Inputs'!$C$1:$J$1,0),0)</f>
        <v>65633.143588248247</v>
      </c>
      <c r="P325" s="181" t="e">
        <f>VLOOKUP($A325&amp;$B325,'LE Inputs'!$C$2:$J$505,MATCH('LE UtilityData'!P$1,'LE Inputs'!$C$1:$J$1,0),0)</f>
        <v>#N/A</v>
      </c>
      <c r="Q325" s="307">
        <f t="shared" si="42"/>
        <v>667.68999999999994</v>
      </c>
      <c r="R325" s="307">
        <f t="shared" si="42"/>
        <v>1.1850000000000001</v>
      </c>
      <c r="S325" s="161">
        <f t="shared" si="42"/>
        <v>669.9</v>
      </c>
      <c r="T325" s="161">
        <f t="shared" si="42"/>
        <v>1.05</v>
      </c>
      <c r="U325" s="159">
        <v>4124</v>
      </c>
      <c r="V325" s="159">
        <v>1696</v>
      </c>
      <c r="W325" s="159" t="e">
        <f t="shared" si="43"/>
        <v>#DIV/0!</v>
      </c>
      <c r="X325" s="159">
        <f t="shared" si="40"/>
        <v>0</v>
      </c>
    </row>
    <row r="326" spans="1:24" x14ac:dyDescent="0.2">
      <c r="A326" s="147">
        <v>2028</v>
      </c>
      <c r="B326" s="147">
        <v>1</v>
      </c>
      <c r="E326" s="166">
        <v>16.356292163896395</v>
      </c>
      <c r="F326" s="258">
        <f t="shared" si="41"/>
        <v>15.675577178711155</v>
      </c>
      <c r="G326" s="258">
        <f t="shared" si="41"/>
        <v>13.917564983983612</v>
      </c>
      <c r="H326" s="166">
        <v>32.71</v>
      </c>
      <c r="I326" s="148">
        <v>824095.71249005781</v>
      </c>
      <c r="J326" s="181">
        <f>VLOOKUP($A326&amp;$B326,'LE Inputs'!$C$2:$J$505,MATCH('LE UtilityData'!J$1,'LE Inputs'!$C$1:$J$1,0),0)*1000</f>
        <v>1487111.3560323031</v>
      </c>
      <c r="K326" s="181">
        <v>600216.01911545487</v>
      </c>
      <c r="L326" s="157">
        <v>396235.91799850255</v>
      </c>
      <c r="M326" s="306"/>
      <c r="N326" s="150">
        <v>68295.019243598595</v>
      </c>
      <c r="O326" s="181">
        <f>VLOOKUP($A326&amp;$B326,'LE Inputs'!$C$2:$J$525,MATCH('LE UtilityData'!O$1,'LE Inputs'!$C$1:$J$1,0),0)</f>
        <v>67188.919810586201</v>
      </c>
      <c r="P326" s="181" t="e">
        <f>VLOOKUP($A326&amp;$B326,'LE Inputs'!$C$2:$J$505,MATCH('LE UtilityData'!P$1,'LE Inputs'!$C$1:$J$1,0),0)</f>
        <v>#N/A</v>
      </c>
      <c r="Q326" s="307">
        <f t="shared" si="42"/>
        <v>927.57249999999999</v>
      </c>
      <c r="R326" s="307">
        <f t="shared" si="42"/>
        <v>0.35</v>
      </c>
      <c r="S326" s="161">
        <f t="shared" si="42"/>
        <v>932.4</v>
      </c>
      <c r="T326" s="161">
        <f t="shared" si="42"/>
        <v>0.35</v>
      </c>
      <c r="U326" s="159">
        <v>4124</v>
      </c>
      <c r="V326" s="159">
        <v>1696</v>
      </c>
      <c r="W326" s="159" t="e">
        <f t="shared" si="43"/>
        <v>#DIV/0!</v>
      </c>
      <c r="X326" s="159">
        <f t="shared" si="40"/>
        <v>0</v>
      </c>
    </row>
    <row r="327" spans="1:24" x14ac:dyDescent="0.2">
      <c r="A327" s="147">
        <v>2028</v>
      </c>
      <c r="B327" s="147">
        <v>2</v>
      </c>
      <c r="E327" s="166">
        <v>16.356292163896395</v>
      </c>
      <c r="F327" s="258">
        <f t="shared" si="41"/>
        <v>15.675577178711155</v>
      </c>
      <c r="G327" s="258">
        <f t="shared" si="41"/>
        <v>13.917564983983612</v>
      </c>
      <c r="H327" s="166">
        <v>29.81</v>
      </c>
      <c r="I327" s="148">
        <v>824500.71249005781</v>
      </c>
      <c r="J327" s="181">
        <f>VLOOKUP($A327&amp;$B327,'LE Inputs'!$C$2:$J$505,MATCH('LE UtilityData'!J$1,'LE Inputs'!$C$1:$J$1,0),0)*1000</f>
        <v>1487111.3560323031</v>
      </c>
      <c r="K327" s="181">
        <v>600216.01911545487</v>
      </c>
      <c r="L327" s="157">
        <v>396430.64725671516</v>
      </c>
      <c r="M327" s="306"/>
      <c r="N327" s="150">
        <v>68295.019243598595</v>
      </c>
      <c r="O327" s="181">
        <f>VLOOKUP($A327&amp;$B327,'LE Inputs'!$C$2:$J$525,MATCH('LE UtilityData'!O$1,'LE Inputs'!$C$1:$J$1,0),0)</f>
        <v>67188.919810586201</v>
      </c>
      <c r="P327" s="181" t="e">
        <f>VLOOKUP($A327&amp;$B327,'LE Inputs'!$C$2:$J$505,MATCH('LE UtilityData'!P$1,'LE Inputs'!$C$1:$J$1,0),0)</f>
        <v>#N/A</v>
      </c>
      <c r="Q327" s="307">
        <f t="shared" si="42"/>
        <v>858.35750000000007</v>
      </c>
      <c r="R327" s="307">
        <f t="shared" si="42"/>
        <v>0.05</v>
      </c>
      <c r="S327" s="161">
        <f t="shared" si="42"/>
        <v>864.1</v>
      </c>
      <c r="T327" s="161">
        <f t="shared" si="42"/>
        <v>0.05</v>
      </c>
      <c r="U327" s="159">
        <v>4124</v>
      </c>
      <c r="V327" s="159">
        <v>1696</v>
      </c>
      <c r="W327" s="159" t="e">
        <f t="shared" si="43"/>
        <v>#DIV/0!</v>
      </c>
      <c r="X327" s="159">
        <f t="shared" si="40"/>
        <v>0</v>
      </c>
    </row>
    <row r="328" spans="1:24" x14ac:dyDescent="0.2">
      <c r="A328" s="147">
        <v>2028</v>
      </c>
      <c r="B328" s="147">
        <v>3</v>
      </c>
      <c r="E328" s="166">
        <v>16.356292163896395</v>
      </c>
      <c r="F328" s="258">
        <f t="shared" si="41"/>
        <v>15.675577178711155</v>
      </c>
      <c r="G328" s="258">
        <f t="shared" si="41"/>
        <v>13.917564983983612</v>
      </c>
      <c r="H328" s="166">
        <v>30.33</v>
      </c>
      <c r="I328" s="148">
        <v>824905.71249005781</v>
      </c>
      <c r="J328" s="181">
        <f>VLOOKUP($A328&amp;$B328,'LE Inputs'!$C$2:$J$505,MATCH('LE UtilityData'!J$1,'LE Inputs'!$C$1:$J$1,0),0)*1000</f>
        <v>1487111.3560323031</v>
      </c>
      <c r="K328" s="181">
        <v>600216.01911545487</v>
      </c>
      <c r="L328" s="157">
        <v>396625.37651492783</v>
      </c>
      <c r="M328" s="306"/>
      <c r="N328" s="150">
        <v>68295.019243598595</v>
      </c>
      <c r="O328" s="181">
        <f>VLOOKUP($A328&amp;$B328,'LE Inputs'!$C$2:$J$525,MATCH('LE UtilityData'!O$1,'LE Inputs'!$C$1:$J$1,0),0)</f>
        <v>67188.919810586201</v>
      </c>
      <c r="P328" s="181" t="e">
        <f>VLOOKUP($A328&amp;$B328,'LE Inputs'!$C$2:$J$505,MATCH('LE UtilityData'!P$1,'LE Inputs'!$C$1:$J$1,0),0)</f>
        <v>#N/A</v>
      </c>
      <c r="Q328" s="307">
        <f t="shared" si="42"/>
        <v>666.12749999999994</v>
      </c>
      <c r="R328" s="307">
        <f t="shared" si="42"/>
        <v>2.0225</v>
      </c>
      <c r="S328" s="161">
        <f t="shared" si="42"/>
        <v>674.3</v>
      </c>
      <c r="T328" s="161">
        <f t="shared" si="42"/>
        <v>1.1499999999999999</v>
      </c>
      <c r="U328" s="159">
        <v>4124</v>
      </c>
      <c r="V328" s="159">
        <v>1696</v>
      </c>
      <c r="W328" s="159" t="e">
        <f t="shared" si="43"/>
        <v>#DIV/0!</v>
      </c>
      <c r="X328" s="159">
        <f t="shared" si="40"/>
        <v>0</v>
      </c>
    </row>
    <row r="329" spans="1:24" x14ac:dyDescent="0.2">
      <c r="A329" s="147">
        <v>2028</v>
      </c>
      <c r="B329" s="147">
        <v>4</v>
      </c>
      <c r="E329" s="166">
        <v>16.356292163896395</v>
      </c>
      <c r="F329" s="258">
        <f t="shared" si="41"/>
        <v>15.675577178711155</v>
      </c>
      <c r="G329" s="258">
        <f t="shared" si="41"/>
        <v>13.917564983983612</v>
      </c>
      <c r="H329" s="166">
        <v>30.19</v>
      </c>
      <c r="I329" s="148">
        <v>825310.71249005781</v>
      </c>
      <c r="J329" s="181">
        <f>VLOOKUP($A329&amp;$B329,'LE Inputs'!$C$2:$J$505,MATCH('LE UtilityData'!J$1,'LE Inputs'!$C$1:$J$1,0),0)*1000</f>
        <v>1490208.1646802681</v>
      </c>
      <c r="K329" s="181">
        <v>601325.05611233145</v>
      </c>
      <c r="L329" s="157">
        <v>396820.1057731405</v>
      </c>
      <c r="M329" s="306"/>
      <c r="N329" s="150">
        <v>68710.208257642604</v>
      </c>
      <c r="O329" s="181">
        <f>VLOOKUP($A329&amp;$B329,'LE Inputs'!$C$2:$J$525,MATCH('LE UtilityData'!O$1,'LE Inputs'!$C$1:$J$1,0),0)</f>
        <v>67541.334580262541</v>
      </c>
      <c r="P329" s="181" t="e">
        <f>VLOOKUP($A329&amp;$B329,'LE Inputs'!$C$2:$J$505,MATCH('LE UtilityData'!P$1,'LE Inputs'!$C$1:$J$1,0),0)</f>
        <v>#N/A</v>
      </c>
      <c r="Q329" s="307">
        <f t="shared" si="42"/>
        <v>370.83499999999998</v>
      </c>
      <c r="R329" s="307">
        <f t="shared" si="42"/>
        <v>22.565000000000001</v>
      </c>
      <c r="S329" s="161">
        <f t="shared" si="42"/>
        <v>377.1</v>
      </c>
      <c r="T329" s="161">
        <f t="shared" si="42"/>
        <v>20.25</v>
      </c>
      <c r="U329" s="159">
        <v>4124</v>
      </c>
      <c r="V329" s="159">
        <v>1696</v>
      </c>
      <c r="W329" s="159" t="e">
        <f t="shared" si="43"/>
        <v>#DIV/0!</v>
      </c>
      <c r="X329" s="159">
        <f t="shared" si="40"/>
        <v>0</v>
      </c>
    </row>
    <row r="330" spans="1:24" x14ac:dyDescent="0.2">
      <c r="A330" s="147">
        <v>2028</v>
      </c>
      <c r="B330" s="147">
        <v>5</v>
      </c>
      <c r="E330" s="166">
        <v>16.356292163896395</v>
      </c>
      <c r="F330" s="258">
        <f t="shared" si="41"/>
        <v>15.675577178711155</v>
      </c>
      <c r="G330" s="258">
        <f t="shared" si="41"/>
        <v>13.917564983983612</v>
      </c>
      <c r="H330" s="166">
        <v>30.14</v>
      </c>
      <c r="I330" s="148">
        <v>825715.71249005781</v>
      </c>
      <c r="J330" s="181">
        <f>VLOOKUP($A330&amp;$B330,'LE Inputs'!$C$2:$J$505,MATCH('LE UtilityData'!J$1,'LE Inputs'!$C$1:$J$1,0),0)*1000</f>
        <v>1490208.1646802681</v>
      </c>
      <c r="K330" s="181">
        <v>601325.05611233145</v>
      </c>
      <c r="L330" s="157">
        <v>397014.83503135311</v>
      </c>
      <c r="M330" s="306"/>
      <c r="N330" s="150">
        <v>68710.208257642604</v>
      </c>
      <c r="O330" s="181">
        <f>VLOOKUP($A330&amp;$B330,'LE Inputs'!$C$2:$J$525,MATCH('LE UtilityData'!O$1,'LE Inputs'!$C$1:$J$1,0),0)</f>
        <v>67541.334580262541</v>
      </c>
      <c r="P330" s="181" t="e">
        <f>VLOOKUP($A330&amp;$B330,'LE Inputs'!$C$2:$J$505,MATCH('LE UtilityData'!P$1,'LE Inputs'!$C$1:$J$1,0),0)</f>
        <v>#N/A</v>
      </c>
      <c r="Q330" s="307">
        <f t="shared" si="42"/>
        <v>141.76749999999998</v>
      </c>
      <c r="R330" s="307">
        <f t="shared" si="42"/>
        <v>69.552499999999995</v>
      </c>
      <c r="S330" s="161">
        <f t="shared" si="42"/>
        <v>141</v>
      </c>
      <c r="T330" s="161">
        <f t="shared" si="42"/>
        <v>69.349999999999994</v>
      </c>
      <c r="U330" s="159">
        <v>4124</v>
      </c>
      <c r="V330" s="159">
        <v>1696</v>
      </c>
      <c r="W330" s="159" t="e">
        <f t="shared" si="43"/>
        <v>#DIV/0!</v>
      </c>
      <c r="X330" s="159">
        <f t="shared" si="40"/>
        <v>0</v>
      </c>
    </row>
    <row r="331" spans="1:24" x14ac:dyDescent="0.2">
      <c r="A331" s="147">
        <v>2028</v>
      </c>
      <c r="B331" s="147">
        <v>6</v>
      </c>
      <c r="E331" s="166">
        <v>16.356292163896395</v>
      </c>
      <c r="F331" s="258">
        <f t="shared" si="41"/>
        <v>15.675577178711155</v>
      </c>
      <c r="G331" s="258">
        <f t="shared" si="41"/>
        <v>13.917564983983612</v>
      </c>
      <c r="H331" s="166">
        <v>30.67</v>
      </c>
      <c r="I331" s="148">
        <v>826117.42860152258</v>
      </c>
      <c r="J331" s="181">
        <f>VLOOKUP($A331&amp;$B331,'LE Inputs'!$C$2:$J$505,MATCH('LE UtilityData'!J$1,'LE Inputs'!$C$1:$J$1,0),0)*1000</f>
        <v>1490208.1646802681</v>
      </c>
      <c r="K331" s="181">
        <v>601325.05611233145</v>
      </c>
      <c r="L331" s="157">
        <v>397207.98535332247</v>
      </c>
      <c r="M331" s="306"/>
      <c r="N331" s="150">
        <v>68710.208257642604</v>
      </c>
      <c r="O331" s="181">
        <f>VLOOKUP($A331&amp;$B331,'LE Inputs'!$C$2:$J$525,MATCH('LE UtilityData'!O$1,'LE Inputs'!$C$1:$J$1,0),0)</f>
        <v>67541.334580262541</v>
      </c>
      <c r="P331" s="181" t="e">
        <f>VLOOKUP($A331&amp;$B331,'LE Inputs'!$C$2:$J$505,MATCH('LE UtilityData'!P$1,'LE Inputs'!$C$1:$J$1,0),0)</f>
        <v>#N/A</v>
      </c>
      <c r="Q331" s="307">
        <f t="shared" si="42"/>
        <v>29.807499999999997</v>
      </c>
      <c r="R331" s="307">
        <f t="shared" si="42"/>
        <v>219.05749999999998</v>
      </c>
      <c r="S331" s="161">
        <f t="shared" si="42"/>
        <v>29.5</v>
      </c>
      <c r="T331" s="161">
        <f t="shared" si="42"/>
        <v>224.8</v>
      </c>
      <c r="U331" s="159">
        <v>4124</v>
      </c>
      <c r="V331" s="159">
        <v>1696</v>
      </c>
      <c r="W331" s="159" t="e">
        <f t="shared" si="43"/>
        <v>#DIV/0!</v>
      </c>
      <c r="X331" s="159">
        <f t="shared" si="40"/>
        <v>0</v>
      </c>
    </row>
    <row r="332" spans="1:24" x14ac:dyDescent="0.2">
      <c r="A332" s="147">
        <v>2028</v>
      </c>
      <c r="B332" s="147">
        <v>7</v>
      </c>
      <c r="E332" s="166">
        <v>16.356292163896395</v>
      </c>
      <c r="F332" s="258">
        <f t="shared" si="41"/>
        <v>15.675577178711155</v>
      </c>
      <c r="G332" s="258">
        <f t="shared" si="41"/>
        <v>13.917564983983612</v>
      </c>
      <c r="H332" s="166">
        <v>30.67</v>
      </c>
      <c r="I332" s="148">
        <v>826512.42860152258</v>
      </c>
      <c r="J332" s="181">
        <f>VLOOKUP($A332&amp;$B332,'LE Inputs'!$C$2:$J$505,MATCH('LE UtilityData'!J$1,'LE Inputs'!$C$1:$J$1,0),0)*1000</f>
        <v>1493299.9206794384</v>
      </c>
      <c r="K332" s="181">
        <v>602429.08481717634</v>
      </c>
      <c r="L332" s="157">
        <v>397397.90648170264</v>
      </c>
      <c r="M332" s="306"/>
      <c r="N332" s="150">
        <v>69148.861070697996</v>
      </c>
      <c r="O332" s="181">
        <f>VLOOKUP($A332&amp;$B332,'LE Inputs'!$C$2:$J$525,MATCH('LE UtilityData'!O$1,'LE Inputs'!$C$1:$J$1,0),0)</f>
        <v>67918.366491950539</v>
      </c>
      <c r="P332" s="181" t="e">
        <f>VLOOKUP($A332&amp;$B332,'LE Inputs'!$C$2:$J$505,MATCH('LE UtilityData'!P$1,'LE Inputs'!$C$1:$J$1,0),0)</f>
        <v>#N/A</v>
      </c>
      <c r="Q332" s="307">
        <f t="shared" si="42"/>
        <v>0.57250000000000001</v>
      </c>
      <c r="R332" s="307">
        <f t="shared" si="42"/>
        <v>397.17500000000001</v>
      </c>
      <c r="S332" s="161">
        <f t="shared" si="42"/>
        <v>0.55000000000000004</v>
      </c>
      <c r="T332" s="161">
        <f t="shared" si="42"/>
        <v>396.4</v>
      </c>
      <c r="U332" s="159">
        <v>4124</v>
      </c>
      <c r="V332" s="159">
        <v>1696</v>
      </c>
      <c r="W332" s="159" t="e">
        <f t="shared" si="43"/>
        <v>#DIV/0!</v>
      </c>
      <c r="X332" s="159">
        <f t="shared" si="40"/>
        <v>0</v>
      </c>
    </row>
    <row r="333" spans="1:24" x14ac:dyDescent="0.2">
      <c r="A333" s="147">
        <v>2028</v>
      </c>
      <c r="B333" s="147">
        <v>8</v>
      </c>
      <c r="E333" s="166">
        <v>16.356292163896395</v>
      </c>
      <c r="F333" s="258">
        <f t="shared" si="41"/>
        <v>15.675577178711155</v>
      </c>
      <c r="G333" s="258">
        <f t="shared" si="41"/>
        <v>13.917564983983612</v>
      </c>
      <c r="H333" s="166">
        <v>29.57</v>
      </c>
      <c r="I333" s="148">
        <v>826907.42860152258</v>
      </c>
      <c r="J333" s="181">
        <f>VLOOKUP($A333&amp;$B333,'LE Inputs'!$C$2:$J$505,MATCH('LE UtilityData'!J$1,'LE Inputs'!$C$1:$J$1,0),0)*1000</f>
        <v>1493299.9206794384</v>
      </c>
      <c r="K333" s="181">
        <v>602429.08481717634</v>
      </c>
      <c r="L333" s="157">
        <v>397587.82761008281</v>
      </c>
      <c r="M333" s="306"/>
      <c r="N333" s="150">
        <v>69148.861070697996</v>
      </c>
      <c r="O333" s="181">
        <f>VLOOKUP($A333&amp;$B333,'LE Inputs'!$C$2:$J$525,MATCH('LE UtilityData'!O$1,'LE Inputs'!$C$1:$J$1,0),0)</f>
        <v>67918.366491950539</v>
      </c>
      <c r="P333" s="181" t="e">
        <f>VLOOKUP($A333&amp;$B333,'LE Inputs'!$C$2:$J$505,MATCH('LE UtilityData'!P$1,'LE Inputs'!$C$1:$J$1,0),0)</f>
        <v>#N/A</v>
      </c>
      <c r="Q333" s="307">
        <f t="shared" si="42"/>
        <v>0.1</v>
      </c>
      <c r="R333" s="307">
        <f t="shared" si="42"/>
        <v>418.51750000000004</v>
      </c>
      <c r="S333" s="161">
        <f t="shared" si="42"/>
        <v>0.1</v>
      </c>
      <c r="T333" s="161">
        <f t="shared" si="42"/>
        <v>417.05</v>
      </c>
      <c r="U333" s="159">
        <v>4124</v>
      </c>
      <c r="V333" s="159">
        <v>1696</v>
      </c>
      <c r="W333" s="159" t="e">
        <f t="shared" si="43"/>
        <v>#DIV/0!</v>
      </c>
      <c r="X333" s="159">
        <f t="shared" si="40"/>
        <v>0</v>
      </c>
    </row>
    <row r="334" spans="1:24" x14ac:dyDescent="0.2">
      <c r="A334" s="147">
        <v>2028</v>
      </c>
      <c r="B334" s="147">
        <v>9</v>
      </c>
      <c r="E334" s="166">
        <v>16.356292163896395</v>
      </c>
      <c r="F334" s="258">
        <f t="shared" si="41"/>
        <v>15.675577178711155</v>
      </c>
      <c r="G334" s="258">
        <f t="shared" si="41"/>
        <v>13.917564983983612</v>
      </c>
      <c r="H334" s="166">
        <v>30.52</v>
      </c>
      <c r="I334" s="148">
        <v>827302.42860152258</v>
      </c>
      <c r="J334" s="181">
        <f>VLOOKUP($A334&amp;$B334,'LE Inputs'!$C$2:$J$505,MATCH('LE UtilityData'!J$1,'LE Inputs'!$C$1:$J$1,0),0)*1000</f>
        <v>1493299.9206794384</v>
      </c>
      <c r="K334" s="181">
        <v>602429.08481717634</v>
      </c>
      <c r="L334" s="157">
        <v>397777.74873846298</v>
      </c>
      <c r="M334" s="306"/>
      <c r="N334" s="150">
        <v>69148.861070697996</v>
      </c>
      <c r="O334" s="181">
        <f>VLOOKUP($A334&amp;$B334,'LE Inputs'!$C$2:$J$525,MATCH('LE UtilityData'!O$1,'LE Inputs'!$C$1:$J$1,0),0)</f>
        <v>67918.366491950539</v>
      </c>
      <c r="P334" s="181" t="e">
        <f>VLOOKUP($A334&amp;$B334,'LE Inputs'!$C$2:$J$505,MATCH('LE UtilityData'!P$1,'LE Inputs'!$C$1:$J$1,0),0)</f>
        <v>#N/A</v>
      </c>
      <c r="Q334" s="307">
        <f t="shared" si="42"/>
        <v>5.2125000000000004</v>
      </c>
      <c r="R334" s="307">
        <f t="shared" si="42"/>
        <v>326.05</v>
      </c>
      <c r="S334" s="161">
        <f t="shared" si="42"/>
        <v>5.35</v>
      </c>
      <c r="T334" s="161">
        <f t="shared" si="42"/>
        <v>330.2</v>
      </c>
      <c r="U334" s="159">
        <v>4124</v>
      </c>
      <c r="V334" s="159">
        <v>1696</v>
      </c>
      <c r="W334" s="159" t="e">
        <f t="shared" si="43"/>
        <v>#DIV/0!</v>
      </c>
      <c r="X334" s="159">
        <f t="shared" si="40"/>
        <v>0</v>
      </c>
    </row>
    <row r="335" spans="1:24" x14ac:dyDescent="0.2">
      <c r="A335" s="147">
        <v>2028</v>
      </c>
      <c r="B335" s="147">
        <v>10</v>
      </c>
      <c r="E335" s="166">
        <v>16.356292163896395</v>
      </c>
      <c r="F335" s="258">
        <f t="shared" si="41"/>
        <v>15.675577178711155</v>
      </c>
      <c r="G335" s="258">
        <f t="shared" si="41"/>
        <v>13.917564983983612</v>
      </c>
      <c r="H335" s="166">
        <v>29.62</v>
      </c>
      <c r="I335" s="148">
        <v>827697.42860152258</v>
      </c>
      <c r="J335" s="181">
        <f>VLOOKUP($A335&amp;$B335,'LE Inputs'!$C$2:$J$505,MATCH('LE UtilityData'!J$1,'LE Inputs'!$C$1:$J$1,0),0)*1000</f>
        <v>1496411.4701198251</v>
      </c>
      <c r="K335" s="181">
        <v>603774.02706422308</v>
      </c>
      <c r="L335" s="157">
        <v>397967.66986684321</v>
      </c>
      <c r="M335" s="306"/>
      <c r="N335" s="150">
        <v>69544.800962140507</v>
      </c>
      <c r="O335" s="181">
        <f>VLOOKUP($A335&amp;$B335,'LE Inputs'!$C$2:$J$525,MATCH('LE UtilityData'!O$1,'LE Inputs'!$C$1:$J$1,0),0)</f>
        <v>68129.102217055843</v>
      </c>
      <c r="P335" s="181" t="e">
        <f>VLOOKUP($A335&amp;$B335,'LE Inputs'!$C$2:$J$505,MATCH('LE UtilityData'!P$1,'LE Inputs'!$C$1:$J$1,0),0)</f>
        <v>#N/A</v>
      </c>
      <c r="Q335" s="307">
        <f t="shared" si="42"/>
        <v>99.232500000000002</v>
      </c>
      <c r="R335" s="307">
        <f t="shared" si="42"/>
        <v>97.24</v>
      </c>
      <c r="S335" s="161">
        <f t="shared" si="42"/>
        <v>99.3</v>
      </c>
      <c r="T335" s="161">
        <f t="shared" si="42"/>
        <v>100.05</v>
      </c>
      <c r="U335" s="159">
        <v>4124</v>
      </c>
      <c r="V335" s="159">
        <v>1696</v>
      </c>
      <c r="W335" s="159" t="e">
        <f t="shared" si="43"/>
        <v>#DIV/0!</v>
      </c>
      <c r="X335" s="159">
        <f t="shared" si="40"/>
        <v>0</v>
      </c>
    </row>
    <row r="336" spans="1:24" x14ac:dyDescent="0.2">
      <c r="A336" s="147">
        <v>2028</v>
      </c>
      <c r="B336" s="147">
        <v>11</v>
      </c>
      <c r="E336" s="166">
        <v>16.356292163896395</v>
      </c>
      <c r="F336" s="258">
        <f t="shared" si="41"/>
        <v>15.675577178711155</v>
      </c>
      <c r="G336" s="258">
        <f t="shared" si="41"/>
        <v>13.917564983983612</v>
      </c>
      <c r="H336" s="166">
        <v>29.95</v>
      </c>
      <c r="I336" s="148">
        <v>828092.42860152258</v>
      </c>
      <c r="J336" s="181">
        <f>VLOOKUP($A336&amp;$B336,'LE Inputs'!$C$2:$J$505,MATCH('LE UtilityData'!J$1,'LE Inputs'!$C$1:$J$1,0),0)*1000</f>
        <v>1496411.4701198251</v>
      </c>
      <c r="K336" s="181">
        <v>603774.02706422308</v>
      </c>
      <c r="L336" s="157">
        <v>398157.59099522338</v>
      </c>
      <c r="M336" s="306"/>
      <c r="N336" s="150">
        <v>69544.800962140507</v>
      </c>
      <c r="O336" s="181">
        <f>VLOOKUP($A336&amp;$B336,'LE Inputs'!$C$2:$J$525,MATCH('LE UtilityData'!O$1,'LE Inputs'!$C$1:$J$1,0),0)</f>
        <v>68129.102217055843</v>
      </c>
      <c r="P336" s="181" t="e">
        <f>VLOOKUP($A336&amp;$B336,'LE Inputs'!$C$2:$J$505,MATCH('LE UtilityData'!P$1,'LE Inputs'!$C$1:$J$1,0),0)</f>
        <v>#N/A</v>
      </c>
      <c r="Q336" s="307">
        <f t="shared" si="42"/>
        <v>353.59499999999997</v>
      </c>
      <c r="R336" s="307">
        <f t="shared" si="42"/>
        <v>11.487500000000001</v>
      </c>
      <c r="S336" s="161">
        <f t="shared" si="42"/>
        <v>352.6</v>
      </c>
      <c r="T336" s="161">
        <f t="shared" si="42"/>
        <v>12.75</v>
      </c>
      <c r="U336" s="159">
        <v>4124</v>
      </c>
      <c r="V336" s="159">
        <v>1696</v>
      </c>
      <c r="W336" s="159" t="e">
        <f t="shared" si="43"/>
        <v>#DIV/0!</v>
      </c>
      <c r="X336" s="159">
        <f t="shared" si="40"/>
        <v>0</v>
      </c>
    </row>
    <row r="337" spans="1:24" x14ac:dyDescent="0.2">
      <c r="A337" s="147">
        <v>2028</v>
      </c>
      <c r="B337" s="147">
        <v>12</v>
      </c>
      <c r="E337" s="166">
        <v>16.356292163896395</v>
      </c>
      <c r="F337" s="258">
        <f t="shared" si="41"/>
        <v>15.675577178711155</v>
      </c>
      <c r="G337" s="258">
        <f t="shared" si="41"/>
        <v>13.917564983983612</v>
      </c>
      <c r="H337" s="166">
        <v>31.24</v>
      </c>
      <c r="I337" s="148">
        <v>828487.42860152258</v>
      </c>
      <c r="J337" s="181">
        <f>VLOOKUP($A337&amp;$B337,'LE Inputs'!$C$2:$J$505,MATCH('LE UtilityData'!J$1,'LE Inputs'!$C$1:$J$1,0),0)*1000</f>
        <v>1496411.4701198251</v>
      </c>
      <c r="K337" s="181">
        <v>603774.02706422308</v>
      </c>
      <c r="L337" s="157">
        <v>398347.51212360361</v>
      </c>
      <c r="M337" s="306"/>
      <c r="N337" s="150">
        <v>69544.800962140507</v>
      </c>
      <c r="O337" s="181">
        <f>VLOOKUP($A337&amp;$B337,'LE Inputs'!$C$2:$J$525,MATCH('LE UtilityData'!O$1,'LE Inputs'!$C$1:$J$1,0),0)</f>
        <v>68129.102217055843</v>
      </c>
      <c r="P337" s="181" t="e">
        <f>VLOOKUP($A337&amp;$B337,'LE Inputs'!$C$2:$J$505,MATCH('LE UtilityData'!P$1,'LE Inputs'!$C$1:$J$1,0),0)</f>
        <v>#N/A</v>
      </c>
      <c r="Q337" s="307">
        <f t="shared" si="42"/>
        <v>667.68999999999994</v>
      </c>
      <c r="R337" s="307">
        <f t="shared" si="42"/>
        <v>1.1850000000000001</v>
      </c>
      <c r="S337" s="161">
        <f t="shared" si="42"/>
        <v>669.9</v>
      </c>
      <c r="T337" s="161">
        <f t="shared" si="42"/>
        <v>1.05</v>
      </c>
      <c r="U337" s="159">
        <v>4124</v>
      </c>
      <c r="V337" s="159">
        <v>1696</v>
      </c>
      <c r="W337" s="159" t="e">
        <f t="shared" si="43"/>
        <v>#DIV/0!</v>
      </c>
      <c r="X337" s="159">
        <f t="shared" si="40"/>
        <v>0</v>
      </c>
    </row>
    <row r="338" spans="1:24" x14ac:dyDescent="0.2">
      <c r="A338" s="147">
        <v>2029</v>
      </c>
      <c r="B338" s="147">
        <v>1</v>
      </c>
      <c r="E338" s="166">
        <v>16.765199467993806</v>
      </c>
      <c r="F338" s="258">
        <f t="shared" si="41"/>
        <v>15.989088722285379</v>
      </c>
      <c r="G338" s="258">
        <f t="shared" si="41"/>
        <v>14.195916283663284</v>
      </c>
      <c r="H338" s="166">
        <v>32.67</v>
      </c>
      <c r="I338" s="148">
        <v>828882.42860152258</v>
      </c>
      <c r="J338" s="181">
        <f>VLOOKUP($A338&amp;$B338,'LE Inputs'!$C$2:$J$505,MATCH('LE UtilityData'!J$1,'LE Inputs'!$C$1:$J$1,0),0)*1000</f>
        <v>1498894.0832056841</v>
      </c>
      <c r="K338" s="181">
        <v>604875.79551826511</v>
      </c>
      <c r="L338" s="157">
        <v>398537.43325198378</v>
      </c>
      <c r="M338" s="306"/>
      <c r="N338" s="150">
        <v>70263.641262346093</v>
      </c>
      <c r="O338" s="181">
        <f>VLOOKUP($A338&amp;$B338,'LE Inputs'!$C$2:$J$525,MATCH('LE UtilityData'!O$1,'LE Inputs'!$C$1:$J$1,0),0)</f>
        <v>68845.523407010856</v>
      </c>
      <c r="P338" s="181" t="e">
        <f>VLOOKUP($A338&amp;$B338,'LE Inputs'!$C$2:$J$505,MATCH('LE UtilityData'!P$1,'LE Inputs'!$C$1:$J$1,0),0)</f>
        <v>#N/A</v>
      </c>
      <c r="Q338" s="307">
        <f t="shared" si="42"/>
        <v>927.57249999999999</v>
      </c>
      <c r="R338" s="307">
        <f t="shared" si="42"/>
        <v>0.35</v>
      </c>
      <c r="S338" s="161">
        <f t="shared" si="42"/>
        <v>932.4</v>
      </c>
      <c r="T338" s="161">
        <f t="shared" si="42"/>
        <v>0.35</v>
      </c>
      <c r="U338" s="159">
        <v>4124</v>
      </c>
      <c r="V338" s="159">
        <v>1696</v>
      </c>
      <c r="W338" s="159" t="e">
        <f t="shared" si="43"/>
        <v>#DIV/0!</v>
      </c>
      <c r="X338" s="159">
        <f t="shared" si="40"/>
        <v>0</v>
      </c>
    </row>
    <row r="339" spans="1:24" x14ac:dyDescent="0.2">
      <c r="A339" s="147">
        <v>2029</v>
      </c>
      <c r="B339" s="147">
        <v>2</v>
      </c>
      <c r="E339" s="166">
        <v>16.765199467993806</v>
      </c>
      <c r="F339" s="258">
        <f t="shared" ref="F339:G354" si="44">F327*(1+0.02)</f>
        <v>15.989088722285379</v>
      </c>
      <c r="G339" s="258">
        <f t="shared" si="44"/>
        <v>14.195916283663284</v>
      </c>
      <c r="H339" s="166">
        <v>29.86</v>
      </c>
      <c r="I339" s="148">
        <v>829277.42860152258</v>
      </c>
      <c r="J339" s="181">
        <f>VLOOKUP($A339&amp;$B339,'LE Inputs'!$C$2:$J$505,MATCH('LE UtilityData'!J$1,'LE Inputs'!$C$1:$J$1,0),0)*1000</f>
        <v>1498894.0832056841</v>
      </c>
      <c r="K339" s="181">
        <v>604875.79551826511</v>
      </c>
      <c r="L339" s="157">
        <v>398727.35438036395</v>
      </c>
      <c r="M339" s="306"/>
      <c r="N339" s="150">
        <v>70263.641262346093</v>
      </c>
      <c r="O339" s="181">
        <f>VLOOKUP($A339&amp;$B339,'LE Inputs'!$C$2:$J$525,MATCH('LE UtilityData'!O$1,'LE Inputs'!$C$1:$J$1,0),0)</f>
        <v>68845.523407010856</v>
      </c>
      <c r="P339" s="181" t="e">
        <f>VLOOKUP($A339&amp;$B339,'LE Inputs'!$C$2:$J$505,MATCH('LE UtilityData'!P$1,'LE Inputs'!$C$1:$J$1,0),0)</f>
        <v>#N/A</v>
      </c>
      <c r="Q339" s="307">
        <f t="shared" ref="Q339:T354" si="45">Q327</f>
        <v>858.35750000000007</v>
      </c>
      <c r="R339" s="307">
        <f t="shared" si="45"/>
        <v>0.05</v>
      </c>
      <c r="S339" s="161">
        <f t="shared" si="45"/>
        <v>864.1</v>
      </c>
      <c r="T339" s="161">
        <f t="shared" si="45"/>
        <v>0.05</v>
      </c>
      <c r="U339" s="159">
        <v>4124</v>
      </c>
      <c r="V339" s="159">
        <v>1696</v>
      </c>
      <c r="W339" s="159" t="e">
        <f t="shared" si="43"/>
        <v>#DIV/0!</v>
      </c>
      <c r="X339" s="159">
        <f t="shared" si="40"/>
        <v>0</v>
      </c>
    </row>
    <row r="340" spans="1:24" x14ac:dyDescent="0.2">
      <c r="A340" s="147">
        <v>2029</v>
      </c>
      <c r="B340" s="147">
        <v>3</v>
      </c>
      <c r="E340" s="166">
        <v>16.765199467993806</v>
      </c>
      <c r="F340" s="258">
        <f t="shared" si="44"/>
        <v>15.989088722285379</v>
      </c>
      <c r="G340" s="258">
        <f t="shared" si="44"/>
        <v>14.195916283663284</v>
      </c>
      <c r="H340" s="166">
        <v>30.43</v>
      </c>
      <c r="I340" s="148">
        <v>829672.42860152258</v>
      </c>
      <c r="J340" s="181">
        <f>VLOOKUP($A340&amp;$B340,'LE Inputs'!$C$2:$J$505,MATCH('LE UtilityData'!J$1,'LE Inputs'!$C$1:$J$1,0),0)*1000</f>
        <v>1498894.0832056841</v>
      </c>
      <c r="K340" s="181">
        <v>604875.79551826511</v>
      </c>
      <c r="L340" s="157">
        <v>398917.27550874418</v>
      </c>
      <c r="M340" s="306"/>
      <c r="N340" s="150">
        <v>70263.641262346093</v>
      </c>
      <c r="O340" s="181">
        <f>VLOOKUP($A340&amp;$B340,'LE Inputs'!$C$2:$J$525,MATCH('LE UtilityData'!O$1,'LE Inputs'!$C$1:$J$1,0),0)</f>
        <v>68845.523407010856</v>
      </c>
      <c r="P340" s="181" t="e">
        <f>VLOOKUP($A340&amp;$B340,'LE Inputs'!$C$2:$J$505,MATCH('LE UtilityData'!P$1,'LE Inputs'!$C$1:$J$1,0),0)</f>
        <v>#N/A</v>
      </c>
      <c r="Q340" s="307">
        <f t="shared" si="45"/>
        <v>666.12749999999994</v>
      </c>
      <c r="R340" s="307">
        <f t="shared" si="45"/>
        <v>2.0225</v>
      </c>
      <c r="S340" s="161">
        <f t="shared" si="45"/>
        <v>674.3</v>
      </c>
      <c r="T340" s="161">
        <f t="shared" si="45"/>
        <v>1.1499999999999999</v>
      </c>
      <c r="U340" s="159">
        <v>4124</v>
      </c>
      <c r="V340" s="159">
        <v>1696</v>
      </c>
      <c r="W340" s="159" t="e">
        <f t="shared" si="43"/>
        <v>#DIV/0!</v>
      </c>
      <c r="X340" s="159">
        <f t="shared" si="40"/>
        <v>0</v>
      </c>
    </row>
    <row r="341" spans="1:24" x14ac:dyDescent="0.2">
      <c r="A341" s="147">
        <v>2029</v>
      </c>
      <c r="B341" s="147">
        <v>4</v>
      </c>
      <c r="E341" s="166">
        <v>16.765199467993806</v>
      </c>
      <c r="F341" s="258">
        <f t="shared" si="44"/>
        <v>15.989088722285379</v>
      </c>
      <c r="G341" s="258">
        <f t="shared" si="44"/>
        <v>14.195916283663284</v>
      </c>
      <c r="H341" s="166">
        <v>30.71</v>
      </c>
      <c r="I341" s="148">
        <v>830067.42860152258</v>
      </c>
      <c r="J341" s="181">
        <f>VLOOKUP($A341&amp;$B341,'LE Inputs'!$C$2:$J$505,MATCH('LE UtilityData'!J$1,'LE Inputs'!$C$1:$J$1,0),0)*1000</f>
        <v>1501971.6137818422</v>
      </c>
      <c r="K341" s="181">
        <v>606217.69491659617</v>
      </c>
      <c r="L341" s="157">
        <v>399107.19663712435</v>
      </c>
      <c r="M341" s="306"/>
      <c r="N341" s="150">
        <v>70779.985971175498</v>
      </c>
      <c r="O341" s="181">
        <f>VLOOKUP($A341&amp;$B341,'LE Inputs'!$C$2:$J$525,MATCH('LE UtilityData'!O$1,'LE Inputs'!$C$1:$J$1,0),0)</f>
        <v>69317.34410468323</v>
      </c>
      <c r="P341" s="181" t="e">
        <f>VLOOKUP($A341&amp;$B341,'LE Inputs'!$C$2:$J$505,MATCH('LE UtilityData'!P$1,'LE Inputs'!$C$1:$J$1,0),0)</f>
        <v>#N/A</v>
      </c>
      <c r="Q341" s="307">
        <f t="shared" si="45"/>
        <v>370.83499999999998</v>
      </c>
      <c r="R341" s="307">
        <f t="shared" si="45"/>
        <v>22.565000000000001</v>
      </c>
      <c r="S341" s="161">
        <f t="shared" si="45"/>
        <v>377.1</v>
      </c>
      <c r="T341" s="161">
        <f t="shared" si="45"/>
        <v>20.25</v>
      </c>
      <c r="U341" s="159">
        <v>4124</v>
      </c>
      <c r="V341" s="159">
        <v>1696</v>
      </c>
      <c r="W341" s="159" t="e">
        <f t="shared" si="43"/>
        <v>#DIV/0!</v>
      </c>
      <c r="X341" s="159">
        <f t="shared" si="40"/>
        <v>0</v>
      </c>
    </row>
    <row r="342" spans="1:24" x14ac:dyDescent="0.2">
      <c r="A342" s="147">
        <v>2029</v>
      </c>
      <c r="B342" s="147">
        <v>5</v>
      </c>
      <c r="E342" s="166">
        <v>16.765199467993806</v>
      </c>
      <c r="F342" s="258">
        <f t="shared" si="44"/>
        <v>15.989088722285379</v>
      </c>
      <c r="G342" s="258">
        <f t="shared" si="44"/>
        <v>14.195916283663284</v>
      </c>
      <c r="H342" s="166">
        <v>29.52</v>
      </c>
      <c r="I342" s="148">
        <v>830462.42860152258</v>
      </c>
      <c r="J342" s="181">
        <f>VLOOKUP($A342&amp;$B342,'LE Inputs'!$C$2:$J$505,MATCH('LE UtilityData'!J$1,'LE Inputs'!$C$1:$J$1,0),0)*1000</f>
        <v>1501971.6137818422</v>
      </c>
      <c r="K342" s="181">
        <v>606217.69491659617</v>
      </c>
      <c r="L342" s="157">
        <v>399297.11776550452</v>
      </c>
      <c r="M342" s="306"/>
      <c r="N342" s="150">
        <v>70779.985971175498</v>
      </c>
      <c r="O342" s="181">
        <f>VLOOKUP($A342&amp;$B342,'LE Inputs'!$C$2:$J$525,MATCH('LE UtilityData'!O$1,'LE Inputs'!$C$1:$J$1,0),0)</f>
        <v>69317.34410468323</v>
      </c>
      <c r="P342" s="181" t="e">
        <f>VLOOKUP($A342&amp;$B342,'LE Inputs'!$C$2:$J$505,MATCH('LE UtilityData'!P$1,'LE Inputs'!$C$1:$J$1,0),0)</f>
        <v>#N/A</v>
      </c>
      <c r="Q342" s="307">
        <f t="shared" si="45"/>
        <v>141.76749999999998</v>
      </c>
      <c r="R342" s="307">
        <f t="shared" si="45"/>
        <v>69.552499999999995</v>
      </c>
      <c r="S342" s="161">
        <f t="shared" si="45"/>
        <v>141</v>
      </c>
      <c r="T342" s="161">
        <f t="shared" si="45"/>
        <v>69.349999999999994</v>
      </c>
      <c r="U342" s="159">
        <v>4124</v>
      </c>
      <c r="V342" s="159">
        <v>1696</v>
      </c>
      <c r="W342" s="159" t="e">
        <f t="shared" si="43"/>
        <v>#DIV/0!</v>
      </c>
      <c r="X342" s="159">
        <f t="shared" si="40"/>
        <v>0</v>
      </c>
    </row>
    <row r="343" spans="1:24" x14ac:dyDescent="0.2">
      <c r="A343" s="147">
        <v>2029</v>
      </c>
      <c r="B343" s="147">
        <v>6</v>
      </c>
      <c r="E343" s="166">
        <v>16.765199467993806</v>
      </c>
      <c r="F343" s="258">
        <f t="shared" si="44"/>
        <v>15.989088722285379</v>
      </c>
      <c r="G343" s="258">
        <f t="shared" si="44"/>
        <v>14.195916283663284</v>
      </c>
      <c r="H343" s="166">
        <v>30.62</v>
      </c>
      <c r="I343" s="148">
        <v>830857.27052419272</v>
      </c>
      <c r="J343" s="181">
        <f>VLOOKUP($A343&amp;$B343,'LE Inputs'!$C$2:$J$505,MATCH('LE UtilityData'!J$1,'LE Inputs'!$C$1:$J$1,0),0)*1000</f>
        <v>1501971.6137818422</v>
      </c>
      <c r="K343" s="181">
        <v>606217.69491659617</v>
      </c>
      <c r="L343" s="157">
        <v>399486.96288825216</v>
      </c>
      <c r="M343" s="306"/>
      <c r="N343" s="150">
        <v>70779.985971175498</v>
      </c>
      <c r="O343" s="181">
        <f>VLOOKUP($A343&amp;$B343,'LE Inputs'!$C$2:$J$525,MATCH('LE UtilityData'!O$1,'LE Inputs'!$C$1:$J$1,0),0)</f>
        <v>69317.34410468323</v>
      </c>
      <c r="P343" s="181" t="e">
        <f>VLOOKUP($A343&amp;$B343,'LE Inputs'!$C$2:$J$505,MATCH('LE UtilityData'!P$1,'LE Inputs'!$C$1:$J$1,0),0)</f>
        <v>#N/A</v>
      </c>
      <c r="Q343" s="307">
        <f t="shared" si="45"/>
        <v>29.807499999999997</v>
      </c>
      <c r="R343" s="307">
        <f t="shared" si="45"/>
        <v>219.05749999999998</v>
      </c>
      <c r="S343" s="161">
        <f t="shared" si="45"/>
        <v>29.5</v>
      </c>
      <c r="T343" s="161">
        <f t="shared" si="45"/>
        <v>224.8</v>
      </c>
      <c r="U343" s="159">
        <v>4124</v>
      </c>
      <c r="V343" s="159">
        <v>1696</v>
      </c>
      <c r="W343" s="159" t="e">
        <f t="shared" si="43"/>
        <v>#DIV/0!</v>
      </c>
      <c r="X343" s="159">
        <f t="shared" si="40"/>
        <v>0</v>
      </c>
    </row>
    <row r="344" spans="1:24" x14ac:dyDescent="0.2">
      <c r="A344" s="147">
        <v>2029</v>
      </c>
      <c r="B344" s="147">
        <v>7</v>
      </c>
      <c r="E344" s="166">
        <v>16.765199467993806</v>
      </c>
      <c r="F344" s="258">
        <f t="shared" si="44"/>
        <v>15.989088722285379</v>
      </c>
      <c r="G344" s="258">
        <f t="shared" si="44"/>
        <v>14.195916283663284</v>
      </c>
      <c r="H344" s="166">
        <v>30.76</v>
      </c>
      <c r="I344" s="148">
        <v>831242.27052419272</v>
      </c>
      <c r="J344" s="181">
        <f>VLOOKUP($A344&amp;$B344,'LE Inputs'!$C$2:$J$505,MATCH('LE UtilityData'!J$1,'LE Inputs'!$C$1:$J$1,0),0)*1000</f>
        <v>1505038.3744277996</v>
      </c>
      <c r="K344" s="181">
        <v>607554.40562869469</v>
      </c>
      <c r="L344" s="157">
        <v>399672.07588680001</v>
      </c>
      <c r="M344" s="306"/>
      <c r="N344" s="150">
        <v>71219.646974355695</v>
      </c>
      <c r="O344" s="181">
        <f>VLOOKUP($A344&amp;$B344,'LE Inputs'!$C$2:$J$525,MATCH('LE UtilityData'!O$1,'LE Inputs'!$C$1:$J$1,0),0)</f>
        <v>69398.523782313874</v>
      </c>
      <c r="P344" s="181" t="e">
        <f>VLOOKUP($A344&amp;$B344,'LE Inputs'!$C$2:$J$505,MATCH('LE UtilityData'!P$1,'LE Inputs'!$C$1:$J$1,0),0)</f>
        <v>#N/A</v>
      </c>
      <c r="Q344" s="307">
        <f t="shared" si="45"/>
        <v>0.57250000000000001</v>
      </c>
      <c r="R344" s="307">
        <f t="shared" si="45"/>
        <v>397.17500000000001</v>
      </c>
      <c r="S344" s="161">
        <f t="shared" si="45"/>
        <v>0.55000000000000004</v>
      </c>
      <c r="T344" s="161">
        <f t="shared" si="45"/>
        <v>396.4</v>
      </c>
      <c r="U344" s="159">
        <v>4124</v>
      </c>
      <c r="V344" s="159">
        <v>1696</v>
      </c>
      <c r="W344" s="159" t="e">
        <f t="shared" si="43"/>
        <v>#DIV/0!</v>
      </c>
      <c r="X344" s="159">
        <f t="shared" si="40"/>
        <v>0</v>
      </c>
    </row>
    <row r="345" spans="1:24" x14ac:dyDescent="0.2">
      <c r="A345" s="147">
        <v>2029</v>
      </c>
      <c r="B345" s="147">
        <v>8</v>
      </c>
      <c r="E345" s="166">
        <v>16.765199467993806</v>
      </c>
      <c r="F345" s="258">
        <f t="shared" si="44"/>
        <v>15.989088722285379</v>
      </c>
      <c r="G345" s="258">
        <f t="shared" si="44"/>
        <v>14.195916283663284</v>
      </c>
      <c r="H345" s="166">
        <v>29.48</v>
      </c>
      <c r="I345" s="148">
        <v>831627.27052419272</v>
      </c>
      <c r="J345" s="181">
        <f>VLOOKUP($A345&amp;$B345,'LE Inputs'!$C$2:$J$505,MATCH('LE UtilityData'!J$1,'LE Inputs'!$C$1:$J$1,0),0)*1000</f>
        <v>1505038.3744277996</v>
      </c>
      <c r="K345" s="181">
        <v>607554.40562869469</v>
      </c>
      <c r="L345" s="157">
        <v>399857.1888853478</v>
      </c>
      <c r="M345" s="306"/>
      <c r="N345" s="150">
        <v>71219.646974355695</v>
      </c>
      <c r="O345" s="181">
        <f>VLOOKUP($A345&amp;$B345,'LE Inputs'!$C$2:$J$525,MATCH('LE UtilityData'!O$1,'LE Inputs'!$C$1:$J$1,0),0)</f>
        <v>69398.523782313874</v>
      </c>
      <c r="P345" s="181" t="e">
        <f>VLOOKUP($A345&amp;$B345,'LE Inputs'!$C$2:$J$505,MATCH('LE UtilityData'!P$1,'LE Inputs'!$C$1:$J$1,0),0)</f>
        <v>#N/A</v>
      </c>
      <c r="Q345" s="307">
        <f t="shared" si="45"/>
        <v>0.1</v>
      </c>
      <c r="R345" s="307">
        <f t="shared" si="45"/>
        <v>418.51750000000004</v>
      </c>
      <c r="S345" s="161">
        <f t="shared" si="45"/>
        <v>0.1</v>
      </c>
      <c r="T345" s="161">
        <f t="shared" si="45"/>
        <v>417.05</v>
      </c>
      <c r="U345" s="159">
        <v>4124</v>
      </c>
      <c r="V345" s="159">
        <v>1696</v>
      </c>
      <c r="W345" s="159" t="e">
        <f t="shared" si="43"/>
        <v>#DIV/0!</v>
      </c>
      <c r="X345" s="159">
        <f t="shared" si="40"/>
        <v>0</v>
      </c>
    </row>
    <row r="346" spans="1:24" x14ac:dyDescent="0.2">
      <c r="A346" s="147">
        <v>2029</v>
      </c>
      <c r="B346" s="147">
        <v>9</v>
      </c>
      <c r="E346" s="166">
        <v>16.765199467993806</v>
      </c>
      <c r="F346" s="258">
        <f t="shared" si="44"/>
        <v>15.989088722285379</v>
      </c>
      <c r="G346" s="258">
        <f t="shared" si="44"/>
        <v>14.195916283663284</v>
      </c>
      <c r="H346" s="166">
        <v>30.57</v>
      </c>
      <c r="I346" s="148">
        <v>832012.27052419272</v>
      </c>
      <c r="J346" s="181">
        <f>VLOOKUP($A346&amp;$B346,'LE Inputs'!$C$2:$J$505,MATCH('LE UtilityData'!J$1,'LE Inputs'!$C$1:$J$1,0),0)*1000</f>
        <v>1505038.3744277996</v>
      </c>
      <c r="K346" s="181">
        <v>607554.40562869469</v>
      </c>
      <c r="L346" s="157">
        <v>400042.30188389565</v>
      </c>
      <c r="M346" s="306"/>
      <c r="N346" s="150">
        <v>71219.646974355695</v>
      </c>
      <c r="O346" s="181">
        <f>VLOOKUP($A346&amp;$B346,'LE Inputs'!$C$2:$J$525,MATCH('LE UtilityData'!O$1,'LE Inputs'!$C$1:$J$1,0),0)</f>
        <v>69398.523782313874</v>
      </c>
      <c r="P346" s="181" t="e">
        <f>VLOOKUP($A346&amp;$B346,'LE Inputs'!$C$2:$J$505,MATCH('LE UtilityData'!P$1,'LE Inputs'!$C$1:$J$1,0),0)</f>
        <v>#N/A</v>
      </c>
      <c r="Q346" s="307">
        <f t="shared" si="45"/>
        <v>5.2125000000000004</v>
      </c>
      <c r="R346" s="307">
        <f t="shared" si="45"/>
        <v>326.05</v>
      </c>
      <c r="S346" s="161">
        <f t="shared" si="45"/>
        <v>5.35</v>
      </c>
      <c r="T346" s="161">
        <f t="shared" si="45"/>
        <v>330.2</v>
      </c>
      <c r="U346" s="159">
        <v>4124</v>
      </c>
      <c r="V346" s="159">
        <v>1696</v>
      </c>
      <c r="W346" s="159" t="e">
        <f t="shared" si="43"/>
        <v>#DIV/0!</v>
      </c>
      <c r="X346" s="159">
        <f t="shared" si="40"/>
        <v>0</v>
      </c>
    </row>
    <row r="347" spans="1:24" x14ac:dyDescent="0.2">
      <c r="A347" s="147">
        <v>2029</v>
      </c>
      <c r="B347" s="147">
        <v>10</v>
      </c>
      <c r="E347" s="166">
        <v>16.765199467993806</v>
      </c>
      <c r="F347" s="258">
        <f t="shared" si="44"/>
        <v>15.989088722285379</v>
      </c>
      <c r="G347" s="258">
        <f t="shared" si="44"/>
        <v>14.195916283663284</v>
      </c>
      <c r="H347" s="166">
        <v>29.67</v>
      </c>
      <c r="I347" s="148">
        <v>832397.27052419272</v>
      </c>
      <c r="J347" s="181">
        <f>VLOOKUP($A347&amp;$B347,'LE Inputs'!$C$2:$J$505,MATCH('LE UtilityData'!J$1,'LE Inputs'!$C$1:$J$1,0),0)*1000</f>
        <v>1508096.9329650397</v>
      </c>
      <c r="K347" s="181">
        <v>608867.89054647123</v>
      </c>
      <c r="L347" s="157">
        <v>400227.41488244344</v>
      </c>
      <c r="M347" s="306"/>
      <c r="N347" s="150">
        <v>71642.540533496707</v>
      </c>
      <c r="O347" s="181">
        <f>VLOOKUP($A347&amp;$B347,'LE Inputs'!$C$2:$J$525,MATCH('LE UtilityData'!O$1,'LE Inputs'!$C$1:$J$1,0),0)</f>
        <v>69748.376174795558</v>
      </c>
      <c r="P347" s="181" t="e">
        <f>VLOOKUP($A347&amp;$B347,'LE Inputs'!$C$2:$J$505,MATCH('LE UtilityData'!P$1,'LE Inputs'!$C$1:$J$1,0),0)</f>
        <v>#N/A</v>
      </c>
      <c r="Q347" s="307">
        <f t="shared" si="45"/>
        <v>99.232500000000002</v>
      </c>
      <c r="R347" s="307">
        <f t="shared" si="45"/>
        <v>97.24</v>
      </c>
      <c r="S347" s="161">
        <f t="shared" si="45"/>
        <v>99.3</v>
      </c>
      <c r="T347" s="161">
        <f t="shared" si="45"/>
        <v>100.05</v>
      </c>
      <c r="U347" s="159">
        <v>4124</v>
      </c>
      <c r="V347" s="159">
        <v>1696</v>
      </c>
      <c r="W347" s="159" t="e">
        <f t="shared" si="43"/>
        <v>#DIV/0!</v>
      </c>
      <c r="X347" s="159">
        <f t="shared" si="40"/>
        <v>0</v>
      </c>
    </row>
    <row r="348" spans="1:24" x14ac:dyDescent="0.2">
      <c r="A348" s="147">
        <v>2029</v>
      </c>
      <c r="B348" s="147">
        <v>11</v>
      </c>
      <c r="E348" s="166">
        <v>16.765199467993806</v>
      </c>
      <c r="F348" s="258">
        <f t="shared" si="44"/>
        <v>15.989088722285379</v>
      </c>
      <c r="G348" s="258">
        <f t="shared" si="44"/>
        <v>14.195916283663284</v>
      </c>
      <c r="H348" s="166">
        <v>29.95</v>
      </c>
      <c r="I348" s="148">
        <v>832782.27052419272</v>
      </c>
      <c r="J348" s="181">
        <f>VLOOKUP($A348&amp;$B348,'LE Inputs'!$C$2:$J$505,MATCH('LE UtilityData'!J$1,'LE Inputs'!$C$1:$J$1,0),0)*1000</f>
        <v>1508096.9329650397</v>
      </c>
      <c r="K348" s="181">
        <v>608867.89054647123</v>
      </c>
      <c r="L348" s="157">
        <v>400412.52788099123</v>
      </c>
      <c r="M348" s="306"/>
      <c r="N348" s="150">
        <v>71642.540533496707</v>
      </c>
      <c r="O348" s="181">
        <f>VLOOKUP($A348&amp;$B348,'LE Inputs'!$C$2:$J$525,MATCH('LE UtilityData'!O$1,'LE Inputs'!$C$1:$J$1,0),0)</f>
        <v>69748.376174795558</v>
      </c>
      <c r="P348" s="181" t="e">
        <f>VLOOKUP($A348&amp;$B348,'LE Inputs'!$C$2:$J$505,MATCH('LE UtilityData'!P$1,'LE Inputs'!$C$1:$J$1,0),0)</f>
        <v>#N/A</v>
      </c>
      <c r="Q348" s="307">
        <f t="shared" si="45"/>
        <v>353.59499999999997</v>
      </c>
      <c r="R348" s="307">
        <f t="shared" si="45"/>
        <v>11.487500000000001</v>
      </c>
      <c r="S348" s="161">
        <f t="shared" si="45"/>
        <v>352.6</v>
      </c>
      <c r="T348" s="161">
        <f t="shared" si="45"/>
        <v>12.75</v>
      </c>
      <c r="U348" s="159">
        <v>4124</v>
      </c>
      <c r="V348" s="159">
        <v>1696</v>
      </c>
      <c r="W348" s="159" t="e">
        <f t="shared" si="43"/>
        <v>#DIV/0!</v>
      </c>
      <c r="X348" s="159">
        <f t="shared" si="40"/>
        <v>0</v>
      </c>
    </row>
    <row r="349" spans="1:24" x14ac:dyDescent="0.2">
      <c r="A349" s="147">
        <v>2029</v>
      </c>
      <c r="B349" s="147">
        <v>12</v>
      </c>
      <c r="E349" s="166">
        <v>16.765199467993806</v>
      </c>
      <c r="F349" s="258">
        <f t="shared" si="44"/>
        <v>15.989088722285379</v>
      </c>
      <c r="G349" s="258">
        <f t="shared" si="44"/>
        <v>14.195916283663284</v>
      </c>
      <c r="H349" s="166">
        <v>31.1</v>
      </c>
      <c r="I349" s="148">
        <v>833167.27052419272</v>
      </c>
      <c r="J349" s="181">
        <f>VLOOKUP($A349&amp;$B349,'LE Inputs'!$C$2:$J$505,MATCH('LE UtilityData'!J$1,'LE Inputs'!$C$1:$J$1,0),0)*1000</f>
        <v>1508096.9329650397</v>
      </c>
      <c r="K349" s="181">
        <v>608867.89054647123</v>
      </c>
      <c r="L349" s="157">
        <v>400597.64087953907</v>
      </c>
      <c r="M349" s="306"/>
      <c r="N349" s="150">
        <v>71642.540533496707</v>
      </c>
      <c r="O349" s="181">
        <f>VLOOKUP($A349&amp;$B349,'LE Inputs'!$C$2:$J$525,MATCH('LE UtilityData'!O$1,'LE Inputs'!$C$1:$J$1,0),0)</f>
        <v>69748.376174795558</v>
      </c>
      <c r="P349" s="181" t="e">
        <f>VLOOKUP($A349&amp;$B349,'LE Inputs'!$C$2:$J$505,MATCH('LE UtilityData'!P$1,'LE Inputs'!$C$1:$J$1,0),0)</f>
        <v>#N/A</v>
      </c>
      <c r="Q349" s="307">
        <f t="shared" si="45"/>
        <v>667.68999999999994</v>
      </c>
      <c r="R349" s="307">
        <f t="shared" si="45"/>
        <v>1.1850000000000001</v>
      </c>
      <c r="S349" s="161">
        <f t="shared" si="45"/>
        <v>669.9</v>
      </c>
      <c r="T349" s="161">
        <f t="shared" si="45"/>
        <v>1.05</v>
      </c>
      <c r="U349" s="159">
        <v>4124</v>
      </c>
      <c r="V349" s="159">
        <v>1696</v>
      </c>
      <c r="W349" s="159" t="e">
        <f t="shared" si="43"/>
        <v>#DIV/0!</v>
      </c>
      <c r="X349" s="159">
        <f t="shared" si="40"/>
        <v>0</v>
      </c>
    </row>
    <row r="350" spans="1:24" x14ac:dyDescent="0.2">
      <c r="A350" s="147">
        <v>2030</v>
      </c>
      <c r="B350" s="147">
        <v>1</v>
      </c>
      <c r="E350" s="166">
        <v>17.184329454693646</v>
      </c>
      <c r="F350" s="258">
        <f t="shared" si="44"/>
        <v>16.308870496731085</v>
      </c>
      <c r="G350" s="258">
        <f t="shared" si="44"/>
        <v>14.47983460933655</v>
      </c>
      <c r="H350" s="166">
        <v>32.71</v>
      </c>
      <c r="I350" s="148">
        <v>833552.27052419272</v>
      </c>
      <c r="J350" s="181">
        <f>VLOOKUP($A350&amp;$B350,'LE Inputs'!$C$2:$J$505,MATCH('LE UtilityData'!J$1,'LE Inputs'!$C$1:$J$1,0),0)*1000</f>
        <v>1511151.4067649504</v>
      </c>
      <c r="K350" s="181">
        <v>610185.24311972142</v>
      </c>
      <c r="L350" s="157">
        <v>400782.75387808686</v>
      </c>
      <c r="M350" s="306"/>
      <c r="N350" s="150">
        <v>72415.687035380193</v>
      </c>
      <c r="O350" s="181">
        <f>VLOOKUP($A350&amp;$B350,'LE Inputs'!$C$2:$J$525,MATCH('LE UtilityData'!O$1,'LE Inputs'!$C$1:$J$1,0),0)</f>
        <v>70497.78446005439</v>
      </c>
      <c r="P350" s="181" t="e">
        <f>VLOOKUP($A350&amp;$B350,'LE Inputs'!$C$2:$J$505,MATCH('LE UtilityData'!P$1,'LE Inputs'!$C$1:$J$1,0),0)</f>
        <v>#N/A</v>
      </c>
      <c r="Q350" s="307">
        <f t="shared" si="45"/>
        <v>927.57249999999999</v>
      </c>
      <c r="R350" s="307">
        <f t="shared" si="45"/>
        <v>0.35</v>
      </c>
      <c r="S350" s="161">
        <f t="shared" si="45"/>
        <v>932.4</v>
      </c>
      <c r="T350" s="161">
        <f t="shared" si="45"/>
        <v>0.35</v>
      </c>
      <c r="U350" s="159">
        <v>4124</v>
      </c>
      <c r="V350" s="159">
        <v>1696</v>
      </c>
      <c r="W350" s="159" t="e">
        <f t="shared" si="43"/>
        <v>#DIV/0!</v>
      </c>
      <c r="X350" s="159">
        <f t="shared" si="40"/>
        <v>0</v>
      </c>
    </row>
    <row r="351" spans="1:24" x14ac:dyDescent="0.2">
      <c r="A351" s="147">
        <v>2030</v>
      </c>
      <c r="B351" s="147">
        <v>2</v>
      </c>
      <c r="E351" s="166">
        <v>17.184329454693646</v>
      </c>
      <c r="F351" s="258">
        <f t="shared" si="44"/>
        <v>16.308870496731085</v>
      </c>
      <c r="G351" s="258">
        <f t="shared" si="44"/>
        <v>14.47983460933655</v>
      </c>
      <c r="H351" s="166">
        <v>29.9</v>
      </c>
      <c r="I351" s="148">
        <v>833937.27052419272</v>
      </c>
      <c r="J351" s="181">
        <f>VLOOKUP($A351&amp;$B351,'LE Inputs'!$C$2:$J$505,MATCH('LE UtilityData'!J$1,'LE Inputs'!$C$1:$J$1,0),0)*1000</f>
        <v>1511151.4067649504</v>
      </c>
      <c r="K351" s="181">
        <v>610185.24311972142</v>
      </c>
      <c r="L351" s="157">
        <v>400967.86687663465</v>
      </c>
      <c r="M351" s="306"/>
      <c r="N351" s="150">
        <v>72415.687035380193</v>
      </c>
      <c r="O351" s="181">
        <f>VLOOKUP($A351&amp;$B351,'LE Inputs'!$C$2:$J$525,MATCH('LE UtilityData'!O$1,'LE Inputs'!$C$1:$J$1,0),0)</f>
        <v>70497.78446005439</v>
      </c>
      <c r="P351" s="181" t="e">
        <f>VLOOKUP($A351&amp;$B351,'LE Inputs'!$C$2:$J$505,MATCH('LE UtilityData'!P$1,'LE Inputs'!$C$1:$J$1,0),0)</f>
        <v>#N/A</v>
      </c>
      <c r="Q351" s="307">
        <f t="shared" si="45"/>
        <v>858.35750000000007</v>
      </c>
      <c r="R351" s="307">
        <f t="shared" si="45"/>
        <v>0.05</v>
      </c>
      <c r="S351" s="161">
        <f t="shared" si="45"/>
        <v>864.1</v>
      </c>
      <c r="T351" s="161">
        <f t="shared" si="45"/>
        <v>0.05</v>
      </c>
      <c r="U351" s="159">
        <v>4124</v>
      </c>
      <c r="V351" s="159">
        <v>1696</v>
      </c>
      <c r="W351" s="159" t="e">
        <f t="shared" si="43"/>
        <v>#DIV/0!</v>
      </c>
      <c r="X351" s="159">
        <f t="shared" si="40"/>
        <v>0</v>
      </c>
    </row>
    <row r="352" spans="1:24" x14ac:dyDescent="0.2">
      <c r="A352" s="147">
        <v>2030</v>
      </c>
      <c r="B352" s="147">
        <v>3</v>
      </c>
      <c r="E352" s="166">
        <v>17.184329454693646</v>
      </c>
      <c r="F352" s="258">
        <f t="shared" si="44"/>
        <v>16.308870496731085</v>
      </c>
      <c r="G352" s="258">
        <f t="shared" si="44"/>
        <v>14.47983460933655</v>
      </c>
      <c r="H352" s="166">
        <v>30.33</v>
      </c>
      <c r="I352" s="148">
        <v>834322.27052419272</v>
      </c>
      <c r="J352" s="181">
        <f>VLOOKUP($A352&amp;$B352,'LE Inputs'!$C$2:$J$505,MATCH('LE UtilityData'!J$1,'LE Inputs'!$C$1:$J$1,0),0)*1000</f>
        <v>1511151.4067649504</v>
      </c>
      <c r="K352" s="181">
        <v>610185.24311972142</v>
      </c>
      <c r="L352" s="157">
        <v>401152.9798751825</v>
      </c>
      <c r="M352" s="306"/>
      <c r="N352" s="150">
        <v>72415.687035380193</v>
      </c>
      <c r="O352" s="181">
        <f>VLOOKUP($A352&amp;$B352,'LE Inputs'!$C$2:$J$525,MATCH('LE UtilityData'!O$1,'LE Inputs'!$C$1:$J$1,0),0)</f>
        <v>70497.78446005439</v>
      </c>
      <c r="P352" s="181" t="e">
        <f>VLOOKUP($A352&amp;$B352,'LE Inputs'!$C$2:$J$505,MATCH('LE UtilityData'!P$1,'LE Inputs'!$C$1:$J$1,0),0)</f>
        <v>#N/A</v>
      </c>
      <c r="Q352" s="307">
        <f t="shared" si="45"/>
        <v>666.12749999999994</v>
      </c>
      <c r="R352" s="307">
        <f t="shared" si="45"/>
        <v>2.0225</v>
      </c>
      <c r="S352" s="161">
        <f t="shared" si="45"/>
        <v>674.3</v>
      </c>
      <c r="T352" s="161">
        <f t="shared" si="45"/>
        <v>1.1499999999999999</v>
      </c>
      <c r="U352" s="159">
        <v>4124</v>
      </c>
      <c r="V352" s="159">
        <v>1696</v>
      </c>
      <c r="W352" s="159" t="e">
        <f t="shared" si="43"/>
        <v>#DIV/0!</v>
      </c>
      <c r="X352" s="159">
        <f t="shared" si="40"/>
        <v>0</v>
      </c>
    </row>
    <row r="353" spans="1:24" x14ac:dyDescent="0.2">
      <c r="A353" s="147">
        <v>2030</v>
      </c>
      <c r="B353" s="147">
        <v>4</v>
      </c>
      <c r="E353" s="166">
        <v>17.184329454693646</v>
      </c>
      <c r="F353" s="258">
        <f t="shared" si="44"/>
        <v>16.308870496731085</v>
      </c>
      <c r="G353" s="258">
        <f t="shared" si="44"/>
        <v>14.47983460933655</v>
      </c>
      <c r="H353" s="166">
        <v>29.95</v>
      </c>
      <c r="I353" s="148">
        <v>834707.27052419272</v>
      </c>
      <c r="J353" s="181">
        <f>VLOOKUP($A353&amp;$B353,'LE Inputs'!$C$2:$J$505,MATCH('LE UtilityData'!J$1,'LE Inputs'!$C$1:$J$1,0),0)*1000</f>
        <v>1513628.2170670941</v>
      </c>
      <c r="K353" s="181">
        <v>611354.7516287606</v>
      </c>
      <c r="L353" s="157">
        <v>401338.09287373035</v>
      </c>
      <c r="M353" s="306"/>
      <c r="N353" s="150">
        <v>72846.467788140202</v>
      </c>
      <c r="O353" s="181">
        <f>VLOOKUP($A353&amp;$B353,'LE Inputs'!$C$2:$J$525,MATCH('LE UtilityData'!O$1,'LE Inputs'!$C$1:$J$1,0),0)</f>
        <v>70899.826789461629</v>
      </c>
      <c r="P353" s="181" t="e">
        <f>VLOOKUP($A353&amp;$B353,'LE Inputs'!$C$2:$J$505,MATCH('LE UtilityData'!P$1,'LE Inputs'!$C$1:$J$1,0),0)</f>
        <v>#N/A</v>
      </c>
      <c r="Q353" s="307">
        <f t="shared" si="45"/>
        <v>370.83499999999998</v>
      </c>
      <c r="R353" s="307">
        <f t="shared" si="45"/>
        <v>22.565000000000001</v>
      </c>
      <c r="S353" s="161">
        <f t="shared" si="45"/>
        <v>377.1</v>
      </c>
      <c r="T353" s="161">
        <f t="shared" si="45"/>
        <v>20.25</v>
      </c>
      <c r="U353" s="159">
        <v>4124</v>
      </c>
      <c r="V353" s="159">
        <v>1696</v>
      </c>
      <c r="W353" s="159" t="e">
        <f t="shared" si="43"/>
        <v>#DIV/0!</v>
      </c>
      <c r="X353" s="159">
        <f t="shared" si="40"/>
        <v>0</v>
      </c>
    </row>
    <row r="354" spans="1:24" x14ac:dyDescent="0.2">
      <c r="A354" s="147">
        <v>2030</v>
      </c>
      <c r="B354" s="147">
        <v>5</v>
      </c>
      <c r="E354" s="166">
        <v>17.184329454693646</v>
      </c>
      <c r="F354" s="258">
        <f t="shared" si="44"/>
        <v>16.308870496731085</v>
      </c>
      <c r="G354" s="258">
        <f t="shared" si="44"/>
        <v>14.47983460933655</v>
      </c>
      <c r="H354" s="166">
        <v>30.38</v>
      </c>
      <c r="I354" s="148">
        <v>835092.27052419272</v>
      </c>
      <c r="J354" s="181">
        <f>VLOOKUP($A354&amp;$B354,'LE Inputs'!$C$2:$J$505,MATCH('LE UtilityData'!J$1,'LE Inputs'!$C$1:$J$1,0),0)*1000</f>
        <v>1513628.2170670941</v>
      </c>
      <c r="K354" s="181">
        <v>611354.7516287606</v>
      </c>
      <c r="L354" s="157">
        <v>401523.20587227814</v>
      </c>
      <c r="M354" s="306"/>
      <c r="N354" s="150">
        <v>72846.467788140202</v>
      </c>
      <c r="O354" s="181">
        <f>VLOOKUP($A354&amp;$B354,'LE Inputs'!$C$2:$J$525,MATCH('LE UtilityData'!O$1,'LE Inputs'!$C$1:$J$1,0),0)</f>
        <v>70899.826789461629</v>
      </c>
      <c r="P354" s="181" t="e">
        <f>VLOOKUP($A354&amp;$B354,'LE Inputs'!$C$2:$J$505,MATCH('LE UtilityData'!P$1,'LE Inputs'!$C$1:$J$1,0),0)</f>
        <v>#N/A</v>
      </c>
      <c r="Q354" s="307">
        <f t="shared" si="45"/>
        <v>141.76749999999998</v>
      </c>
      <c r="R354" s="307">
        <f t="shared" si="45"/>
        <v>69.552499999999995</v>
      </c>
      <c r="S354" s="161">
        <f t="shared" si="45"/>
        <v>141</v>
      </c>
      <c r="T354" s="161">
        <f t="shared" si="45"/>
        <v>69.349999999999994</v>
      </c>
      <c r="U354" s="159">
        <v>4124</v>
      </c>
      <c r="V354" s="159">
        <v>1696</v>
      </c>
      <c r="W354" s="159" t="e">
        <f t="shared" si="43"/>
        <v>#DIV/0!</v>
      </c>
      <c r="X354" s="159">
        <f t="shared" si="40"/>
        <v>0</v>
      </c>
    </row>
    <row r="355" spans="1:24" x14ac:dyDescent="0.2">
      <c r="A355" s="147">
        <v>2030</v>
      </c>
      <c r="B355" s="147">
        <v>6</v>
      </c>
      <c r="E355" s="166">
        <v>17.184329454693646</v>
      </c>
      <c r="F355" s="258">
        <f t="shared" ref="F355:G370" si="46">F343*(1+0.02)</f>
        <v>16.308870496731085</v>
      </c>
      <c r="G355" s="258">
        <f t="shared" si="46"/>
        <v>14.47983460933655</v>
      </c>
      <c r="H355" s="166">
        <v>30.67</v>
      </c>
      <c r="I355" s="148">
        <v>835482.24468191026</v>
      </c>
      <c r="J355" s="181">
        <f>VLOOKUP($A355&amp;$B355,'LE Inputs'!$C$2:$J$505,MATCH('LE UtilityData'!J$1,'LE Inputs'!$C$1:$J$1,0),0)*1000</f>
        <v>1513628.2170670941</v>
      </c>
      <c r="K355" s="181">
        <v>611354.7516287606</v>
      </c>
      <c r="L355" s="157">
        <v>401710.7105104372</v>
      </c>
      <c r="M355" s="306"/>
      <c r="N355" s="150">
        <v>72846.467788140202</v>
      </c>
      <c r="O355" s="181">
        <f>VLOOKUP($A355&amp;$B355,'LE Inputs'!$C$2:$J$525,MATCH('LE UtilityData'!O$1,'LE Inputs'!$C$1:$J$1,0),0)</f>
        <v>70899.826789461629</v>
      </c>
      <c r="P355" s="181" t="e">
        <f>VLOOKUP($A355&amp;$B355,'LE Inputs'!$C$2:$J$505,MATCH('LE UtilityData'!P$1,'LE Inputs'!$C$1:$J$1,0),0)</f>
        <v>#N/A</v>
      </c>
      <c r="Q355" s="307">
        <f t="shared" ref="Q355:T370" si="47">Q343</f>
        <v>29.807499999999997</v>
      </c>
      <c r="R355" s="307">
        <f t="shared" si="47"/>
        <v>219.05749999999998</v>
      </c>
      <c r="S355" s="161">
        <f t="shared" si="47"/>
        <v>29.5</v>
      </c>
      <c r="T355" s="161">
        <f t="shared" si="47"/>
        <v>224.8</v>
      </c>
      <c r="U355" s="159">
        <v>4124</v>
      </c>
      <c r="V355" s="159">
        <v>1696</v>
      </c>
      <c r="W355" s="159" t="e">
        <f t="shared" si="43"/>
        <v>#DIV/0!</v>
      </c>
      <c r="X355" s="159">
        <f t="shared" si="40"/>
        <v>0</v>
      </c>
    </row>
    <row r="356" spans="1:24" x14ac:dyDescent="0.2">
      <c r="A356" s="147">
        <v>2030</v>
      </c>
      <c r="B356" s="147">
        <v>7</v>
      </c>
      <c r="E356" s="166">
        <v>17.184329454693646</v>
      </c>
      <c r="F356" s="258">
        <f t="shared" si="46"/>
        <v>16.308870496731085</v>
      </c>
      <c r="G356" s="258">
        <f t="shared" si="46"/>
        <v>14.47983460933655</v>
      </c>
      <c r="H356" s="166">
        <v>30.67</v>
      </c>
      <c r="I356" s="148">
        <v>835858.24468191026</v>
      </c>
      <c r="J356" s="181">
        <f>VLOOKUP($A356&amp;$B356,'LE Inputs'!$C$2:$J$505,MATCH('LE UtilityData'!J$1,'LE Inputs'!$C$1:$J$1,0),0)*1000</f>
        <v>1516664.6655985725</v>
      </c>
      <c r="K356" s="181">
        <v>612702.05142698972</v>
      </c>
      <c r="L356" s="157">
        <v>401891.49619213585</v>
      </c>
      <c r="M356" s="306"/>
      <c r="N356" s="150">
        <v>73261.250582679102</v>
      </c>
      <c r="O356" s="181">
        <f>VLOOKUP($A356&amp;$B356,'LE Inputs'!$C$2:$J$525,MATCH('LE UtilityData'!O$1,'LE Inputs'!$C$1:$J$1,0),0)</f>
        <v>71254.04489157183</v>
      </c>
      <c r="P356" s="181" t="e">
        <f>VLOOKUP($A356&amp;$B356,'LE Inputs'!$C$2:$J$505,MATCH('LE UtilityData'!P$1,'LE Inputs'!$C$1:$J$1,0),0)</f>
        <v>#N/A</v>
      </c>
      <c r="Q356" s="307">
        <f t="shared" si="47"/>
        <v>0.57250000000000001</v>
      </c>
      <c r="R356" s="307">
        <f t="shared" si="47"/>
        <v>397.17500000000001</v>
      </c>
      <c r="S356" s="161">
        <f t="shared" si="47"/>
        <v>0.55000000000000004</v>
      </c>
      <c r="T356" s="161">
        <f t="shared" si="47"/>
        <v>396.4</v>
      </c>
      <c r="U356" s="159">
        <v>4124</v>
      </c>
      <c r="V356" s="159">
        <v>1696</v>
      </c>
      <c r="W356" s="159" t="e">
        <f t="shared" si="43"/>
        <v>#DIV/0!</v>
      </c>
      <c r="X356" s="159">
        <f t="shared" si="40"/>
        <v>0</v>
      </c>
    </row>
    <row r="357" spans="1:24" x14ac:dyDescent="0.2">
      <c r="A357" s="147">
        <v>2030</v>
      </c>
      <c r="B357" s="147">
        <v>8</v>
      </c>
      <c r="E357" s="166">
        <v>17.184329454693646</v>
      </c>
      <c r="F357" s="258">
        <f t="shared" si="46"/>
        <v>16.308870496731085</v>
      </c>
      <c r="G357" s="258">
        <f t="shared" si="46"/>
        <v>14.47983460933655</v>
      </c>
      <c r="H357" s="166">
        <v>29.48</v>
      </c>
      <c r="I357" s="148">
        <v>836234.24468191026</v>
      </c>
      <c r="J357" s="181">
        <f>VLOOKUP($A357&amp;$B357,'LE Inputs'!$C$2:$J$505,MATCH('LE UtilityData'!J$1,'LE Inputs'!$C$1:$J$1,0),0)*1000</f>
        <v>1516664.6655985725</v>
      </c>
      <c r="K357" s="181">
        <v>612702.05142698972</v>
      </c>
      <c r="L357" s="157">
        <v>402072.28187383449</v>
      </c>
      <c r="M357" s="306"/>
      <c r="N357" s="150">
        <v>73261.250582679102</v>
      </c>
      <c r="O357" s="181">
        <f>VLOOKUP($A357&amp;$B357,'LE Inputs'!$C$2:$J$525,MATCH('LE UtilityData'!O$1,'LE Inputs'!$C$1:$J$1,0),0)</f>
        <v>71254.04489157183</v>
      </c>
      <c r="P357" s="181" t="e">
        <f>VLOOKUP($A357&amp;$B357,'LE Inputs'!$C$2:$J$505,MATCH('LE UtilityData'!P$1,'LE Inputs'!$C$1:$J$1,0),0)</f>
        <v>#N/A</v>
      </c>
      <c r="Q357" s="307">
        <f t="shared" si="47"/>
        <v>0.1</v>
      </c>
      <c r="R357" s="307">
        <f t="shared" si="47"/>
        <v>418.51750000000004</v>
      </c>
      <c r="S357" s="161">
        <f t="shared" si="47"/>
        <v>0.1</v>
      </c>
      <c r="T357" s="161">
        <f t="shared" si="47"/>
        <v>417.05</v>
      </c>
      <c r="U357" s="159">
        <v>4124</v>
      </c>
      <c r="V357" s="159">
        <v>1696</v>
      </c>
      <c r="W357" s="159" t="e">
        <f t="shared" si="43"/>
        <v>#DIV/0!</v>
      </c>
      <c r="X357" s="159">
        <f t="shared" si="40"/>
        <v>0</v>
      </c>
    </row>
    <row r="358" spans="1:24" x14ac:dyDescent="0.2">
      <c r="A358" s="147">
        <v>2030</v>
      </c>
      <c r="B358" s="147">
        <v>9</v>
      </c>
      <c r="E358" s="166">
        <v>17.184329454693646</v>
      </c>
      <c r="F358" s="258">
        <f t="shared" si="46"/>
        <v>16.308870496731085</v>
      </c>
      <c r="G358" s="258">
        <f t="shared" si="46"/>
        <v>14.47983460933655</v>
      </c>
      <c r="H358" s="166">
        <v>30.71</v>
      </c>
      <c r="I358" s="148">
        <v>836610.24468191026</v>
      </c>
      <c r="J358" s="181">
        <f>VLOOKUP($A358&amp;$B358,'LE Inputs'!$C$2:$J$505,MATCH('LE UtilityData'!J$1,'LE Inputs'!$C$1:$J$1,0),0)*1000</f>
        <v>1516664.6655985725</v>
      </c>
      <c r="K358" s="181">
        <v>612702.05142698972</v>
      </c>
      <c r="L358" s="157">
        <v>402253.0675555332</v>
      </c>
      <c r="M358" s="306"/>
      <c r="N358" s="150">
        <v>73261.250582679102</v>
      </c>
      <c r="O358" s="181">
        <f>VLOOKUP($A358&amp;$B358,'LE Inputs'!$C$2:$J$525,MATCH('LE UtilityData'!O$1,'LE Inputs'!$C$1:$J$1,0),0)</f>
        <v>71254.04489157183</v>
      </c>
      <c r="P358" s="181" t="e">
        <f>VLOOKUP($A358&amp;$B358,'LE Inputs'!$C$2:$J$505,MATCH('LE UtilityData'!P$1,'LE Inputs'!$C$1:$J$1,0),0)</f>
        <v>#N/A</v>
      </c>
      <c r="Q358" s="307">
        <f t="shared" si="47"/>
        <v>5.2125000000000004</v>
      </c>
      <c r="R358" s="307">
        <f t="shared" si="47"/>
        <v>326.05</v>
      </c>
      <c r="S358" s="161">
        <f t="shared" si="47"/>
        <v>5.35</v>
      </c>
      <c r="T358" s="161">
        <f t="shared" si="47"/>
        <v>330.2</v>
      </c>
      <c r="U358" s="159">
        <v>4124</v>
      </c>
      <c r="V358" s="159">
        <v>1696</v>
      </c>
      <c r="W358" s="159" t="e">
        <f t="shared" si="43"/>
        <v>#DIV/0!</v>
      </c>
      <c r="X358" s="159">
        <f t="shared" si="40"/>
        <v>0</v>
      </c>
    </row>
    <row r="359" spans="1:24" x14ac:dyDescent="0.2">
      <c r="A359" s="147">
        <v>2030</v>
      </c>
      <c r="B359" s="147">
        <v>10</v>
      </c>
      <c r="E359" s="166">
        <v>17.184329454693646</v>
      </c>
      <c r="F359" s="258">
        <f t="shared" si="46"/>
        <v>16.308870496731085</v>
      </c>
      <c r="G359" s="258">
        <f t="shared" si="46"/>
        <v>14.47983460933655</v>
      </c>
      <c r="H359" s="166">
        <v>29.52</v>
      </c>
      <c r="I359" s="148">
        <v>836986.24468191026</v>
      </c>
      <c r="J359" s="181">
        <f>VLOOKUP($A359&amp;$B359,'LE Inputs'!$C$2:$J$505,MATCH('LE UtilityData'!J$1,'LE Inputs'!$C$1:$J$1,0),0)*1000</f>
        <v>1519689.3055405493</v>
      </c>
      <c r="K359" s="181">
        <v>614036.98657838604</v>
      </c>
      <c r="L359" s="157">
        <v>402433.85323723184</v>
      </c>
      <c r="M359" s="306"/>
      <c r="N359" s="150">
        <v>73696.099448023393</v>
      </c>
      <c r="O359" s="181">
        <f>VLOOKUP($A359&amp;$B359,'LE Inputs'!$C$2:$J$525,MATCH('LE UtilityData'!O$1,'LE Inputs'!$C$1:$J$1,0),0)</f>
        <v>71614.112367434791</v>
      </c>
      <c r="P359" s="181" t="e">
        <f>VLOOKUP($A359&amp;$B359,'LE Inputs'!$C$2:$J$505,MATCH('LE UtilityData'!P$1,'LE Inputs'!$C$1:$J$1,0),0)</f>
        <v>#N/A</v>
      </c>
      <c r="Q359" s="307">
        <f t="shared" si="47"/>
        <v>99.232500000000002</v>
      </c>
      <c r="R359" s="307">
        <f t="shared" si="47"/>
        <v>97.24</v>
      </c>
      <c r="S359" s="161">
        <f t="shared" si="47"/>
        <v>99.3</v>
      </c>
      <c r="T359" s="161">
        <f t="shared" si="47"/>
        <v>100.05</v>
      </c>
      <c r="U359" s="159">
        <v>4124</v>
      </c>
      <c r="V359" s="159">
        <v>1696</v>
      </c>
      <c r="W359" s="159" t="e">
        <f t="shared" si="43"/>
        <v>#DIV/0!</v>
      </c>
      <c r="X359" s="159">
        <f t="shared" si="40"/>
        <v>0</v>
      </c>
    </row>
    <row r="360" spans="1:24" x14ac:dyDescent="0.2">
      <c r="A360" s="147">
        <v>2030</v>
      </c>
      <c r="B360" s="147">
        <v>11</v>
      </c>
      <c r="E360" s="166">
        <v>17.184329454693646</v>
      </c>
      <c r="F360" s="258">
        <f t="shared" si="46"/>
        <v>16.308870496731085</v>
      </c>
      <c r="G360" s="258">
        <f t="shared" si="46"/>
        <v>14.47983460933655</v>
      </c>
      <c r="H360" s="166">
        <v>29.38</v>
      </c>
      <c r="I360" s="148">
        <v>837362.24468191026</v>
      </c>
      <c r="J360" s="181">
        <f>VLOOKUP($A360&amp;$B360,'LE Inputs'!$C$2:$J$505,MATCH('LE UtilityData'!J$1,'LE Inputs'!$C$1:$J$1,0),0)*1000</f>
        <v>1519689.3055405493</v>
      </c>
      <c r="K360" s="181">
        <v>614036.98657838604</v>
      </c>
      <c r="L360" s="157">
        <v>402614.63891893049</v>
      </c>
      <c r="M360" s="306"/>
      <c r="N360" s="150">
        <v>73696.099448023393</v>
      </c>
      <c r="O360" s="181">
        <f>VLOOKUP($A360&amp;$B360,'LE Inputs'!$C$2:$J$525,MATCH('LE UtilityData'!O$1,'LE Inputs'!$C$1:$J$1,0),0)</f>
        <v>71614.112367434791</v>
      </c>
      <c r="P360" s="181" t="e">
        <f>VLOOKUP($A360&amp;$B360,'LE Inputs'!$C$2:$J$505,MATCH('LE UtilityData'!P$1,'LE Inputs'!$C$1:$J$1,0),0)</f>
        <v>#N/A</v>
      </c>
      <c r="Q360" s="307">
        <f t="shared" si="47"/>
        <v>353.59499999999997</v>
      </c>
      <c r="R360" s="307">
        <f t="shared" si="47"/>
        <v>11.487500000000001</v>
      </c>
      <c r="S360" s="161">
        <f t="shared" si="47"/>
        <v>352.6</v>
      </c>
      <c r="T360" s="161">
        <f t="shared" si="47"/>
        <v>12.75</v>
      </c>
      <c r="U360" s="159">
        <v>4124</v>
      </c>
      <c r="V360" s="159">
        <v>1696</v>
      </c>
      <c r="W360" s="159" t="e">
        <f t="shared" si="43"/>
        <v>#DIV/0!</v>
      </c>
      <c r="X360" s="159">
        <f t="shared" si="40"/>
        <v>0</v>
      </c>
    </row>
    <row r="361" spans="1:24" x14ac:dyDescent="0.2">
      <c r="A361" s="147">
        <v>2030</v>
      </c>
      <c r="B361" s="147">
        <v>12</v>
      </c>
      <c r="E361" s="166">
        <v>17.184329454693646</v>
      </c>
      <c r="F361" s="258">
        <f t="shared" si="46"/>
        <v>16.308870496731085</v>
      </c>
      <c r="G361" s="258">
        <f t="shared" si="46"/>
        <v>14.47983460933655</v>
      </c>
      <c r="H361" s="166">
        <v>32.049999999999997</v>
      </c>
      <c r="I361" s="148">
        <v>837738.24468191026</v>
      </c>
      <c r="J361" s="181">
        <f>VLOOKUP($A361&amp;$B361,'LE Inputs'!$C$2:$J$505,MATCH('LE UtilityData'!J$1,'LE Inputs'!$C$1:$J$1,0),0)*1000</f>
        <v>1519689.3055405493</v>
      </c>
      <c r="K361" s="181">
        <v>614036.98657838604</v>
      </c>
      <c r="L361" s="157">
        <v>402795.42460062914</v>
      </c>
      <c r="M361" s="306"/>
      <c r="N361" s="150">
        <v>73696.099448023393</v>
      </c>
      <c r="O361" s="181">
        <f>VLOOKUP($A361&amp;$B361,'LE Inputs'!$C$2:$J$525,MATCH('LE UtilityData'!O$1,'LE Inputs'!$C$1:$J$1,0),0)</f>
        <v>71614.112367434791</v>
      </c>
      <c r="P361" s="181" t="e">
        <f>VLOOKUP($A361&amp;$B361,'LE Inputs'!$C$2:$J$505,MATCH('LE UtilityData'!P$1,'LE Inputs'!$C$1:$J$1,0),0)</f>
        <v>#N/A</v>
      </c>
      <c r="Q361" s="307">
        <f t="shared" si="47"/>
        <v>667.68999999999994</v>
      </c>
      <c r="R361" s="307">
        <f t="shared" si="47"/>
        <v>1.1850000000000001</v>
      </c>
      <c r="S361" s="161">
        <f t="shared" si="47"/>
        <v>669.9</v>
      </c>
      <c r="T361" s="161">
        <f t="shared" si="47"/>
        <v>1.05</v>
      </c>
      <c r="U361" s="159">
        <v>4124</v>
      </c>
      <c r="V361" s="159">
        <v>1696</v>
      </c>
      <c r="W361" s="159" t="e">
        <f t="shared" si="43"/>
        <v>#DIV/0!</v>
      </c>
      <c r="X361" s="159">
        <f t="shared" si="40"/>
        <v>0</v>
      </c>
    </row>
    <row r="362" spans="1:24" x14ac:dyDescent="0.2">
      <c r="A362" s="147">
        <v>2031</v>
      </c>
      <c r="B362" s="147">
        <v>1</v>
      </c>
      <c r="E362" s="166">
        <v>17.61393769106099</v>
      </c>
      <c r="F362" s="258">
        <f t="shared" si="46"/>
        <v>16.635047906665708</v>
      </c>
      <c r="G362" s="258">
        <f t="shared" si="46"/>
        <v>14.76943130152328</v>
      </c>
      <c r="H362" s="166">
        <v>32.33</v>
      </c>
      <c r="I362" s="148">
        <v>838114.24468191026</v>
      </c>
      <c r="J362" s="181">
        <f>VLOOKUP($A362&amp;$B362,'LE Inputs'!$C$2:$J$505,MATCH('LE UtilityData'!J$1,'LE Inputs'!$C$1:$J$1,0),0)*1000</f>
        <v>1522706.3615677708</v>
      </c>
      <c r="K362" s="181">
        <v>615332.49350408593</v>
      </c>
      <c r="L362" s="157">
        <v>402976.21028232772</v>
      </c>
      <c r="M362" s="306"/>
      <c r="N362" s="150">
        <v>74385.334540804193</v>
      </c>
      <c r="O362" s="181">
        <f>VLOOKUP($A362&amp;$B362,'LE Inputs'!$C$2:$J$525,MATCH('LE UtilityData'!O$1,'LE Inputs'!$C$1:$J$1,0),0)</f>
        <v>73121.042039881897</v>
      </c>
      <c r="P362" s="181" t="e">
        <f>VLOOKUP($A362&amp;$B362,'LE Inputs'!$C$2:$J$505,MATCH('LE UtilityData'!P$1,'LE Inputs'!$C$1:$J$1,0),0)</f>
        <v>#N/A</v>
      </c>
      <c r="Q362" s="307">
        <f t="shared" si="47"/>
        <v>927.57249999999999</v>
      </c>
      <c r="R362" s="307">
        <f t="shared" si="47"/>
        <v>0.35</v>
      </c>
      <c r="S362" s="161">
        <f t="shared" si="47"/>
        <v>932.4</v>
      </c>
      <c r="T362" s="161">
        <f t="shared" si="47"/>
        <v>0.35</v>
      </c>
      <c r="U362" s="159">
        <v>4124</v>
      </c>
      <c r="V362" s="159">
        <v>1696</v>
      </c>
      <c r="W362" s="159" t="e">
        <f t="shared" si="43"/>
        <v>#DIV/0!</v>
      </c>
      <c r="X362" s="159">
        <f t="shared" si="40"/>
        <v>0</v>
      </c>
    </row>
    <row r="363" spans="1:24" x14ac:dyDescent="0.2">
      <c r="A363" s="147">
        <v>2031</v>
      </c>
      <c r="B363" s="147">
        <v>2</v>
      </c>
      <c r="E363" s="166">
        <v>17.61393769106099</v>
      </c>
      <c r="F363" s="258">
        <f t="shared" si="46"/>
        <v>16.635047906665708</v>
      </c>
      <c r="G363" s="258">
        <f t="shared" si="46"/>
        <v>14.76943130152328</v>
      </c>
      <c r="H363" s="166">
        <v>30.05</v>
      </c>
      <c r="I363" s="148">
        <v>838490.24468191026</v>
      </c>
      <c r="J363" s="181">
        <f>VLOOKUP($A363&amp;$B363,'LE Inputs'!$C$2:$J$505,MATCH('LE UtilityData'!J$1,'LE Inputs'!$C$1:$J$1,0),0)*1000</f>
        <v>1522706.3615677708</v>
      </c>
      <c r="K363" s="181">
        <v>615332.49350408593</v>
      </c>
      <c r="L363" s="157">
        <v>403156.99596402631</v>
      </c>
      <c r="M363" s="306"/>
      <c r="N363" s="150">
        <v>74385.334540804193</v>
      </c>
      <c r="O363" s="181">
        <f>VLOOKUP($A363&amp;$B363,'LE Inputs'!$C$2:$J$525,MATCH('LE UtilityData'!O$1,'LE Inputs'!$C$1:$J$1,0),0)</f>
        <v>73121.042039881897</v>
      </c>
      <c r="P363" s="181" t="e">
        <f>VLOOKUP($A363&amp;$B363,'LE Inputs'!$C$2:$J$505,MATCH('LE UtilityData'!P$1,'LE Inputs'!$C$1:$J$1,0),0)</f>
        <v>#N/A</v>
      </c>
      <c r="Q363" s="307">
        <f t="shared" si="47"/>
        <v>858.35750000000007</v>
      </c>
      <c r="R363" s="307">
        <f t="shared" si="47"/>
        <v>0.05</v>
      </c>
      <c r="S363" s="161">
        <f t="shared" si="47"/>
        <v>864.1</v>
      </c>
      <c r="T363" s="161">
        <f t="shared" si="47"/>
        <v>0.05</v>
      </c>
      <c r="U363" s="159">
        <v>4124</v>
      </c>
      <c r="V363" s="159">
        <v>1696</v>
      </c>
      <c r="W363" s="159" t="e">
        <f t="shared" si="43"/>
        <v>#DIV/0!</v>
      </c>
      <c r="X363" s="159">
        <f t="shared" si="40"/>
        <v>0</v>
      </c>
    </row>
    <row r="364" spans="1:24" x14ac:dyDescent="0.2">
      <c r="A364" s="147">
        <v>2031</v>
      </c>
      <c r="B364" s="147">
        <v>3</v>
      </c>
      <c r="E364" s="166">
        <v>17.61393769106099</v>
      </c>
      <c r="F364" s="258">
        <f t="shared" si="46"/>
        <v>16.635047906665708</v>
      </c>
      <c r="G364" s="258">
        <f t="shared" si="46"/>
        <v>14.76943130152328</v>
      </c>
      <c r="H364" s="166">
        <v>30.19</v>
      </c>
      <c r="I364" s="148">
        <v>838866.24468191026</v>
      </c>
      <c r="J364" s="181">
        <f>VLOOKUP($A364&amp;$B364,'LE Inputs'!$C$2:$J$505,MATCH('LE UtilityData'!J$1,'LE Inputs'!$C$1:$J$1,0),0)*1000</f>
        <v>1522706.3615677708</v>
      </c>
      <c r="K364" s="181">
        <v>615332.49350408593</v>
      </c>
      <c r="L364" s="157">
        <v>403337.78164572496</v>
      </c>
      <c r="M364" s="306"/>
      <c r="N364" s="150">
        <v>74385.334540804193</v>
      </c>
      <c r="O364" s="181">
        <f>VLOOKUP($A364&amp;$B364,'LE Inputs'!$C$2:$J$525,MATCH('LE UtilityData'!O$1,'LE Inputs'!$C$1:$J$1,0),0)</f>
        <v>73121.042039881897</v>
      </c>
      <c r="P364" s="181" t="e">
        <f>VLOOKUP($A364&amp;$B364,'LE Inputs'!$C$2:$J$505,MATCH('LE UtilityData'!P$1,'LE Inputs'!$C$1:$J$1,0),0)</f>
        <v>#N/A</v>
      </c>
      <c r="Q364" s="307">
        <f t="shared" si="47"/>
        <v>666.12749999999994</v>
      </c>
      <c r="R364" s="307">
        <f t="shared" si="47"/>
        <v>2.0225</v>
      </c>
      <c r="S364" s="161">
        <f t="shared" si="47"/>
        <v>674.3</v>
      </c>
      <c r="T364" s="161">
        <f t="shared" si="47"/>
        <v>1.1499999999999999</v>
      </c>
      <c r="U364" s="159">
        <v>4124</v>
      </c>
      <c r="V364" s="159">
        <v>1696</v>
      </c>
      <c r="W364" s="159" t="e">
        <f t="shared" si="43"/>
        <v>#DIV/0!</v>
      </c>
      <c r="X364" s="159">
        <f t="shared" si="40"/>
        <v>0</v>
      </c>
    </row>
    <row r="365" spans="1:24" x14ac:dyDescent="0.2">
      <c r="A365" s="147">
        <v>2031</v>
      </c>
      <c r="B365" s="147">
        <v>4</v>
      </c>
      <c r="E365" s="166">
        <v>17.61393769106099</v>
      </c>
      <c r="F365" s="258">
        <f t="shared" si="46"/>
        <v>16.635047906665708</v>
      </c>
      <c r="G365" s="258">
        <f t="shared" si="46"/>
        <v>14.76943130152328</v>
      </c>
      <c r="H365" s="166">
        <v>30.33</v>
      </c>
      <c r="I365" s="148">
        <v>839242.24468191026</v>
      </c>
      <c r="J365" s="181">
        <f>VLOOKUP($A365&amp;$B365,'LE Inputs'!$C$2:$J$505,MATCH('LE UtilityData'!J$1,'LE Inputs'!$C$1:$J$1,0),0)*1000</f>
        <v>1525717.5629361912</v>
      </c>
      <c r="K365" s="181">
        <v>616638.5398831385</v>
      </c>
      <c r="L365" s="157">
        <v>403518.56732742355</v>
      </c>
      <c r="M365" s="306"/>
      <c r="N365" s="150">
        <v>74850.764891557599</v>
      </c>
      <c r="O365" s="181">
        <f>VLOOKUP($A365&amp;$B365,'LE Inputs'!$C$2:$J$525,MATCH('LE UtilityData'!O$1,'LE Inputs'!$C$1:$J$1,0),0)</f>
        <v>73531.923205578772</v>
      </c>
      <c r="P365" s="181" t="e">
        <f>VLOOKUP($A365&amp;$B365,'LE Inputs'!$C$2:$J$505,MATCH('LE UtilityData'!P$1,'LE Inputs'!$C$1:$J$1,0),0)</f>
        <v>#N/A</v>
      </c>
      <c r="Q365" s="307">
        <f t="shared" si="47"/>
        <v>370.83499999999998</v>
      </c>
      <c r="R365" s="307">
        <f t="shared" si="47"/>
        <v>22.565000000000001</v>
      </c>
      <c r="S365" s="161">
        <f t="shared" si="47"/>
        <v>377.1</v>
      </c>
      <c r="T365" s="161">
        <f t="shared" si="47"/>
        <v>20.25</v>
      </c>
      <c r="U365" s="159">
        <v>4124</v>
      </c>
      <c r="V365" s="159">
        <v>1696</v>
      </c>
      <c r="W365" s="159" t="e">
        <f t="shared" si="43"/>
        <v>#DIV/0!</v>
      </c>
      <c r="X365" s="159">
        <f t="shared" si="40"/>
        <v>0</v>
      </c>
    </row>
    <row r="366" spans="1:24" x14ac:dyDescent="0.2">
      <c r="A366" s="147">
        <v>2031</v>
      </c>
      <c r="B366" s="147">
        <v>5</v>
      </c>
      <c r="E366" s="166">
        <v>17.61393769106099</v>
      </c>
      <c r="F366" s="258">
        <f t="shared" si="46"/>
        <v>16.635047906665708</v>
      </c>
      <c r="G366" s="258">
        <f t="shared" si="46"/>
        <v>14.76943130152328</v>
      </c>
      <c r="H366" s="166">
        <v>30.14</v>
      </c>
      <c r="I366" s="148">
        <v>839618.24468191026</v>
      </c>
      <c r="J366" s="181">
        <f>VLOOKUP($A366&amp;$B366,'LE Inputs'!$C$2:$J$505,MATCH('LE UtilityData'!J$1,'LE Inputs'!$C$1:$J$1,0),0)*1000</f>
        <v>1525717.5629361912</v>
      </c>
      <c r="K366" s="181">
        <v>616638.5398831385</v>
      </c>
      <c r="L366" s="157">
        <v>403699.35300912219</v>
      </c>
      <c r="M366" s="306"/>
      <c r="N366" s="150">
        <v>74850.764891557599</v>
      </c>
      <c r="O366" s="181">
        <f>VLOOKUP($A366&amp;$B366,'LE Inputs'!$C$2:$J$525,MATCH('LE UtilityData'!O$1,'LE Inputs'!$C$1:$J$1,0),0)</f>
        <v>73531.923205578772</v>
      </c>
      <c r="P366" s="181" t="e">
        <f>VLOOKUP($A366&amp;$B366,'LE Inputs'!$C$2:$J$505,MATCH('LE UtilityData'!P$1,'LE Inputs'!$C$1:$J$1,0),0)</f>
        <v>#N/A</v>
      </c>
      <c r="Q366" s="307">
        <f t="shared" si="47"/>
        <v>141.76749999999998</v>
      </c>
      <c r="R366" s="307">
        <f t="shared" si="47"/>
        <v>69.552499999999995</v>
      </c>
      <c r="S366" s="161">
        <f t="shared" si="47"/>
        <v>141</v>
      </c>
      <c r="T366" s="161">
        <f t="shared" si="47"/>
        <v>69.349999999999994</v>
      </c>
      <c r="U366" s="159">
        <v>4124</v>
      </c>
      <c r="V366" s="159">
        <v>1696</v>
      </c>
      <c r="W366" s="159" t="e">
        <f t="shared" si="43"/>
        <v>#DIV/0!</v>
      </c>
      <c r="X366" s="159">
        <f t="shared" si="40"/>
        <v>0</v>
      </c>
    </row>
    <row r="367" spans="1:24" x14ac:dyDescent="0.2">
      <c r="A367" s="147">
        <v>2031</v>
      </c>
      <c r="B367" s="147">
        <v>6</v>
      </c>
      <c r="E367" s="166">
        <v>17.61393769106099</v>
      </c>
      <c r="F367" s="258">
        <f t="shared" si="46"/>
        <v>16.635047906665708</v>
      </c>
      <c r="G367" s="258">
        <f t="shared" si="46"/>
        <v>14.76943130152328</v>
      </c>
      <c r="H367" s="166">
        <v>30.52</v>
      </c>
      <c r="I367" s="148">
        <v>840000.04236606951</v>
      </c>
      <c r="J367" s="181">
        <f>VLOOKUP($A367&amp;$B367,'LE Inputs'!$C$2:$J$505,MATCH('LE UtilityData'!J$1,'LE Inputs'!$C$1:$J$1,0),0)*1000</f>
        <v>1525717.5629361912</v>
      </c>
      <c r="K367" s="181">
        <v>616638.5398831385</v>
      </c>
      <c r="L367" s="157">
        <v>403882.92629263736</v>
      </c>
      <c r="M367" s="306"/>
      <c r="N367" s="150">
        <v>74850.764891557599</v>
      </c>
      <c r="O367" s="181">
        <f>VLOOKUP($A367&amp;$B367,'LE Inputs'!$C$2:$J$525,MATCH('LE UtilityData'!O$1,'LE Inputs'!$C$1:$J$1,0),0)</f>
        <v>73531.923205578772</v>
      </c>
      <c r="P367" s="181" t="e">
        <f>VLOOKUP($A367&amp;$B367,'LE Inputs'!$C$2:$J$505,MATCH('LE UtilityData'!P$1,'LE Inputs'!$C$1:$J$1,0),0)</f>
        <v>#N/A</v>
      </c>
      <c r="Q367" s="307">
        <f t="shared" si="47"/>
        <v>29.807499999999997</v>
      </c>
      <c r="R367" s="307">
        <f t="shared" si="47"/>
        <v>219.05749999999998</v>
      </c>
      <c r="S367" s="161">
        <f t="shared" si="47"/>
        <v>29.5</v>
      </c>
      <c r="T367" s="161">
        <f t="shared" si="47"/>
        <v>224.8</v>
      </c>
      <c r="U367" s="159">
        <v>4124</v>
      </c>
      <c r="V367" s="159">
        <v>1696</v>
      </c>
      <c r="W367" s="159" t="e">
        <f t="shared" si="43"/>
        <v>#DIV/0!</v>
      </c>
      <c r="X367" s="159">
        <f t="shared" si="40"/>
        <v>0</v>
      </c>
    </row>
    <row r="368" spans="1:24" x14ac:dyDescent="0.2">
      <c r="A368" s="147">
        <v>2031</v>
      </c>
      <c r="B368" s="147">
        <v>7</v>
      </c>
      <c r="E368" s="166">
        <v>17.61393769106099</v>
      </c>
      <c r="F368" s="258">
        <f t="shared" si="46"/>
        <v>16.635047906665708</v>
      </c>
      <c r="G368" s="258">
        <f t="shared" si="46"/>
        <v>14.76943130152328</v>
      </c>
      <c r="H368" s="166">
        <v>30.67</v>
      </c>
      <c r="I368" s="148">
        <v>840367.04236606951</v>
      </c>
      <c r="J368" s="181">
        <f>VLOOKUP($A368&amp;$B368,'LE Inputs'!$C$2:$J$505,MATCH('LE UtilityData'!J$1,'LE Inputs'!$C$1:$J$1,0),0)*1000</f>
        <v>1528191.1768049849</v>
      </c>
      <c r="K368" s="181">
        <v>617739.89758699783</v>
      </c>
      <c r="L368" s="157">
        <v>404059.38465748681</v>
      </c>
      <c r="M368" s="306"/>
      <c r="N368" s="150">
        <v>75324.334601894298</v>
      </c>
      <c r="O368" s="181">
        <f>VLOOKUP($A368&amp;$B368,'LE Inputs'!$C$2:$J$525,MATCH('LE UtilityData'!O$1,'LE Inputs'!$C$1:$J$1,0),0)</f>
        <v>73924.386931906716</v>
      </c>
      <c r="P368" s="181" t="e">
        <f>VLOOKUP($A368&amp;$B368,'LE Inputs'!$C$2:$J$505,MATCH('LE UtilityData'!P$1,'LE Inputs'!$C$1:$J$1,0),0)</f>
        <v>#N/A</v>
      </c>
      <c r="Q368" s="307">
        <f t="shared" si="47"/>
        <v>0.57250000000000001</v>
      </c>
      <c r="R368" s="307">
        <f t="shared" si="47"/>
        <v>397.17500000000001</v>
      </c>
      <c r="S368" s="161">
        <f t="shared" si="47"/>
        <v>0.55000000000000004</v>
      </c>
      <c r="T368" s="161">
        <f t="shared" si="47"/>
        <v>396.4</v>
      </c>
      <c r="U368" s="159">
        <v>4124</v>
      </c>
      <c r="V368" s="159">
        <v>1696</v>
      </c>
      <c r="W368" s="159" t="e">
        <f t="shared" si="43"/>
        <v>#DIV/0!</v>
      </c>
      <c r="X368" s="159">
        <f t="shared" si="40"/>
        <v>0</v>
      </c>
    </row>
    <row r="369" spans="1:24" x14ac:dyDescent="0.2">
      <c r="A369" s="147">
        <v>2031</v>
      </c>
      <c r="B369" s="147">
        <v>8</v>
      </c>
      <c r="E369" s="166">
        <v>17.61393769106099</v>
      </c>
      <c r="F369" s="258">
        <f t="shared" si="46"/>
        <v>16.635047906665708</v>
      </c>
      <c r="G369" s="258">
        <f t="shared" si="46"/>
        <v>14.76943130152328</v>
      </c>
      <c r="H369" s="166">
        <v>29.48</v>
      </c>
      <c r="I369" s="148">
        <v>840734.04236606951</v>
      </c>
      <c r="J369" s="181">
        <f>VLOOKUP($A369&amp;$B369,'LE Inputs'!$C$2:$J$505,MATCH('LE UtilityData'!J$1,'LE Inputs'!$C$1:$J$1,0),0)*1000</f>
        <v>1528191.1768049849</v>
      </c>
      <c r="K369" s="181">
        <v>617739.89758699783</v>
      </c>
      <c r="L369" s="157">
        <v>404235.84302233631</v>
      </c>
      <c r="M369" s="306"/>
      <c r="N369" s="150">
        <v>75324.334601894298</v>
      </c>
      <c r="O369" s="181">
        <f>VLOOKUP($A369&amp;$B369,'LE Inputs'!$C$2:$J$525,MATCH('LE UtilityData'!O$1,'LE Inputs'!$C$1:$J$1,0),0)</f>
        <v>73924.386931906716</v>
      </c>
      <c r="P369" s="181" t="e">
        <f>VLOOKUP($A369&amp;$B369,'LE Inputs'!$C$2:$J$505,MATCH('LE UtilityData'!P$1,'LE Inputs'!$C$1:$J$1,0),0)</f>
        <v>#N/A</v>
      </c>
      <c r="Q369" s="307">
        <f t="shared" si="47"/>
        <v>0.1</v>
      </c>
      <c r="R369" s="307">
        <f t="shared" si="47"/>
        <v>418.51750000000004</v>
      </c>
      <c r="S369" s="161">
        <f t="shared" si="47"/>
        <v>0.1</v>
      </c>
      <c r="T369" s="161">
        <f t="shared" si="47"/>
        <v>417.05</v>
      </c>
      <c r="U369" s="159">
        <v>4124</v>
      </c>
      <c r="V369" s="159">
        <v>1696</v>
      </c>
      <c r="W369" s="159" t="e">
        <f t="shared" si="43"/>
        <v>#DIV/0!</v>
      </c>
      <c r="X369" s="159">
        <f t="shared" si="40"/>
        <v>0</v>
      </c>
    </row>
    <row r="370" spans="1:24" x14ac:dyDescent="0.2">
      <c r="A370" s="147">
        <v>2031</v>
      </c>
      <c r="B370" s="147">
        <v>9</v>
      </c>
      <c r="E370" s="166">
        <v>17.61393769106099</v>
      </c>
      <c r="F370" s="258">
        <f t="shared" si="46"/>
        <v>16.635047906665708</v>
      </c>
      <c r="G370" s="258">
        <f t="shared" si="46"/>
        <v>14.76943130152328</v>
      </c>
      <c r="H370" s="166">
        <v>30.86</v>
      </c>
      <c r="I370" s="148">
        <v>841101.04236606951</v>
      </c>
      <c r="J370" s="181">
        <f>VLOOKUP($A370&amp;$B370,'LE Inputs'!$C$2:$J$505,MATCH('LE UtilityData'!J$1,'LE Inputs'!$C$1:$J$1,0),0)*1000</f>
        <v>1528191.1768049849</v>
      </c>
      <c r="K370" s="181">
        <v>617739.89758699783</v>
      </c>
      <c r="L370" s="157">
        <v>404412.30138718581</v>
      </c>
      <c r="M370" s="306"/>
      <c r="N370" s="150">
        <v>75324.334601894298</v>
      </c>
      <c r="O370" s="181">
        <f>VLOOKUP($A370&amp;$B370,'LE Inputs'!$C$2:$J$525,MATCH('LE UtilityData'!O$1,'LE Inputs'!$C$1:$J$1,0),0)</f>
        <v>73924.386931906716</v>
      </c>
      <c r="P370" s="181" t="e">
        <f>VLOOKUP($A370&amp;$B370,'LE Inputs'!$C$2:$J$505,MATCH('LE UtilityData'!P$1,'LE Inputs'!$C$1:$J$1,0),0)</f>
        <v>#N/A</v>
      </c>
      <c r="Q370" s="307">
        <f t="shared" si="47"/>
        <v>5.2125000000000004</v>
      </c>
      <c r="R370" s="307">
        <f t="shared" si="47"/>
        <v>326.05</v>
      </c>
      <c r="S370" s="161">
        <f t="shared" si="47"/>
        <v>5.35</v>
      </c>
      <c r="T370" s="161">
        <f t="shared" si="47"/>
        <v>330.2</v>
      </c>
      <c r="U370" s="159">
        <v>4124</v>
      </c>
      <c r="V370" s="159">
        <v>1696</v>
      </c>
      <c r="W370" s="159" t="e">
        <f t="shared" si="43"/>
        <v>#DIV/0!</v>
      </c>
      <c r="X370" s="159">
        <f t="shared" si="40"/>
        <v>0</v>
      </c>
    </row>
    <row r="371" spans="1:24" x14ac:dyDescent="0.2">
      <c r="A371" s="147">
        <v>2031</v>
      </c>
      <c r="B371" s="147">
        <v>10</v>
      </c>
      <c r="E371" s="166">
        <v>17.61393769106099</v>
      </c>
      <c r="F371" s="258">
        <f t="shared" ref="F371:G386" si="48">F359*(1+0.02)</f>
        <v>16.635047906665708</v>
      </c>
      <c r="G371" s="258">
        <f t="shared" si="48"/>
        <v>14.76943130152328</v>
      </c>
      <c r="H371" s="166">
        <v>29.38</v>
      </c>
      <c r="I371" s="148">
        <v>841468.04236606951</v>
      </c>
      <c r="J371" s="181">
        <f>VLOOKUP($A371&amp;$B371,'LE Inputs'!$C$2:$J$505,MATCH('LE UtilityData'!J$1,'LE Inputs'!$C$1:$J$1,0),0)*1000</f>
        <v>1531184.6149018744</v>
      </c>
      <c r="K371" s="181">
        <v>619045.03095209063</v>
      </c>
      <c r="L371" s="157">
        <v>404588.75975203526</v>
      </c>
      <c r="M371" s="306"/>
      <c r="N371" s="150">
        <v>75775.0339438792</v>
      </c>
      <c r="O371" s="181">
        <f>VLOOKUP($A371&amp;$B371,'LE Inputs'!$C$2:$J$525,MATCH('LE UtilityData'!O$1,'LE Inputs'!$C$1:$J$1,0),0)</f>
        <v>74141.051477448287</v>
      </c>
      <c r="P371" s="181" t="e">
        <f>VLOOKUP($A371&amp;$B371,'LE Inputs'!$C$2:$J$505,MATCH('LE UtilityData'!P$1,'LE Inputs'!$C$1:$J$1,0),0)</f>
        <v>#N/A</v>
      </c>
      <c r="Q371" s="307">
        <f t="shared" ref="Q371:T386" si="49">Q359</f>
        <v>99.232500000000002</v>
      </c>
      <c r="R371" s="307">
        <f t="shared" si="49"/>
        <v>97.24</v>
      </c>
      <c r="S371" s="161">
        <f t="shared" si="49"/>
        <v>99.3</v>
      </c>
      <c r="T371" s="161">
        <f t="shared" si="49"/>
        <v>100.05</v>
      </c>
      <c r="U371" s="159">
        <v>4124</v>
      </c>
      <c r="V371" s="159">
        <v>1696</v>
      </c>
      <c r="W371" s="159" t="e">
        <f t="shared" si="43"/>
        <v>#DIV/0!</v>
      </c>
      <c r="X371" s="159">
        <f t="shared" si="40"/>
        <v>0</v>
      </c>
    </row>
    <row r="372" spans="1:24" x14ac:dyDescent="0.2">
      <c r="A372" s="147">
        <v>2031</v>
      </c>
      <c r="B372" s="147">
        <v>11</v>
      </c>
      <c r="E372" s="166">
        <v>17.61393769106099</v>
      </c>
      <c r="F372" s="258">
        <f t="shared" si="48"/>
        <v>16.635047906665708</v>
      </c>
      <c r="G372" s="258">
        <f t="shared" si="48"/>
        <v>14.76943130152328</v>
      </c>
      <c r="H372" s="166">
        <v>29.57</v>
      </c>
      <c r="I372" s="148">
        <v>841835.04236606951</v>
      </c>
      <c r="J372" s="181">
        <f>VLOOKUP($A372&amp;$B372,'LE Inputs'!$C$2:$J$505,MATCH('LE UtilityData'!J$1,'LE Inputs'!$C$1:$J$1,0),0)*1000</f>
        <v>1531184.6149018744</v>
      </c>
      <c r="K372" s="181">
        <v>619045.03095209063</v>
      </c>
      <c r="L372" s="157">
        <v>404765.2181168847</v>
      </c>
      <c r="M372" s="306"/>
      <c r="N372" s="150">
        <v>75775.0339438792</v>
      </c>
      <c r="O372" s="181">
        <f>VLOOKUP($A372&amp;$B372,'LE Inputs'!$C$2:$J$525,MATCH('LE UtilityData'!O$1,'LE Inputs'!$C$1:$J$1,0),0)</f>
        <v>74141.051477448287</v>
      </c>
      <c r="P372" s="181" t="e">
        <f>VLOOKUP($A372&amp;$B372,'LE Inputs'!$C$2:$J$505,MATCH('LE UtilityData'!P$1,'LE Inputs'!$C$1:$J$1,0),0)</f>
        <v>#N/A</v>
      </c>
      <c r="Q372" s="307">
        <f t="shared" si="49"/>
        <v>353.59499999999997</v>
      </c>
      <c r="R372" s="307">
        <f t="shared" si="49"/>
        <v>11.487500000000001</v>
      </c>
      <c r="S372" s="161">
        <f t="shared" si="49"/>
        <v>352.6</v>
      </c>
      <c r="T372" s="161">
        <f t="shared" si="49"/>
        <v>12.75</v>
      </c>
      <c r="U372" s="159">
        <v>4124</v>
      </c>
      <c r="V372" s="159">
        <v>1696</v>
      </c>
      <c r="W372" s="159" t="e">
        <f t="shared" si="43"/>
        <v>#DIV/0!</v>
      </c>
      <c r="X372" s="159">
        <f t="shared" si="40"/>
        <v>0</v>
      </c>
    </row>
    <row r="373" spans="1:24" x14ac:dyDescent="0.2">
      <c r="A373" s="147">
        <v>2031</v>
      </c>
      <c r="B373" s="147">
        <v>12</v>
      </c>
      <c r="E373" s="166">
        <v>17.61393769106099</v>
      </c>
      <c r="F373" s="258">
        <f t="shared" si="48"/>
        <v>16.635047906665708</v>
      </c>
      <c r="G373" s="258">
        <f t="shared" si="48"/>
        <v>14.76943130152328</v>
      </c>
      <c r="H373" s="166">
        <v>31.81</v>
      </c>
      <c r="I373" s="148">
        <v>842202.04236606951</v>
      </c>
      <c r="J373" s="181">
        <f>VLOOKUP($A373&amp;$B373,'LE Inputs'!$C$2:$J$505,MATCH('LE UtilityData'!J$1,'LE Inputs'!$C$1:$J$1,0),0)*1000</f>
        <v>1531184.6149018744</v>
      </c>
      <c r="K373" s="181">
        <v>619045.03095209063</v>
      </c>
      <c r="L373" s="157">
        <v>404941.67648173415</v>
      </c>
      <c r="M373" s="306"/>
      <c r="N373" s="150">
        <v>75775.0339438792</v>
      </c>
      <c r="O373" s="181">
        <f>VLOOKUP($A373&amp;$B373,'LE Inputs'!$C$2:$J$525,MATCH('LE UtilityData'!O$1,'LE Inputs'!$C$1:$J$1,0),0)</f>
        <v>74141.051477448287</v>
      </c>
      <c r="P373" s="181" t="e">
        <f>VLOOKUP($A373&amp;$B373,'LE Inputs'!$C$2:$J$505,MATCH('LE UtilityData'!P$1,'LE Inputs'!$C$1:$J$1,0),0)</f>
        <v>#N/A</v>
      </c>
      <c r="Q373" s="307">
        <f t="shared" si="49"/>
        <v>667.68999999999994</v>
      </c>
      <c r="R373" s="307">
        <f t="shared" si="49"/>
        <v>1.1850000000000001</v>
      </c>
      <c r="S373" s="161">
        <f t="shared" si="49"/>
        <v>669.9</v>
      </c>
      <c r="T373" s="161">
        <f t="shared" si="49"/>
        <v>1.05</v>
      </c>
      <c r="U373" s="159">
        <v>4124</v>
      </c>
      <c r="V373" s="159">
        <v>1696</v>
      </c>
      <c r="W373" s="159" t="e">
        <f t="shared" si="43"/>
        <v>#DIV/0!</v>
      </c>
      <c r="X373" s="159">
        <f t="shared" si="40"/>
        <v>0</v>
      </c>
    </row>
    <row r="374" spans="1:24" x14ac:dyDescent="0.2">
      <c r="A374" s="147">
        <v>2032</v>
      </c>
      <c r="B374" s="147">
        <v>1</v>
      </c>
      <c r="E374" s="166">
        <v>18.054286133337509</v>
      </c>
      <c r="F374" s="258">
        <f t="shared" si="48"/>
        <v>16.967748864799024</v>
      </c>
      <c r="G374" s="258">
        <f t="shared" si="48"/>
        <v>15.064819927553746</v>
      </c>
      <c r="H374" s="166">
        <v>32.380000000000003</v>
      </c>
      <c r="I374" s="148">
        <v>842569.04236606951</v>
      </c>
      <c r="J374" s="181">
        <f>VLOOKUP($A374&amp;$B374,'LE Inputs'!$C$2:$J$505,MATCH('LE UtilityData'!J$1,'LE Inputs'!$C$1:$J$1,0),0)*1000</f>
        <v>1534173.2396647716</v>
      </c>
      <c r="K374" s="181">
        <v>620339.44280688954</v>
      </c>
      <c r="L374" s="157">
        <v>405118.13484658365</v>
      </c>
      <c r="M374" s="306"/>
      <c r="N374" s="150">
        <v>76380.055581651599</v>
      </c>
      <c r="O374" s="181">
        <f>VLOOKUP($A374&amp;$B374,'LE Inputs'!$C$2:$J$525,MATCH('LE UtilityData'!O$1,'LE Inputs'!$C$1:$J$1,0),0)</f>
        <v>74737.790347546572</v>
      </c>
      <c r="P374" s="181" t="e">
        <f>VLOOKUP($A374&amp;$B374,'LE Inputs'!$C$2:$J$505,MATCH('LE UtilityData'!P$1,'LE Inputs'!$C$1:$J$1,0),0)</f>
        <v>#N/A</v>
      </c>
      <c r="Q374" s="307">
        <f t="shared" si="49"/>
        <v>927.57249999999999</v>
      </c>
      <c r="R374" s="307">
        <f t="shared" si="49"/>
        <v>0.35</v>
      </c>
      <c r="S374" s="161">
        <f t="shared" si="49"/>
        <v>932.4</v>
      </c>
      <c r="T374" s="161">
        <f t="shared" si="49"/>
        <v>0.35</v>
      </c>
      <c r="U374" s="159">
        <v>4124</v>
      </c>
      <c r="V374" s="159">
        <v>1696</v>
      </c>
      <c r="W374" s="159" t="e">
        <f t="shared" si="43"/>
        <v>#DIV/0!</v>
      </c>
      <c r="X374" s="159">
        <f t="shared" si="40"/>
        <v>0</v>
      </c>
    </row>
    <row r="375" spans="1:24" x14ac:dyDescent="0.2">
      <c r="A375" s="147">
        <v>2032</v>
      </c>
      <c r="B375" s="147">
        <v>2</v>
      </c>
      <c r="E375" s="166">
        <v>18.054286133337509</v>
      </c>
      <c r="F375" s="258">
        <f t="shared" si="48"/>
        <v>16.967748864799024</v>
      </c>
      <c r="G375" s="258">
        <f t="shared" si="48"/>
        <v>15.064819927553746</v>
      </c>
      <c r="H375" s="166">
        <v>30.19</v>
      </c>
      <c r="I375" s="148">
        <v>842936.04236606951</v>
      </c>
      <c r="J375" s="181">
        <f>VLOOKUP($A375&amp;$B375,'LE Inputs'!$C$2:$J$505,MATCH('LE UtilityData'!J$1,'LE Inputs'!$C$1:$J$1,0),0)*1000</f>
        <v>1534173.2396647716</v>
      </c>
      <c r="K375" s="181">
        <v>620339.44280688954</v>
      </c>
      <c r="L375" s="157">
        <v>405294.59321143315</v>
      </c>
      <c r="M375" s="306"/>
      <c r="N375" s="150">
        <v>76380.055581651599</v>
      </c>
      <c r="O375" s="181">
        <f>VLOOKUP($A375&amp;$B375,'LE Inputs'!$C$2:$J$525,MATCH('LE UtilityData'!O$1,'LE Inputs'!$C$1:$J$1,0),0)</f>
        <v>74737.790347546572</v>
      </c>
      <c r="P375" s="181" t="e">
        <f>VLOOKUP($A375&amp;$B375,'LE Inputs'!$C$2:$J$505,MATCH('LE UtilityData'!P$1,'LE Inputs'!$C$1:$J$1,0),0)</f>
        <v>#N/A</v>
      </c>
      <c r="Q375" s="307">
        <f t="shared" si="49"/>
        <v>858.35750000000007</v>
      </c>
      <c r="R375" s="307">
        <f t="shared" si="49"/>
        <v>0.05</v>
      </c>
      <c r="S375" s="161">
        <f t="shared" si="49"/>
        <v>864.1</v>
      </c>
      <c r="T375" s="161">
        <f t="shared" si="49"/>
        <v>0.05</v>
      </c>
      <c r="U375" s="159">
        <v>4124</v>
      </c>
      <c r="V375" s="159">
        <v>1696</v>
      </c>
      <c r="W375" s="159" t="e">
        <f t="shared" si="43"/>
        <v>#DIV/0!</v>
      </c>
      <c r="X375" s="159">
        <f t="shared" si="40"/>
        <v>0</v>
      </c>
    </row>
    <row r="376" spans="1:24" x14ac:dyDescent="0.2">
      <c r="A376" s="147">
        <v>2032</v>
      </c>
      <c r="B376" s="147">
        <v>3</v>
      </c>
      <c r="E376" s="166">
        <v>18.054286133337509</v>
      </c>
      <c r="F376" s="258">
        <f t="shared" si="48"/>
        <v>16.967748864799024</v>
      </c>
      <c r="G376" s="258">
        <f t="shared" si="48"/>
        <v>15.064819927553746</v>
      </c>
      <c r="H376" s="166">
        <v>30.33</v>
      </c>
      <c r="I376" s="148">
        <v>843303.04236606951</v>
      </c>
      <c r="J376" s="181">
        <f>VLOOKUP($A376&amp;$B376,'LE Inputs'!$C$2:$J$505,MATCH('LE UtilityData'!J$1,'LE Inputs'!$C$1:$J$1,0),0)*1000</f>
        <v>1534173.2396647716</v>
      </c>
      <c r="K376" s="181">
        <v>620339.44280688954</v>
      </c>
      <c r="L376" s="157">
        <v>405471.05157628265</v>
      </c>
      <c r="M376" s="306"/>
      <c r="N376" s="150">
        <v>76380.055581651599</v>
      </c>
      <c r="O376" s="181">
        <f>VLOOKUP($A376&amp;$B376,'LE Inputs'!$C$2:$J$525,MATCH('LE UtilityData'!O$1,'LE Inputs'!$C$1:$J$1,0),0)</f>
        <v>74737.790347546572</v>
      </c>
      <c r="P376" s="181" t="e">
        <f>VLOOKUP($A376&amp;$B376,'LE Inputs'!$C$2:$J$505,MATCH('LE UtilityData'!P$1,'LE Inputs'!$C$1:$J$1,0),0)</f>
        <v>#N/A</v>
      </c>
      <c r="Q376" s="307">
        <f t="shared" si="49"/>
        <v>666.12749999999994</v>
      </c>
      <c r="R376" s="307">
        <f t="shared" si="49"/>
        <v>2.0225</v>
      </c>
      <c r="S376" s="161">
        <f t="shared" si="49"/>
        <v>674.3</v>
      </c>
      <c r="T376" s="161">
        <f t="shared" si="49"/>
        <v>1.1499999999999999</v>
      </c>
      <c r="U376" s="159">
        <v>4124</v>
      </c>
      <c r="V376" s="159">
        <v>1696</v>
      </c>
      <c r="W376" s="159" t="e">
        <f t="shared" si="43"/>
        <v>#DIV/0!</v>
      </c>
      <c r="X376" s="159">
        <f t="shared" si="40"/>
        <v>0</v>
      </c>
    </row>
    <row r="377" spans="1:24" x14ac:dyDescent="0.2">
      <c r="A377" s="147">
        <v>2032</v>
      </c>
      <c r="B377" s="147">
        <v>4</v>
      </c>
      <c r="E377" s="166">
        <v>18.054286133337509</v>
      </c>
      <c r="F377" s="258">
        <f t="shared" si="48"/>
        <v>16.967748864799024</v>
      </c>
      <c r="G377" s="258">
        <f t="shared" si="48"/>
        <v>15.064819927553746</v>
      </c>
      <c r="H377" s="166">
        <v>30.48</v>
      </c>
      <c r="I377" s="148">
        <v>843670.04236606951</v>
      </c>
      <c r="J377" s="181">
        <f>VLOOKUP($A377&amp;$B377,'LE Inputs'!$C$2:$J$505,MATCH('LE UtilityData'!J$1,'LE Inputs'!$C$1:$J$1,0),0)*1000</f>
        <v>1537153.3655279742</v>
      </c>
      <c r="K377" s="181">
        <v>621626.65257890266</v>
      </c>
      <c r="L377" s="157">
        <v>405647.5099411321</v>
      </c>
      <c r="M377" s="306"/>
      <c r="N377" s="150">
        <v>76837.262051688798</v>
      </c>
      <c r="O377" s="181">
        <f>VLOOKUP($A377&amp;$B377,'LE Inputs'!$C$2:$J$525,MATCH('LE UtilityData'!O$1,'LE Inputs'!$C$1:$J$1,0),0)</f>
        <v>75135.956276153345</v>
      </c>
      <c r="P377" s="181" t="e">
        <f>VLOOKUP($A377&amp;$B377,'LE Inputs'!$C$2:$J$505,MATCH('LE UtilityData'!P$1,'LE Inputs'!$C$1:$J$1,0),0)</f>
        <v>#N/A</v>
      </c>
      <c r="Q377" s="307">
        <f t="shared" si="49"/>
        <v>370.83499999999998</v>
      </c>
      <c r="R377" s="307">
        <f t="shared" si="49"/>
        <v>22.565000000000001</v>
      </c>
      <c r="S377" s="161">
        <f t="shared" si="49"/>
        <v>377.1</v>
      </c>
      <c r="T377" s="161">
        <f t="shared" si="49"/>
        <v>20.25</v>
      </c>
      <c r="U377" s="159">
        <v>4124</v>
      </c>
      <c r="V377" s="159">
        <v>1696</v>
      </c>
      <c r="W377" s="159" t="e">
        <f t="shared" si="43"/>
        <v>#DIV/0!</v>
      </c>
      <c r="X377" s="159">
        <f t="shared" si="40"/>
        <v>0</v>
      </c>
    </row>
    <row r="378" spans="1:24" x14ac:dyDescent="0.2">
      <c r="A378" s="147">
        <v>2032</v>
      </c>
      <c r="B378" s="147">
        <v>5</v>
      </c>
      <c r="E378" s="166">
        <v>18.054286133337509</v>
      </c>
      <c r="F378" s="258">
        <f t="shared" si="48"/>
        <v>16.967748864799024</v>
      </c>
      <c r="G378" s="258">
        <f t="shared" si="48"/>
        <v>15.064819927553746</v>
      </c>
      <c r="H378" s="166">
        <v>29.52</v>
      </c>
      <c r="I378" s="148">
        <v>844037.04236606951</v>
      </c>
      <c r="J378" s="181">
        <f>VLOOKUP($A378&amp;$B378,'LE Inputs'!$C$2:$J$505,MATCH('LE UtilityData'!J$1,'LE Inputs'!$C$1:$J$1,0),0)*1000</f>
        <v>1537153.3655279742</v>
      </c>
      <c r="K378" s="181">
        <v>621626.65257890266</v>
      </c>
      <c r="L378" s="157">
        <v>405823.96830598154</v>
      </c>
      <c r="M378" s="306"/>
      <c r="N378" s="150">
        <v>76837.262051688798</v>
      </c>
      <c r="O378" s="181">
        <f>VLOOKUP($A378&amp;$B378,'LE Inputs'!$C$2:$J$525,MATCH('LE UtilityData'!O$1,'LE Inputs'!$C$1:$J$1,0),0)</f>
        <v>75135.956276153345</v>
      </c>
      <c r="P378" s="181" t="e">
        <f>VLOOKUP($A378&amp;$B378,'LE Inputs'!$C$2:$J$505,MATCH('LE UtilityData'!P$1,'LE Inputs'!$C$1:$J$1,0),0)</f>
        <v>#N/A</v>
      </c>
      <c r="Q378" s="307">
        <f t="shared" si="49"/>
        <v>141.76749999999998</v>
      </c>
      <c r="R378" s="307">
        <f t="shared" si="49"/>
        <v>69.552499999999995</v>
      </c>
      <c r="S378" s="161">
        <f t="shared" si="49"/>
        <v>141</v>
      </c>
      <c r="T378" s="161">
        <f t="shared" si="49"/>
        <v>69.349999999999994</v>
      </c>
      <c r="U378" s="159">
        <v>4124</v>
      </c>
      <c r="V378" s="159">
        <v>1696</v>
      </c>
      <c r="W378" s="159" t="e">
        <f t="shared" si="43"/>
        <v>#DIV/0!</v>
      </c>
      <c r="X378" s="159">
        <f t="shared" si="40"/>
        <v>0</v>
      </c>
    </row>
    <row r="379" spans="1:24" x14ac:dyDescent="0.2">
      <c r="A379" s="147">
        <v>2032</v>
      </c>
      <c r="B379" s="147">
        <v>6</v>
      </c>
      <c r="E379" s="166">
        <v>18.054286133337509</v>
      </c>
      <c r="F379" s="258">
        <f t="shared" si="48"/>
        <v>16.967748864799024</v>
      </c>
      <c r="G379" s="258">
        <f t="shared" si="48"/>
        <v>15.064819927553746</v>
      </c>
      <c r="H379" s="166">
        <v>30.71</v>
      </c>
      <c r="I379" s="148">
        <v>844407.48673892079</v>
      </c>
      <c r="J379" s="181">
        <f>VLOOKUP($A379&amp;$B379,'LE Inputs'!$C$2:$J$505,MATCH('LE UtilityData'!J$1,'LE Inputs'!$C$1:$J$1,0),0)*1000</f>
        <v>1537153.3655279742</v>
      </c>
      <c r="K379" s="181">
        <v>621626.65257890266</v>
      </c>
      <c r="L379" s="157">
        <v>406002.08277001703</v>
      </c>
      <c r="M379" s="306"/>
      <c r="N379" s="150">
        <v>76837.262051688798</v>
      </c>
      <c r="O379" s="181">
        <f>VLOOKUP($A379&amp;$B379,'LE Inputs'!$C$2:$J$525,MATCH('LE UtilityData'!O$1,'LE Inputs'!$C$1:$J$1,0),0)</f>
        <v>75135.956276153345</v>
      </c>
      <c r="P379" s="181" t="e">
        <f>VLOOKUP($A379&amp;$B379,'LE Inputs'!$C$2:$J$505,MATCH('LE UtilityData'!P$1,'LE Inputs'!$C$1:$J$1,0),0)</f>
        <v>#N/A</v>
      </c>
      <c r="Q379" s="307">
        <f t="shared" si="49"/>
        <v>29.807499999999997</v>
      </c>
      <c r="R379" s="307">
        <f t="shared" si="49"/>
        <v>219.05749999999998</v>
      </c>
      <c r="S379" s="161">
        <f t="shared" si="49"/>
        <v>29.5</v>
      </c>
      <c r="T379" s="161">
        <f t="shared" si="49"/>
        <v>224.8</v>
      </c>
      <c r="U379" s="159">
        <v>4124</v>
      </c>
      <c r="V379" s="159">
        <v>1696</v>
      </c>
      <c r="W379" s="159" t="e">
        <f t="shared" si="43"/>
        <v>#DIV/0!</v>
      </c>
      <c r="X379" s="159">
        <f t="shared" si="40"/>
        <v>0</v>
      </c>
    </row>
    <row r="380" spans="1:24" x14ac:dyDescent="0.2">
      <c r="A380" s="147">
        <v>2032</v>
      </c>
      <c r="B380" s="147">
        <v>7</v>
      </c>
      <c r="E380" s="166">
        <v>18.054286133337509</v>
      </c>
      <c r="F380" s="258">
        <f t="shared" si="48"/>
        <v>16.967748864799024</v>
      </c>
      <c r="G380" s="258">
        <f t="shared" si="48"/>
        <v>15.064819927553746</v>
      </c>
      <c r="H380" s="166">
        <v>30.57</v>
      </c>
      <c r="I380" s="148">
        <v>844766.48673892079</v>
      </c>
      <c r="J380" s="181">
        <f>VLOOKUP($A380&amp;$B380,'LE Inputs'!$C$2:$J$505,MATCH('LE UtilityData'!J$1,'LE Inputs'!$C$1:$J$1,0),0)*1000</f>
        <v>1540125.6757532456</v>
      </c>
      <c r="K380" s="181">
        <v>623378.24065720488</v>
      </c>
      <c r="L380" s="157">
        <v>406174.69463100057</v>
      </c>
      <c r="M380" s="306"/>
      <c r="N380" s="150">
        <v>77319.473614208706</v>
      </c>
      <c r="O380" s="181">
        <f>VLOOKUP($A380&amp;$B380,'LE Inputs'!$C$2:$J$525,MATCH('LE UtilityData'!O$1,'LE Inputs'!$C$1:$J$1,0),0)</f>
        <v>75548.544068933435</v>
      </c>
      <c r="P380" s="181" t="e">
        <f>VLOOKUP($A380&amp;$B380,'LE Inputs'!$C$2:$J$505,MATCH('LE UtilityData'!P$1,'LE Inputs'!$C$1:$J$1,0),0)</f>
        <v>#N/A</v>
      </c>
      <c r="Q380" s="307">
        <f t="shared" si="49"/>
        <v>0.57250000000000001</v>
      </c>
      <c r="R380" s="307">
        <f t="shared" si="49"/>
        <v>397.17500000000001</v>
      </c>
      <c r="S380" s="161">
        <f t="shared" si="49"/>
        <v>0.55000000000000004</v>
      </c>
      <c r="T380" s="161">
        <f t="shared" si="49"/>
        <v>396.4</v>
      </c>
      <c r="U380" s="159">
        <v>4124</v>
      </c>
      <c r="V380" s="159">
        <v>1696</v>
      </c>
      <c r="W380" s="159" t="e">
        <f t="shared" si="43"/>
        <v>#DIV/0!</v>
      </c>
      <c r="X380" s="159">
        <f t="shared" si="40"/>
        <v>0</v>
      </c>
    </row>
    <row r="381" spans="1:24" x14ac:dyDescent="0.2">
      <c r="A381" s="147">
        <v>2032</v>
      </c>
      <c r="B381" s="147">
        <v>8</v>
      </c>
      <c r="E381" s="166">
        <v>18.054286133337509</v>
      </c>
      <c r="F381" s="258">
        <f t="shared" si="48"/>
        <v>16.967748864799024</v>
      </c>
      <c r="G381" s="258">
        <f t="shared" si="48"/>
        <v>15.064819927553746</v>
      </c>
      <c r="H381" s="166">
        <v>29.67</v>
      </c>
      <c r="I381" s="148">
        <v>845125.48673892079</v>
      </c>
      <c r="J381" s="181">
        <f>VLOOKUP($A381&amp;$B381,'LE Inputs'!$C$2:$J$505,MATCH('LE UtilityData'!J$1,'LE Inputs'!$C$1:$J$1,0),0)*1000</f>
        <v>1540125.6757532456</v>
      </c>
      <c r="K381" s="181">
        <v>623378.24065720488</v>
      </c>
      <c r="L381" s="157">
        <v>406347.30649198405</v>
      </c>
      <c r="M381" s="306"/>
      <c r="N381" s="150">
        <v>77319.473614208706</v>
      </c>
      <c r="O381" s="181">
        <f>VLOOKUP($A381&amp;$B381,'LE Inputs'!$C$2:$J$525,MATCH('LE UtilityData'!O$1,'LE Inputs'!$C$1:$J$1,0),0)</f>
        <v>75548.544068933435</v>
      </c>
      <c r="P381" s="181" t="e">
        <f>VLOOKUP($A381&amp;$B381,'LE Inputs'!$C$2:$J$505,MATCH('LE UtilityData'!P$1,'LE Inputs'!$C$1:$J$1,0),0)</f>
        <v>#N/A</v>
      </c>
      <c r="Q381" s="307">
        <f t="shared" si="49"/>
        <v>0.1</v>
      </c>
      <c r="R381" s="307">
        <f t="shared" si="49"/>
        <v>418.51750000000004</v>
      </c>
      <c r="S381" s="161">
        <f t="shared" si="49"/>
        <v>0.1</v>
      </c>
      <c r="T381" s="161">
        <f t="shared" si="49"/>
        <v>417.05</v>
      </c>
      <c r="U381" s="159">
        <v>4124</v>
      </c>
      <c r="V381" s="159">
        <v>1696</v>
      </c>
      <c r="W381" s="159" t="e">
        <f t="shared" si="43"/>
        <v>#DIV/0!</v>
      </c>
      <c r="X381" s="159">
        <f t="shared" si="40"/>
        <v>0</v>
      </c>
    </row>
    <row r="382" spans="1:24" x14ac:dyDescent="0.2">
      <c r="A382" s="147">
        <v>2032</v>
      </c>
      <c r="B382" s="147">
        <v>9</v>
      </c>
      <c r="E382" s="166">
        <v>18.054286133337509</v>
      </c>
      <c r="F382" s="258">
        <f t="shared" si="48"/>
        <v>16.967748864799024</v>
      </c>
      <c r="G382" s="258">
        <f t="shared" si="48"/>
        <v>15.064819927553746</v>
      </c>
      <c r="H382" s="166">
        <v>30.48</v>
      </c>
      <c r="I382" s="148">
        <v>845484.48673892079</v>
      </c>
      <c r="J382" s="181">
        <f>VLOOKUP($A382&amp;$B382,'LE Inputs'!$C$2:$J$505,MATCH('LE UtilityData'!J$1,'LE Inputs'!$C$1:$J$1,0),0)*1000</f>
        <v>1540125.6757532456</v>
      </c>
      <c r="K382" s="181">
        <v>623378.24065720488</v>
      </c>
      <c r="L382" s="157">
        <v>406519.91835296759</v>
      </c>
      <c r="M382" s="306"/>
      <c r="N382" s="150">
        <v>77319.473614208706</v>
      </c>
      <c r="O382" s="181">
        <f>VLOOKUP($A382&amp;$B382,'LE Inputs'!$C$2:$J$525,MATCH('LE UtilityData'!O$1,'LE Inputs'!$C$1:$J$1,0),0)</f>
        <v>75548.544068933435</v>
      </c>
      <c r="P382" s="181" t="e">
        <f>VLOOKUP($A382&amp;$B382,'LE Inputs'!$C$2:$J$505,MATCH('LE UtilityData'!P$1,'LE Inputs'!$C$1:$J$1,0),0)</f>
        <v>#N/A</v>
      </c>
      <c r="Q382" s="307">
        <f t="shared" si="49"/>
        <v>5.2125000000000004</v>
      </c>
      <c r="R382" s="307">
        <f t="shared" si="49"/>
        <v>326.05</v>
      </c>
      <c r="S382" s="161">
        <f t="shared" si="49"/>
        <v>5.35</v>
      </c>
      <c r="T382" s="161">
        <f t="shared" si="49"/>
        <v>330.2</v>
      </c>
      <c r="U382" s="159">
        <v>4124</v>
      </c>
      <c r="V382" s="159">
        <v>1696</v>
      </c>
      <c r="W382" s="159" t="e">
        <f t="shared" si="43"/>
        <v>#DIV/0!</v>
      </c>
      <c r="X382" s="159">
        <f t="shared" si="40"/>
        <v>0</v>
      </c>
    </row>
    <row r="383" spans="1:24" x14ac:dyDescent="0.2">
      <c r="A383" s="147">
        <v>2032</v>
      </c>
      <c r="B383" s="147">
        <v>10</v>
      </c>
      <c r="E383" s="166">
        <v>18.054286133337509</v>
      </c>
      <c r="F383" s="258">
        <f t="shared" si="48"/>
        <v>16.967748864799024</v>
      </c>
      <c r="G383" s="258">
        <f t="shared" si="48"/>
        <v>15.064819927553746</v>
      </c>
      <c r="H383" s="166">
        <v>29.67</v>
      </c>
      <c r="I383" s="148">
        <v>845843.48673892079</v>
      </c>
      <c r="J383" s="181">
        <f>VLOOKUP($A383&amp;$B383,'LE Inputs'!$C$2:$J$505,MATCH('LE UtilityData'!J$1,'LE Inputs'!$C$1:$J$1,0),0)*1000</f>
        <v>1543090.2552909947</v>
      </c>
      <c r="K383" s="181">
        <v>624455.61954078835</v>
      </c>
      <c r="L383" s="157">
        <v>406692.53021395113</v>
      </c>
      <c r="M383" s="306"/>
      <c r="N383" s="150">
        <v>77747.9734077795</v>
      </c>
      <c r="O383" s="181">
        <f>VLOOKUP($A383&amp;$B383,'LE Inputs'!$C$2:$J$525,MATCH('LE UtilityData'!O$1,'LE Inputs'!$C$1:$J$1,0),0)</f>
        <v>75893.660487470712</v>
      </c>
      <c r="P383" s="181" t="e">
        <f>VLOOKUP($A383&amp;$B383,'LE Inputs'!$C$2:$J$505,MATCH('LE UtilityData'!P$1,'LE Inputs'!$C$1:$J$1,0),0)</f>
        <v>#N/A</v>
      </c>
      <c r="Q383" s="307">
        <f t="shared" si="49"/>
        <v>99.232500000000002</v>
      </c>
      <c r="R383" s="307">
        <f t="shared" si="49"/>
        <v>97.24</v>
      </c>
      <c r="S383" s="161">
        <f t="shared" si="49"/>
        <v>99.3</v>
      </c>
      <c r="T383" s="161">
        <f t="shared" si="49"/>
        <v>100.05</v>
      </c>
      <c r="U383" s="159">
        <v>4124</v>
      </c>
      <c r="V383" s="159">
        <v>1696</v>
      </c>
      <c r="W383" s="159" t="e">
        <f t="shared" si="43"/>
        <v>#DIV/0!</v>
      </c>
      <c r="X383" s="159">
        <f t="shared" si="40"/>
        <v>0</v>
      </c>
    </row>
    <row r="384" spans="1:24" x14ac:dyDescent="0.2">
      <c r="A384" s="147">
        <v>2032</v>
      </c>
      <c r="B384" s="147">
        <v>11</v>
      </c>
      <c r="E384" s="166">
        <v>18.054286133337509</v>
      </c>
      <c r="F384" s="258">
        <f t="shared" si="48"/>
        <v>16.967748864799024</v>
      </c>
      <c r="G384" s="258">
        <f t="shared" si="48"/>
        <v>15.064819927553746</v>
      </c>
      <c r="H384" s="166">
        <v>29.76</v>
      </c>
      <c r="I384" s="148">
        <v>846202.48673892079</v>
      </c>
      <c r="J384" s="181">
        <f>VLOOKUP($A384&amp;$B384,'LE Inputs'!$C$2:$J$505,MATCH('LE UtilityData'!J$1,'LE Inputs'!$C$1:$J$1,0),0)*1000</f>
        <v>1543090.2552909947</v>
      </c>
      <c r="K384" s="181">
        <v>624455.61954078835</v>
      </c>
      <c r="L384" s="157">
        <v>406865.14207493467</v>
      </c>
      <c r="M384" s="306"/>
      <c r="N384" s="150">
        <v>77747.9734077795</v>
      </c>
      <c r="O384" s="181">
        <f>VLOOKUP($A384&amp;$B384,'LE Inputs'!$C$2:$J$525,MATCH('LE UtilityData'!O$1,'LE Inputs'!$C$1:$J$1,0),0)</f>
        <v>75893.660487470712</v>
      </c>
      <c r="P384" s="181" t="e">
        <f>VLOOKUP($A384&amp;$B384,'LE Inputs'!$C$2:$J$505,MATCH('LE UtilityData'!P$1,'LE Inputs'!$C$1:$J$1,0),0)</f>
        <v>#N/A</v>
      </c>
      <c r="Q384" s="307">
        <f t="shared" si="49"/>
        <v>353.59499999999997</v>
      </c>
      <c r="R384" s="307">
        <f t="shared" si="49"/>
        <v>11.487500000000001</v>
      </c>
      <c r="S384" s="161">
        <f t="shared" si="49"/>
        <v>352.6</v>
      </c>
      <c r="T384" s="161">
        <f t="shared" si="49"/>
        <v>12.75</v>
      </c>
      <c r="U384" s="159">
        <v>4124</v>
      </c>
      <c r="V384" s="159">
        <v>1696</v>
      </c>
      <c r="W384" s="159" t="e">
        <f t="shared" si="43"/>
        <v>#DIV/0!</v>
      </c>
      <c r="X384" s="159">
        <f t="shared" si="40"/>
        <v>0</v>
      </c>
    </row>
    <row r="385" spans="1:24" x14ac:dyDescent="0.2">
      <c r="A385" s="147">
        <v>2032</v>
      </c>
      <c r="B385" s="147">
        <v>12</v>
      </c>
      <c r="E385" s="166">
        <v>18.054286133337509</v>
      </c>
      <c r="F385" s="258">
        <f t="shared" si="48"/>
        <v>16.967748864799024</v>
      </c>
      <c r="G385" s="258">
        <f t="shared" si="48"/>
        <v>15.064819927553746</v>
      </c>
      <c r="H385" s="166">
        <v>31.38</v>
      </c>
      <c r="I385" s="148">
        <v>846561.48673892079</v>
      </c>
      <c r="J385" s="181">
        <f>VLOOKUP($A385&amp;$B385,'LE Inputs'!$C$2:$J$505,MATCH('LE UtilityData'!J$1,'LE Inputs'!$C$1:$J$1,0),0)*1000</f>
        <v>1543090.2552909947</v>
      </c>
      <c r="K385" s="181">
        <v>624455.61954078835</v>
      </c>
      <c r="L385" s="157">
        <v>407037.75393591821</v>
      </c>
      <c r="M385" s="306"/>
      <c r="N385" s="150">
        <v>77747.9734077795</v>
      </c>
      <c r="O385" s="181">
        <f>VLOOKUP($A385&amp;$B385,'LE Inputs'!$C$2:$J$525,MATCH('LE UtilityData'!O$1,'LE Inputs'!$C$1:$J$1,0),0)</f>
        <v>75893.660487470712</v>
      </c>
      <c r="P385" s="181" t="e">
        <f>VLOOKUP($A385&amp;$B385,'LE Inputs'!$C$2:$J$505,MATCH('LE UtilityData'!P$1,'LE Inputs'!$C$1:$J$1,0),0)</f>
        <v>#N/A</v>
      </c>
      <c r="Q385" s="307">
        <f t="shared" si="49"/>
        <v>667.68999999999994</v>
      </c>
      <c r="R385" s="307">
        <f t="shared" si="49"/>
        <v>1.1850000000000001</v>
      </c>
      <c r="S385" s="161">
        <f t="shared" si="49"/>
        <v>669.9</v>
      </c>
      <c r="T385" s="161">
        <f t="shared" si="49"/>
        <v>1.05</v>
      </c>
      <c r="U385" s="159">
        <v>4124</v>
      </c>
      <c r="V385" s="159">
        <v>1696</v>
      </c>
      <c r="W385" s="159" t="e">
        <f t="shared" si="43"/>
        <v>#DIV/0!</v>
      </c>
      <c r="X385" s="159">
        <f t="shared" si="40"/>
        <v>0</v>
      </c>
    </row>
    <row r="386" spans="1:24" x14ac:dyDescent="0.2">
      <c r="A386" s="147">
        <v>2033</v>
      </c>
      <c r="B386" s="147">
        <v>1</v>
      </c>
      <c r="E386" s="166">
        <v>18.505643286670946</v>
      </c>
      <c r="F386" s="258">
        <f t="shared" si="48"/>
        <v>17.307103842095003</v>
      </c>
      <c r="G386" s="258">
        <f t="shared" si="48"/>
        <v>15.366116326104821</v>
      </c>
      <c r="H386" s="166">
        <v>32.71</v>
      </c>
      <c r="I386" s="148">
        <v>846920.48673892079</v>
      </c>
      <c r="J386" s="181">
        <f>VLOOKUP($A386&amp;$B386,'LE Inputs'!$C$2:$J$505,MATCH('LE UtilityData'!J$1,'LE Inputs'!$C$1:$J$1,0),0)*1000</f>
        <v>1545557.7487173285</v>
      </c>
      <c r="K386" s="181">
        <v>625624.52554154862</v>
      </c>
      <c r="L386" s="157">
        <v>407210.36579690175</v>
      </c>
      <c r="M386" s="306"/>
      <c r="N386" s="150">
        <v>78361.078754424001</v>
      </c>
      <c r="O386" s="181">
        <f>VLOOKUP($A386&amp;$B386,'LE Inputs'!$C$2:$J$525,MATCH('LE UtilityData'!O$1,'LE Inputs'!$C$1:$J$1,0),0)</f>
        <v>76504.372026272802</v>
      </c>
      <c r="P386" s="181" t="e">
        <f>VLOOKUP($A386&amp;$B386,'LE Inputs'!$C$2:$J$505,MATCH('LE UtilityData'!P$1,'LE Inputs'!$C$1:$J$1,0),0)</f>
        <v>#N/A</v>
      </c>
      <c r="Q386" s="307">
        <f t="shared" si="49"/>
        <v>927.57249999999999</v>
      </c>
      <c r="R386" s="307">
        <f t="shared" si="49"/>
        <v>0.35</v>
      </c>
      <c r="S386" s="161">
        <f t="shared" si="49"/>
        <v>932.4</v>
      </c>
      <c r="T386" s="161">
        <f t="shared" si="49"/>
        <v>0.35</v>
      </c>
      <c r="U386" s="159">
        <v>4124</v>
      </c>
      <c r="V386" s="159">
        <v>1696</v>
      </c>
      <c r="W386" s="159" t="e">
        <f t="shared" si="43"/>
        <v>#DIV/0!</v>
      </c>
      <c r="X386" s="159">
        <f t="shared" ref="X386:X449" si="50">C386/L386*1000</f>
        <v>0</v>
      </c>
    </row>
    <row r="387" spans="1:24" x14ac:dyDescent="0.2">
      <c r="A387" s="147">
        <v>2033</v>
      </c>
      <c r="B387" s="147">
        <v>2</v>
      </c>
      <c r="E387" s="166">
        <v>18.505643286670946</v>
      </c>
      <c r="F387" s="258">
        <f t="shared" ref="F387:G402" si="51">F375*(1+0.02)</f>
        <v>17.307103842095003</v>
      </c>
      <c r="G387" s="258">
        <f t="shared" si="51"/>
        <v>15.366116326104821</v>
      </c>
      <c r="H387" s="166">
        <v>29.81</v>
      </c>
      <c r="I387" s="148">
        <v>847279.48673892079</v>
      </c>
      <c r="J387" s="181">
        <f>VLOOKUP($A387&amp;$B387,'LE Inputs'!$C$2:$J$505,MATCH('LE UtilityData'!J$1,'LE Inputs'!$C$1:$J$1,0),0)*1000</f>
        <v>1545557.7487173285</v>
      </c>
      <c r="K387" s="181">
        <v>625624.52554154862</v>
      </c>
      <c r="L387" s="157">
        <v>407382.97765788529</v>
      </c>
      <c r="M387" s="306"/>
      <c r="N387" s="150">
        <v>78361.078754424001</v>
      </c>
      <c r="O387" s="181">
        <f>VLOOKUP($A387&amp;$B387,'LE Inputs'!$C$2:$J$525,MATCH('LE UtilityData'!O$1,'LE Inputs'!$C$1:$J$1,0),0)</f>
        <v>76504.372026272802</v>
      </c>
      <c r="P387" s="181" t="e">
        <f>VLOOKUP($A387&amp;$B387,'LE Inputs'!$C$2:$J$505,MATCH('LE UtilityData'!P$1,'LE Inputs'!$C$1:$J$1,0),0)</f>
        <v>#N/A</v>
      </c>
      <c r="Q387" s="307">
        <f t="shared" ref="Q387:T402" si="52">Q375</f>
        <v>858.35750000000007</v>
      </c>
      <c r="R387" s="307">
        <f t="shared" si="52"/>
        <v>0.05</v>
      </c>
      <c r="S387" s="161">
        <f t="shared" si="52"/>
        <v>864.1</v>
      </c>
      <c r="T387" s="161">
        <f t="shared" si="52"/>
        <v>0.05</v>
      </c>
      <c r="U387" s="159">
        <v>4124</v>
      </c>
      <c r="V387" s="159">
        <v>1696</v>
      </c>
      <c r="W387" s="159" t="e">
        <f t="shared" ref="W387:W450" si="53">D387/M387*1000</f>
        <v>#DIV/0!</v>
      </c>
      <c r="X387" s="159">
        <f t="shared" si="50"/>
        <v>0</v>
      </c>
    </row>
    <row r="388" spans="1:24" x14ac:dyDescent="0.2">
      <c r="A388" s="147">
        <v>2033</v>
      </c>
      <c r="B388" s="147">
        <v>3</v>
      </c>
      <c r="E388" s="166">
        <v>18.505643286670946</v>
      </c>
      <c r="F388" s="258">
        <f t="shared" si="51"/>
        <v>17.307103842095003</v>
      </c>
      <c r="G388" s="258">
        <f t="shared" si="51"/>
        <v>15.366116326104821</v>
      </c>
      <c r="H388" s="166">
        <v>30.33</v>
      </c>
      <c r="I388" s="148">
        <v>847638.48673892079</v>
      </c>
      <c r="J388" s="181">
        <f>VLOOKUP($A388&amp;$B388,'LE Inputs'!$C$2:$J$505,MATCH('LE UtilityData'!J$1,'LE Inputs'!$C$1:$J$1,0),0)*1000</f>
        <v>1545557.7487173285</v>
      </c>
      <c r="K388" s="181">
        <v>625624.52554154862</v>
      </c>
      <c r="L388" s="157">
        <v>407555.58951886883</v>
      </c>
      <c r="M388" s="306"/>
      <c r="N388" s="150">
        <v>78361.078754424001</v>
      </c>
      <c r="O388" s="181">
        <f>VLOOKUP($A388&amp;$B388,'LE Inputs'!$C$2:$J$525,MATCH('LE UtilityData'!O$1,'LE Inputs'!$C$1:$J$1,0),0)</f>
        <v>76504.372026272802</v>
      </c>
      <c r="P388" s="181" t="e">
        <f>VLOOKUP($A388&amp;$B388,'LE Inputs'!$C$2:$J$505,MATCH('LE UtilityData'!P$1,'LE Inputs'!$C$1:$J$1,0),0)</f>
        <v>#N/A</v>
      </c>
      <c r="Q388" s="307">
        <f t="shared" si="52"/>
        <v>666.12749999999994</v>
      </c>
      <c r="R388" s="307">
        <f t="shared" si="52"/>
        <v>2.0225</v>
      </c>
      <c r="S388" s="161">
        <f t="shared" si="52"/>
        <v>674.3</v>
      </c>
      <c r="T388" s="161">
        <f t="shared" si="52"/>
        <v>1.1499999999999999</v>
      </c>
      <c r="U388" s="159">
        <v>4124</v>
      </c>
      <c r="V388" s="159">
        <v>1696</v>
      </c>
      <c r="W388" s="159" t="e">
        <f t="shared" si="53"/>
        <v>#DIV/0!</v>
      </c>
      <c r="X388" s="159">
        <f t="shared" si="50"/>
        <v>0</v>
      </c>
    </row>
    <row r="389" spans="1:24" x14ac:dyDescent="0.2">
      <c r="A389" s="147">
        <v>2033</v>
      </c>
      <c r="B389" s="147">
        <v>4</v>
      </c>
      <c r="E389" s="166">
        <v>18.505643286670946</v>
      </c>
      <c r="F389" s="258">
        <f t="shared" si="51"/>
        <v>17.307103842095003</v>
      </c>
      <c r="G389" s="258">
        <f t="shared" si="51"/>
        <v>15.366116326104821</v>
      </c>
      <c r="H389" s="166">
        <v>30.19</v>
      </c>
      <c r="I389" s="148">
        <v>847997.48673892079</v>
      </c>
      <c r="J389" s="181">
        <f>VLOOKUP($A389&amp;$B389,'LE Inputs'!$C$2:$J$505,MATCH('LE UtilityData'!J$1,'LE Inputs'!$C$1:$J$1,0),0)*1000</f>
        <v>1548506.319874994</v>
      </c>
      <c r="K389" s="181">
        <v>626921.11190625536</v>
      </c>
      <c r="L389" s="157">
        <v>407728.20137985237</v>
      </c>
      <c r="M389" s="306"/>
      <c r="N389" s="150">
        <v>78861.318208154305</v>
      </c>
      <c r="O389" s="181">
        <f>VLOOKUP($A389&amp;$B389,'LE Inputs'!$C$2:$J$525,MATCH('LE UtilityData'!O$1,'LE Inputs'!$C$1:$J$1,0),0)</f>
        <v>76840.901393494714</v>
      </c>
      <c r="P389" s="181" t="e">
        <f>VLOOKUP($A389&amp;$B389,'LE Inputs'!$C$2:$J$505,MATCH('LE UtilityData'!P$1,'LE Inputs'!$C$1:$J$1,0),0)</f>
        <v>#N/A</v>
      </c>
      <c r="Q389" s="307">
        <f t="shared" si="52"/>
        <v>370.83499999999998</v>
      </c>
      <c r="R389" s="307">
        <f t="shared" si="52"/>
        <v>22.565000000000001</v>
      </c>
      <c r="S389" s="161">
        <f t="shared" si="52"/>
        <v>377.1</v>
      </c>
      <c r="T389" s="161">
        <f t="shared" si="52"/>
        <v>20.25</v>
      </c>
      <c r="U389" s="159">
        <v>4124</v>
      </c>
      <c r="V389" s="159">
        <v>1696</v>
      </c>
      <c r="W389" s="159" t="e">
        <f t="shared" si="53"/>
        <v>#DIV/0!</v>
      </c>
      <c r="X389" s="159">
        <f t="shared" si="50"/>
        <v>0</v>
      </c>
    </row>
    <row r="390" spans="1:24" x14ac:dyDescent="0.2">
      <c r="A390" s="147">
        <v>2033</v>
      </c>
      <c r="B390" s="147">
        <v>5</v>
      </c>
      <c r="E390" s="166">
        <v>18.505643286670946</v>
      </c>
      <c r="F390" s="258">
        <f t="shared" si="51"/>
        <v>17.307103842095003</v>
      </c>
      <c r="G390" s="258">
        <f t="shared" si="51"/>
        <v>15.366116326104821</v>
      </c>
      <c r="H390" s="166">
        <v>30.14</v>
      </c>
      <c r="I390" s="148">
        <v>848356.48673892079</v>
      </c>
      <c r="J390" s="181">
        <f>VLOOKUP($A390&amp;$B390,'LE Inputs'!$C$2:$J$505,MATCH('LE UtilityData'!J$1,'LE Inputs'!$C$1:$J$1,0),0)*1000</f>
        <v>1548506.319874994</v>
      </c>
      <c r="K390" s="181">
        <v>626921.11190625536</v>
      </c>
      <c r="L390" s="157">
        <v>407900.81324083585</v>
      </c>
      <c r="M390" s="306"/>
      <c r="N390" s="150">
        <v>78861.318208154305</v>
      </c>
      <c r="O390" s="181">
        <f>VLOOKUP($A390&amp;$B390,'LE Inputs'!$C$2:$J$525,MATCH('LE UtilityData'!O$1,'LE Inputs'!$C$1:$J$1,0),0)</f>
        <v>76840.901393494714</v>
      </c>
      <c r="P390" s="181" t="e">
        <f>VLOOKUP($A390&amp;$B390,'LE Inputs'!$C$2:$J$505,MATCH('LE UtilityData'!P$1,'LE Inputs'!$C$1:$J$1,0),0)</f>
        <v>#N/A</v>
      </c>
      <c r="Q390" s="307">
        <f t="shared" si="52"/>
        <v>141.76749999999998</v>
      </c>
      <c r="R390" s="307">
        <f t="shared" si="52"/>
        <v>69.552499999999995</v>
      </c>
      <c r="S390" s="161">
        <f t="shared" si="52"/>
        <v>141</v>
      </c>
      <c r="T390" s="161">
        <f t="shared" si="52"/>
        <v>69.349999999999994</v>
      </c>
      <c r="U390" s="159">
        <v>4124</v>
      </c>
      <c r="V390" s="159">
        <v>1696</v>
      </c>
      <c r="W390" s="159" t="e">
        <f t="shared" si="53"/>
        <v>#DIV/0!</v>
      </c>
      <c r="X390" s="159">
        <f t="shared" si="50"/>
        <v>0</v>
      </c>
    </row>
    <row r="391" spans="1:24" x14ac:dyDescent="0.2">
      <c r="A391" s="147">
        <v>2033</v>
      </c>
      <c r="B391" s="147">
        <v>6</v>
      </c>
      <c r="E391" s="166">
        <v>18.505643286670946</v>
      </c>
      <c r="F391" s="258">
        <f t="shared" si="51"/>
        <v>17.307103842095003</v>
      </c>
      <c r="G391" s="258">
        <f t="shared" si="51"/>
        <v>15.366116326104821</v>
      </c>
      <c r="H391" s="166">
        <v>30.67</v>
      </c>
      <c r="I391" s="148">
        <v>848709.76106205548</v>
      </c>
      <c r="J391" s="181">
        <f>VLOOKUP($A391&amp;$B391,'LE Inputs'!$C$2:$J$505,MATCH('LE UtilityData'!J$1,'LE Inputs'!$C$1:$J$1,0),0)*1000</f>
        <v>1548506.319874994</v>
      </c>
      <c r="K391" s="181">
        <v>626921.11190625536</v>
      </c>
      <c r="L391" s="157">
        <v>408070.67212204466</v>
      </c>
      <c r="M391" s="306"/>
      <c r="N391" s="150">
        <v>78861.318208154305</v>
      </c>
      <c r="O391" s="181">
        <f>VLOOKUP($A391&amp;$B391,'LE Inputs'!$C$2:$J$525,MATCH('LE UtilityData'!O$1,'LE Inputs'!$C$1:$J$1,0),0)</f>
        <v>76840.901393494714</v>
      </c>
      <c r="P391" s="181" t="e">
        <f>VLOOKUP($A391&amp;$B391,'LE Inputs'!$C$2:$J$505,MATCH('LE UtilityData'!P$1,'LE Inputs'!$C$1:$J$1,0),0)</f>
        <v>#N/A</v>
      </c>
      <c r="Q391" s="307">
        <f t="shared" si="52"/>
        <v>29.807499999999997</v>
      </c>
      <c r="R391" s="307">
        <f t="shared" si="52"/>
        <v>219.05749999999998</v>
      </c>
      <c r="S391" s="161">
        <f t="shared" si="52"/>
        <v>29.5</v>
      </c>
      <c r="T391" s="161">
        <f t="shared" si="52"/>
        <v>224.8</v>
      </c>
      <c r="U391" s="159">
        <v>4124</v>
      </c>
      <c r="V391" s="159">
        <v>1696</v>
      </c>
      <c r="W391" s="159" t="e">
        <f t="shared" si="53"/>
        <v>#DIV/0!</v>
      </c>
      <c r="X391" s="159">
        <f t="shared" si="50"/>
        <v>0</v>
      </c>
    </row>
    <row r="392" spans="1:24" x14ac:dyDescent="0.2">
      <c r="A392" s="147">
        <v>2033</v>
      </c>
      <c r="B392" s="147">
        <v>7</v>
      </c>
      <c r="E392" s="166">
        <v>18.505643286670946</v>
      </c>
      <c r="F392" s="258">
        <f t="shared" si="51"/>
        <v>17.307103842095003</v>
      </c>
      <c r="G392" s="258">
        <f t="shared" si="51"/>
        <v>15.366116326104821</v>
      </c>
      <c r="H392" s="166">
        <v>30.71</v>
      </c>
      <c r="I392" s="148">
        <v>849059.76106205548</v>
      </c>
      <c r="J392" s="181">
        <f>VLOOKUP($A392&amp;$B392,'LE Inputs'!$C$2:$J$505,MATCH('LE UtilityData'!J$1,'LE Inputs'!$C$1:$J$1,0),0)*1000</f>
        <v>1551450.392716384</v>
      </c>
      <c r="K392" s="181">
        <v>628224.67281158688</v>
      </c>
      <c r="L392" s="157">
        <v>408238.95666617906</v>
      </c>
      <c r="M392" s="306"/>
      <c r="N392" s="150">
        <v>79329.620962342102</v>
      </c>
      <c r="O392" s="181">
        <f>VLOOKUP($A392&amp;$B392,'LE Inputs'!$C$2:$J$525,MATCH('LE UtilityData'!O$1,'LE Inputs'!$C$1:$J$1,0),0)</f>
        <v>77201.77788832011</v>
      </c>
      <c r="P392" s="181" t="e">
        <f>VLOOKUP($A392&amp;$B392,'LE Inputs'!$C$2:$J$505,MATCH('LE UtilityData'!P$1,'LE Inputs'!$C$1:$J$1,0),0)</f>
        <v>#N/A</v>
      </c>
      <c r="Q392" s="307">
        <f t="shared" si="52"/>
        <v>0.57250000000000001</v>
      </c>
      <c r="R392" s="307">
        <f t="shared" si="52"/>
        <v>397.17500000000001</v>
      </c>
      <c r="S392" s="161">
        <f t="shared" si="52"/>
        <v>0.55000000000000004</v>
      </c>
      <c r="T392" s="161">
        <f t="shared" si="52"/>
        <v>396.4</v>
      </c>
      <c r="U392" s="159">
        <v>4124</v>
      </c>
      <c r="V392" s="159">
        <v>1696</v>
      </c>
      <c r="W392" s="159" t="e">
        <f t="shared" si="53"/>
        <v>#DIV/0!</v>
      </c>
      <c r="X392" s="159">
        <f t="shared" si="50"/>
        <v>0</v>
      </c>
    </row>
    <row r="393" spans="1:24" x14ac:dyDescent="0.2">
      <c r="A393" s="147">
        <v>2033</v>
      </c>
      <c r="B393" s="147">
        <v>8</v>
      </c>
      <c r="E393" s="166">
        <v>18.505643286670946</v>
      </c>
      <c r="F393" s="258">
        <f t="shared" si="51"/>
        <v>17.307103842095003</v>
      </c>
      <c r="G393" s="258">
        <f t="shared" si="51"/>
        <v>15.366116326104821</v>
      </c>
      <c r="H393" s="166">
        <v>29.52</v>
      </c>
      <c r="I393" s="148">
        <v>849409.76106205548</v>
      </c>
      <c r="J393" s="181">
        <f>VLOOKUP($A393&amp;$B393,'LE Inputs'!$C$2:$J$505,MATCH('LE UtilityData'!J$1,'LE Inputs'!$C$1:$J$1,0),0)*1000</f>
        <v>1551450.392716384</v>
      </c>
      <c r="K393" s="181">
        <v>628224.67281158688</v>
      </c>
      <c r="L393" s="157">
        <v>408407.2412103134</v>
      </c>
      <c r="M393" s="306"/>
      <c r="N393" s="150">
        <v>79329.620962342102</v>
      </c>
      <c r="O393" s="181">
        <f>VLOOKUP($A393&amp;$B393,'LE Inputs'!$C$2:$J$525,MATCH('LE UtilityData'!O$1,'LE Inputs'!$C$1:$J$1,0),0)</f>
        <v>77201.77788832011</v>
      </c>
      <c r="P393" s="181" t="e">
        <f>VLOOKUP($A393&amp;$B393,'LE Inputs'!$C$2:$J$505,MATCH('LE UtilityData'!P$1,'LE Inputs'!$C$1:$J$1,0),0)</f>
        <v>#N/A</v>
      </c>
      <c r="Q393" s="307">
        <f t="shared" si="52"/>
        <v>0.1</v>
      </c>
      <c r="R393" s="307">
        <f t="shared" si="52"/>
        <v>418.51750000000004</v>
      </c>
      <c r="S393" s="161">
        <f t="shared" si="52"/>
        <v>0.1</v>
      </c>
      <c r="T393" s="161">
        <f t="shared" si="52"/>
        <v>417.05</v>
      </c>
      <c r="U393" s="159">
        <v>4124</v>
      </c>
      <c r="V393" s="159">
        <v>1696</v>
      </c>
      <c r="W393" s="159" t="e">
        <f t="shared" si="53"/>
        <v>#DIV/0!</v>
      </c>
      <c r="X393" s="159">
        <f t="shared" si="50"/>
        <v>0</v>
      </c>
    </row>
    <row r="394" spans="1:24" x14ac:dyDescent="0.2">
      <c r="A394" s="147">
        <v>2033</v>
      </c>
      <c r="B394" s="147">
        <v>9</v>
      </c>
      <c r="E394" s="166">
        <v>18.505643286670946</v>
      </c>
      <c r="F394" s="258">
        <f t="shared" si="51"/>
        <v>17.307103842095003</v>
      </c>
      <c r="G394" s="258">
        <f t="shared" si="51"/>
        <v>15.366116326104821</v>
      </c>
      <c r="H394" s="166">
        <v>30.52</v>
      </c>
      <c r="I394" s="148">
        <v>849759.76106205548</v>
      </c>
      <c r="J394" s="181">
        <f>VLOOKUP($A394&amp;$B394,'LE Inputs'!$C$2:$J$505,MATCH('LE UtilityData'!J$1,'LE Inputs'!$C$1:$J$1,0),0)*1000</f>
        <v>1551450.392716384</v>
      </c>
      <c r="K394" s="181">
        <v>628224.67281158688</v>
      </c>
      <c r="L394" s="157">
        <v>408575.52575444774</v>
      </c>
      <c r="M394" s="306"/>
      <c r="N394" s="150">
        <v>79329.620962342102</v>
      </c>
      <c r="O394" s="181">
        <f>VLOOKUP($A394&amp;$B394,'LE Inputs'!$C$2:$J$525,MATCH('LE UtilityData'!O$1,'LE Inputs'!$C$1:$J$1,0),0)</f>
        <v>77201.77788832011</v>
      </c>
      <c r="P394" s="181" t="e">
        <f>VLOOKUP($A394&amp;$B394,'LE Inputs'!$C$2:$J$505,MATCH('LE UtilityData'!P$1,'LE Inputs'!$C$1:$J$1,0),0)</f>
        <v>#N/A</v>
      </c>
      <c r="Q394" s="307">
        <f t="shared" si="52"/>
        <v>5.2125000000000004</v>
      </c>
      <c r="R394" s="307">
        <f t="shared" si="52"/>
        <v>326.05</v>
      </c>
      <c r="S394" s="161">
        <f t="shared" si="52"/>
        <v>5.35</v>
      </c>
      <c r="T394" s="161">
        <f t="shared" si="52"/>
        <v>330.2</v>
      </c>
      <c r="U394" s="159">
        <v>4124</v>
      </c>
      <c r="V394" s="159">
        <v>1696</v>
      </c>
      <c r="W394" s="159" t="e">
        <f t="shared" si="53"/>
        <v>#DIV/0!</v>
      </c>
      <c r="X394" s="159">
        <f t="shared" si="50"/>
        <v>0</v>
      </c>
    </row>
    <row r="395" spans="1:24" x14ac:dyDescent="0.2">
      <c r="A395" s="147">
        <v>2033</v>
      </c>
      <c r="B395" s="147">
        <v>10</v>
      </c>
      <c r="E395" s="166">
        <v>18.505643286670946</v>
      </c>
      <c r="F395" s="258">
        <f t="shared" si="51"/>
        <v>17.307103842095003</v>
      </c>
      <c r="G395" s="258">
        <f t="shared" si="51"/>
        <v>15.366116326104821</v>
      </c>
      <c r="H395" s="166">
        <v>29.62</v>
      </c>
      <c r="I395" s="148">
        <v>850109.76106205548</v>
      </c>
      <c r="J395" s="181">
        <f>VLOOKUP($A395&amp;$B395,'LE Inputs'!$C$2:$J$505,MATCH('LE UtilityData'!J$1,'LE Inputs'!$C$1:$J$1,0),0)*1000</f>
        <v>1554384.3935328114</v>
      </c>
      <c r="K395" s="181">
        <v>629550.95525810868</v>
      </c>
      <c r="L395" s="157">
        <v>408743.81029858207</v>
      </c>
      <c r="M395" s="306"/>
      <c r="N395" s="150">
        <v>79754.345379940205</v>
      </c>
      <c r="O395" s="181">
        <f>VLOOKUP($A395&amp;$B395,'LE Inputs'!$C$2:$J$525,MATCH('LE UtilityData'!O$1,'LE Inputs'!$C$1:$J$1,0),0)</f>
        <v>77528.293946717371</v>
      </c>
      <c r="P395" s="181" t="e">
        <f>VLOOKUP($A395&amp;$B395,'LE Inputs'!$C$2:$J$505,MATCH('LE UtilityData'!P$1,'LE Inputs'!$C$1:$J$1,0),0)</f>
        <v>#N/A</v>
      </c>
      <c r="Q395" s="307">
        <f t="shared" si="52"/>
        <v>99.232500000000002</v>
      </c>
      <c r="R395" s="307">
        <f t="shared" si="52"/>
        <v>97.24</v>
      </c>
      <c r="S395" s="161">
        <f t="shared" si="52"/>
        <v>99.3</v>
      </c>
      <c r="T395" s="161">
        <f t="shared" si="52"/>
        <v>100.05</v>
      </c>
      <c r="U395" s="159">
        <v>4124</v>
      </c>
      <c r="V395" s="159">
        <v>1696</v>
      </c>
      <c r="W395" s="159" t="e">
        <f t="shared" si="53"/>
        <v>#DIV/0!</v>
      </c>
      <c r="X395" s="159">
        <f t="shared" si="50"/>
        <v>0</v>
      </c>
    </row>
    <row r="396" spans="1:24" x14ac:dyDescent="0.2">
      <c r="A396" s="147">
        <v>2033</v>
      </c>
      <c r="B396" s="147">
        <v>11</v>
      </c>
      <c r="E396" s="166">
        <v>18.505643286670946</v>
      </c>
      <c r="F396" s="258">
        <f t="shared" si="51"/>
        <v>17.307103842095003</v>
      </c>
      <c r="G396" s="258">
        <f t="shared" si="51"/>
        <v>15.366116326104821</v>
      </c>
      <c r="H396" s="166">
        <v>29.95</v>
      </c>
      <c r="I396" s="148">
        <v>850459.76106205548</v>
      </c>
      <c r="J396" s="181">
        <f>VLOOKUP($A396&amp;$B396,'LE Inputs'!$C$2:$J$505,MATCH('LE UtilityData'!J$1,'LE Inputs'!$C$1:$J$1,0),0)*1000</f>
        <v>1554384.3935328114</v>
      </c>
      <c r="K396" s="181">
        <v>629550.95525810868</v>
      </c>
      <c r="L396" s="157">
        <v>408912.09484271641</v>
      </c>
      <c r="M396" s="306"/>
      <c r="N396" s="150">
        <v>79754.345379940205</v>
      </c>
      <c r="O396" s="181">
        <f>VLOOKUP($A396&amp;$B396,'LE Inputs'!$C$2:$J$525,MATCH('LE UtilityData'!O$1,'LE Inputs'!$C$1:$J$1,0),0)</f>
        <v>77528.293946717371</v>
      </c>
      <c r="P396" s="181" t="e">
        <f>VLOOKUP($A396&amp;$B396,'LE Inputs'!$C$2:$J$505,MATCH('LE UtilityData'!P$1,'LE Inputs'!$C$1:$J$1,0),0)</f>
        <v>#N/A</v>
      </c>
      <c r="Q396" s="307">
        <f t="shared" si="52"/>
        <v>353.59499999999997</v>
      </c>
      <c r="R396" s="307">
        <f t="shared" si="52"/>
        <v>11.487500000000001</v>
      </c>
      <c r="S396" s="161">
        <f t="shared" si="52"/>
        <v>352.6</v>
      </c>
      <c r="T396" s="161">
        <f t="shared" si="52"/>
        <v>12.75</v>
      </c>
      <c r="U396" s="159">
        <v>4124</v>
      </c>
      <c r="V396" s="159">
        <v>1696</v>
      </c>
      <c r="W396" s="159" t="e">
        <f t="shared" si="53"/>
        <v>#DIV/0!</v>
      </c>
      <c r="X396" s="159">
        <f t="shared" si="50"/>
        <v>0</v>
      </c>
    </row>
    <row r="397" spans="1:24" x14ac:dyDescent="0.2">
      <c r="A397" s="147">
        <v>2033</v>
      </c>
      <c r="B397" s="147">
        <v>12</v>
      </c>
      <c r="E397" s="166">
        <v>18.505643286670946</v>
      </c>
      <c r="F397" s="258">
        <f t="shared" si="51"/>
        <v>17.307103842095003</v>
      </c>
      <c r="G397" s="258">
        <f t="shared" si="51"/>
        <v>15.366116326104821</v>
      </c>
      <c r="H397" s="166">
        <v>32</v>
      </c>
      <c r="I397" s="148">
        <v>850809.76106205548</v>
      </c>
      <c r="J397" s="181">
        <f>VLOOKUP($A397&amp;$B397,'LE Inputs'!$C$2:$J$505,MATCH('LE UtilityData'!J$1,'LE Inputs'!$C$1:$J$1,0),0)*1000</f>
        <v>1554384.3935328114</v>
      </c>
      <c r="K397" s="181">
        <v>629550.95525810868</v>
      </c>
      <c r="L397" s="157">
        <v>409080.37938685081</v>
      </c>
      <c r="M397" s="306"/>
      <c r="N397" s="150">
        <v>79754.345379940205</v>
      </c>
      <c r="O397" s="181">
        <f>VLOOKUP($A397&amp;$B397,'LE Inputs'!$C$2:$J$525,MATCH('LE UtilityData'!O$1,'LE Inputs'!$C$1:$J$1,0),0)</f>
        <v>77528.293946717371</v>
      </c>
      <c r="P397" s="181" t="e">
        <f>VLOOKUP($A397&amp;$B397,'LE Inputs'!$C$2:$J$505,MATCH('LE UtilityData'!P$1,'LE Inputs'!$C$1:$J$1,0),0)</f>
        <v>#N/A</v>
      </c>
      <c r="Q397" s="307">
        <f t="shared" si="52"/>
        <v>667.68999999999994</v>
      </c>
      <c r="R397" s="307">
        <f t="shared" si="52"/>
        <v>1.1850000000000001</v>
      </c>
      <c r="S397" s="161">
        <f t="shared" si="52"/>
        <v>669.9</v>
      </c>
      <c r="T397" s="161">
        <f t="shared" si="52"/>
        <v>1.05</v>
      </c>
      <c r="U397" s="159">
        <v>4124</v>
      </c>
      <c r="V397" s="159">
        <v>1696</v>
      </c>
      <c r="W397" s="159" t="e">
        <f t="shared" si="53"/>
        <v>#DIV/0!</v>
      </c>
      <c r="X397" s="159">
        <f t="shared" si="50"/>
        <v>0</v>
      </c>
    </row>
    <row r="398" spans="1:24" x14ac:dyDescent="0.2">
      <c r="A398" s="147">
        <v>2034</v>
      </c>
      <c r="B398" s="147">
        <v>1</v>
      </c>
      <c r="E398" s="166">
        <v>18.968284368837722</v>
      </c>
      <c r="F398" s="258">
        <f t="shared" si="51"/>
        <v>17.653245918936904</v>
      </c>
      <c r="G398" s="258">
        <f t="shared" si="51"/>
        <v>15.673438652626919</v>
      </c>
      <c r="H398" s="166">
        <v>31.9</v>
      </c>
      <c r="I398" s="148">
        <v>851159.76106205548</v>
      </c>
      <c r="J398" s="181">
        <f>VLOOKUP($A398&amp;$B398,'LE Inputs'!$C$2:$J$505,MATCH('LE UtilityData'!J$1,'LE Inputs'!$C$1:$J$1,0),0)*1000</f>
        <v>1556851.1776228941</v>
      </c>
      <c r="K398" s="181">
        <v>630691.16435983044</v>
      </c>
      <c r="L398" s="157">
        <v>409248.66393098515</v>
      </c>
      <c r="M398" s="306"/>
      <c r="N398" s="150">
        <v>80423.055740831507</v>
      </c>
      <c r="O398" s="181">
        <f>VLOOKUP($A398&amp;$B398,'LE Inputs'!$C$2:$J$525,MATCH('LE UtilityData'!O$1,'LE Inputs'!$C$1:$J$1,0),0)</f>
        <v>78782.560386714991</v>
      </c>
      <c r="P398" s="181" t="e">
        <f>VLOOKUP($A398&amp;$B398,'LE Inputs'!$C$2:$J$505,MATCH('LE UtilityData'!P$1,'LE Inputs'!$C$1:$J$1,0),0)</f>
        <v>#N/A</v>
      </c>
      <c r="Q398" s="307">
        <f t="shared" si="52"/>
        <v>927.57249999999999</v>
      </c>
      <c r="R398" s="307">
        <f t="shared" si="52"/>
        <v>0.35</v>
      </c>
      <c r="S398" s="161">
        <f t="shared" si="52"/>
        <v>932.4</v>
      </c>
      <c r="T398" s="161">
        <f t="shared" si="52"/>
        <v>0.35</v>
      </c>
      <c r="U398" s="159">
        <v>4124</v>
      </c>
      <c r="V398" s="159">
        <v>1696</v>
      </c>
      <c r="W398" s="159" t="e">
        <f t="shared" si="53"/>
        <v>#DIV/0!</v>
      </c>
      <c r="X398" s="159">
        <f t="shared" si="50"/>
        <v>0</v>
      </c>
    </row>
    <row r="399" spans="1:24" x14ac:dyDescent="0.2">
      <c r="A399" s="147">
        <v>2034</v>
      </c>
      <c r="B399" s="147">
        <v>2</v>
      </c>
      <c r="E399" s="166">
        <v>18.968284368837722</v>
      </c>
      <c r="F399" s="258">
        <f t="shared" si="51"/>
        <v>17.653245918936904</v>
      </c>
      <c r="G399" s="258">
        <f t="shared" si="51"/>
        <v>15.673438652626919</v>
      </c>
      <c r="H399" s="166">
        <v>31.29</v>
      </c>
      <c r="I399" s="148">
        <v>851509.76106205548</v>
      </c>
      <c r="J399" s="181">
        <f>VLOOKUP($A399&amp;$B399,'LE Inputs'!$C$2:$J$505,MATCH('LE UtilityData'!J$1,'LE Inputs'!$C$1:$J$1,0),0)*1000</f>
        <v>1556851.1776228941</v>
      </c>
      <c r="K399" s="181">
        <v>630691.16435983044</v>
      </c>
      <c r="L399" s="157">
        <v>409416.94847511954</v>
      </c>
      <c r="M399" s="306"/>
      <c r="N399" s="150">
        <v>80423.055740831507</v>
      </c>
      <c r="O399" s="181">
        <f>VLOOKUP($A399&amp;$B399,'LE Inputs'!$C$2:$J$525,MATCH('LE UtilityData'!O$1,'LE Inputs'!$C$1:$J$1,0),0)</f>
        <v>78782.560386714991</v>
      </c>
      <c r="P399" s="181" t="e">
        <f>VLOOKUP($A399&amp;$B399,'LE Inputs'!$C$2:$J$505,MATCH('LE UtilityData'!P$1,'LE Inputs'!$C$1:$J$1,0),0)</f>
        <v>#N/A</v>
      </c>
      <c r="Q399" s="307">
        <f t="shared" si="52"/>
        <v>858.35750000000007</v>
      </c>
      <c r="R399" s="307">
        <f t="shared" si="52"/>
        <v>0.05</v>
      </c>
      <c r="S399" s="161">
        <f t="shared" si="52"/>
        <v>864.1</v>
      </c>
      <c r="T399" s="161">
        <f t="shared" si="52"/>
        <v>0.05</v>
      </c>
      <c r="U399" s="159">
        <v>4124</v>
      </c>
      <c r="V399" s="159">
        <v>1696</v>
      </c>
      <c r="W399" s="159" t="e">
        <f t="shared" si="53"/>
        <v>#DIV/0!</v>
      </c>
      <c r="X399" s="159">
        <f t="shared" si="50"/>
        <v>0</v>
      </c>
    </row>
    <row r="400" spans="1:24" x14ac:dyDescent="0.2">
      <c r="A400" s="147">
        <v>2034</v>
      </c>
      <c r="B400" s="147">
        <v>3</v>
      </c>
      <c r="E400" s="166">
        <v>18.968284368837722</v>
      </c>
      <c r="F400" s="258">
        <f t="shared" si="51"/>
        <v>17.653245918936904</v>
      </c>
      <c r="G400" s="258">
        <f t="shared" si="51"/>
        <v>15.673438652626919</v>
      </c>
      <c r="H400" s="166">
        <v>30.33</v>
      </c>
      <c r="I400" s="148">
        <v>851859.76106205548</v>
      </c>
      <c r="J400" s="181">
        <f>VLOOKUP($A400&amp;$B400,'LE Inputs'!$C$2:$J$505,MATCH('LE UtilityData'!J$1,'LE Inputs'!$C$1:$J$1,0),0)*1000</f>
        <v>1556851.1776228941</v>
      </c>
      <c r="K400" s="181">
        <v>630691.16435983044</v>
      </c>
      <c r="L400" s="157">
        <v>409585.23301925388</v>
      </c>
      <c r="M400" s="306"/>
      <c r="N400" s="150">
        <v>80423.055740831507</v>
      </c>
      <c r="O400" s="181">
        <f>VLOOKUP($A400&amp;$B400,'LE Inputs'!$C$2:$J$525,MATCH('LE UtilityData'!O$1,'LE Inputs'!$C$1:$J$1,0),0)</f>
        <v>78782.560386714991</v>
      </c>
      <c r="P400" s="181" t="e">
        <f>VLOOKUP($A400&amp;$B400,'LE Inputs'!$C$2:$J$505,MATCH('LE UtilityData'!P$1,'LE Inputs'!$C$1:$J$1,0),0)</f>
        <v>#N/A</v>
      </c>
      <c r="Q400" s="307">
        <f t="shared" si="52"/>
        <v>666.12749999999994</v>
      </c>
      <c r="R400" s="307">
        <f t="shared" si="52"/>
        <v>2.0225</v>
      </c>
      <c r="S400" s="161">
        <f t="shared" si="52"/>
        <v>674.3</v>
      </c>
      <c r="T400" s="161">
        <f t="shared" si="52"/>
        <v>1.1499999999999999</v>
      </c>
      <c r="U400" s="159">
        <v>4124</v>
      </c>
      <c r="V400" s="159">
        <v>1696</v>
      </c>
      <c r="W400" s="159" t="e">
        <f t="shared" si="53"/>
        <v>#DIV/0!</v>
      </c>
      <c r="X400" s="159">
        <f t="shared" si="50"/>
        <v>0</v>
      </c>
    </row>
    <row r="401" spans="1:24" x14ac:dyDescent="0.2">
      <c r="A401" s="147">
        <v>2034</v>
      </c>
      <c r="B401" s="147">
        <v>4</v>
      </c>
      <c r="E401" s="166">
        <v>18.968284368837722</v>
      </c>
      <c r="F401" s="258">
        <f t="shared" si="51"/>
        <v>17.653245918936904</v>
      </c>
      <c r="G401" s="258">
        <f t="shared" si="51"/>
        <v>15.673438652626919</v>
      </c>
      <c r="H401" s="166">
        <v>30.65</v>
      </c>
      <c r="I401" s="148">
        <v>852209.76106205548</v>
      </c>
      <c r="J401" s="181">
        <f>VLOOKUP($A401&amp;$B401,'LE Inputs'!$C$2:$J$505,MATCH('LE UtilityData'!J$1,'LE Inputs'!$C$1:$J$1,0),0)*1000</f>
        <v>1559772.2494363396</v>
      </c>
      <c r="K401" s="181">
        <v>632017.44040657487</v>
      </c>
      <c r="L401" s="157">
        <v>409753.51756338822</v>
      </c>
      <c r="M401" s="306"/>
      <c r="N401" s="150">
        <v>80946.6002318463</v>
      </c>
      <c r="O401" s="181">
        <f>VLOOKUP($A401&amp;$B401,'LE Inputs'!$C$2:$J$525,MATCH('LE UtilityData'!O$1,'LE Inputs'!$C$1:$J$1,0),0)</f>
        <v>79233.176263261979</v>
      </c>
      <c r="P401" s="181" t="e">
        <f>VLOOKUP($A401&amp;$B401,'LE Inputs'!$C$2:$J$505,MATCH('LE UtilityData'!P$1,'LE Inputs'!$C$1:$J$1,0),0)</f>
        <v>#N/A</v>
      </c>
      <c r="Q401" s="307">
        <f t="shared" si="52"/>
        <v>370.83499999999998</v>
      </c>
      <c r="R401" s="307">
        <f t="shared" si="52"/>
        <v>22.565000000000001</v>
      </c>
      <c r="S401" s="161">
        <f t="shared" si="52"/>
        <v>377.1</v>
      </c>
      <c r="T401" s="161">
        <f t="shared" si="52"/>
        <v>20.25</v>
      </c>
      <c r="U401" s="159">
        <v>4124</v>
      </c>
      <c r="V401" s="159">
        <v>1696</v>
      </c>
      <c r="W401" s="159" t="e">
        <f t="shared" si="53"/>
        <v>#DIV/0!</v>
      </c>
      <c r="X401" s="159">
        <f t="shared" si="50"/>
        <v>0</v>
      </c>
    </row>
    <row r="402" spans="1:24" x14ac:dyDescent="0.2">
      <c r="A402" s="147">
        <v>2034</v>
      </c>
      <c r="B402" s="147">
        <v>5</v>
      </c>
      <c r="E402" s="166">
        <v>18.968284368837722</v>
      </c>
      <c r="F402" s="258">
        <f t="shared" si="51"/>
        <v>17.653245918936904</v>
      </c>
      <c r="G402" s="258">
        <f t="shared" si="51"/>
        <v>15.673438652626919</v>
      </c>
      <c r="H402" s="166">
        <v>29.71</v>
      </c>
      <c r="I402" s="148">
        <v>852559.76106205548</v>
      </c>
      <c r="J402" s="181">
        <f>VLOOKUP($A402&amp;$B402,'LE Inputs'!$C$2:$J$505,MATCH('LE UtilityData'!J$1,'LE Inputs'!$C$1:$J$1,0),0)*1000</f>
        <v>1559772.2494363396</v>
      </c>
      <c r="K402" s="181">
        <v>632017.44040657487</v>
      </c>
      <c r="L402" s="157">
        <v>409921.80210752261</v>
      </c>
      <c r="M402" s="306"/>
      <c r="N402" s="150">
        <v>80946.6002318463</v>
      </c>
      <c r="O402" s="181">
        <f>VLOOKUP($A402&amp;$B402,'LE Inputs'!$C$2:$J$525,MATCH('LE UtilityData'!O$1,'LE Inputs'!$C$1:$J$1,0),0)</f>
        <v>79233.176263261979</v>
      </c>
      <c r="P402" s="181" t="e">
        <f>VLOOKUP($A402&amp;$B402,'LE Inputs'!$C$2:$J$505,MATCH('LE UtilityData'!P$1,'LE Inputs'!$C$1:$J$1,0),0)</f>
        <v>#N/A</v>
      </c>
      <c r="Q402" s="307">
        <f t="shared" si="52"/>
        <v>141.76749999999998</v>
      </c>
      <c r="R402" s="307">
        <f t="shared" si="52"/>
        <v>69.552499999999995</v>
      </c>
      <c r="S402" s="161">
        <f t="shared" si="52"/>
        <v>141</v>
      </c>
      <c r="T402" s="161">
        <f t="shared" si="52"/>
        <v>69.349999999999994</v>
      </c>
      <c r="U402" s="159">
        <v>4124</v>
      </c>
      <c r="V402" s="159">
        <v>1696</v>
      </c>
      <c r="W402" s="159" t="e">
        <f t="shared" si="53"/>
        <v>#DIV/0!</v>
      </c>
      <c r="X402" s="159">
        <f t="shared" si="50"/>
        <v>0</v>
      </c>
    </row>
    <row r="403" spans="1:24" x14ac:dyDescent="0.2">
      <c r="A403" s="147">
        <v>2034</v>
      </c>
      <c r="B403" s="147">
        <v>6</v>
      </c>
      <c r="E403" s="166">
        <v>18.968284368837722</v>
      </c>
      <c r="F403" s="258">
        <f t="shared" ref="F403:G418" si="54">F391*(1+0.02)</f>
        <v>17.653245918936904</v>
      </c>
      <c r="G403" s="258">
        <f t="shared" si="54"/>
        <v>15.673438652626919</v>
      </c>
      <c r="H403" s="166">
        <v>30.62</v>
      </c>
      <c r="I403" s="148">
        <v>852915.39263680228</v>
      </c>
      <c r="J403" s="181">
        <f>VLOOKUP($A403&amp;$B403,'LE Inputs'!$C$2:$J$505,MATCH('LE UtilityData'!J$1,'LE Inputs'!$C$1:$J$1,0),0)*1000</f>
        <v>1559772.2494363396</v>
      </c>
      <c r="K403" s="181">
        <v>632017.44040657487</v>
      </c>
      <c r="L403" s="157">
        <v>410092.79438591137</v>
      </c>
      <c r="M403" s="306"/>
      <c r="N403" s="150">
        <v>80946.6002318463</v>
      </c>
      <c r="O403" s="181">
        <f>VLOOKUP($A403&amp;$B403,'LE Inputs'!$C$2:$J$525,MATCH('LE UtilityData'!O$1,'LE Inputs'!$C$1:$J$1,0),0)</f>
        <v>79233.176263261979</v>
      </c>
      <c r="P403" s="181" t="e">
        <f>VLOOKUP($A403&amp;$B403,'LE Inputs'!$C$2:$J$505,MATCH('LE UtilityData'!P$1,'LE Inputs'!$C$1:$J$1,0),0)</f>
        <v>#N/A</v>
      </c>
      <c r="Q403" s="307">
        <f t="shared" ref="Q403:T418" si="55">Q391</f>
        <v>29.807499999999997</v>
      </c>
      <c r="R403" s="307">
        <f t="shared" si="55"/>
        <v>219.05749999999998</v>
      </c>
      <c r="S403" s="161">
        <f t="shared" si="55"/>
        <v>29.5</v>
      </c>
      <c r="T403" s="161">
        <f t="shared" si="55"/>
        <v>224.8</v>
      </c>
      <c r="U403" s="159">
        <v>4124</v>
      </c>
      <c r="V403" s="159">
        <v>1696</v>
      </c>
      <c r="W403" s="159" t="e">
        <f t="shared" si="53"/>
        <v>#DIV/0!</v>
      </c>
      <c r="X403" s="159">
        <f t="shared" si="50"/>
        <v>0</v>
      </c>
    </row>
    <row r="404" spans="1:24" x14ac:dyDescent="0.2">
      <c r="A404" s="147">
        <v>2034</v>
      </c>
      <c r="B404" s="147">
        <v>7</v>
      </c>
      <c r="E404" s="166">
        <v>18.968284368837722</v>
      </c>
      <c r="F404" s="258">
        <f t="shared" si="54"/>
        <v>17.653245918936904</v>
      </c>
      <c r="G404" s="258">
        <f t="shared" si="54"/>
        <v>15.673438652626919</v>
      </c>
      <c r="H404" s="166">
        <v>30.81</v>
      </c>
      <c r="I404" s="148">
        <v>853259.39263680228</v>
      </c>
      <c r="J404" s="181">
        <f>VLOOKUP($A404&amp;$B404,'LE Inputs'!$C$2:$J$505,MATCH('LE UtilityData'!J$1,'LE Inputs'!$C$1:$J$1,0),0)*1000</f>
        <v>1562693.3220055345</v>
      </c>
      <c r="K404" s="181">
        <v>633787.13931451284</v>
      </c>
      <c r="L404" s="157">
        <v>410258.19405214628</v>
      </c>
      <c r="M404" s="306"/>
      <c r="N404" s="150">
        <v>81443.510642765104</v>
      </c>
      <c r="O404" s="181">
        <f>VLOOKUP($A404&amp;$B404,'LE Inputs'!$C$2:$J$525,MATCH('LE UtilityData'!O$1,'LE Inputs'!$C$1:$J$1,0),0)</f>
        <v>79631.250708549836</v>
      </c>
      <c r="P404" s="181" t="e">
        <f>VLOOKUP($A404&amp;$B404,'LE Inputs'!$C$2:$J$505,MATCH('LE UtilityData'!P$1,'LE Inputs'!$C$1:$J$1,0),0)</f>
        <v>#N/A</v>
      </c>
      <c r="Q404" s="307">
        <f t="shared" si="55"/>
        <v>0.57250000000000001</v>
      </c>
      <c r="R404" s="307">
        <f t="shared" si="55"/>
        <v>397.17500000000001</v>
      </c>
      <c r="S404" s="161">
        <f t="shared" si="55"/>
        <v>0.55000000000000004</v>
      </c>
      <c r="T404" s="161">
        <f t="shared" si="55"/>
        <v>396.4</v>
      </c>
      <c r="U404" s="159">
        <v>4124</v>
      </c>
      <c r="V404" s="159">
        <v>1696</v>
      </c>
      <c r="W404" s="159" t="e">
        <f t="shared" si="53"/>
        <v>#DIV/0!</v>
      </c>
      <c r="X404" s="159">
        <f t="shared" si="50"/>
        <v>0</v>
      </c>
    </row>
    <row r="405" spans="1:24" x14ac:dyDescent="0.2">
      <c r="A405" s="147">
        <v>2034</v>
      </c>
      <c r="B405" s="147">
        <v>8</v>
      </c>
      <c r="E405" s="166">
        <v>18.968284368837722</v>
      </c>
      <c r="F405" s="258">
        <f t="shared" si="54"/>
        <v>17.653245918936904</v>
      </c>
      <c r="G405" s="258">
        <f t="shared" si="54"/>
        <v>15.673438652626919</v>
      </c>
      <c r="H405" s="166">
        <v>29.43</v>
      </c>
      <c r="I405" s="148">
        <v>853603.39263680228</v>
      </c>
      <c r="J405" s="181">
        <f>VLOOKUP($A405&amp;$B405,'LE Inputs'!$C$2:$J$505,MATCH('LE UtilityData'!J$1,'LE Inputs'!$C$1:$J$1,0),0)*1000</f>
        <v>1562693.3220055345</v>
      </c>
      <c r="K405" s="181">
        <v>633787.13931451284</v>
      </c>
      <c r="L405" s="157">
        <v>410423.59371838125</v>
      </c>
      <c r="M405" s="306"/>
      <c r="N405" s="150">
        <v>81443.510642765104</v>
      </c>
      <c r="O405" s="181">
        <f>VLOOKUP($A405&amp;$B405,'LE Inputs'!$C$2:$J$525,MATCH('LE UtilityData'!O$1,'LE Inputs'!$C$1:$J$1,0),0)</f>
        <v>79631.250708549836</v>
      </c>
      <c r="P405" s="181" t="e">
        <f>VLOOKUP($A405&amp;$B405,'LE Inputs'!$C$2:$J$505,MATCH('LE UtilityData'!P$1,'LE Inputs'!$C$1:$J$1,0),0)</f>
        <v>#N/A</v>
      </c>
      <c r="Q405" s="307">
        <f t="shared" si="55"/>
        <v>0.1</v>
      </c>
      <c r="R405" s="307">
        <f t="shared" si="55"/>
        <v>418.51750000000004</v>
      </c>
      <c r="S405" s="161">
        <f t="shared" si="55"/>
        <v>0.1</v>
      </c>
      <c r="T405" s="161">
        <f t="shared" si="55"/>
        <v>417.05</v>
      </c>
      <c r="U405" s="159">
        <v>4124</v>
      </c>
      <c r="V405" s="159">
        <v>1696</v>
      </c>
      <c r="W405" s="159" t="e">
        <f t="shared" si="53"/>
        <v>#DIV/0!</v>
      </c>
      <c r="X405" s="159">
        <f t="shared" si="50"/>
        <v>0</v>
      </c>
    </row>
    <row r="406" spans="1:24" x14ac:dyDescent="0.2">
      <c r="A406" s="147">
        <v>2034</v>
      </c>
      <c r="B406" s="147">
        <v>9</v>
      </c>
      <c r="E406" s="166">
        <v>18.968284368837722</v>
      </c>
      <c r="F406" s="258">
        <f t="shared" si="54"/>
        <v>17.653245918936904</v>
      </c>
      <c r="G406" s="258">
        <f t="shared" si="54"/>
        <v>15.673438652626919</v>
      </c>
      <c r="H406" s="166">
        <v>30.57</v>
      </c>
      <c r="I406" s="148">
        <v>853947.39263680228</v>
      </c>
      <c r="J406" s="181">
        <f>VLOOKUP($A406&amp;$B406,'LE Inputs'!$C$2:$J$505,MATCH('LE UtilityData'!J$1,'LE Inputs'!$C$1:$J$1,0),0)*1000</f>
        <v>1562693.3220055345</v>
      </c>
      <c r="K406" s="181">
        <v>633787.13931451284</v>
      </c>
      <c r="L406" s="157">
        <v>410588.99338461616</v>
      </c>
      <c r="M406" s="306"/>
      <c r="N406" s="150">
        <v>81443.510642765104</v>
      </c>
      <c r="O406" s="181">
        <f>VLOOKUP($A406&amp;$B406,'LE Inputs'!$C$2:$J$525,MATCH('LE UtilityData'!O$1,'LE Inputs'!$C$1:$J$1,0),0)</f>
        <v>79631.250708549836</v>
      </c>
      <c r="P406" s="181" t="e">
        <f>VLOOKUP($A406&amp;$B406,'LE Inputs'!$C$2:$J$505,MATCH('LE UtilityData'!P$1,'LE Inputs'!$C$1:$J$1,0),0)</f>
        <v>#N/A</v>
      </c>
      <c r="Q406" s="307">
        <f t="shared" si="55"/>
        <v>5.2125000000000004</v>
      </c>
      <c r="R406" s="307">
        <f t="shared" si="55"/>
        <v>326.05</v>
      </c>
      <c r="S406" s="161">
        <f t="shared" si="55"/>
        <v>5.35</v>
      </c>
      <c r="T406" s="161">
        <f t="shared" si="55"/>
        <v>330.2</v>
      </c>
      <c r="U406" s="159">
        <v>4124</v>
      </c>
      <c r="V406" s="159">
        <v>1696</v>
      </c>
      <c r="W406" s="159" t="e">
        <f t="shared" si="53"/>
        <v>#DIV/0!</v>
      </c>
      <c r="X406" s="159">
        <f t="shared" si="50"/>
        <v>0</v>
      </c>
    </row>
    <row r="407" spans="1:24" x14ac:dyDescent="0.2">
      <c r="A407" s="147">
        <v>2034</v>
      </c>
      <c r="B407" s="147">
        <v>10</v>
      </c>
      <c r="E407" s="166">
        <v>18.968284368837722</v>
      </c>
      <c r="F407" s="258">
        <f t="shared" si="54"/>
        <v>17.653245918936904</v>
      </c>
      <c r="G407" s="258">
        <f t="shared" si="54"/>
        <v>15.673438652626919</v>
      </c>
      <c r="H407" s="166">
        <v>29.67</v>
      </c>
      <c r="I407" s="148">
        <v>854291.39263680228</v>
      </c>
      <c r="J407" s="181">
        <f>VLOOKUP($A407&amp;$B407,'LE Inputs'!$C$2:$J$505,MATCH('LE UtilityData'!J$1,'LE Inputs'!$C$1:$J$1,0),0)*1000</f>
        <v>1565604.5764336034</v>
      </c>
      <c r="K407" s="181">
        <v>634824.40651003947</v>
      </c>
      <c r="L407" s="157">
        <v>410754.39305085107</v>
      </c>
      <c r="M407" s="306"/>
      <c r="N407" s="150">
        <v>81921.871026447698</v>
      </c>
      <c r="O407" s="181">
        <f>VLOOKUP($A407&amp;$B407,'LE Inputs'!$C$2:$J$525,MATCH('LE UtilityData'!O$1,'LE Inputs'!$C$1:$J$1,0),0)</f>
        <v>79820.192043943127</v>
      </c>
      <c r="P407" s="181" t="e">
        <f>VLOOKUP($A407&amp;$B407,'LE Inputs'!$C$2:$J$505,MATCH('LE UtilityData'!P$1,'LE Inputs'!$C$1:$J$1,0),0)</f>
        <v>#N/A</v>
      </c>
      <c r="Q407" s="307">
        <f t="shared" si="55"/>
        <v>99.232500000000002</v>
      </c>
      <c r="R407" s="307">
        <f t="shared" si="55"/>
        <v>97.24</v>
      </c>
      <c r="S407" s="161">
        <f t="shared" si="55"/>
        <v>99.3</v>
      </c>
      <c r="T407" s="161">
        <f t="shared" si="55"/>
        <v>100.05</v>
      </c>
      <c r="U407" s="159">
        <v>4124</v>
      </c>
      <c r="V407" s="159">
        <v>1696</v>
      </c>
      <c r="W407" s="159" t="e">
        <f t="shared" si="53"/>
        <v>#DIV/0!</v>
      </c>
      <c r="X407" s="159">
        <f t="shared" si="50"/>
        <v>0</v>
      </c>
    </row>
    <row r="408" spans="1:24" x14ac:dyDescent="0.2">
      <c r="A408" s="147">
        <v>2034</v>
      </c>
      <c r="B408" s="147">
        <v>11</v>
      </c>
      <c r="E408" s="166">
        <v>18.968284368837722</v>
      </c>
      <c r="F408" s="258">
        <f t="shared" si="54"/>
        <v>17.653245918936904</v>
      </c>
      <c r="G408" s="258">
        <f t="shared" si="54"/>
        <v>15.673438652626919</v>
      </c>
      <c r="H408" s="166">
        <v>29.05</v>
      </c>
      <c r="I408" s="148">
        <v>854635.39263680228</v>
      </c>
      <c r="J408" s="181">
        <f>VLOOKUP($A408&amp;$B408,'LE Inputs'!$C$2:$J$505,MATCH('LE UtilityData'!J$1,'LE Inputs'!$C$1:$J$1,0),0)*1000</f>
        <v>1565604.5764336034</v>
      </c>
      <c r="K408" s="181">
        <v>634824.40651003947</v>
      </c>
      <c r="L408" s="157">
        <v>410919.79271708603</v>
      </c>
      <c r="M408" s="306"/>
      <c r="N408" s="150">
        <v>81921.871026447698</v>
      </c>
      <c r="O408" s="181">
        <f>VLOOKUP($A408&amp;$B408,'LE Inputs'!$C$2:$J$525,MATCH('LE UtilityData'!O$1,'LE Inputs'!$C$1:$J$1,0),0)</f>
        <v>79820.192043943127</v>
      </c>
      <c r="P408" s="181" t="e">
        <f>VLOOKUP($A408&amp;$B408,'LE Inputs'!$C$2:$J$505,MATCH('LE UtilityData'!P$1,'LE Inputs'!$C$1:$J$1,0),0)</f>
        <v>#N/A</v>
      </c>
      <c r="Q408" s="307">
        <f t="shared" si="55"/>
        <v>353.59499999999997</v>
      </c>
      <c r="R408" s="307">
        <f t="shared" si="55"/>
        <v>11.487500000000001</v>
      </c>
      <c r="S408" s="161">
        <f t="shared" si="55"/>
        <v>352.6</v>
      </c>
      <c r="T408" s="161">
        <f t="shared" si="55"/>
        <v>12.75</v>
      </c>
      <c r="U408" s="159">
        <v>4124</v>
      </c>
      <c r="V408" s="159">
        <v>1696</v>
      </c>
      <c r="W408" s="159" t="e">
        <f t="shared" si="53"/>
        <v>#DIV/0!</v>
      </c>
      <c r="X408" s="159">
        <f t="shared" si="50"/>
        <v>0</v>
      </c>
    </row>
    <row r="409" spans="1:24" x14ac:dyDescent="0.2">
      <c r="A409" s="147">
        <v>2034</v>
      </c>
      <c r="B409" s="147">
        <v>12</v>
      </c>
      <c r="E409" s="166">
        <v>18.968284368837722</v>
      </c>
      <c r="F409" s="258">
        <f t="shared" si="54"/>
        <v>17.653245918936904</v>
      </c>
      <c r="G409" s="258">
        <f t="shared" si="54"/>
        <v>15.673438652626919</v>
      </c>
      <c r="H409" s="166">
        <v>31</v>
      </c>
      <c r="I409" s="148">
        <v>854979.39263680228</v>
      </c>
      <c r="J409" s="181">
        <f>VLOOKUP($A409&amp;$B409,'LE Inputs'!$C$2:$J$505,MATCH('LE UtilityData'!J$1,'LE Inputs'!$C$1:$J$1,0),0)*1000</f>
        <v>1565604.5764336034</v>
      </c>
      <c r="K409" s="181">
        <v>634824.40651003947</v>
      </c>
      <c r="L409" s="157">
        <v>411085.19238332094</v>
      </c>
      <c r="M409" s="306"/>
      <c r="N409" s="150">
        <v>81921.871026447698</v>
      </c>
      <c r="O409" s="181">
        <f>VLOOKUP($A409&amp;$B409,'LE Inputs'!$C$2:$J$525,MATCH('LE UtilityData'!O$1,'LE Inputs'!$C$1:$J$1,0),0)</f>
        <v>79820.192043943127</v>
      </c>
      <c r="P409" s="181" t="e">
        <f>VLOOKUP($A409&amp;$B409,'LE Inputs'!$C$2:$J$505,MATCH('LE UtilityData'!P$1,'LE Inputs'!$C$1:$J$1,0),0)</f>
        <v>#N/A</v>
      </c>
      <c r="Q409" s="307">
        <f t="shared" si="55"/>
        <v>667.68999999999994</v>
      </c>
      <c r="R409" s="307">
        <f t="shared" si="55"/>
        <v>1.1850000000000001</v>
      </c>
      <c r="S409" s="161">
        <f t="shared" si="55"/>
        <v>669.9</v>
      </c>
      <c r="T409" s="161">
        <f t="shared" si="55"/>
        <v>1.05</v>
      </c>
      <c r="U409" s="159">
        <v>4124</v>
      </c>
      <c r="V409" s="159">
        <v>1696</v>
      </c>
      <c r="W409" s="159" t="e">
        <f t="shared" si="53"/>
        <v>#DIV/0!</v>
      </c>
      <c r="X409" s="159">
        <f t="shared" si="50"/>
        <v>0</v>
      </c>
    </row>
    <row r="410" spans="1:24" x14ac:dyDescent="0.2">
      <c r="A410" s="147">
        <v>2035</v>
      </c>
      <c r="B410" s="147">
        <v>1</v>
      </c>
      <c r="E410" s="166">
        <v>19.442491478058663</v>
      </c>
      <c r="F410" s="258">
        <f t="shared" si="54"/>
        <v>18.006310837315642</v>
      </c>
      <c r="G410" s="258">
        <f t="shared" si="54"/>
        <v>15.986907425679457</v>
      </c>
      <c r="H410" s="166">
        <v>32.33</v>
      </c>
      <c r="I410" s="148">
        <v>855323.39263680228</v>
      </c>
      <c r="J410" s="181">
        <f>VLOOKUP($A410&amp;$B410,'LE Inputs'!$C$2:$J$505,MATCH('LE UtilityData'!J$1,'LE Inputs'!$C$1:$J$1,0),0)*1000</f>
        <v>1568508.3724488821</v>
      </c>
      <c r="K410" s="181">
        <v>636102.70657365676</v>
      </c>
      <c r="L410" s="157">
        <v>411250.59204955585</v>
      </c>
      <c r="M410" s="306"/>
      <c r="N410" s="150">
        <v>82709.348182862406</v>
      </c>
      <c r="O410" s="181">
        <f>VLOOKUP($A410&amp;$B410,'LE Inputs'!$C$2:$J$525,MATCH('LE UtilityData'!O$1,'LE Inputs'!$C$1:$J$1,0),0)</f>
        <v>80589.465401103065</v>
      </c>
      <c r="P410" s="181" t="e">
        <f>VLOOKUP($A410&amp;$B410,'LE Inputs'!$C$2:$J$505,MATCH('LE UtilityData'!P$1,'LE Inputs'!$C$1:$J$1,0),0)</f>
        <v>#N/A</v>
      </c>
      <c r="Q410" s="307">
        <f t="shared" si="55"/>
        <v>927.57249999999999</v>
      </c>
      <c r="R410" s="307">
        <f t="shared" si="55"/>
        <v>0.35</v>
      </c>
      <c r="S410" s="161">
        <f t="shared" si="55"/>
        <v>932.4</v>
      </c>
      <c r="T410" s="161">
        <f t="shared" si="55"/>
        <v>0.35</v>
      </c>
      <c r="U410" s="159">
        <v>4124</v>
      </c>
      <c r="V410" s="159">
        <v>1696</v>
      </c>
      <c r="W410" s="159" t="e">
        <f t="shared" si="53"/>
        <v>#DIV/0!</v>
      </c>
      <c r="X410" s="159">
        <f t="shared" si="50"/>
        <v>0</v>
      </c>
    </row>
    <row r="411" spans="1:24" x14ac:dyDescent="0.2">
      <c r="A411" s="147">
        <v>2035</v>
      </c>
      <c r="B411" s="147">
        <v>2</v>
      </c>
      <c r="E411" s="166">
        <v>19.442491478058663</v>
      </c>
      <c r="F411" s="258">
        <f t="shared" si="54"/>
        <v>18.006310837315642</v>
      </c>
      <c r="G411" s="258">
        <f t="shared" si="54"/>
        <v>15.986907425679457</v>
      </c>
      <c r="H411" s="166">
        <v>29.86</v>
      </c>
      <c r="I411" s="148">
        <v>855667.39263680228</v>
      </c>
      <c r="J411" s="181">
        <f>VLOOKUP($A411&amp;$B411,'LE Inputs'!$C$2:$J$505,MATCH('LE UtilityData'!J$1,'LE Inputs'!$C$1:$J$1,0),0)*1000</f>
        <v>1568508.3724488821</v>
      </c>
      <c r="K411" s="181">
        <v>636102.70657365676</v>
      </c>
      <c r="L411" s="157">
        <v>411415.99171579076</v>
      </c>
      <c r="M411" s="306"/>
      <c r="N411" s="150">
        <v>82709.348182862406</v>
      </c>
      <c r="O411" s="181">
        <f>VLOOKUP($A411&amp;$B411,'LE Inputs'!$C$2:$J$525,MATCH('LE UtilityData'!O$1,'LE Inputs'!$C$1:$J$1,0),0)</f>
        <v>80589.465401103065</v>
      </c>
      <c r="P411" s="181" t="e">
        <f>VLOOKUP($A411&amp;$B411,'LE Inputs'!$C$2:$J$505,MATCH('LE UtilityData'!P$1,'LE Inputs'!$C$1:$J$1,0),0)</f>
        <v>#N/A</v>
      </c>
      <c r="Q411" s="307">
        <f t="shared" si="55"/>
        <v>858.35750000000007</v>
      </c>
      <c r="R411" s="307">
        <f t="shared" si="55"/>
        <v>0.05</v>
      </c>
      <c r="S411" s="161">
        <f t="shared" si="55"/>
        <v>864.1</v>
      </c>
      <c r="T411" s="161">
        <f t="shared" si="55"/>
        <v>0.05</v>
      </c>
      <c r="U411" s="159">
        <v>4124</v>
      </c>
      <c r="V411" s="159">
        <v>1696</v>
      </c>
      <c r="W411" s="159" t="e">
        <f t="shared" si="53"/>
        <v>#DIV/0!</v>
      </c>
      <c r="X411" s="159">
        <f t="shared" si="50"/>
        <v>0</v>
      </c>
    </row>
    <row r="412" spans="1:24" x14ac:dyDescent="0.2">
      <c r="A412" s="147">
        <v>2035</v>
      </c>
      <c r="B412" s="147">
        <v>3</v>
      </c>
      <c r="E412" s="166">
        <v>19.442491478058663</v>
      </c>
      <c r="F412" s="258">
        <f t="shared" si="54"/>
        <v>18.006310837315642</v>
      </c>
      <c r="G412" s="258">
        <f t="shared" si="54"/>
        <v>15.986907425679457</v>
      </c>
      <c r="H412" s="166">
        <v>30.76</v>
      </c>
      <c r="I412" s="148">
        <v>856011.39263680228</v>
      </c>
      <c r="J412" s="181">
        <f>VLOOKUP($A412&amp;$B412,'LE Inputs'!$C$2:$J$505,MATCH('LE UtilityData'!J$1,'LE Inputs'!$C$1:$J$1,0),0)*1000</f>
        <v>1568508.3724488821</v>
      </c>
      <c r="K412" s="181">
        <v>636102.70657365676</v>
      </c>
      <c r="L412" s="157">
        <v>411581.39138202573</v>
      </c>
      <c r="M412" s="306"/>
      <c r="N412" s="150">
        <v>82709.348182862406</v>
      </c>
      <c r="O412" s="181">
        <f>VLOOKUP($A412&amp;$B412,'LE Inputs'!$C$2:$J$525,MATCH('LE UtilityData'!O$1,'LE Inputs'!$C$1:$J$1,0),0)</f>
        <v>80589.465401103065</v>
      </c>
      <c r="P412" s="181" t="e">
        <f>VLOOKUP($A412&amp;$B412,'LE Inputs'!$C$2:$J$505,MATCH('LE UtilityData'!P$1,'LE Inputs'!$C$1:$J$1,0),0)</f>
        <v>#N/A</v>
      </c>
      <c r="Q412" s="307">
        <f t="shared" si="55"/>
        <v>666.12749999999994</v>
      </c>
      <c r="R412" s="307">
        <f t="shared" si="55"/>
        <v>2.0225</v>
      </c>
      <c r="S412" s="161">
        <f t="shared" si="55"/>
        <v>674.3</v>
      </c>
      <c r="T412" s="161">
        <f t="shared" si="55"/>
        <v>1.1499999999999999</v>
      </c>
      <c r="U412" s="159">
        <v>4124</v>
      </c>
      <c r="V412" s="159">
        <v>1696</v>
      </c>
      <c r="W412" s="159" t="e">
        <f t="shared" si="53"/>
        <v>#DIV/0!</v>
      </c>
      <c r="X412" s="159">
        <f t="shared" si="50"/>
        <v>0</v>
      </c>
    </row>
    <row r="413" spans="1:24" x14ac:dyDescent="0.2">
      <c r="A413" s="147">
        <v>2035</v>
      </c>
      <c r="B413" s="147">
        <v>4</v>
      </c>
      <c r="E413" s="166">
        <v>19.442491478058663</v>
      </c>
      <c r="F413" s="258">
        <f t="shared" si="54"/>
        <v>18.006310837315642</v>
      </c>
      <c r="G413" s="258">
        <f t="shared" si="54"/>
        <v>15.986907425679457</v>
      </c>
      <c r="H413" s="166">
        <v>30.38</v>
      </c>
      <c r="I413" s="148">
        <v>856355.39263680228</v>
      </c>
      <c r="J413" s="181">
        <f>VLOOKUP($A413&amp;$B413,'LE Inputs'!$C$2:$J$505,MATCH('LE UtilityData'!J$1,'LE Inputs'!$C$1:$J$1,0),0)*1000</f>
        <v>1570975.5130853169</v>
      </c>
      <c r="K413" s="181">
        <v>637233.2381420423</v>
      </c>
      <c r="L413" s="157">
        <v>411746.79104826064</v>
      </c>
      <c r="M413" s="306"/>
      <c r="N413" s="150">
        <v>83248.628625716796</v>
      </c>
      <c r="O413" s="181">
        <f>VLOOKUP($A413&amp;$B413,'LE Inputs'!$C$2:$J$525,MATCH('LE UtilityData'!O$1,'LE Inputs'!$C$1:$J$1,0),0)</f>
        <v>81045.409208304249</v>
      </c>
      <c r="P413" s="181" t="e">
        <f>VLOOKUP($A413&amp;$B413,'LE Inputs'!$C$2:$J$505,MATCH('LE UtilityData'!P$1,'LE Inputs'!$C$1:$J$1,0),0)</f>
        <v>#N/A</v>
      </c>
      <c r="Q413" s="307">
        <f t="shared" si="55"/>
        <v>370.83499999999998</v>
      </c>
      <c r="R413" s="307">
        <f t="shared" si="55"/>
        <v>22.565000000000001</v>
      </c>
      <c r="S413" s="161">
        <f t="shared" si="55"/>
        <v>377.1</v>
      </c>
      <c r="T413" s="161">
        <f t="shared" si="55"/>
        <v>20.25</v>
      </c>
      <c r="U413" s="159">
        <v>4124</v>
      </c>
      <c r="V413" s="159">
        <v>1696</v>
      </c>
      <c r="W413" s="159" t="e">
        <f t="shared" si="53"/>
        <v>#DIV/0!</v>
      </c>
      <c r="X413" s="159">
        <f t="shared" si="50"/>
        <v>0</v>
      </c>
    </row>
    <row r="414" spans="1:24" x14ac:dyDescent="0.2">
      <c r="A414" s="147">
        <v>2035</v>
      </c>
      <c r="B414" s="147">
        <v>5</v>
      </c>
      <c r="E414" s="166">
        <v>19.442491478058663</v>
      </c>
      <c r="F414" s="258">
        <f t="shared" si="54"/>
        <v>18.006310837315642</v>
      </c>
      <c r="G414" s="258">
        <f t="shared" si="54"/>
        <v>15.986907425679457</v>
      </c>
      <c r="H414" s="166">
        <v>29.52</v>
      </c>
      <c r="I414" s="148">
        <v>856699.39263680228</v>
      </c>
      <c r="J414" s="181">
        <f>VLOOKUP($A414&amp;$B414,'LE Inputs'!$C$2:$J$505,MATCH('LE UtilityData'!J$1,'LE Inputs'!$C$1:$J$1,0),0)*1000</f>
        <v>1570975.5130853169</v>
      </c>
      <c r="K414" s="181">
        <v>637233.2381420423</v>
      </c>
      <c r="L414" s="157">
        <v>411912.19071449561</v>
      </c>
      <c r="M414" s="306"/>
      <c r="N414" s="150">
        <v>83248.628625716796</v>
      </c>
      <c r="O414" s="181">
        <f>VLOOKUP($A414&amp;$B414,'LE Inputs'!$C$2:$J$525,MATCH('LE UtilityData'!O$1,'LE Inputs'!$C$1:$J$1,0),0)</f>
        <v>81045.409208304249</v>
      </c>
      <c r="P414" s="181" t="e">
        <f>VLOOKUP($A414&amp;$B414,'LE Inputs'!$C$2:$J$505,MATCH('LE UtilityData'!P$1,'LE Inputs'!$C$1:$J$1,0),0)</f>
        <v>#N/A</v>
      </c>
      <c r="Q414" s="307">
        <f t="shared" si="55"/>
        <v>141.76749999999998</v>
      </c>
      <c r="R414" s="307">
        <f t="shared" si="55"/>
        <v>69.552499999999995</v>
      </c>
      <c r="S414" s="161">
        <f t="shared" si="55"/>
        <v>141</v>
      </c>
      <c r="T414" s="161">
        <f t="shared" si="55"/>
        <v>69.349999999999994</v>
      </c>
      <c r="U414" s="159">
        <v>4124</v>
      </c>
      <c r="V414" s="159">
        <v>1696</v>
      </c>
      <c r="W414" s="159" t="e">
        <f t="shared" si="53"/>
        <v>#DIV/0!</v>
      </c>
      <c r="X414" s="159">
        <f t="shared" si="50"/>
        <v>0</v>
      </c>
    </row>
    <row r="415" spans="1:24" x14ac:dyDescent="0.2">
      <c r="A415" s="147">
        <v>2035</v>
      </c>
      <c r="B415" s="147">
        <v>6</v>
      </c>
      <c r="E415" s="166">
        <v>19.442491478058663</v>
      </c>
      <c r="F415" s="258">
        <f t="shared" si="54"/>
        <v>18.006310837315642</v>
      </c>
      <c r="G415" s="258">
        <f t="shared" si="54"/>
        <v>15.986907425679457</v>
      </c>
      <c r="H415" s="166">
        <v>30.62</v>
      </c>
      <c r="I415" s="148">
        <v>857037.42321813386</v>
      </c>
      <c r="J415" s="181">
        <f>VLOOKUP($A415&amp;$B415,'LE Inputs'!$C$2:$J$505,MATCH('LE UtilityData'!J$1,'LE Inputs'!$C$1:$J$1,0),0)*1000</f>
        <v>1570975.5130853169</v>
      </c>
      <c r="K415" s="181">
        <v>637233.2381420423</v>
      </c>
      <c r="L415" s="157">
        <v>412074.7202067324</v>
      </c>
      <c r="M415" s="306"/>
      <c r="N415" s="150">
        <v>83248.628625716796</v>
      </c>
      <c r="O415" s="181">
        <f>VLOOKUP($A415&amp;$B415,'LE Inputs'!$C$2:$J$525,MATCH('LE UtilityData'!O$1,'LE Inputs'!$C$1:$J$1,0),0)</f>
        <v>81045.409208304249</v>
      </c>
      <c r="P415" s="181" t="e">
        <f>VLOOKUP($A415&amp;$B415,'LE Inputs'!$C$2:$J$505,MATCH('LE UtilityData'!P$1,'LE Inputs'!$C$1:$J$1,0),0)</f>
        <v>#N/A</v>
      </c>
      <c r="Q415" s="307">
        <f t="shared" si="55"/>
        <v>29.807499999999997</v>
      </c>
      <c r="R415" s="307">
        <f t="shared" si="55"/>
        <v>219.05749999999998</v>
      </c>
      <c r="S415" s="161">
        <f t="shared" si="55"/>
        <v>29.5</v>
      </c>
      <c r="T415" s="161">
        <f t="shared" si="55"/>
        <v>224.8</v>
      </c>
      <c r="U415" s="159">
        <v>4124</v>
      </c>
      <c r="V415" s="159">
        <v>1696</v>
      </c>
      <c r="W415" s="159" t="e">
        <f t="shared" si="53"/>
        <v>#DIV/0!</v>
      </c>
      <c r="X415" s="159">
        <f t="shared" si="50"/>
        <v>0</v>
      </c>
    </row>
    <row r="416" spans="1:24" x14ac:dyDescent="0.2">
      <c r="A416" s="147">
        <v>2035</v>
      </c>
      <c r="B416" s="147">
        <v>7</v>
      </c>
      <c r="E416" s="166">
        <v>19.442491478058663</v>
      </c>
      <c r="F416" s="258">
        <f t="shared" si="54"/>
        <v>18.006310837315642</v>
      </c>
      <c r="G416" s="258">
        <f t="shared" si="54"/>
        <v>15.986907425679457</v>
      </c>
      <c r="H416" s="166">
        <v>30.76</v>
      </c>
      <c r="I416" s="148">
        <v>857376.42321813386</v>
      </c>
      <c r="J416" s="181">
        <f>VLOOKUP($A416&amp;$B416,'LE Inputs'!$C$2:$J$505,MATCH('LE UtilityData'!J$1,'LE Inputs'!$C$1:$J$1,0),0)*1000</f>
        <v>1573867.8014536195</v>
      </c>
      <c r="K416" s="181">
        <v>638467.66289449949</v>
      </c>
      <c r="L416" s="157">
        <v>412237.71580805111</v>
      </c>
      <c r="M416" s="306"/>
      <c r="N416" s="150">
        <v>83784.395634247194</v>
      </c>
      <c r="O416" s="181">
        <f>VLOOKUP($A416&amp;$B416,'LE Inputs'!$C$2:$J$525,MATCH('LE UtilityData'!O$1,'LE Inputs'!$C$1:$J$1,0),0)</f>
        <v>80807.495048752942</v>
      </c>
      <c r="P416" s="181" t="e">
        <f>VLOOKUP($A416&amp;$B416,'LE Inputs'!$C$2:$J$505,MATCH('LE UtilityData'!P$1,'LE Inputs'!$C$1:$J$1,0),0)</f>
        <v>#N/A</v>
      </c>
      <c r="Q416" s="307">
        <f t="shared" si="55"/>
        <v>0.57250000000000001</v>
      </c>
      <c r="R416" s="307">
        <f t="shared" si="55"/>
        <v>397.17500000000001</v>
      </c>
      <c r="S416" s="161">
        <f t="shared" si="55"/>
        <v>0.55000000000000004</v>
      </c>
      <c r="T416" s="161">
        <f t="shared" si="55"/>
        <v>396.4</v>
      </c>
      <c r="U416" s="159">
        <v>4124</v>
      </c>
      <c r="V416" s="159">
        <v>1696</v>
      </c>
      <c r="W416" s="159" t="e">
        <f t="shared" si="53"/>
        <v>#DIV/0!</v>
      </c>
      <c r="X416" s="159">
        <f t="shared" si="50"/>
        <v>0</v>
      </c>
    </row>
    <row r="417" spans="1:24" x14ac:dyDescent="0.2">
      <c r="A417" s="147">
        <v>2035</v>
      </c>
      <c r="B417" s="147">
        <v>8</v>
      </c>
      <c r="E417" s="166">
        <v>19.442491478058663</v>
      </c>
      <c r="F417" s="258">
        <f t="shared" si="54"/>
        <v>18.006310837315642</v>
      </c>
      <c r="G417" s="258">
        <f t="shared" si="54"/>
        <v>15.986907425679457</v>
      </c>
      <c r="H417" s="166">
        <v>29.48</v>
      </c>
      <c r="I417" s="148">
        <v>857715.42321813386</v>
      </c>
      <c r="J417" s="181">
        <f>VLOOKUP($A417&amp;$B417,'LE Inputs'!$C$2:$J$505,MATCH('LE UtilityData'!J$1,'LE Inputs'!$C$1:$J$1,0),0)*1000</f>
        <v>1573867.8014536195</v>
      </c>
      <c r="K417" s="181">
        <v>638467.66289449949</v>
      </c>
      <c r="L417" s="157">
        <v>412400.71140936983</v>
      </c>
      <c r="M417" s="306"/>
      <c r="N417" s="150">
        <v>83784.395634247194</v>
      </c>
      <c r="O417" s="181">
        <f>VLOOKUP($A417&amp;$B417,'LE Inputs'!$C$2:$J$525,MATCH('LE UtilityData'!O$1,'LE Inputs'!$C$1:$J$1,0),0)</f>
        <v>80807.495048752942</v>
      </c>
      <c r="P417" s="181" t="e">
        <f>VLOOKUP($A417&amp;$B417,'LE Inputs'!$C$2:$J$505,MATCH('LE UtilityData'!P$1,'LE Inputs'!$C$1:$J$1,0),0)</f>
        <v>#N/A</v>
      </c>
      <c r="Q417" s="307">
        <f t="shared" si="55"/>
        <v>0.1</v>
      </c>
      <c r="R417" s="307">
        <f t="shared" si="55"/>
        <v>418.51750000000004</v>
      </c>
      <c r="S417" s="161">
        <f t="shared" si="55"/>
        <v>0.1</v>
      </c>
      <c r="T417" s="161">
        <f t="shared" si="55"/>
        <v>417.05</v>
      </c>
      <c r="U417" s="159">
        <v>4124</v>
      </c>
      <c r="V417" s="159">
        <v>1696</v>
      </c>
      <c r="W417" s="159" t="e">
        <f t="shared" si="53"/>
        <v>#DIV/0!</v>
      </c>
      <c r="X417" s="159">
        <f t="shared" si="50"/>
        <v>0</v>
      </c>
    </row>
    <row r="418" spans="1:24" x14ac:dyDescent="0.2">
      <c r="A418" s="147">
        <v>2035</v>
      </c>
      <c r="B418" s="147">
        <v>9</v>
      </c>
      <c r="E418" s="166">
        <v>19.442491478058663</v>
      </c>
      <c r="F418" s="258">
        <f t="shared" si="54"/>
        <v>18.006310837315642</v>
      </c>
      <c r="G418" s="258">
        <f t="shared" si="54"/>
        <v>15.986907425679457</v>
      </c>
      <c r="H418" s="166">
        <v>30.57</v>
      </c>
      <c r="I418" s="148">
        <v>858054.42321813386</v>
      </c>
      <c r="J418" s="181">
        <f>VLOOKUP($A418&amp;$B418,'LE Inputs'!$C$2:$J$505,MATCH('LE UtilityData'!J$1,'LE Inputs'!$C$1:$J$1,0),0)*1000</f>
        <v>1573867.8014536195</v>
      </c>
      <c r="K418" s="181">
        <v>638467.66289449949</v>
      </c>
      <c r="L418" s="157">
        <v>412563.70701068849</v>
      </c>
      <c r="M418" s="306"/>
      <c r="N418" s="150">
        <v>83784.395634247194</v>
      </c>
      <c r="O418" s="181">
        <f>VLOOKUP($A418&amp;$B418,'LE Inputs'!$C$2:$J$525,MATCH('LE UtilityData'!O$1,'LE Inputs'!$C$1:$J$1,0),0)</f>
        <v>80807.495048752942</v>
      </c>
      <c r="P418" s="181" t="e">
        <f>VLOOKUP($A418&amp;$B418,'LE Inputs'!$C$2:$J$505,MATCH('LE UtilityData'!P$1,'LE Inputs'!$C$1:$J$1,0),0)</f>
        <v>#N/A</v>
      </c>
      <c r="Q418" s="307">
        <f t="shared" si="55"/>
        <v>5.2125000000000004</v>
      </c>
      <c r="R418" s="307">
        <f t="shared" si="55"/>
        <v>326.05</v>
      </c>
      <c r="S418" s="161">
        <f t="shared" si="55"/>
        <v>5.35</v>
      </c>
      <c r="T418" s="161">
        <f t="shared" si="55"/>
        <v>330.2</v>
      </c>
      <c r="U418" s="159">
        <v>4124</v>
      </c>
      <c r="V418" s="159">
        <v>1696</v>
      </c>
      <c r="W418" s="159" t="e">
        <f t="shared" si="53"/>
        <v>#DIV/0!</v>
      </c>
      <c r="X418" s="159">
        <f t="shared" si="50"/>
        <v>0</v>
      </c>
    </row>
    <row r="419" spans="1:24" x14ac:dyDescent="0.2">
      <c r="A419" s="147">
        <v>2035</v>
      </c>
      <c r="B419" s="147">
        <v>10</v>
      </c>
      <c r="E419" s="166">
        <v>19.442491478058663</v>
      </c>
      <c r="F419" s="258">
        <f t="shared" ref="F419:G434" si="56">F407*(1+0.02)</f>
        <v>18.006310837315642</v>
      </c>
      <c r="G419" s="258">
        <f t="shared" si="56"/>
        <v>15.986907425679457</v>
      </c>
      <c r="H419" s="166">
        <v>29.67</v>
      </c>
      <c r="I419" s="148">
        <v>858393.42321813386</v>
      </c>
      <c r="J419" s="181">
        <f>VLOOKUP($A419&amp;$B419,'LE Inputs'!$C$2:$J$505,MATCH('LE UtilityData'!J$1,'LE Inputs'!$C$1:$J$1,0),0)*1000</f>
        <v>1576750.3003609071</v>
      </c>
      <c r="K419" s="181">
        <v>639732.05991686508</v>
      </c>
      <c r="L419" s="157">
        <v>412726.70261200721</v>
      </c>
      <c r="M419" s="306"/>
      <c r="N419" s="150">
        <v>84327.214889881507</v>
      </c>
      <c r="O419" s="181">
        <f>VLOOKUP($A419&amp;$B419,'LE Inputs'!$C$2:$J$525,MATCH('LE UtilityData'!O$1,'LE Inputs'!$C$1:$J$1,0),0)</f>
        <v>81230.078843036608</v>
      </c>
      <c r="P419" s="181" t="e">
        <f>VLOOKUP($A419&amp;$B419,'LE Inputs'!$C$2:$J$505,MATCH('LE UtilityData'!P$1,'LE Inputs'!$C$1:$J$1,0),0)</f>
        <v>#N/A</v>
      </c>
      <c r="Q419" s="307">
        <f t="shared" ref="Q419:T434" si="57">Q407</f>
        <v>99.232500000000002</v>
      </c>
      <c r="R419" s="307">
        <f t="shared" si="57"/>
        <v>97.24</v>
      </c>
      <c r="S419" s="161">
        <f t="shared" si="57"/>
        <v>99.3</v>
      </c>
      <c r="T419" s="161">
        <f t="shared" si="57"/>
        <v>100.05</v>
      </c>
      <c r="U419" s="159">
        <v>4124</v>
      </c>
      <c r="V419" s="159">
        <v>1696</v>
      </c>
      <c r="W419" s="159" t="e">
        <f t="shared" si="53"/>
        <v>#DIV/0!</v>
      </c>
      <c r="X419" s="159">
        <f t="shared" si="50"/>
        <v>0</v>
      </c>
    </row>
    <row r="420" spans="1:24" x14ac:dyDescent="0.2">
      <c r="A420" s="147">
        <v>2035</v>
      </c>
      <c r="B420" s="147">
        <v>11</v>
      </c>
      <c r="E420" s="166">
        <v>19.442491478058663</v>
      </c>
      <c r="F420" s="258">
        <f t="shared" si="56"/>
        <v>18.006310837315642</v>
      </c>
      <c r="G420" s="258">
        <f t="shared" si="56"/>
        <v>15.986907425679457</v>
      </c>
      <c r="H420" s="166">
        <v>29.95</v>
      </c>
      <c r="I420" s="148">
        <v>858732.42321813386</v>
      </c>
      <c r="J420" s="181">
        <f>VLOOKUP($A420&amp;$B420,'LE Inputs'!$C$2:$J$505,MATCH('LE UtilityData'!J$1,'LE Inputs'!$C$1:$J$1,0),0)*1000</f>
        <v>1576750.3003609071</v>
      </c>
      <c r="K420" s="181">
        <v>639732.05991686508</v>
      </c>
      <c r="L420" s="157">
        <v>412889.69821332587</v>
      </c>
      <c r="M420" s="306"/>
      <c r="N420" s="150">
        <v>84327.214889881507</v>
      </c>
      <c r="O420" s="181">
        <f>VLOOKUP($A420&amp;$B420,'LE Inputs'!$C$2:$J$525,MATCH('LE UtilityData'!O$1,'LE Inputs'!$C$1:$J$1,0),0)</f>
        <v>81230.078843036608</v>
      </c>
      <c r="P420" s="181" t="e">
        <f>VLOOKUP($A420&amp;$B420,'LE Inputs'!$C$2:$J$505,MATCH('LE UtilityData'!P$1,'LE Inputs'!$C$1:$J$1,0),0)</f>
        <v>#N/A</v>
      </c>
      <c r="Q420" s="307">
        <f t="shared" si="57"/>
        <v>353.59499999999997</v>
      </c>
      <c r="R420" s="307">
        <f t="shared" si="57"/>
        <v>11.487500000000001</v>
      </c>
      <c r="S420" s="161">
        <f t="shared" si="57"/>
        <v>352.6</v>
      </c>
      <c r="T420" s="161">
        <f t="shared" si="57"/>
        <v>12.75</v>
      </c>
      <c r="U420" s="159">
        <v>4124</v>
      </c>
      <c r="V420" s="159">
        <v>1696</v>
      </c>
      <c r="W420" s="159" t="e">
        <f t="shared" si="53"/>
        <v>#DIV/0!</v>
      </c>
      <c r="X420" s="159">
        <f t="shared" si="50"/>
        <v>0</v>
      </c>
    </row>
    <row r="421" spans="1:24" x14ac:dyDescent="0.2">
      <c r="A421" s="147">
        <v>2035</v>
      </c>
      <c r="B421" s="147">
        <v>12</v>
      </c>
      <c r="E421" s="166">
        <v>19.442491478058663</v>
      </c>
      <c r="F421" s="258">
        <f t="shared" si="56"/>
        <v>18.006310837315642</v>
      </c>
      <c r="G421" s="258">
        <f t="shared" si="56"/>
        <v>15.986907425679457</v>
      </c>
      <c r="H421" s="166">
        <v>31.38</v>
      </c>
      <c r="I421" s="148">
        <v>859071.42321813386</v>
      </c>
      <c r="J421" s="181">
        <f>VLOOKUP($A421&amp;$B421,'LE Inputs'!$C$2:$J$505,MATCH('LE UtilityData'!J$1,'LE Inputs'!$C$1:$J$1,0),0)*1000</f>
        <v>1576750.3003609071</v>
      </c>
      <c r="K421" s="181">
        <v>639732.05991686508</v>
      </c>
      <c r="L421" s="157">
        <v>413052.69381464459</v>
      </c>
      <c r="M421" s="306"/>
      <c r="N421" s="150">
        <v>84327.214889881507</v>
      </c>
      <c r="O421" s="181">
        <f>VLOOKUP($A421&amp;$B421,'LE Inputs'!$C$2:$J$525,MATCH('LE UtilityData'!O$1,'LE Inputs'!$C$1:$J$1,0),0)</f>
        <v>81230.078843036608</v>
      </c>
      <c r="P421" s="181" t="e">
        <f>VLOOKUP($A421&amp;$B421,'LE Inputs'!$C$2:$J$505,MATCH('LE UtilityData'!P$1,'LE Inputs'!$C$1:$J$1,0),0)</f>
        <v>#N/A</v>
      </c>
      <c r="Q421" s="307">
        <f t="shared" si="57"/>
        <v>667.68999999999994</v>
      </c>
      <c r="R421" s="307">
        <f t="shared" si="57"/>
        <v>1.1850000000000001</v>
      </c>
      <c r="S421" s="161">
        <f t="shared" si="57"/>
        <v>669.9</v>
      </c>
      <c r="T421" s="161">
        <f t="shared" si="57"/>
        <v>1.05</v>
      </c>
      <c r="U421" s="159">
        <v>4124</v>
      </c>
      <c r="V421" s="159">
        <v>1696</v>
      </c>
      <c r="W421" s="159" t="e">
        <f t="shared" si="53"/>
        <v>#DIV/0!</v>
      </c>
      <c r="X421" s="159">
        <f t="shared" si="50"/>
        <v>0</v>
      </c>
    </row>
    <row r="422" spans="1:24" x14ac:dyDescent="0.2">
      <c r="A422" s="147">
        <v>2036</v>
      </c>
      <c r="B422" s="147">
        <v>1</v>
      </c>
      <c r="E422" s="166">
        <v>19.928553765010125</v>
      </c>
      <c r="F422" s="258">
        <f t="shared" si="56"/>
        <v>18.366437054061954</v>
      </c>
      <c r="G422" s="258">
        <f t="shared" si="56"/>
        <v>16.306645574193045</v>
      </c>
      <c r="H422" s="166">
        <v>32.43</v>
      </c>
      <c r="I422" s="148">
        <v>859410.42321813386</v>
      </c>
      <c r="J422" s="181">
        <f>VLOOKUP($A422&amp;$B422,'LE Inputs'!$C$2:$J$505,MATCH('LE UtilityData'!J$1,'LE Inputs'!$C$1:$J$1,0),0)*1000</f>
        <v>1579216.9398459445</v>
      </c>
      <c r="K422" s="181">
        <v>640871.29782675125</v>
      </c>
      <c r="L422" s="157">
        <v>413215.68941596337</v>
      </c>
      <c r="M422" s="306"/>
      <c r="N422" s="150">
        <v>85171.134816905702</v>
      </c>
      <c r="O422" s="181">
        <f>VLOOKUP($A422&amp;$B422,'LE Inputs'!$C$2:$J$525,MATCH('LE UtilityData'!O$1,'LE Inputs'!$C$1:$J$1,0),0)</f>
        <v>82024.510612715967</v>
      </c>
      <c r="P422" s="181" t="e">
        <f>VLOOKUP($A422&amp;$B422,'LE Inputs'!$C$2:$J$505,MATCH('LE UtilityData'!P$1,'LE Inputs'!$C$1:$J$1,0),0)</f>
        <v>#N/A</v>
      </c>
      <c r="Q422" s="307">
        <f t="shared" si="57"/>
        <v>927.57249999999999</v>
      </c>
      <c r="R422" s="307">
        <f t="shared" si="57"/>
        <v>0.35</v>
      </c>
      <c r="S422" s="161">
        <f t="shared" si="57"/>
        <v>932.4</v>
      </c>
      <c r="T422" s="161">
        <f t="shared" si="57"/>
        <v>0.35</v>
      </c>
      <c r="U422" s="159">
        <v>4124</v>
      </c>
      <c r="V422" s="159">
        <v>1696</v>
      </c>
      <c r="W422" s="159" t="e">
        <f t="shared" si="53"/>
        <v>#DIV/0!</v>
      </c>
      <c r="X422" s="159">
        <f t="shared" si="50"/>
        <v>0</v>
      </c>
    </row>
    <row r="423" spans="1:24" x14ac:dyDescent="0.2">
      <c r="A423" s="147">
        <v>2036</v>
      </c>
      <c r="B423" s="147">
        <v>2</v>
      </c>
      <c r="E423" s="166">
        <v>19.928553765010125</v>
      </c>
      <c r="F423" s="258">
        <f t="shared" si="56"/>
        <v>18.366437054061954</v>
      </c>
      <c r="G423" s="258">
        <f t="shared" si="56"/>
        <v>16.306645574193045</v>
      </c>
      <c r="H423" s="166">
        <v>29.9</v>
      </c>
      <c r="I423" s="148">
        <v>859749.42321813386</v>
      </c>
      <c r="J423" s="181">
        <f>VLOOKUP($A423&amp;$B423,'LE Inputs'!$C$2:$J$505,MATCH('LE UtilityData'!J$1,'LE Inputs'!$C$1:$J$1,0),0)*1000</f>
        <v>1579216.9398459445</v>
      </c>
      <c r="K423" s="181">
        <v>640871.29782675125</v>
      </c>
      <c r="L423" s="157">
        <v>413378.68501728203</v>
      </c>
      <c r="M423" s="306"/>
      <c r="N423" s="150">
        <v>85171.134816905702</v>
      </c>
      <c r="O423" s="181">
        <f>VLOOKUP($A423&amp;$B423,'LE Inputs'!$C$2:$J$525,MATCH('LE UtilityData'!O$1,'LE Inputs'!$C$1:$J$1,0),0)</f>
        <v>82024.510612715967</v>
      </c>
      <c r="P423" s="181" t="e">
        <f>VLOOKUP($A423&amp;$B423,'LE Inputs'!$C$2:$J$505,MATCH('LE UtilityData'!P$1,'LE Inputs'!$C$1:$J$1,0),0)</f>
        <v>#N/A</v>
      </c>
      <c r="Q423" s="307">
        <f t="shared" si="57"/>
        <v>858.35750000000007</v>
      </c>
      <c r="R423" s="307">
        <f t="shared" si="57"/>
        <v>0.05</v>
      </c>
      <c r="S423" s="161">
        <f t="shared" si="57"/>
        <v>864.1</v>
      </c>
      <c r="T423" s="161">
        <f t="shared" si="57"/>
        <v>0.05</v>
      </c>
      <c r="U423" s="159">
        <v>4124</v>
      </c>
      <c r="V423" s="159">
        <v>1696</v>
      </c>
      <c r="W423" s="159" t="e">
        <f t="shared" si="53"/>
        <v>#DIV/0!</v>
      </c>
      <c r="X423" s="159">
        <f t="shared" si="50"/>
        <v>0</v>
      </c>
    </row>
    <row r="424" spans="1:24" x14ac:dyDescent="0.2">
      <c r="A424" s="147">
        <v>2036</v>
      </c>
      <c r="B424" s="147">
        <v>3</v>
      </c>
      <c r="E424" s="166">
        <v>19.928553765010125</v>
      </c>
      <c r="F424" s="258">
        <f t="shared" si="56"/>
        <v>18.366437054061954</v>
      </c>
      <c r="G424" s="258">
        <f t="shared" si="56"/>
        <v>16.306645574193045</v>
      </c>
      <c r="H424" s="166">
        <v>30.33</v>
      </c>
      <c r="I424" s="148">
        <v>860088.42321813386</v>
      </c>
      <c r="J424" s="181">
        <f>VLOOKUP($A424&amp;$B424,'LE Inputs'!$C$2:$J$505,MATCH('LE UtilityData'!J$1,'LE Inputs'!$C$1:$J$1,0),0)*1000</f>
        <v>1579216.9398459445</v>
      </c>
      <c r="K424" s="181">
        <v>640871.29782675125</v>
      </c>
      <c r="L424" s="157">
        <v>413541.68061860069</v>
      </c>
      <c r="M424" s="306"/>
      <c r="N424" s="150">
        <v>85171.134816905702</v>
      </c>
      <c r="O424" s="181">
        <f>VLOOKUP($A424&amp;$B424,'LE Inputs'!$C$2:$J$525,MATCH('LE UtilityData'!O$1,'LE Inputs'!$C$1:$J$1,0),0)</f>
        <v>82024.510612715967</v>
      </c>
      <c r="P424" s="181" t="e">
        <f>VLOOKUP($A424&amp;$B424,'LE Inputs'!$C$2:$J$505,MATCH('LE UtilityData'!P$1,'LE Inputs'!$C$1:$J$1,0),0)</f>
        <v>#N/A</v>
      </c>
      <c r="Q424" s="307">
        <f t="shared" si="57"/>
        <v>666.12749999999994</v>
      </c>
      <c r="R424" s="307">
        <f t="shared" si="57"/>
        <v>2.0225</v>
      </c>
      <c r="S424" s="161">
        <f t="shared" si="57"/>
        <v>674.3</v>
      </c>
      <c r="T424" s="161">
        <f t="shared" si="57"/>
        <v>1.1499999999999999</v>
      </c>
      <c r="U424" s="159">
        <v>4124</v>
      </c>
      <c r="V424" s="159">
        <v>1696</v>
      </c>
      <c r="W424" s="159" t="e">
        <f t="shared" si="53"/>
        <v>#DIV/0!</v>
      </c>
      <c r="X424" s="159">
        <f t="shared" si="50"/>
        <v>0</v>
      </c>
    </row>
    <row r="425" spans="1:24" x14ac:dyDescent="0.2">
      <c r="A425" s="147">
        <v>2036</v>
      </c>
      <c r="B425" s="147">
        <v>4</v>
      </c>
      <c r="E425" s="166">
        <v>19.928553765010125</v>
      </c>
      <c r="F425" s="258">
        <f t="shared" si="56"/>
        <v>18.366437054061954</v>
      </c>
      <c r="G425" s="258">
        <f t="shared" si="56"/>
        <v>16.306645574193045</v>
      </c>
      <c r="H425" s="166">
        <v>30.29</v>
      </c>
      <c r="I425" s="148">
        <v>860427.42321813386</v>
      </c>
      <c r="J425" s="181">
        <f>VLOOKUP($A425&amp;$B425,'LE Inputs'!$C$2:$J$505,MATCH('LE UtilityData'!J$1,'LE Inputs'!$C$1:$J$1,0),0)*1000</f>
        <v>1582100.5232058156</v>
      </c>
      <c r="K425" s="181">
        <v>642142.18493052502</v>
      </c>
      <c r="L425" s="157">
        <v>413704.67621991941</v>
      </c>
      <c r="M425" s="306"/>
      <c r="N425" s="150">
        <v>85559.213109438599</v>
      </c>
      <c r="O425" s="181">
        <f>VLOOKUP($A425&amp;$B425,'LE Inputs'!$C$2:$J$525,MATCH('LE UtilityData'!O$1,'LE Inputs'!$C$1:$J$1,0),0)</f>
        <v>82717.499565313352</v>
      </c>
      <c r="P425" s="181" t="e">
        <f>VLOOKUP($A425&amp;$B425,'LE Inputs'!$C$2:$J$505,MATCH('LE UtilityData'!P$1,'LE Inputs'!$C$1:$J$1,0),0)</f>
        <v>#N/A</v>
      </c>
      <c r="Q425" s="307">
        <f t="shared" si="57"/>
        <v>370.83499999999998</v>
      </c>
      <c r="R425" s="307">
        <f t="shared" si="57"/>
        <v>22.565000000000001</v>
      </c>
      <c r="S425" s="161">
        <f t="shared" si="57"/>
        <v>377.1</v>
      </c>
      <c r="T425" s="161">
        <f t="shared" si="57"/>
        <v>20.25</v>
      </c>
      <c r="U425" s="159">
        <v>4124</v>
      </c>
      <c r="V425" s="159">
        <v>1696</v>
      </c>
      <c r="W425" s="159" t="e">
        <f t="shared" si="53"/>
        <v>#DIV/0!</v>
      </c>
      <c r="X425" s="159">
        <f t="shared" si="50"/>
        <v>0</v>
      </c>
    </row>
    <row r="426" spans="1:24" x14ac:dyDescent="0.2">
      <c r="A426" s="147">
        <v>2036</v>
      </c>
      <c r="B426" s="147">
        <v>5</v>
      </c>
      <c r="E426" s="166">
        <v>19.928553765010125</v>
      </c>
      <c r="F426" s="258">
        <f t="shared" si="56"/>
        <v>18.366437054061954</v>
      </c>
      <c r="G426" s="258">
        <f t="shared" si="56"/>
        <v>16.306645574193045</v>
      </c>
      <c r="H426" s="166">
        <v>30.05</v>
      </c>
      <c r="I426" s="148">
        <v>860766.42321813386</v>
      </c>
      <c r="J426" s="181">
        <f>VLOOKUP($A426&amp;$B426,'LE Inputs'!$C$2:$J$505,MATCH('LE UtilityData'!J$1,'LE Inputs'!$C$1:$J$1,0),0)*1000</f>
        <v>1582100.5232058156</v>
      </c>
      <c r="K426" s="181">
        <v>642142.18493052502</v>
      </c>
      <c r="L426" s="157">
        <v>413867.67182123812</v>
      </c>
      <c r="M426" s="306"/>
      <c r="N426" s="150">
        <v>85559.213109438599</v>
      </c>
      <c r="O426" s="181">
        <f>VLOOKUP($A426&amp;$B426,'LE Inputs'!$C$2:$J$525,MATCH('LE UtilityData'!O$1,'LE Inputs'!$C$1:$J$1,0),0)</f>
        <v>82717.499565313352</v>
      </c>
      <c r="P426" s="181" t="e">
        <f>VLOOKUP($A426&amp;$B426,'LE Inputs'!$C$2:$J$505,MATCH('LE UtilityData'!P$1,'LE Inputs'!$C$1:$J$1,0),0)</f>
        <v>#N/A</v>
      </c>
      <c r="Q426" s="307">
        <f t="shared" si="57"/>
        <v>141.76749999999998</v>
      </c>
      <c r="R426" s="307">
        <f t="shared" si="57"/>
        <v>69.552499999999995</v>
      </c>
      <c r="S426" s="161">
        <f t="shared" si="57"/>
        <v>141</v>
      </c>
      <c r="T426" s="161">
        <f t="shared" si="57"/>
        <v>69.349999999999994</v>
      </c>
      <c r="U426" s="159">
        <v>4124</v>
      </c>
      <c r="V426" s="159">
        <v>1696</v>
      </c>
      <c r="W426" s="159" t="e">
        <f t="shared" si="53"/>
        <v>#DIV/0!</v>
      </c>
      <c r="X426" s="159">
        <f t="shared" si="50"/>
        <v>0</v>
      </c>
    </row>
    <row r="427" spans="1:24" x14ac:dyDescent="0.2">
      <c r="A427" s="147">
        <v>2036</v>
      </c>
      <c r="B427" s="147">
        <v>6</v>
      </c>
      <c r="E427" s="166">
        <v>19.928553765010125</v>
      </c>
      <c r="F427" s="258">
        <f t="shared" si="56"/>
        <v>18.366437054061954</v>
      </c>
      <c r="G427" s="258">
        <f t="shared" si="56"/>
        <v>16.306645574193045</v>
      </c>
      <c r="H427" s="166">
        <v>30.67</v>
      </c>
      <c r="I427" s="148">
        <v>861110.6308193109</v>
      </c>
      <c r="J427" s="181">
        <f>VLOOKUP($A427&amp;$B427,'LE Inputs'!$C$2:$J$505,MATCH('LE UtilityData'!J$1,'LE Inputs'!$C$1:$J$1,0),0)*1000</f>
        <v>1582100.5232058156</v>
      </c>
      <c r="K427" s="181">
        <v>642142.18493052502</v>
      </c>
      <c r="L427" s="157">
        <v>414033.17130481434</v>
      </c>
      <c r="M427" s="306"/>
      <c r="N427" s="150">
        <v>85559.213109438599</v>
      </c>
      <c r="O427" s="181">
        <f>VLOOKUP($A427&amp;$B427,'LE Inputs'!$C$2:$J$525,MATCH('LE UtilityData'!O$1,'LE Inputs'!$C$1:$J$1,0),0)</f>
        <v>82717.499565313352</v>
      </c>
      <c r="P427" s="181" t="e">
        <f>VLOOKUP($A427&amp;$B427,'LE Inputs'!$C$2:$J$505,MATCH('LE UtilityData'!P$1,'LE Inputs'!$C$1:$J$1,0),0)</f>
        <v>#N/A</v>
      </c>
      <c r="Q427" s="307">
        <f t="shared" si="57"/>
        <v>29.807499999999997</v>
      </c>
      <c r="R427" s="307">
        <f t="shared" si="57"/>
        <v>219.05749999999998</v>
      </c>
      <c r="S427" s="161">
        <f t="shared" si="57"/>
        <v>29.5</v>
      </c>
      <c r="T427" s="161">
        <f t="shared" si="57"/>
        <v>224.8</v>
      </c>
      <c r="U427" s="159">
        <v>4124</v>
      </c>
      <c r="V427" s="159">
        <v>1696</v>
      </c>
      <c r="W427" s="159" t="e">
        <f t="shared" si="53"/>
        <v>#DIV/0!</v>
      </c>
      <c r="X427" s="159">
        <f t="shared" si="50"/>
        <v>0</v>
      </c>
    </row>
    <row r="428" spans="1:24" x14ac:dyDescent="0.2">
      <c r="A428" s="147">
        <v>2036</v>
      </c>
      <c r="B428" s="147">
        <v>7</v>
      </c>
      <c r="E428" s="166">
        <v>19.928553765010125</v>
      </c>
      <c r="F428" s="258">
        <f t="shared" si="56"/>
        <v>18.366437054061954</v>
      </c>
      <c r="G428" s="258">
        <f t="shared" si="56"/>
        <v>16.306645574193045</v>
      </c>
      <c r="H428" s="166">
        <v>30.62</v>
      </c>
      <c r="I428" s="148">
        <v>861447.6308193109</v>
      </c>
      <c r="J428" s="181">
        <f>VLOOKUP($A428&amp;$B428,'LE Inputs'!$C$2:$J$505,MATCH('LE UtilityData'!J$1,'LE Inputs'!$C$1:$J$1,0),0)*1000</f>
        <v>1584982.3031928071</v>
      </c>
      <c r="K428" s="181">
        <v>643417.66149123572</v>
      </c>
      <c r="L428" s="157">
        <v>414195.20528016658</v>
      </c>
      <c r="M428" s="306"/>
      <c r="N428" s="150">
        <v>86044.326584540497</v>
      </c>
      <c r="O428" s="181">
        <f>VLOOKUP($A428&amp;$B428,'LE Inputs'!$C$2:$J$525,MATCH('LE UtilityData'!O$1,'LE Inputs'!$C$1:$J$1,0),0)</f>
        <v>83104.697938277255</v>
      </c>
      <c r="P428" s="181" t="e">
        <f>VLOOKUP($A428&amp;$B428,'LE Inputs'!$C$2:$J$505,MATCH('LE UtilityData'!P$1,'LE Inputs'!$C$1:$J$1,0),0)</f>
        <v>#N/A</v>
      </c>
      <c r="Q428" s="307">
        <f t="shared" si="57"/>
        <v>0.57250000000000001</v>
      </c>
      <c r="R428" s="307">
        <f t="shared" si="57"/>
        <v>397.17500000000001</v>
      </c>
      <c r="S428" s="161">
        <f t="shared" si="57"/>
        <v>0.55000000000000004</v>
      </c>
      <c r="T428" s="161">
        <f t="shared" si="57"/>
        <v>396.4</v>
      </c>
      <c r="U428" s="159">
        <v>4124</v>
      </c>
      <c r="V428" s="159">
        <v>1696</v>
      </c>
      <c r="W428" s="159" t="e">
        <f t="shared" si="53"/>
        <v>#DIV/0!</v>
      </c>
      <c r="X428" s="159">
        <f t="shared" si="50"/>
        <v>0</v>
      </c>
    </row>
    <row r="429" spans="1:24" x14ac:dyDescent="0.2">
      <c r="A429" s="147">
        <v>2036</v>
      </c>
      <c r="B429" s="147">
        <v>8</v>
      </c>
      <c r="E429" s="166">
        <v>19.928553765010125</v>
      </c>
      <c r="F429" s="258">
        <f t="shared" si="56"/>
        <v>18.366437054061954</v>
      </c>
      <c r="G429" s="258">
        <f t="shared" si="56"/>
        <v>16.306645574193045</v>
      </c>
      <c r="H429" s="166">
        <v>29.52</v>
      </c>
      <c r="I429" s="148">
        <v>861784.6308193109</v>
      </c>
      <c r="J429" s="181">
        <f>VLOOKUP($A429&amp;$B429,'LE Inputs'!$C$2:$J$505,MATCH('LE UtilityData'!J$1,'LE Inputs'!$C$1:$J$1,0),0)*1000</f>
        <v>1584982.3031928071</v>
      </c>
      <c r="K429" s="181">
        <v>643417.66149123572</v>
      </c>
      <c r="L429" s="157">
        <v>414357.23925551877</v>
      </c>
      <c r="M429" s="306"/>
      <c r="N429" s="150">
        <v>86044.326584540497</v>
      </c>
      <c r="O429" s="181">
        <f>VLOOKUP($A429&amp;$B429,'LE Inputs'!$C$2:$J$525,MATCH('LE UtilityData'!O$1,'LE Inputs'!$C$1:$J$1,0),0)</f>
        <v>83104.697938277255</v>
      </c>
      <c r="P429" s="181" t="e">
        <f>VLOOKUP($A429&amp;$B429,'LE Inputs'!$C$2:$J$505,MATCH('LE UtilityData'!P$1,'LE Inputs'!$C$1:$J$1,0),0)</f>
        <v>#N/A</v>
      </c>
      <c r="Q429" s="307">
        <f t="shared" si="57"/>
        <v>0.1</v>
      </c>
      <c r="R429" s="307">
        <f t="shared" si="57"/>
        <v>418.51750000000004</v>
      </c>
      <c r="S429" s="161">
        <f t="shared" si="57"/>
        <v>0.1</v>
      </c>
      <c r="T429" s="161">
        <f t="shared" si="57"/>
        <v>417.05</v>
      </c>
      <c r="U429" s="159">
        <v>4124</v>
      </c>
      <c r="V429" s="159">
        <v>1696</v>
      </c>
      <c r="W429" s="159" t="e">
        <f t="shared" si="53"/>
        <v>#DIV/0!</v>
      </c>
      <c r="X429" s="159">
        <f t="shared" si="50"/>
        <v>0</v>
      </c>
    </row>
    <row r="430" spans="1:24" x14ac:dyDescent="0.2">
      <c r="A430" s="147">
        <v>2036</v>
      </c>
      <c r="B430" s="147">
        <v>9</v>
      </c>
      <c r="E430" s="166">
        <v>19.928553765010125</v>
      </c>
      <c r="F430" s="258">
        <f t="shared" si="56"/>
        <v>18.366437054061954</v>
      </c>
      <c r="G430" s="258">
        <f t="shared" si="56"/>
        <v>16.306645574193045</v>
      </c>
      <c r="H430" s="166">
        <v>30.71</v>
      </c>
      <c r="I430" s="148">
        <v>862121.6308193109</v>
      </c>
      <c r="J430" s="181">
        <f>VLOOKUP($A430&amp;$B430,'LE Inputs'!$C$2:$J$505,MATCH('LE UtilityData'!J$1,'LE Inputs'!$C$1:$J$1,0),0)*1000</f>
        <v>1584982.3031928071</v>
      </c>
      <c r="K430" s="181">
        <v>643417.66149123572</v>
      </c>
      <c r="L430" s="157">
        <v>414519.27323087101</v>
      </c>
      <c r="M430" s="306"/>
      <c r="N430" s="150">
        <v>86044.326584540497</v>
      </c>
      <c r="O430" s="181">
        <f>VLOOKUP($A430&amp;$B430,'LE Inputs'!$C$2:$J$525,MATCH('LE UtilityData'!O$1,'LE Inputs'!$C$1:$J$1,0),0)</f>
        <v>83104.697938277255</v>
      </c>
      <c r="P430" s="181" t="e">
        <f>VLOOKUP($A430&amp;$B430,'LE Inputs'!$C$2:$J$505,MATCH('LE UtilityData'!P$1,'LE Inputs'!$C$1:$J$1,0),0)</f>
        <v>#N/A</v>
      </c>
      <c r="Q430" s="307">
        <f t="shared" si="57"/>
        <v>5.2125000000000004</v>
      </c>
      <c r="R430" s="307">
        <f t="shared" si="57"/>
        <v>326.05</v>
      </c>
      <c r="S430" s="161">
        <f t="shared" si="57"/>
        <v>5.35</v>
      </c>
      <c r="T430" s="161">
        <f t="shared" si="57"/>
        <v>330.2</v>
      </c>
      <c r="U430" s="159">
        <v>4124</v>
      </c>
      <c r="V430" s="159">
        <v>1696</v>
      </c>
      <c r="W430" s="159" t="e">
        <f t="shared" si="53"/>
        <v>#DIV/0!</v>
      </c>
      <c r="X430" s="159">
        <f t="shared" si="50"/>
        <v>0</v>
      </c>
    </row>
    <row r="431" spans="1:24" x14ac:dyDescent="0.2">
      <c r="A431" s="147">
        <v>2036</v>
      </c>
      <c r="B431" s="147">
        <v>10</v>
      </c>
      <c r="E431" s="166">
        <v>19.928553765010125</v>
      </c>
      <c r="F431" s="258">
        <f t="shared" si="56"/>
        <v>18.366437054061954</v>
      </c>
      <c r="G431" s="258">
        <f t="shared" si="56"/>
        <v>16.306645574193045</v>
      </c>
      <c r="H431" s="166">
        <v>29.52</v>
      </c>
      <c r="I431" s="148">
        <v>862458.6308193109</v>
      </c>
      <c r="J431" s="181">
        <f>VLOOKUP($A431&amp;$B431,'LE Inputs'!$C$2:$J$505,MATCH('LE UtilityData'!J$1,'LE Inputs'!$C$1:$J$1,0),0)*1000</f>
        <v>1587863.1187716625</v>
      </c>
      <c r="K431" s="181">
        <v>644646.42834154051</v>
      </c>
      <c r="L431" s="157">
        <v>414681.30720622325</v>
      </c>
      <c r="M431" s="306"/>
      <c r="N431" s="150">
        <v>86593.994738982801</v>
      </c>
      <c r="O431" s="181">
        <f>VLOOKUP($A431&amp;$B431,'LE Inputs'!$C$2:$J$525,MATCH('LE UtilityData'!O$1,'LE Inputs'!$C$1:$J$1,0),0)</f>
        <v>83544.675852693821</v>
      </c>
      <c r="P431" s="181" t="e">
        <f>VLOOKUP($A431&amp;$B431,'LE Inputs'!$C$2:$J$505,MATCH('LE UtilityData'!P$1,'LE Inputs'!$C$1:$J$1,0),0)</f>
        <v>#N/A</v>
      </c>
      <c r="Q431" s="307">
        <f t="shared" si="57"/>
        <v>99.232500000000002</v>
      </c>
      <c r="R431" s="307">
        <f t="shared" si="57"/>
        <v>97.24</v>
      </c>
      <c r="S431" s="161">
        <f t="shared" si="57"/>
        <v>99.3</v>
      </c>
      <c r="T431" s="161">
        <f t="shared" si="57"/>
        <v>100.05</v>
      </c>
      <c r="U431" s="159">
        <v>4124</v>
      </c>
      <c r="V431" s="159">
        <v>1696</v>
      </c>
      <c r="W431" s="159" t="e">
        <f t="shared" si="53"/>
        <v>#DIV/0!</v>
      </c>
      <c r="X431" s="159">
        <f t="shared" si="50"/>
        <v>0</v>
      </c>
    </row>
    <row r="432" spans="1:24" x14ac:dyDescent="0.2">
      <c r="A432" s="147">
        <v>2036</v>
      </c>
      <c r="B432" s="147">
        <v>11</v>
      </c>
      <c r="E432" s="166">
        <v>19.928553765010125</v>
      </c>
      <c r="F432" s="258">
        <f t="shared" si="56"/>
        <v>18.366437054061954</v>
      </c>
      <c r="G432" s="258">
        <f t="shared" si="56"/>
        <v>16.306645574193045</v>
      </c>
      <c r="H432" s="166">
        <v>29.38</v>
      </c>
      <c r="I432" s="148">
        <v>862795.6308193109</v>
      </c>
      <c r="J432" s="181">
        <f>VLOOKUP($A432&amp;$B432,'LE Inputs'!$C$2:$J$505,MATCH('LE UtilityData'!J$1,'LE Inputs'!$C$1:$J$1,0),0)*1000</f>
        <v>1587863.1187716625</v>
      </c>
      <c r="K432" s="181">
        <v>644646.42834154051</v>
      </c>
      <c r="L432" s="157">
        <v>414843.34118157544</v>
      </c>
      <c r="M432" s="306"/>
      <c r="N432" s="150">
        <v>86593.994738982801</v>
      </c>
      <c r="O432" s="181">
        <f>VLOOKUP($A432&amp;$B432,'LE Inputs'!$C$2:$J$525,MATCH('LE UtilityData'!O$1,'LE Inputs'!$C$1:$J$1,0),0)</f>
        <v>83544.675852693821</v>
      </c>
      <c r="P432" s="181" t="e">
        <f>VLOOKUP($A432&amp;$B432,'LE Inputs'!$C$2:$J$505,MATCH('LE UtilityData'!P$1,'LE Inputs'!$C$1:$J$1,0),0)</f>
        <v>#N/A</v>
      </c>
      <c r="Q432" s="307">
        <f t="shared" si="57"/>
        <v>353.59499999999997</v>
      </c>
      <c r="R432" s="307">
        <f t="shared" si="57"/>
        <v>11.487500000000001</v>
      </c>
      <c r="S432" s="161">
        <f t="shared" si="57"/>
        <v>352.6</v>
      </c>
      <c r="T432" s="161">
        <f t="shared" si="57"/>
        <v>12.75</v>
      </c>
      <c r="U432" s="159">
        <v>4124</v>
      </c>
      <c r="V432" s="159">
        <v>1696</v>
      </c>
      <c r="W432" s="159" t="e">
        <f t="shared" si="53"/>
        <v>#DIV/0!</v>
      </c>
      <c r="X432" s="159">
        <f t="shared" si="50"/>
        <v>0</v>
      </c>
    </row>
    <row r="433" spans="1:24" x14ac:dyDescent="0.2">
      <c r="A433" s="147">
        <v>2036</v>
      </c>
      <c r="B433" s="147">
        <v>12</v>
      </c>
      <c r="E433" s="166">
        <v>19.928553765010125</v>
      </c>
      <c r="F433" s="258">
        <f t="shared" si="56"/>
        <v>18.366437054061954</v>
      </c>
      <c r="G433" s="258">
        <f t="shared" si="56"/>
        <v>16.306645574193045</v>
      </c>
      <c r="H433" s="166">
        <v>32.81</v>
      </c>
      <c r="I433" s="148">
        <v>863132.6308193109</v>
      </c>
      <c r="J433" s="181">
        <f>VLOOKUP($A433&amp;$B433,'LE Inputs'!$C$2:$J$505,MATCH('LE UtilityData'!J$1,'LE Inputs'!$C$1:$J$1,0),0)*1000</f>
        <v>1587863.1187716625</v>
      </c>
      <c r="K433" s="181">
        <v>644646.42834154051</v>
      </c>
      <c r="L433" s="157">
        <v>415005.37515692768</v>
      </c>
      <c r="M433" s="306"/>
      <c r="N433" s="150">
        <v>86593.994738982801</v>
      </c>
      <c r="O433" s="181">
        <f>VLOOKUP($A433&amp;$B433,'LE Inputs'!$C$2:$J$525,MATCH('LE UtilityData'!O$1,'LE Inputs'!$C$1:$J$1,0),0)</f>
        <v>83544.675852693821</v>
      </c>
      <c r="P433" s="181" t="e">
        <f>VLOOKUP($A433&amp;$B433,'LE Inputs'!$C$2:$J$505,MATCH('LE UtilityData'!P$1,'LE Inputs'!$C$1:$J$1,0),0)</f>
        <v>#N/A</v>
      </c>
      <c r="Q433" s="307">
        <f t="shared" si="57"/>
        <v>667.68999999999994</v>
      </c>
      <c r="R433" s="307">
        <f t="shared" si="57"/>
        <v>1.1850000000000001</v>
      </c>
      <c r="S433" s="161">
        <f t="shared" si="57"/>
        <v>669.9</v>
      </c>
      <c r="T433" s="161">
        <f t="shared" si="57"/>
        <v>1.05</v>
      </c>
      <c r="U433" s="159">
        <v>4124</v>
      </c>
      <c r="V433" s="159">
        <v>1696</v>
      </c>
      <c r="W433" s="159" t="e">
        <f t="shared" si="53"/>
        <v>#DIV/0!</v>
      </c>
      <c r="X433" s="159">
        <f t="shared" si="50"/>
        <v>0</v>
      </c>
    </row>
    <row r="434" spans="1:24" x14ac:dyDescent="0.2">
      <c r="A434" s="147">
        <v>2037</v>
      </c>
      <c r="B434" s="147">
        <v>1</v>
      </c>
      <c r="E434" s="166">
        <v>20.426767609135375</v>
      </c>
      <c r="F434" s="258">
        <f t="shared" si="56"/>
        <v>18.733765795143192</v>
      </c>
      <c r="G434" s="258">
        <f t="shared" si="56"/>
        <v>16.632778485676905</v>
      </c>
      <c r="H434" s="166">
        <v>32.43</v>
      </c>
      <c r="I434" s="148">
        <v>863469.6308193109</v>
      </c>
      <c r="J434" s="181">
        <f>VLOOKUP($A434&amp;$B434,'LE Inputs'!$C$2:$J$505,MATCH('LE UtilityData'!J$1,'LE Inputs'!$C$1:$J$1,0),0)*1000</f>
        <v>1590337.1175079371</v>
      </c>
      <c r="K434" s="181">
        <v>646178.68991644832</v>
      </c>
      <c r="L434" s="157">
        <v>415167.40913227998</v>
      </c>
      <c r="M434" s="306"/>
      <c r="N434" s="150">
        <v>87420.549257200895</v>
      </c>
      <c r="O434" s="181">
        <f>VLOOKUP($A434&amp;$B434,'LE Inputs'!$C$2:$J$525,MATCH('LE UtilityData'!O$1,'LE Inputs'!$C$1:$J$1,0),0)</f>
        <v>83199.431490098679</v>
      </c>
      <c r="P434" s="181" t="e">
        <f>VLOOKUP($A434&amp;$B434,'LE Inputs'!$C$2:$J$505,MATCH('LE UtilityData'!P$1,'LE Inputs'!$C$1:$J$1,0),0)</f>
        <v>#N/A</v>
      </c>
      <c r="Q434" s="307">
        <f t="shared" si="57"/>
        <v>927.57249999999999</v>
      </c>
      <c r="R434" s="307">
        <f t="shared" si="57"/>
        <v>0.35</v>
      </c>
      <c r="S434" s="161">
        <f t="shared" si="57"/>
        <v>932.4</v>
      </c>
      <c r="T434" s="161">
        <f t="shared" si="57"/>
        <v>0.35</v>
      </c>
      <c r="U434" s="159">
        <v>4124</v>
      </c>
      <c r="V434" s="159">
        <v>1696</v>
      </c>
      <c r="W434" s="159" t="e">
        <f t="shared" si="53"/>
        <v>#DIV/0!</v>
      </c>
      <c r="X434" s="159">
        <f t="shared" si="50"/>
        <v>0</v>
      </c>
    </row>
    <row r="435" spans="1:24" x14ac:dyDescent="0.2">
      <c r="A435" s="147">
        <v>2037</v>
      </c>
      <c r="B435" s="147">
        <v>2</v>
      </c>
      <c r="E435" s="166">
        <v>20.426767609135375</v>
      </c>
      <c r="F435" s="258">
        <f t="shared" ref="F435:G450" si="58">F423*(1+0.02)</f>
        <v>18.733765795143192</v>
      </c>
      <c r="G435" s="258">
        <f t="shared" si="58"/>
        <v>16.632778485676905</v>
      </c>
      <c r="H435" s="166">
        <v>29.9</v>
      </c>
      <c r="I435" s="148">
        <v>863806.6308193109</v>
      </c>
      <c r="J435" s="181">
        <f>VLOOKUP($A435&amp;$B435,'LE Inputs'!$C$2:$J$505,MATCH('LE UtilityData'!J$1,'LE Inputs'!$C$1:$J$1,0),0)*1000</f>
        <v>1590337.1175079371</v>
      </c>
      <c r="K435" s="181">
        <v>646178.68991644832</v>
      </c>
      <c r="L435" s="157">
        <v>415329.44310763216</v>
      </c>
      <c r="M435" s="306"/>
      <c r="N435" s="150">
        <v>87420.549257200895</v>
      </c>
      <c r="O435" s="181">
        <f>VLOOKUP($A435&amp;$B435,'LE Inputs'!$C$2:$J$525,MATCH('LE UtilityData'!O$1,'LE Inputs'!$C$1:$J$1,0),0)</f>
        <v>83199.431490098679</v>
      </c>
      <c r="P435" s="181" t="e">
        <f>VLOOKUP($A435&amp;$B435,'LE Inputs'!$C$2:$J$505,MATCH('LE UtilityData'!P$1,'LE Inputs'!$C$1:$J$1,0),0)</f>
        <v>#N/A</v>
      </c>
      <c r="Q435" s="307">
        <f t="shared" ref="Q435:T450" si="59">Q423</f>
        <v>858.35750000000007</v>
      </c>
      <c r="R435" s="307">
        <f t="shared" si="59"/>
        <v>0.05</v>
      </c>
      <c r="S435" s="161">
        <f t="shared" si="59"/>
        <v>864.1</v>
      </c>
      <c r="T435" s="161">
        <f t="shared" si="59"/>
        <v>0.05</v>
      </c>
      <c r="U435" s="159">
        <v>4124</v>
      </c>
      <c r="V435" s="159">
        <v>1696</v>
      </c>
      <c r="W435" s="159" t="e">
        <f t="shared" si="53"/>
        <v>#DIV/0!</v>
      </c>
      <c r="X435" s="159">
        <f t="shared" si="50"/>
        <v>0</v>
      </c>
    </row>
    <row r="436" spans="1:24" x14ac:dyDescent="0.2">
      <c r="A436" s="147">
        <v>2037</v>
      </c>
      <c r="B436" s="147">
        <v>3</v>
      </c>
      <c r="E436" s="166">
        <v>20.426767609135375</v>
      </c>
      <c r="F436" s="258">
        <f t="shared" si="58"/>
        <v>18.733765795143192</v>
      </c>
      <c r="G436" s="258">
        <f t="shared" si="58"/>
        <v>16.632778485676905</v>
      </c>
      <c r="H436" s="166">
        <v>30.33</v>
      </c>
      <c r="I436" s="148">
        <v>864143.6308193109</v>
      </c>
      <c r="J436" s="181">
        <f>VLOOKUP($A436&amp;$B436,'LE Inputs'!$C$2:$J$505,MATCH('LE UtilityData'!J$1,'LE Inputs'!$C$1:$J$1,0),0)*1000</f>
        <v>1590337.1175079371</v>
      </c>
      <c r="K436" s="181">
        <v>646178.68991644832</v>
      </c>
      <c r="L436" s="157">
        <v>415491.47708298435</v>
      </c>
      <c r="M436" s="306"/>
      <c r="N436" s="150">
        <v>87420.549257200895</v>
      </c>
      <c r="O436" s="181">
        <f>VLOOKUP($A436&amp;$B436,'LE Inputs'!$C$2:$J$525,MATCH('LE UtilityData'!O$1,'LE Inputs'!$C$1:$J$1,0),0)</f>
        <v>83199.431490098679</v>
      </c>
      <c r="P436" s="181" t="e">
        <f>VLOOKUP($A436&amp;$B436,'LE Inputs'!$C$2:$J$505,MATCH('LE UtilityData'!P$1,'LE Inputs'!$C$1:$J$1,0),0)</f>
        <v>#N/A</v>
      </c>
      <c r="Q436" s="307">
        <f t="shared" si="59"/>
        <v>666.12749999999994</v>
      </c>
      <c r="R436" s="307">
        <f t="shared" si="59"/>
        <v>2.0225</v>
      </c>
      <c r="S436" s="161">
        <f t="shared" si="59"/>
        <v>674.3</v>
      </c>
      <c r="T436" s="161">
        <f t="shared" si="59"/>
        <v>1.1499999999999999</v>
      </c>
      <c r="U436" s="159">
        <v>4124</v>
      </c>
      <c r="V436" s="159">
        <v>1696</v>
      </c>
      <c r="W436" s="159" t="e">
        <f t="shared" si="53"/>
        <v>#DIV/0!</v>
      </c>
      <c r="X436" s="159">
        <f t="shared" si="50"/>
        <v>0</v>
      </c>
    </row>
    <row r="437" spans="1:24" x14ac:dyDescent="0.2">
      <c r="A437" s="147">
        <v>2037</v>
      </c>
      <c r="B437" s="147">
        <v>4</v>
      </c>
      <c r="E437" s="166">
        <v>20.426767609135375</v>
      </c>
      <c r="F437" s="258">
        <f t="shared" si="58"/>
        <v>18.733765795143192</v>
      </c>
      <c r="G437" s="258">
        <f t="shared" si="58"/>
        <v>16.632778485676905</v>
      </c>
      <c r="H437" s="166">
        <v>30.29</v>
      </c>
      <c r="I437" s="148">
        <v>864480.6308193109</v>
      </c>
      <c r="J437" s="181">
        <f>VLOOKUP($A437&amp;$B437,'LE Inputs'!$C$2:$J$505,MATCH('LE UtilityData'!J$1,'LE Inputs'!$C$1:$J$1,0),0)*1000</f>
        <v>1593215.3142308297</v>
      </c>
      <c r="K437" s="181">
        <v>647242.35365531093</v>
      </c>
      <c r="L437" s="157">
        <v>415653.51105833665</v>
      </c>
      <c r="M437" s="306"/>
      <c r="N437" s="150">
        <v>87699.369921570003</v>
      </c>
      <c r="O437" s="181">
        <f>VLOOKUP($A437&amp;$B437,'LE Inputs'!$C$2:$J$525,MATCH('LE UtilityData'!O$1,'LE Inputs'!$C$1:$J$1,0),0)</f>
        <v>83548.231966297608</v>
      </c>
      <c r="P437" s="181" t="e">
        <f>VLOOKUP($A437&amp;$B437,'LE Inputs'!$C$2:$J$505,MATCH('LE UtilityData'!P$1,'LE Inputs'!$C$1:$J$1,0),0)</f>
        <v>#N/A</v>
      </c>
      <c r="Q437" s="307">
        <f t="shared" si="59"/>
        <v>370.83499999999998</v>
      </c>
      <c r="R437" s="307">
        <f t="shared" si="59"/>
        <v>22.565000000000001</v>
      </c>
      <c r="S437" s="161">
        <f t="shared" si="59"/>
        <v>377.1</v>
      </c>
      <c r="T437" s="161">
        <f t="shared" si="59"/>
        <v>20.25</v>
      </c>
      <c r="U437" s="159">
        <v>4124</v>
      </c>
      <c r="V437" s="159">
        <v>1696</v>
      </c>
      <c r="W437" s="159" t="e">
        <f t="shared" si="53"/>
        <v>#DIV/0!</v>
      </c>
      <c r="X437" s="159">
        <f t="shared" si="50"/>
        <v>0</v>
      </c>
    </row>
    <row r="438" spans="1:24" x14ac:dyDescent="0.2">
      <c r="A438" s="147">
        <v>2037</v>
      </c>
      <c r="B438" s="147">
        <v>5</v>
      </c>
      <c r="E438" s="166">
        <v>20.426767609135375</v>
      </c>
      <c r="F438" s="258">
        <f t="shared" si="58"/>
        <v>18.733765795143192</v>
      </c>
      <c r="G438" s="258">
        <f t="shared" si="58"/>
        <v>16.632778485676905</v>
      </c>
      <c r="H438" s="166">
        <v>30.05</v>
      </c>
      <c r="I438" s="148">
        <v>864817.6308193109</v>
      </c>
      <c r="J438" s="181">
        <f>VLOOKUP($A438&amp;$B438,'LE Inputs'!$C$2:$J$505,MATCH('LE UtilityData'!J$1,'LE Inputs'!$C$1:$J$1,0),0)*1000</f>
        <v>1593215.3142308297</v>
      </c>
      <c r="K438" s="181">
        <v>647242.35365531093</v>
      </c>
      <c r="L438" s="157">
        <v>415815.54503368889</v>
      </c>
      <c r="M438" s="306"/>
      <c r="N438" s="150">
        <v>87699.369921570003</v>
      </c>
      <c r="O438" s="181">
        <f>VLOOKUP($A438&amp;$B438,'LE Inputs'!$C$2:$J$525,MATCH('LE UtilityData'!O$1,'LE Inputs'!$C$1:$J$1,0),0)</f>
        <v>83548.231966297608</v>
      </c>
      <c r="P438" s="181" t="e">
        <f>VLOOKUP($A438&amp;$B438,'LE Inputs'!$C$2:$J$505,MATCH('LE UtilityData'!P$1,'LE Inputs'!$C$1:$J$1,0),0)</f>
        <v>#N/A</v>
      </c>
      <c r="Q438" s="307">
        <f t="shared" si="59"/>
        <v>141.76749999999998</v>
      </c>
      <c r="R438" s="307">
        <f t="shared" si="59"/>
        <v>69.552499999999995</v>
      </c>
      <c r="S438" s="161">
        <f t="shared" si="59"/>
        <v>141</v>
      </c>
      <c r="T438" s="161">
        <f t="shared" si="59"/>
        <v>69.349999999999994</v>
      </c>
      <c r="U438" s="159">
        <v>4124</v>
      </c>
      <c r="V438" s="159">
        <v>1696</v>
      </c>
      <c r="W438" s="159" t="e">
        <f t="shared" si="53"/>
        <v>#DIV/0!</v>
      </c>
      <c r="X438" s="159">
        <f t="shared" si="50"/>
        <v>0</v>
      </c>
    </row>
    <row r="439" spans="1:24" x14ac:dyDescent="0.2">
      <c r="A439" s="147">
        <v>2037</v>
      </c>
      <c r="B439" s="147">
        <v>6</v>
      </c>
      <c r="E439" s="166">
        <v>20.426767609135375</v>
      </c>
      <c r="F439" s="258">
        <f t="shared" si="58"/>
        <v>18.733765795143192</v>
      </c>
      <c r="G439" s="258">
        <f t="shared" si="58"/>
        <v>16.632778485676905</v>
      </c>
      <c r="H439" s="166">
        <v>30.67</v>
      </c>
      <c r="I439" s="148">
        <v>865150.2308211351</v>
      </c>
      <c r="J439" s="181">
        <f>VLOOKUP($A439&amp;$B439,'LE Inputs'!$C$2:$J$505,MATCH('LE UtilityData'!J$1,'LE Inputs'!$C$1:$J$1,0),0)*1000</f>
        <v>1593215.3142308297</v>
      </c>
      <c r="K439" s="181">
        <v>647242.35365531093</v>
      </c>
      <c r="L439" s="157">
        <v>415975.46343279199</v>
      </c>
      <c r="M439" s="306"/>
      <c r="N439" s="150">
        <v>87699.369921570003</v>
      </c>
      <c r="O439" s="181">
        <f>VLOOKUP($A439&amp;$B439,'LE Inputs'!$C$2:$J$525,MATCH('LE UtilityData'!O$1,'LE Inputs'!$C$1:$J$1,0),0)</f>
        <v>83548.231966297608</v>
      </c>
      <c r="P439" s="181" t="e">
        <f>VLOOKUP($A439&amp;$B439,'LE Inputs'!$C$2:$J$505,MATCH('LE UtilityData'!P$1,'LE Inputs'!$C$1:$J$1,0),0)</f>
        <v>#N/A</v>
      </c>
      <c r="Q439" s="307">
        <f t="shared" si="59"/>
        <v>29.807499999999997</v>
      </c>
      <c r="R439" s="307">
        <f t="shared" si="59"/>
        <v>219.05749999999998</v>
      </c>
      <c r="S439" s="161">
        <f t="shared" si="59"/>
        <v>29.5</v>
      </c>
      <c r="T439" s="161">
        <f t="shared" si="59"/>
        <v>224.8</v>
      </c>
      <c r="U439" s="159">
        <v>4124</v>
      </c>
      <c r="V439" s="159">
        <v>1696</v>
      </c>
      <c r="W439" s="159" t="e">
        <f t="shared" si="53"/>
        <v>#DIV/0!</v>
      </c>
      <c r="X439" s="159">
        <f t="shared" si="50"/>
        <v>0</v>
      </c>
    </row>
    <row r="440" spans="1:24" x14ac:dyDescent="0.2">
      <c r="A440" s="147">
        <v>2037</v>
      </c>
      <c r="B440" s="147">
        <v>7</v>
      </c>
      <c r="E440" s="166">
        <v>20.426767609135375</v>
      </c>
      <c r="F440" s="258">
        <f t="shared" si="58"/>
        <v>18.733765795143192</v>
      </c>
      <c r="G440" s="258">
        <f t="shared" si="58"/>
        <v>16.632778485676905</v>
      </c>
      <c r="H440" s="166">
        <v>30.62</v>
      </c>
      <c r="I440" s="148">
        <v>865485.2308211351</v>
      </c>
      <c r="J440" s="181">
        <f>VLOOKUP($A440&amp;$B440,'LE Inputs'!$C$2:$J$505,MATCH('LE UtilityData'!J$1,'LE Inputs'!$C$1:$J$1,0),0)*1000</f>
        <v>1596095.9356728196</v>
      </c>
      <c r="K440" s="181">
        <v>648426.76799107238</v>
      </c>
      <c r="L440" s="157">
        <v>416136.53578217776</v>
      </c>
      <c r="M440" s="306"/>
      <c r="N440" s="150">
        <v>88261.644288880503</v>
      </c>
      <c r="O440" s="181">
        <f>VLOOKUP($A440&amp;$B440,'LE Inputs'!$C$2:$J$525,MATCH('LE UtilityData'!O$1,'LE Inputs'!$C$1:$J$1,0),0)</f>
        <v>83976.50264092008</v>
      </c>
      <c r="P440" s="181" t="e">
        <f>VLOOKUP($A440&amp;$B440,'LE Inputs'!$C$2:$J$505,MATCH('LE UtilityData'!P$1,'LE Inputs'!$C$1:$J$1,0),0)</f>
        <v>#N/A</v>
      </c>
      <c r="Q440" s="307">
        <f t="shared" si="59"/>
        <v>0.57250000000000001</v>
      </c>
      <c r="R440" s="307">
        <f t="shared" si="59"/>
        <v>397.17500000000001</v>
      </c>
      <c r="S440" s="161">
        <f t="shared" si="59"/>
        <v>0.55000000000000004</v>
      </c>
      <c r="T440" s="161">
        <f t="shared" si="59"/>
        <v>396.4</v>
      </c>
      <c r="U440" s="159">
        <v>4124</v>
      </c>
      <c r="V440" s="159">
        <v>1696</v>
      </c>
      <c r="W440" s="159" t="e">
        <f t="shared" si="53"/>
        <v>#DIV/0!</v>
      </c>
      <c r="X440" s="159">
        <f t="shared" si="50"/>
        <v>0</v>
      </c>
    </row>
    <row r="441" spans="1:24" x14ac:dyDescent="0.2">
      <c r="A441" s="147">
        <v>2037</v>
      </c>
      <c r="B441" s="147">
        <v>8</v>
      </c>
      <c r="E441" s="166">
        <v>20.426767609135375</v>
      </c>
      <c r="F441" s="258">
        <f t="shared" si="58"/>
        <v>18.733765795143192</v>
      </c>
      <c r="G441" s="258">
        <f t="shared" si="58"/>
        <v>16.632778485676905</v>
      </c>
      <c r="H441" s="166">
        <v>29.52</v>
      </c>
      <c r="I441" s="148">
        <v>865820.2308211351</v>
      </c>
      <c r="J441" s="181">
        <f>VLOOKUP($A441&amp;$B441,'LE Inputs'!$C$2:$J$505,MATCH('LE UtilityData'!J$1,'LE Inputs'!$C$1:$J$1,0),0)*1000</f>
        <v>1596095.9356728196</v>
      </c>
      <c r="K441" s="181">
        <v>648426.76799107238</v>
      </c>
      <c r="L441" s="157">
        <v>416297.60813156352</v>
      </c>
      <c r="M441" s="306"/>
      <c r="N441" s="150">
        <v>88261.644288880503</v>
      </c>
      <c r="O441" s="181">
        <f>VLOOKUP($A441&amp;$B441,'LE Inputs'!$C$2:$J$525,MATCH('LE UtilityData'!O$1,'LE Inputs'!$C$1:$J$1,0),0)</f>
        <v>83976.50264092008</v>
      </c>
      <c r="P441" s="181" t="e">
        <f>VLOOKUP($A441&amp;$B441,'LE Inputs'!$C$2:$J$505,MATCH('LE UtilityData'!P$1,'LE Inputs'!$C$1:$J$1,0),0)</f>
        <v>#N/A</v>
      </c>
      <c r="Q441" s="307">
        <f t="shared" si="59"/>
        <v>0.1</v>
      </c>
      <c r="R441" s="307">
        <f t="shared" si="59"/>
        <v>418.51750000000004</v>
      </c>
      <c r="S441" s="161">
        <f t="shared" si="59"/>
        <v>0.1</v>
      </c>
      <c r="T441" s="161">
        <f t="shared" si="59"/>
        <v>417.05</v>
      </c>
      <c r="U441" s="159">
        <v>4124</v>
      </c>
      <c r="V441" s="159">
        <v>1696</v>
      </c>
      <c r="W441" s="159" t="e">
        <f t="shared" si="53"/>
        <v>#DIV/0!</v>
      </c>
      <c r="X441" s="159">
        <f t="shared" si="50"/>
        <v>0</v>
      </c>
    </row>
    <row r="442" spans="1:24" x14ac:dyDescent="0.2">
      <c r="A442" s="147">
        <v>2037</v>
      </c>
      <c r="B442" s="147">
        <v>9</v>
      </c>
      <c r="E442" s="166">
        <v>20.426767609135375</v>
      </c>
      <c r="F442" s="258">
        <f t="shared" si="58"/>
        <v>18.733765795143192</v>
      </c>
      <c r="G442" s="258">
        <f t="shared" si="58"/>
        <v>16.632778485676905</v>
      </c>
      <c r="H442" s="166">
        <v>30.71</v>
      </c>
      <c r="I442" s="148">
        <v>866155.2308211351</v>
      </c>
      <c r="J442" s="181">
        <f>VLOOKUP($A442&amp;$B442,'LE Inputs'!$C$2:$J$505,MATCH('LE UtilityData'!J$1,'LE Inputs'!$C$1:$J$1,0),0)*1000</f>
        <v>1596095.9356728196</v>
      </c>
      <c r="K442" s="181">
        <v>648426.76799107238</v>
      </c>
      <c r="L442" s="157">
        <v>416458.68048094929</v>
      </c>
      <c r="M442" s="306"/>
      <c r="N442" s="150">
        <v>88261.644288880503</v>
      </c>
      <c r="O442" s="181">
        <f>VLOOKUP($A442&amp;$B442,'LE Inputs'!$C$2:$J$525,MATCH('LE UtilityData'!O$1,'LE Inputs'!$C$1:$J$1,0),0)</f>
        <v>83976.50264092008</v>
      </c>
      <c r="P442" s="181" t="e">
        <f>VLOOKUP($A442&amp;$B442,'LE Inputs'!$C$2:$J$505,MATCH('LE UtilityData'!P$1,'LE Inputs'!$C$1:$J$1,0),0)</f>
        <v>#N/A</v>
      </c>
      <c r="Q442" s="307">
        <f t="shared" si="59"/>
        <v>5.2125000000000004</v>
      </c>
      <c r="R442" s="307">
        <f t="shared" si="59"/>
        <v>326.05</v>
      </c>
      <c r="S442" s="161">
        <f t="shared" si="59"/>
        <v>5.35</v>
      </c>
      <c r="T442" s="161">
        <f t="shared" si="59"/>
        <v>330.2</v>
      </c>
      <c r="U442" s="159">
        <v>4124</v>
      </c>
      <c r="V442" s="159">
        <v>1696</v>
      </c>
      <c r="W442" s="159" t="e">
        <f t="shared" si="53"/>
        <v>#DIV/0!</v>
      </c>
      <c r="X442" s="159">
        <f t="shared" si="50"/>
        <v>0</v>
      </c>
    </row>
    <row r="443" spans="1:24" x14ac:dyDescent="0.2">
      <c r="A443" s="147">
        <v>2037</v>
      </c>
      <c r="B443" s="147">
        <v>10</v>
      </c>
      <c r="E443" s="166">
        <v>20.426767609135375</v>
      </c>
      <c r="F443" s="258">
        <f t="shared" si="58"/>
        <v>18.733765795143192</v>
      </c>
      <c r="G443" s="258">
        <f t="shared" si="58"/>
        <v>16.632778485676905</v>
      </c>
      <c r="H443" s="166">
        <v>29.52</v>
      </c>
      <c r="I443" s="148">
        <v>866490.2308211351</v>
      </c>
      <c r="J443" s="181">
        <f>VLOOKUP($A443&amp;$B443,'LE Inputs'!$C$2:$J$505,MATCH('LE UtilityData'!J$1,'LE Inputs'!$C$1:$J$1,0),0)*1000</f>
        <v>1598976.4503681336</v>
      </c>
      <c r="K443" s="181">
        <v>649581.91279176739</v>
      </c>
      <c r="L443" s="157">
        <v>416619.75283033506</v>
      </c>
      <c r="M443" s="306"/>
      <c r="N443" s="150">
        <v>88754.796066176699</v>
      </c>
      <c r="O443" s="181">
        <f>VLOOKUP($A443&amp;$B443,'LE Inputs'!$C$2:$J$525,MATCH('LE UtilityData'!O$1,'LE Inputs'!$C$1:$J$1,0),0)</f>
        <v>84447.650084376844</v>
      </c>
      <c r="P443" s="181" t="e">
        <f>VLOOKUP($A443&amp;$B443,'LE Inputs'!$C$2:$J$505,MATCH('LE UtilityData'!P$1,'LE Inputs'!$C$1:$J$1,0),0)</f>
        <v>#N/A</v>
      </c>
      <c r="Q443" s="307">
        <f t="shared" si="59"/>
        <v>99.232500000000002</v>
      </c>
      <c r="R443" s="307">
        <f t="shared" si="59"/>
        <v>97.24</v>
      </c>
      <c r="S443" s="161">
        <f t="shared" si="59"/>
        <v>99.3</v>
      </c>
      <c r="T443" s="161">
        <f t="shared" si="59"/>
        <v>100.05</v>
      </c>
      <c r="U443" s="159">
        <v>4124</v>
      </c>
      <c r="V443" s="159">
        <v>1696</v>
      </c>
      <c r="W443" s="159" t="e">
        <f t="shared" si="53"/>
        <v>#DIV/0!</v>
      </c>
      <c r="X443" s="159">
        <f t="shared" si="50"/>
        <v>0</v>
      </c>
    </row>
    <row r="444" spans="1:24" x14ac:dyDescent="0.2">
      <c r="A444" s="147">
        <v>2037</v>
      </c>
      <c r="B444" s="147">
        <v>11</v>
      </c>
      <c r="E444" s="166">
        <v>20.426767609135375</v>
      </c>
      <c r="F444" s="258">
        <f t="shared" si="58"/>
        <v>18.733765795143192</v>
      </c>
      <c r="G444" s="258">
        <f t="shared" si="58"/>
        <v>16.632778485676905</v>
      </c>
      <c r="H444" s="166">
        <v>29.38</v>
      </c>
      <c r="I444" s="148">
        <v>866825.2308211351</v>
      </c>
      <c r="J444" s="181">
        <f>VLOOKUP($A444&amp;$B444,'LE Inputs'!$C$2:$J$505,MATCH('LE UtilityData'!J$1,'LE Inputs'!$C$1:$J$1,0),0)*1000</f>
        <v>1598976.4503681336</v>
      </c>
      <c r="K444" s="181">
        <v>649581.91279176739</v>
      </c>
      <c r="L444" s="157">
        <v>416780.82517972082</v>
      </c>
      <c r="M444" s="306"/>
      <c r="N444" s="150">
        <v>88754.796066176699</v>
      </c>
      <c r="O444" s="181">
        <f>VLOOKUP($A444&amp;$B444,'LE Inputs'!$C$2:$J$525,MATCH('LE UtilityData'!O$1,'LE Inputs'!$C$1:$J$1,0),0)</f>
        <v>84447.650084376844</v>
      </c>
      <c r="P444" s="181" t="e">
        <f>VLOOKUP($A444&amp;$B444,'LE Inputs'!$C$2:$J$505,MATCH('LE UtilityData'!P$1,'LE Inputs'!$C$1:$J$1,0),0)</f>
        <v>#N/A</v>
      </c>
      <c r="Q444" s="307">
        <f t="shared" si="59"/>
        <v>353.59499999999997</v>
      </c>
      <c r="R444" s="307">
        <f t="shared" si="59"/>
        <v>11.487500000000001</v>
      </c>
      <c r="S444" s="161">
        <f t="shared" si="59"/>
        <v>352.6</v>
      </c>
      <c r="T444" s="161">
        <f t="shared" si="59"/>
        <v>12.75</v>
      </c>
      <c r="U444" s="159">
        <v>4124</v>
      </c>
      <c r="V444" s="159">
        <v>1696</v>
      </c>
      <c r="W444" s="159" t="e">
        <f t="shared" si="53"/>
        <v>#DIV/0!</v>
      </c>
      <c r="X444" s="159">
        <f t="shared" si="50"/>
        <v>0</v>
      </c>
    </row>
    <row r="445" spans="1:24" x14ac:dyDescent="0.2">
      <c r="A445" s="147">
        <v>2037</v>
      </c>
      <c r="B445" s="147">
        <v>12</v>
      </c>
      <c r="E445" s="166">
        <v>20.426767609135375</v>
      </c>
      <c r="F445" s="258">
        <f t="shared" si="58"/>
        <v>18.733765795143192</v>
      </c>
      <c r="G445" s="258">
        <f t="shared" si="58"/>
        <v>16.632778485676905</v>
      </c>
      <c r="H445" s="166">
        <v>32.81</v>
      </c>
      <c r="I445" s="148">
        <v>867160.2308211351</v>
      </c>
      <c r="J445" s="181">
        <f>VLOOKUP($A445&amp;$B445,'LE Inputs'!$C$2:$J$505,MATCH('LE UtilityData'!J$1,'LE Inputs'!$C$1:$J$1,0),0)*1000</f>
        <v>1598976.4503681336</v>
      </c>
      <c r="K445" s="181">
        <v>649581.91279176739</v>
      </c>
      <c r="L445" s="157">
        <v>416941.89752910653</v>
      </c>
      <c r="M445" s="306"/>
      <c r="N445" s="150">
        <v>88754.796066176699</v>
      </c>
      <c r="O445" s="181">
        <f>VLOOKUP($A445&amp;$B445,'LE Inputs'!$C$2:$J$525,MATCH('LE UtilityData'!O$1,'LE Inputs'!$C$1:$J$1,0),0)</f>
        <v>84447.650084376844</v>
      </c>
      <c r="P445" s="181" t="e">
        <f>VLOOKUP($A445&amp;$B445,'LE Inputs'!$C$2:$J$505,MATCH('LE UtilityData'!P$1,'LE Inputs'!$C$1:$J$1,0),0)</f>
        <v>#N/A</v>
      </c>
      <c r="Q445" s="307">
        <f t="shared" si="59"/>
        <v>667.68999999999994</v>
      </c>
      <c r="R445" s="307">
        <f t="shared" si="59"/>
        <v>1.1850000000000001</v>
      </c>
      <c r="S445" s="161">
        <f t="shared" si="59"/>
        <v>669.9</v>
      </c>
      <c r="T445" s="161">
        <f t="shared" si="59"/>
        <v>1.05</v>
      </c>
      <c r="U445" s="159">
        <v>4124</v>
      </c>
      <c r="V445" s="159">
        <v>1696</v>
      </c>
      <c r="W445" s="159" t="e">
        <f t="shared" si="53"/>
        <v>#DIV/0!</v>
      </c>
      <c r="X445" s="159">
        <f t="shared" si="50"/>
        <v>0</v>
      </c>
    </row>
    <row r="446" spans="1:24" x14ac:dyDescent="0.2">
      <c r="A446" s="147">
        <v>2038</v>
      </c>
      <c r="B446" s="147">
        <v>1</v>
      </c>
      <c r="E446" s="166">
        <v>20.937436799363759</v>
      </c>
      <c r="F446" s="258">
        <f t="shared" si="58"/>
        <v>19.108441111046055</v>
      </c>
      <c r="G446" s="258">
        <f t="shared" si="58"/>
        <v>16.965434055390443</v>
      </c>
      <c r="H446" s="166">
        <v>32.43</v>
      </c>
      <c r="I446" s="148">
        <v>867495.2308211351</v>
      </c>
      <c r="J446" s="181">
        <f>VLOOKUP($A446&amp;$B446,'LE Inputs'!$C$2:$J$505,MATCH('LE UtilityData'!J$1,'LE Inputs'!$C$1:$J$1,0),0)*1000</f>
        <v>1601461.1143230209</v>
      </c>
      <c r="K446" s="181">
        <v>650646.43651730416</v>
      </c>
      <c r="L446" s="157">
        <v>417102.96987849224</v>
      </c>
      <c r="M446" s="306"/>
      <c r="N446" s="150">
        <v>89898.397222884101</v>
      </c>
      <c r="O446" s="181">
        <f>VLOOKUP($A446&amp;$B446,'LE Inputs'!$C$2:$J$525,MATCH('LE UtilityData'!O$1,'LE Inputs'!$C$1:$J$1,0),0)</f>
        <v>85325.741040681343</v>
      </c>
      <c r="P446" s="181" t="e">
        <f>VLOOKUP($A446&amp;$B446,'LE Inputs'!$C$2:$J$505,MATCH('LE UtilityData'!P$1,'LE Inputs'!$C$1:$J$1,0),0)</f>
        <v>#N/A</v>
      </c>
      <c r="Q446" s="307">
        <f t="shared" si="59"/>
        <v>927.57249999999999</v>
      </c>
      <c r="R446" s="307">
        <f t="shared" si="59"/>
        <v>0.35</v>
      </c>
      <c r="S446" s="161">
        <f t="shared" si="59"/>
        <v>932.4</v>
      </c>
      <c r="T446" s="161">
        <f t="shared" si="59"/>
        <v>0.35</v>
      </c>
      <c r="U446" s="159">
        <v>4124</v>
      </c>
      <c r="V446" s="159">
        <v>1696</v>
      </c>
      <c r="W446" s="159" t="e">
        <f t="shared" si="53"/>
        <v>#DIV/0!</v>
      </c>
      <c r="X446" s="159">
        <f t="shared" si="50"/>
        <v>0</v>
      </c>
    </row>
    <row r="447" spans="1:24" x14ac:dyDescent="0.2">
      <c r="A447" s="147">
        <v>2038</v>
      </c>
      <c r="B447" s="147">
        <v>2</v>
      </c>
      <c r="E447" s="166">
        <v>20.937436799363759</v>
      </c>
      <c r="F447" s="258">
        <f t="shared" si="58"/>
        <v>19.108441111046055</v>
      </c>
      <c r="G447" s="258">
        <f t="shared" si="58"/>
        <v>16.965434055390443</v>
      </c>
      <c r="H447" s="166">
        <v>29.9</v>
      </c>
      <c r="I447" s="148">
        <v>867830.2308211351</v>
      </c>
      <c r="J447" s="181">
        <f>VLOOKUP($A447&amp;$B447,'LE Inputs'!$C$2:$J$505,MATCH('LE UtilityData'!J$1,'LE Inputs'!$C$1:$J$1,0),0)*1000</f>
        <v>1601461.1143230209</v>
      </c>
      <c r="K447" s="181">
        <v>650646.43651730416</v>
      </c>
      <c r="L447" s="157">
        <v>417264.042227878</v>
      </c>
      <c r="M447" s="306"/>
      <c r="N447" s="150">
        <v>89898.397222884101</v>
      </c>
      <c r="O447" s="181">
        <f>VLOOKUP($A447&amp;$B447,'LE Inputs'!$C$2:$J$525,MATCH('LE UtilityData'!O$1,'LE Inputs'!$C$1:$J$1,0),0)</f>
        <v>85325.741040681343</v>
      </c>
      <c r="P447" s="181" t="e">
        <f>VLOOKUP($A447&amp;$B447,'LE Inputs'!$C$2:$J$505,MATCH('LE UtilityData'!P$1,'LE Inputs'!$C$1:$J$1,0),0)</f>
        <v>#N/A</v>
      </c>
      <c r="Q447" s="307">
        <f t="shared" si="59"/>
        <v>858.35750000000007</v>
      </c>
      <c r="R447" s="307">
        <f t="shared" si="59"/>
        <v>0.05</v>
      </c>
      <c r="S447" s="161">
        <f t="shared" si="59"/>
        <v>864.1</v>
      </c>
      <c r="T447" s="161">
        <f t="shared" si="59"/>
        <v>0.05</v>
      </c>
      <c r="U447" s="159">
        <v>4124</v>
      </c>
      <c r="V447" s="159">
        <v>1696</v>
      </c>
      <c r="W447" s="159" t="e">
        <f t="shared" si="53"/>
        <v>#DIV/0!</v>
      </c>
      <c r="X447" s="159">
        <f t="shared" si="50"/>
        <v>0</v>
      </c>
    </row>
    <row r="448" spans="1:24" x14ac:dyDescent="0.2">
      <c r="A448" s="147">
        <v>2038</v>
      </c>
      <c r="B448" s="147">
        <v>3</v>
      </c>
      <c r="E448" s="166">
        <v>20.937436799363759</v>
      </c>
      <c r="F448" s="258">
        <f t="shared" si="58"/>
        <v>19.108441111046055</v>
      </c>
      <c r="G448" s="258">
        <f t="shared" si="58"/>
        <v>16.965434055390443</v>
      </c>
      <c r="H448" s="166">
        <v>30.33</v>
      </c>
      <c r="I448" s="148">
        <v>868165.2308211351</v>
      </c>
      <c r="J448" s="181">
        <f>VLOOKUP($A448&amp;$B448,'LE Inputs'!$C$2:$J$505,MATCH('LE UtilityData'!J$1,'LE Inputs'!$C$1:$J$1,0),0)*1000</f>
        <v>1601461.1143230209</v>
      </c>
      <c r="K448" s="181">
        <v>650646.43651730416</v>
      </c>
      <c r="L448" s="157">
        <v>417425.11457726371</v>
      </c>
      <c r="M448" s="306"/>
      <c r="N448" s="150">
        <v>89898.397222884101</v>
      </c>
      <c r="O448" s="181">
        <f>VLOOKUP($A448&amp;$B448,'LE Inputs'!$C$2:$J$525,MATCH('LE UtilityData'!O$1,'LE Inputs'!$C$1:$J$1,0),0)</f>
        <v>85325.741040681343</v>
      </c>
      <c r="P448" s="181" t="e">
        <f>VLOOKUP($A448&amp;$B448,'LE Inputs'!$C$2:$J$505,MATCH('LE UtilityData'!P$1,'LE Inputs'!$C$1:$J$1,0),0)</f>
        <v>#N/A</v>
      </c>
      <c r="Q448" s="307">
        <f t="shared" si="59"/>
        <v>666.12749999999994</v>
      </c>
      <c r="R448" s="307">
        <f t="shared" si="59"/>
        <v>2.0225</v>
      </c>
      <c r="S448" s="161">
        <f t="shared" si="59"/>
        <v>674.3</v>
      </c>
      <c r="T448" s="161">
        <f t="shared" si="59"/>
        <v>1.1499999999999999</v>
      </c>
      <c r="U448" s="159">
        <v>4124</v>
      </c>
      <c r="V448" s="159">
        <v>1696</v>
      </c>
      <c r="W448" s="159" t="e">
        <f t="shared" si="53"/>
        <v>#DIV/0!</v>
      </c>
      <c r="X448" s="159">
        <f t="shared" si="50"/>
        <v>0</v>
      </c>
    </row>
    <row r="449" spans="1:24" x14ac:dyDescent="0.2">
      <c r="A449" s="147">
        <v>2038</v>
      </c>
      <c r="B449" s="147">
        <v>4</v>
      </c>
      <c r="E449" s="166">
        <v>20.937436799363759</v>
      </c>
      <c r="F449" s="258">
        <f t="shared" si="58"/>
        <v>19.108441111046055</v>
      </c>
      <c r="G449" s="258">
        <f t="shared" si="58"/>
        <v>16.965434055390443</v>
      </c>
      <c r="H449" s="166">
        <v>30.29</v>
      </c>
      <c r="I449" s="148">
        <v>868500.2308211351</v>
      </c>
      <c r="J449" s="181">
        <f>VLOOKUP($A449&amp;$B449,'LE Inputs'!$C$2:$J$505,MATCH('LE UtilityData'!J$1,'LE Inputs'!$C$1:$J$1,0),0)*1000</f>
        <v>1604343.1943766237</v>
      </c>
      <c r="K449" s="181">
        <v>651858.94634814316</v>
      </c>
      <c r="L449" s="157">
        <v>417586.18692664942</v>
      </c>
      <c r="M449" s="306"/>
      <c r="N449" s="150">
        <v>90084.206754459505</v>
      </c>
      <c r="O449" s="181">
        <f>VLOOKUP($A449&amp;$B449,'LE Inputs'!$C$2:$J$525,MATCH('LE UtilityData'!O$1,'LE Inputs'!$C$1:$J$1,0),0)</f>
        <v>85665.927115640719</v>
      </c>
      <c r="P449" s="181" t="e">
        <f>VLOOKUP($A449&amp;$B449,'LE Inputs'!$C$2:$J$505,MATCH('LE UtilityData'!P$1,'LE Inputs'!$C$1:$J$1,0),0)</f>
        <v>#N/A</v>
      </c>
      <c r="Q449" s="307">
        <f t="shared" si="59"/>
        <v>370.83499999999998</v>
      </c>
      <c r="R449" s="307">
        <f t="shared" si="59"/>
        <v>22.565000000000001</v>
      </c>
      <c r="S449" s="161">
        <f t="shared" si="59"/>
        <v>377.1</v>
      </c>
      <c r="T449" s="161">
        <f t="shared" si="59"/>
        <v>20.25</v>
      </c>
      <c r="U449" s="159">
        <v>4124</v>
      </c>
      <c r="V449" s="159">
        <v>1696</v>
      </c>
      <c r="W449" s="159" t="e">
        <f t="shared" si="53"/>
        <v>#DIV/0!</v>
      </c>
      <c r="X449" s="159">
        <f t="shared" si="50"/>
        <v>0</v>
      </c>
    </row>
    <row r="450" spans="1:24" x14ac:dyDescent="0.2">
      <c r="A450" s="147">
        <v>2038</v>
      </c>
      <c r="B450" s="147">
        <v>5</v>
      </c>
      <c r="E450" s="166">
        <v>20.937436799363759</v>
      </c>
      <c r="F450" s="258">
        <f t="shared" si="58"/>
        <v>19.108441111046055</v>
      </c>
      <c r="G450" s="258">
        <f t="shared" si="58"/>
        <v>16.965434055390443</v>
      </c>
      <c r="H450" s="166">
        <v>30.05</v>
      </c>
      <c r="I450" s="148">
        <v>868835.2308211351</v>
      </c>
      <c r="J450" s="181">
        <f>VLOOKUP($A450&amp;$B450,'LE Inputs'!$C$2:$J$505,MATCH('LE UtilityData'!J$1,'LE Inputs'!$C$1:$J$1,0),0)*1000</f>
        <v>1604343.1943766237</v>
      </c>
      <c r="K450" s="181">
        <v>651858.94634814316</v>
      </c>
      <c r="L450" s="157">
        <v>417747.25927603513</v>
      </c>
      <c r="M450" s="306"/>
      <c r="N450" s="150">
        <v>90084.206754459505</v>
      </c>
      <c r="O450" s="181">
        <f>VLOOKUP($A450&amp;$B450,'LE Inputs'!$C$2:$J$525,MATCH('LE UtilityData'!O$1,'LE Inputs'!$C$1:$J$1,0),0)</f>
        <v>85665.927115640719</v>
      </c>
      <c r="P450" s="181" t="e">
        <f>VLOOKUP($A450&amp;$B450,'LE Inputs'!$C$2:$J$505,MATCH('LE UtilityData'!P$1,'LE Inputs'!$C$1:$J$1,0),0)</f>
        <v>#N/A</v>
      </c>
      <c r="Q450" s="307">
        <f t="shared" si="59"/>
        <v>141.76749999999998</v>
      </c>
      <c r="R450" s="307">
        <f t="shared" si="59"/>
        <v>69.552499999999995</v>
      </c>
      <c r="S450" s="161">
        <f t="shared" si="59"/>
        <v>141</v>
      </c>
      <c r="T450" s="161">
        <f t="shared" si="59"/>
        <v>69.349999999999994</v>
      </c>
      <c r="U450" s="159">
        <v>4124</v>
      </c>
      <c r="V450" s="159">
        <v>1696</v>
      </c>
      <c r="W450" s="159" t="e">
        <f t="shared" si="53"/>
        <v>#DIV/0!</v>
      </c>
      <c r="X450" s="159">
        <f t="shared" ref="X450:X493" si="60">C450/L450*1000</f>
        <v>0</v>
      </c>
    </row>
    <row r="451" spans="1:24" x14ac:dyDescent="0.2">
      <c r="A451" s="147">
        <v>2038</v>
      </c>
      <c r="B451" s="147">
        <v>6</v>
      </c>
      <c r="E451" s="166">
        <v>20.937436799363759</v>
      </c>
      <c r="F451" s="258">
        <f t="shared" ref="F451:G466" si="61">F439*(1+0.02)</f>
        <v>19.108441111046055</v>
      </c>
      <c r="G451" s="258">
        <f t="shared" si="61"/>
        <v>16.965434055390443</v>
      </c>
      <c r="H451" s="166">
        <v>30.67</v>
      </c>
      <c r="I451" s="148">
        <v>869175.95305805234</v>
      </c>
      <c r="J451" s="181">
        <f>VLOOKUP($A451&amp;$B451,'LE Inputs'!$C$2:$J$505,MATCH('LE UtilityData'!J$1,'LE Inputs'!$C$1:$J$1,0),0)*1000</f>
        <v>1604343.1943766237</v>
      </c>
      <c r="K451" s="181">
        <v>651858.94634814316</v>
      </c>
      <c r="L451" s="157">
        <v>417911.08295122389</v>
      </c>
      <c r="M451" s="306"/>
      <c r="N451" s="150">
        <v>90084.206754459505</v>
      </c>
      <c r="O451" s="181">
        <f>VLOOKUP($A451&amp;$B451,'LE Inputs'!$C$2:$J$525,MATCH('LE UtilityData'!O$1,'LE Inputs'!$C$1:$J$1,0),0)</f>
        <v>85665.927115640719</v>
      </c>
      <c r="P451" s="181" t="e">
        <f>VLOOKUP($A451&amp;$B451,'LE Inputs'!$C$2:$J$505,MATCH('LE UtilityData'!P$1,'LE Inputs'!$C$1:$J$1,0),0)</f>
        <v>#N/A</v>
      </c>
      <c r="Q451" s="307">
        <f t="shared" ref="Q451:T466" si="62">Q439</f>
        <v>29.807499999999997</v>
      </c>
      <c r="R451" s="307">
        <f t="shared" si="62"/>
        <v>219.05749999999998</v>
      </c>
      <c r="S451" s="161">
        <f t="shared" si="62"/>
        <v>29.5</v>
      </c>
      <c r="T451" s="161">
        <f t="shared" si="62"/>
        <v>224.8</v>
      </c>
      <c r="U451" s="159">
        <v>4124</v>
      </c>
      <c r="V451" s="159">
        <v>1696</v>
      </c>
      <c r="W451" s="159" t="e">
        <f t="shared" ref="W451:W505" si="63">D451/M451*1000</f>
        <v>#DIV/0!</v>
      </c>
      <c r="X451" s="159">
        <f t="shared" si="60"/>
        <v>0</v>
      </c>
    </row>
    <row r="452" spans="1:24" x14ac:dyDescent="0.2">
      <c r="A452" s="147">
        <v>2038</v>
      </c>
      <c r="B452" s="147">
        <v>7</v>
      </c>
      <c r="E452" s="166">
        <v>20.937436799363759</v>
      </c>
      <c r="F452" s="258">
        <f t="shared" si="61"/>
        <v>19.108441111046055</v>
      </c>
      <c r="G452" s="258">
        <f t="shared" si="61"/>
        <v>16.965434055390443</v>
      </c>
      <c r="H452" s="166">
        <v>30.62</v>
      </c>
      <c r="I452" s="148">
        <v>869508.95305805234</v>
      </c>
      <c r="J452" s="181">
        <f>VLOOKUP($A452&amp;$B452,'LE Inputs'!$C$2:$J$505,MATCH('LE UtilityData'!J$1,'LE Inputs'!$C$1:$J$1,0),0)*1000</f>
        <v>1606830.8974612101</v>
      </c>
      <c r="K452" s="181">
        <v>652908.82450601552</v>
      </c>
      <c r="L452" s="157">
        <v>418071.19367464312</v>
      </c>
      <c r="M452" s="306"/>
      <c r="N452" s="150">
        <v>90664.853936058993</v>
      </c>
      <c r="O452" s="181">
        <f>VLOOKUP($A452&amp;$B452,'LE Inputs'!$C$2:$J$525,MATCH('LE UtilityData'!O$1,'LE Inputs'!$C$1:$J$1,0),0)</f>
        <v>86261.533666774703</v>
      </c>
      <c r="P452" s="181" t="e">
        <f>VLOOKUP($A452&amp;$B452,'LE Inputs'!$C$2:$J$505,MATCH('LE UtilityData'!P$1,'LE Inputs'!$C$1:$J$1,0),0)</f>
        <v>#N/A</v>
      </c>
      <c r="Q452" s="307">
        <f t="shared" si="62"/>
        <v>0.57250000000000001</v>
      </c>
      <c r="R452" s="307">
        <f t="shared" si="62"/>
        <v>397.17500000000001</v>
      </c>
      <c r="S452" s="161">
        <f t="shared" si="62"/>
        <v>0.55000000000000004</v>
      </c>
      <c r="T452" s="161">
        <f t="shared" si="62"/>
        <v>396.4</v>
      </c>
      <c r="U452" s="159">
        <v>4124</v>
      </c>
      <c r="V452" s="159">
        <v>1696</v>
      </c>
      <c r="W452" s="159" t="e">
        <f t="shared" si="63"/>
        <v>#DIV/0!</v>
      </c>
      <c r="X452" s="159">
        <f t="shared" si="60"/>
        <v>0</v>
      </c>
    </row>
    <row r="453" spans="1:24" x14ac:dyDescent="0.2">
      <c r="A453" s="147">
        <v>2038</v>
      </c>
      <c r="B453" s="147">
        <v>8</v>
      </c>
      <c r="E453" s="166">
        <v>20.937436799363759</v>
      </c>
      <c r="F453" s="258">
        <f t="shared" si="61"/>
        <v>19.108441111046055</v>
      </c>
      <c r="G453" s="258">
        <f t="shared" si="61"/>
        <v>16.965434055390443</v>
      </c>
      <c r="H453" s="166">
        <v>29.52</v>
      </c>
      <c r="I453" s="148">
        <v>869841.95305805234</v>
      </c>
      <c r="J453" s="181">
        <f>VLOOKUP($A453&amp;$B453,'LE Inputs'!$C$2:$J$505,MATCH('LE UtilityData'!J$1,'LE Inputs'!$C$1:$J$1,0),0)*1000</f>
        <v>1606830.8974612101</v>
      </c>
      <c r="K453" s="181">
        <v>652908.82450601552</v>
      </c>
      <c r="L453" s="157">
        <v>418231.30439806235</v>
      </c>
      <c r="M453" s="306"/>
      <c r="N453" s="150">
        <v>90664.853936058993</v>
      </c>
      <c r="O453" s="181">
        <f>VLOOKUP($A453&amp;$B453,'LE Inputs'!$C$2:$J$525,MATCH('LE UtilityData'!O$1,'LE Inputs'!$C$1:$J$1,0),0)</f>
        <v>86261.533666774703</v>
      </c>
      <c r="P453" s="181" t="e">
        <f>VLOOKUP($A453&amp;$B453,'LE Inputs'!$C$2:$J$505,MATCH('LE UtilityData'!P$1,'LE Inputs'!$C$1:$J$1,0),0)</f>
        <v>#N/A</v>
      </c>
      <c r="Q453" s="307">
        <f t="shared" si="62"/>
        <v>0.1</v>
      </c>
      <c r="R453" s="307">
        <f t="shared" si="62"/>
        <v>418.51750000000004</v>
      </c>
      <c r="S453" s="161">
        <f t="shared" si="62"/>
        <v>0.1</v>
      </c>
      <c r="T453" s="161">
        <f t="shared" si="62"/>
        <v>417.05</v>
      </c>
      <c r="U453" s="159">
        <v>4124</v>
      </c>
      <c r="V453" s="159">
        <v>1696</v>
      </c>
      <c r="W453" s="159" t="e">
        <f t="shared" si="63"/>
        <v>#DIV/0!</v>
      </c>
      <c r="X453" s="159">
        <f t="shared" si="60"/>
        <v>0</v>
      </c>
    </row>
    <row r="454" spans="1:24" x14ac:dyDescent="0.2">
      <c r="A454" s="147">
        <v>2038</v>
      </c>
      <c r="B454" s="147">
        <v>9</v>
      </c>
      <c r="E454" s="166">
        <v>20.937436799363759</v>
      </c>
      <c r="F454" s="258">
        <f t="shared" si="61"/>
        <v>19.108441111046055</v>
      </c>
      <c r="G454" s="258">
        <f t="shared" si="61"/>
        <v>16.965434055390443</v>
      </c>
      <c r="H454" s="166">
        <v>30.71</v>
      </c>
      <c r="I454" s="148">
        <v>870174.95305805234</v>
      </c>
      <c r="J454" s="181">
        <f>VLOOKUP($A454&amp;$B454,'LE Inputs'!$C$2:$J$505,MATCH('LE UtilityData'!J$1,'LE Inputs'!$C$1:$J$1,0),0)*1000</f>
        <v>1606830.8974612101</v>
      </c>
      <c r="K454" s="181">
        <v>652908.82450601552</v>
      </c>
      <c r="L454" s="157">
        <v>418391.41512148158</v>
      </c>
      <c r="M454" s="306"/>
      <c r="N454" s="150">
        <v>90664.853936058993</v>
      </c>
      <c r="O454" s="181">
        <f>VLOOKUP($A454&amp;$B454,'LE Inputs'!$C$2:$J$525,MATCH('LE UtilityData'!O$1,'LE Inputs'!$C$1:$J$1,0),0)</f>
        <v>86261.533666774703</v>
      </c>
      <c r="P454" s="181" t="e">
        <f>VLOOKUP($A454&amp;$B454,'LE Inputs'!$C$2:$J$505,MATCH('LE UtilityData'!P$1,'LE Inputs'!$C$1:$J$1,0),0)</f>
        <v>#N/A</v>
      </c>
      <c r="Q454" s="307">
        <f t="shared" si="62"/>
        <v>5.2125000000000004</v>
      </c>
      <c r="R454" s="307">
        <f t="shared" si="62"/>
        <v>326.05</v>
      </c>
      <c r="S454" s="161">
        <f t="shared" si="62"/>
        <v>5.35</v>
      </c>
      <c r="T454" s="161">
        <f t="shared" si="62"/>
        <v>330.2</v>
      </c>
      <c r="U454" s="159">
        <v>4124</v>
      </c>
      <c r="V454" s="159">
        <v>1696</v>
      </c>
      <c r="W454" s="159" t="e">
        <f t="shared" si="63"/>
        <v>#DIV/0!</v>
      </c>
      <c r="X454" s="159">
        <f t="shared" si="60"/>
        <v>0</v>
      </c>
    </row>
    <row r="455" spans="1:24" x14ac:dyDescent="0.2">
      <c r="A455" s="147">
        <v>2038</v>
      </c>
      <c r="B455" s="147">
        <v>10</v>
      </c>
      <c r="E455" s="166">
        <v>20.937436799363759</v>
      </c>
      <c r="F455" s="258">
        <f t="shared" si="61"/>
        <v>19.108441111046055</v>
      </c>
      <c r="G455" s="258">
        <f t="shared" si="61"/>
        <v>16.965434055390443</v>
      </c>
      <c r="H455" s="166">
        <v>29.52</v>
      </c>
      <c r="I455" s="148">
        <v>870507.95305805234</v>
      </c>
      <c r="J455" s="181">
        <f>VLOOKUP($A455&amp;$B455,'LE Inputs'!$C$2:$J$505,MATCH('LE UtilityData'!J$1,'LE Inputs'!$C$1:$J$1,0),0)*1000</f>
        <v>1609725.8733013836</v>
      </c>
      <c r="K455" s="181">
        <v>654046.24818355183</v>
      </c>
      <c r="L455" s="157">
        <v>418551.52584490081</v>
      </c>
      <c r="M455" s="306"/>
      <c r="N455" s="150">
        <v>91098.335732951804</v>
      </c>
      <c r="O455" s="181">
        <f>VLOOKUP($A455&amp;$B455,'LE Inputs'!$C$2:$J$525,MATCH('LE UtilityData'!O$1,'LE Inputs'!$C$1:$J$1,0),0)</f>
        <v>86562.468071197844</v>
      </c>
      <c r="P455" s="181" t="e">
        <f>VLOOKUP($A455&amp;$B455,'LE Inputs'!$C$2:$J$505,MATCH('LE UtilityData'!P$1,'LE Inputs'!$C$1:$J$1,0),0)</f>
        <v>#N/A</v>
      </c>
      <c r="Q455" s="307">
        <f t="shared" si="62"/>
        <v>99.232500000000002</v>
      </c>
      <c r="R455" s="307">
        <f t="shared" si="62"/>
        <v>97.24</v>
      </c>
      <c r="S455" s="161">
        <f t="shared" si="62"/>
        <v>99.3</v>
      </c>
      <c r="T455" s="161">
        <f t="shared" si="62"/>
        <v>100.05</v>
      </c>
      <c r="U455" s="159">
        <v>4124</v>
      </c>
      <c r="V455" s="159">
        <v>1696</v>
      </c>
      <c r="W455" s="159" t="e">
        <f t="shared" si="63"/>
        <v>#DIV/0!</v>
      </c>
      <c r="X455" s="159">
        <f t="shared" si="60"/>
        <v>0</v>
      </c>
    </row>
    <row r="456" spans="1:24" x14ac:dyDescent="0.2">
      <c r="A456" s="147">
        <v>2038</v>
      </c>
      <c r="B456" s="147">
        <v>11</v>
      </c>
      <c r="E456" s="166">
        <v>20.937436799363759</v>
      </c>
      <c r="F456" s="258">
        <f t="shared" si="61"/>
        <v>19.108441111046055</v>
      </c>
      <c r="G456" s="258">
        <f t="shared" si="61"/>
        <v>16.965434055390443</v>
      </c>
      <c r="H456" s="166">
        <v>29.38</v>
      </c>
      <c r="I456" s="148">
        <v>870840.95305805234</v>
      </c>
      <c r="J456" s="181">
        <f>VLOOKUP($A456&amp;$B456,'LE Inputs'!$C$2:$J$505,MATCH('LE UtilityData'!J$1,'LE Inputs'!$C$1:$J$1,0),0)*1000</f>
        <v>1609725.8733013836</v>
      </c>
      <c r="K456" s="181">
        <v>654046.24818355183</v>
      </c>
      <c r="L456" s="157">
        <v>418711.6365683201</v>
      </c>
      <c r="M456" s="306"/>
      <c r="N456" s="150">
        <v>91098.335732951804</v>
      </c>
      <c r="O456" s="181">
        <f>VLOOKUP($A456&amp;$B456,'LE Inputs'!$C$2:$J$525,MATCH('LE UtilityData'!O$1,'LE Inputs'!$C$1:$J$1,0),0)</f>
        <v>86562.468071197844</v>
      </c>
      <c r="P456" s="181" t="e">
        <f>VLOOKUP($A456&amp;$B456,'LE Inputs'!$C$2:$J$505,MATCH('LE UtilityData'!P$1,'LE Inputs'!$C$1:$J$1,0),0)</f>
        <v>#N/A</v>
      </c>
      <c r="Q456" s="307">
        <f t="shared" si="62"/>
        <v>353.59499999999997</v>
      </c>
      <c r="R456" s="307">
        <f t="shared" si="62"/>
        <v>11.487500000000001</v>
      </c>
      <c r="S456" s="161">
        <f t="shared" si="62"/>
        <v>352.6</v>
      </c>
      <c r="T456" s="161">
        <f t="shared" si="62"/>
        <v>12.75</v>
      </c>
      <c r="U456" s="159">
        <v>4124</v>
      </c>
      <c r="V456" s="159">
        <v>1696</v>
      </c>
      <c r="W456" s="159" t="e">
        <f t="shared" si="63"/>
        <v>#DIV/0!</v>
      </c>
      <c r="X456" s="159">
        <f t="shared" si="60"/>
        <v>0</v>
      </c>
    </row>
    <row r="457" spans="1:24" x14ac:dyDescent="0.2">
      <c r="A457" s="147">
        <v>2038</v>
      </c>
      <c r="B457" s="147">
        <v>12</v>
      </c>
      <c r="E457" s="166">
        <v>20.937436799363759</v>
      </c>
      <c r="F457" s="258">
        <f t="shared" si="61"/>
        <v>19.108441111046055</v>
      </c>
      <c r="G457" s="258">
        <f t="shared" si="61"/>
        <v>16.965434055390443</v>
      </c>
      <c r="H457" s="166">
        <v>32.81</v>
      </c>
      <c r="I457" s="148">
        <v>871173.95305805234</v>
      </c>
      <c r="J457" s="181">
        <f>VLOOKUP($A457&amp;$B457,'LE Inputs'!$C$2:$J$505,MATCH('LE UtilityData'!J$1,'LE Inputs'!$C$1:$J$1,0),0)*1000</f>
        <v>1609725.8733013836</v>
      </c>
      <c r="K457" s="181">
        <v>654046.24818355183</v>
      </c>
      <c r="L457" s="157">
        <v>418871.74729173933</v>
      </c>
      <c r="M457" s="306"/>
      <c r="N457" s="150">
        <v>91098.335732951804</v>
      </c>
      <c r="O457" s="181">
        <f>VLOOKUP($A457&amp;$B457,'LE Inputs'!$C$2:$J$525,MATCH('LE UtilityData'!O$1,'LE Inputs'!$C$1:$J$1,0),0)</f>
        <v>86562.468071197844</v>
      </c>
      <c r="P457" s="181" t="e">
        <f>VLOOKUP($A457&amp;$B457,'LE Inputs'!$C$2:$J$505,MATCH('LE UtilityData'!P$1,'LE Inputs'!$C$1:$J$1,0),0)</f>
        <v>#N/A</v>
      </c>
      <c r="Q457" s="307">
        <f t="shared" si="62"/>
        <v>667.68999999999994</v>
      </c>
      <c r="R457" s="307">
        <f t="shared" si="62"/>
        <v>1.1850000000000001</v>
      </c>
      <c r="S457" s="161">
        <f t="shared" si="62"/>
        <v>669.9</v>
      </c>
      <c r="T457" s="161">
        <f t="shared" si="62"/>
        <v>1.05</v>
      </c>
      <c r="U457" s="159">
        <v>4124</v>
      </c>
      <c r="V457" s="159">
        <v>1696</v>
      </c>
      <c r="W457" s="159" t="e">
        <f t="shared" si="63"/>
        <v>#DIV/0!</v>
      </c>
      <c r="X457" s="159">
        <f t="shared" si="60"/>
        <v>0</v>
      </c>
    </row>
    <row r="458" spans="1:24" x14ac:dyDescent="0.2">
      <c r="A458" s="147">
        <v>2039</v>
      </c>
      <c r="B458" s="147">
        <v>1</v>
      </c>
      <c r="E458" s="166">
        <v>21.460872719347851</v>
      </c>
      <c r="F458" s="258">
        <f t="shared" si="61"/>
        <v>19.490609933266978</v>
      </c>
      <c r="G458" s="258">
        <f t="shared" si="61"/>
        <v>17.304742736498252</v>
      </c>
      <c r="H458" s="167">
        <v>32.43</v>
      </c>
      <c r="I458" s="309">
        <v>871506.95305805234</v>
      </c>
      <c r="J458" s="181">
        <f>VLOOKUP($A458&amp;$B458,'LE Inputs'!$C$2:$J$505,MATCH('LE UtilityData'!J$1,'LE Inputs'!$C$1:$J$1,0),0)*1000</f>
        <v>1612617.5504805457</v>
      </c>
      <c r="K458" s="181">
        <v>655300.18451505818</v>
      </c>
      <c r="L458" s="157">
        <v>419031.85801515856</v>
      </c>
      <c r="M458" s="306"/>
      <c r="N458" s="155">
        <v>92413.067869476698</v>
      </c>
      <c r="O458" s="181">
        <f>VLOOKUP($A458&amp;$B458,'LE Inputs'!$C$2:$J$525,MATCH('LE UtilityData'!O$1,'LE Inputs'!$C$1:$J$1,0),0)</f>
        <v>87456.578483996418</v>
      </c>
      <c r="P458" s="181" t="e">
        <f>VLOOKUP($A458&amp;$B458,'LE Inputs'!$C$2:$J$505,MATCH('LE UtilityData'!P$1,'LE Inputs'!$C$1:$J$1,0),0)</f>
        <v>#N/A</v>
      </c>
      <c r="Q458" s="307">
        <f t="shared" si="62"/>
        <v>927.57249999999999</v>
      </c>
      <c r="R458" s="307">
        <f t="shared" si="62"/>
        <v>0.35</v>
      </c>
      <c r="S458" s="161">
        <f t="shared" si="62"/>
        <v>932.4</v>
      </c>
      <c r="T458" s="161">
        <f t="shared" si="62"/>
        <v>0.35</v>
      </c>
      <c r="U458" s="159">
        <v>4124</v>
      </c>
      <c r="V458" s="159">
        <v>1696</v>
      </c>
      <c r="W458" s="159" t="e">
        <f t="shared" si="63"/>
        <v>#DIV/0!</v>
      </c>
      <c r="X458" s="159">
        <f t="shared" si="60"/>
        <v>0</v>
      </c>
    </row>
    <row r="459" spans="1:24" x14ac:dyDescent="0.2">
      <c r="A459" s="147">
        <v>2039</v>
      </c>
      <c r="B459" s="147">
        <v>2</v>
      </c>
      <c r="E459" s="166">
        <v>21.460872719347851</v>
      </c>
      <c r="F459" s="258">
        <f t="shared" si="61"/>
        <v>19.490609933266978</v>
      </c>
      <c r="G459" s="258">
        <f t="shared" si="61"/>
        <v>17.304742736498252</v>
      </c>
      <c r="H459" s="167">
        <v>29.9</v>
      </c>
      <c r="I459" s="309">
        <v>871839.95305805234</v>
      </c>
      <c r="J459" s="181">
        <f>VLOOKUP($A459&amp;$B459,'LE Inputs'!$C$2:$J$505,MATCH('LE UtilityData'!J$1,'LE Inputs'!$C$1:$J$1,0),0)*1000</f>
        <v>1612617.5504805457</v>
      </c>
      <c r="K459" s="181">
        <v>655300.18451505818</v>
      </c>
      <c r="L459" s="157">
        <v>419191.96873857779</v>
      </c>
      <c r="M459" s="306"/>
      <c r="N459" s="155">
        <v>92413.067869476698</v>
      </c>
      <c r="O459" s="181">
        <f>VLOOKUP($A459&amp;$B459,'LE Inputs'!$C$2:$J$525,MATCH('LE UtilityData'!O$1,'LE Inputs'!$C$1:$J$1,0),0)</f>
        <v>87456.578483996418</v>
      </c>
      <c r="P459" s="181" t="e">
        <f>VLOOKUP($A459&amp;$B459,'LE Inputs'!$C$2:$J$505,MATCH('LE UtilityData'!P$1,'LE Inputs'!$C$1:$J$1,0),0)</f>
        <v>#N/A</v>
      </c>
      <c r="Q459" s="307">
        <f t="shared" si="62"/>
        <v>858.35750000000007</v>
      </c>
      <c r="R459" s="307">
        <f t="shared" si="62"/>
        <v>0.05</v>
      </c>
      <c r="S459" s="161">
        <f t="shared" si="62"/>
        <v>864.1</v>
      </c>
      <c r="T459" s="161">
        <f t="shared" si="62"/>
        <v>0.05</v>
      </c>
      <c r="U459" s="159">
        <v>4124</v>
      </c>
      <c r="V459" s="159">
        <v>1696</v>
      </c>
      <c r="W459" s="159" t="e">
        <f t="shared" si="63"/>
        <v>#DIV/0!</v>
      </c>
      <c r="X459" s="159">
        <f t="shared" si="60"/>
        <v>0</v>
      </c>
    </row>
    <row r="460" spans="1:24" x14ac:dyDescent="0.2">
      <c r="A460" s="147">
        <v>2039</v>
      </c>
      <c r="B460" s="147">
        <v>3</v>
      </c>
      <c r="E460" s="166">
        <v>21.460872719347851</v>
      </c>
      <c r="F460" s="258">
        <f t="shared" si="61"/>
        <v>19.490609933266978</v>
      </c>
      <c r="G460" s="258">
        <f t="shared" si="61"/>
        <v>17.304742736498252</v>
      </c>
      <c r="H460" s="167">
        <v>30.33</v>
      </c>
      <c r="I460" s="309">
        <v>872172.95305805234</v>
      </c>
      <c r="J460" s="181">
        <f>VLOOKUP($A460&amp;$B460,'LE Inputs'!$C$2:$J$505,MATCH('LE UtilityData'!J$1,'LE Inputs'!$C$1:$J$1,0),0)*1000</f>
        <v>1612617.5504805457</v>
      </c>
      <c r="K460" s="181">
        <v>655300.18451505818</v>
      </c>
      <c r="L460" s="157">
        <v>419352.07946199703</v>
      </c>
      <c r="M460" s="306"/>
      <c r="N460" s="155">
        <v>92413.067869476698</v>
      </c>
      <c r="O460" s="181">
        <f>VLOOKUP($A460&amp;$B460,'LE Inputs'!$C$2:$J$525,MATCH('LE UtilityData'!O$1,'LE Inputs'!$C$1:$J$1,0),0)</f>
        <v>87456.578483996418</v>
      </c>
      <c r="P460" s="181" t="e">
        <f>VLOOKUP($A460&amp;$B460,'LE Inputs'!$C$2:$J$505,MATCH('LE UtilityData'!P$1,'LE Inputs'!$C$1:$J$1,0),0)</f>
        <v>#N/A</v>
      </c>
      <c r="Q460" s="307">
        <f t="shared" si="62"/>
        <v>666.12749999999994</v>
      </c>
      <c r="R460" s="307">
        <f t="shared" si="62"/>
        <v>2.0225</v>
      </c>
      <c r="S460" s="161">
        <f t="shared" si="62"/>
        <v>674.3</v>
      </c>
      <c r="T460" s="161">
        <f t="shared" si="62"/>
        <v>1.1499999999999999</v>
      </c>
      <c r="U460" s="159">
        <v>4124</v>
      </c>
      <c r="V460" s="159">
        <v>1696</v>
      </c>
      <c r="W460" s="159" t="e">
        <f t="shared" si="63"/>
        <v>#DIV/0!</v>
      </c>
      <c r="X460" s="159">
        <f t="shared" si="60"/>
        <v>0</v>
      </c>
    </row>
    <row r="461" spans="1:24" x14ac:dyDescent="0.2">
      <c r="A461" s="147">
        <v>2039</v>
      </c>
      <c r="B461" s="147">
        <v>4</v>
      </c>
      <c r="E461" s="166">
        <v>21.460872719347851</v>
      </c>
      <c r="F461" s="258">
        <f t="shared" si="61"/>
        <v>19.490609933266978</v>
      </c>
      <c r="G461" s="258">
        <f t="shared" si="61"/>
        <v>17.304742736498252</v>
      </c>
      <c r="H461" s="167">
        <v>30.29</v>
      </c>
      <c r="I461" s="309">
        <v>872505.95305805234</v>
      </c>
      <c r="J461" s="181">
        <f>VLOOKUP($A461&amp;$B461,'LE Inputs'!$C$2:$J$505,MATCH('LE UtilityData'!J$1,'LE Inputs'!$C$1:$J$1,0),0)*1000</f>
        <v>1615508.9503416345</v>
      </c>
      <c r="K461" s="181">
        <v>656528.17840494413</v>
      </c>
      <c r="L461" s="157">
        <v>419512.19018541626</v>
      </c>
      <c r="M461" s="306"/>
      <c r="N461" s="155">
        <v>92481.797547990398</v>
      </c>
      <c r="O461" s="181">
        <f>VLOOKUP($A461&amp;$B461,'LE Inputs'!$C$2:$J$525,MATCH('LE UtilityData'!O$1,'LE Inputs'!$C$1:$J$1,0),0)</f>
        <v>88206.735149317159</v>
      </c>
      <c r="P461" s="181" t="e">
        <f>VLOOKUP($A461&amp;$B461,'LE Inputs'!$C$2:$J$505,MATCH('LE UtilityData'!P$1,'LE Inputs'!$C$1:$J$1,0),0)</f>
        <v>#N/A</v>
      </c>
      <c r="Q461" s="307">
        <f t="shared" si="62"/>
        <v>370.83499999999998</v>
      </c>
      <c r="R461" s="307">
        <f t="shared" si="62"/>
        <v>22.565000000000001</v>
      </c>
      <c r="S461" s="161">
        <f t="shared" si="62"/>
        <v>377.1</v>
      </c>
      <c r="T461" s="161">
        <f t="shared" si="62"/>
        <v>20.25</v>
      </c>
      <c r="U461" s="159">
        <v>4124</v>
      </c>
      <c r="V461" s="159">
        <v>1696</v>
      </c>
      <c r="W461" s="159" t="e">
        <f t="shared" si="63"/>
        <v>#DIV/0!</v>
      </c>
      <c r="X461" s="159">
        <f t="shared" si="60"/>
        <v>0</v>
      </c>
    </row>
    <row r="462" spans="1:24" x14ac:dyDescent="0.2">
      <c r="A462" s="147">
        <v>2039</v>
      </c>
      <c r="B462" s="147">
        <v>5</v>
      </c>
      <c r="E462" s="166">
        <v>21.460872719347851</v>
      </c>
      <c r="F462" s="258">
        <f t="shared" si="61"/>
        <v>19.490609933266978</v>
      </c>
      <c r="G462" s="258">
        <f t="shared" si="61"/>
        <v>17.304742736498252</v>
      </c>
      <c r="H462" s="167">
        <v>30.05</v>
      </c>
      <c r="I462" s="309">
        <v>872838.95305805234</v>
      </c>
      <c r="J462" s="181">
        <f>VLOOKUP($A462&amp;$B462,'LE Inputs'!$C$2:$J$505,MATCH('LE UtilityData'!J$1,'LE Inputs'!$C$1:$J$1,0),0)*1000</f>
        <v>1615508.9503416345</v>
      </c>
      <c r="K462" s="181">
        <v>656528.17840494413</v>
      </c>
      <c r="L462" s="157">
        <v>419672.30090883549</v>
      </c>
      <c r="M462" s="306"/>
      <c r="N462" s="155">
        <v>92481.797547990398</v>
      </c>
      <c r="O462" s="181">
        <f>VLOOKUP($A462&amp;$B462,'LE Inputs'!$C$2:$J$525,MATCH('LE UtilityData'!O$1,'LE Inputs'!$C$1:$J$1,0),0)</f>
        <v>88206.735149317159</v>
      </c>
      <c r="P462" s="181" t="e">
        <f>VLOOKUP($A462&amp;$B462,'LE Inputs'!$C$2:$J$505,MATCH('LE UtilityData'!P$1,'LE Inputs'!$C$1:$J$1,0),0)</f>
        <v>#N/A</v>
      </c>
      <c r="Q462" s="307">
        <f t="shared" si="62"/>
        <v>141.76749999999998</v>
      </c>
      <c r="R462" s="307">
        <f t="shared" si="62"/>
        <v>69.552499999999995</v>
      </c>
      <c r="S462" s="161">
        <f t="shared" si="62"/>
        <v>141</v>
      </c>
      <c r="T462" s="161">
        <f t="shared" si="62"/>
        <v>69.349999999999994</v>
      </c>
      <c r="U462" s="159">
        <v>4124</v>
      </c>
      <c r="V462" s="159">
        <v>1696</v>
      </c>
      <c r="W462" s="159" t="e">
        <f t="shared" si="63"/>
        <v>#DIV/0!</v>
      </c>
      <c r="X462" s="159">
        <f t="shared" si="60"/>
        <v>0</v>
      </c>
    </row>
    <row r="463" spans="1:24" x14ac:dyDescent="0.2">
      <c r="A463" s="147">
        <v>2039</v>
      </c>
      <c r="B463" s="147">
        <v>6</v>
      </c>
      <c r="E463" s="166">
        <v>21.460872719347851</v>
      </c>
      <c r="F463" s="258">
        <f t="shared" si="61"/>
        <v>19.490609933266978</v>
      </c>
      <c r="G463" s="258">
        <f t="shared" si="61"/>
        <v>17.304742736498252</v>
      </c>
      <c r="H463" s="167">
        <v>30.67</v>
      </c>
      <c r="I463" s="309">
        <v>873170.74292740587</v>
      </c>
      <c r="J463" s="181">
        <f>VLOOKUP($A463&amp;$B463,'LE Inputs'!$C$2:$J$505,MATCH('LE UtilityData'!J$1,'LE Inputs'!$C$1:$J$1,0),0)*1000</f>
        <v>1615508.9503416345</v>
      </c>
      <c r="K463" s="181">
        <v>656528.17840494413</v>
      </c>
      <c r="L463" s="157">
        <v>419831.82978572854</v>
      </c>
      <c r="M463" s="306"/>
      <c r="N463" s="155">
        <v>92481.797547990398</v>
      </c>
      <c r="O463" s="181">
        <f>VLOOKUP($A463&amp;$B463,'LE Inputs'!$C$2:$J$525,MATCH('LE UtilityData'!O$1,'LE Inputs'!$C$1:$J$1,0),0)</f>
        <v>88206.735149317159</v>
      </c>
      <c r="P463" s="181" t="e">
        <f>VLOOKUP($A463&amp;$B463,'LE Inputs'!$C$2:$J$505,MATCH('LE UtilityData'!P$1,'LE Inputs'!$C$1:$J$1,0),0)</f>
        <v>#N/A</v>
      </c>
      <c r="Q463" s="307">
        <f t="shared" si="62"/>
        <v>29.807499999999997</v>
      </c>
      <c r="R463" s="307">
        <f t="shared" si="62"/>
        <v>219.05749999999998</v>
      </c>
      <c r="S463" s="161">
        <f t="shared" si="62"/>
        <v>29.5</v>
      </c>
      <c r="T463" s="161">
        <f t="shared" si="62"/>
        <v>224.8</v>
      </c>
      <c r="U463" s="159">
        <v>4124</v>
      </c>
      <c r="V463" s="159">
        <v>1696</v>
      </c>
      <c r="W463" s="159" t="e">
        <f t="shared" si="63"/>
        <v>#DIV/0!</v>
      </c>
      <c r="X463" s="159">
        <f t="shared" si="60"/>
        <v>0</v>
      </c>
    </row>
    <row r="464" spans="1:24" x14ac:dyDescent="0.2">
      <c r="A464" s="147">
        <v>2039</v>
      </c>
      <c r="B464" s="147">
        <v>7</v>
      </c>
      <c r="E464" s="166">
        <v>21.460872719347851</v>
      </c>
      <c r="F464" s="258">
        <f t="shared" si="61"/>
        <v>19.490609933266978</v>
      </c>
      <c r="G464" s="258">
        <f t="shared" si="61"/>
        <v>17.304742736498252</v>
      </c>
      <c r="H464" s="167">
        <v>30.62</v>
      </c>
      <c r="I464" s="309">
        <v>873504.74292740587</v>
      </c>
      <c r="J464" s="181">
        <f>VLOOKUP($A464&amp;$B464,'LE Inputs'!$C$2:$J$505,MATCH('LE UtilityData'!J$1,'LE Inputs'!$C$1:$J$1,0),0)*1000</f>
        <v>1617602.9197345481</v>
      </c>
      <c r="K464" s="181">
        <v>657461.91608893336</v>
      </c>
      <c r="L464" s="157">
        <v>419992.42132213106</v>
      </c>
      <c r="M464" s="306"/>
      <c r="N464" s="155">
        <v>93053.384078189294</v>
      </c>
      <c r="O464" s="181">
        <f>VLOOKUP($A464&amp;$B464,'LE Inputs'!$C$2:$J$525,MATCH('LE UtilityData'!O$1,'LE Inputs'!$C$1:$J$1,0),0)</f>
        <v>88634.040610014141</v>
      </c>
      <c r="P464" s="181" t="e">
        <f>VLOOKUP($A464&amp;$B464,'LE Inputs'!$C$2:$J$505,MATCH('LE UtilityData'!P$1,'LE Inputs'!$C$1:$J$1,0),0)</f>
        <v>#N/A</v>
      </c>
      <c r="Q464" s="307">
        <f t="shared" si="62"/>
        <v>0.57250000000000001</v>
      </c>
      <c r="R464" s="307">
        <f t="shared" si="62"/>
        <v>397.17500000000001</v>
      </c>
      <c r="S464" s="161">
        <f t="shared" si="62"/>
        <v>0.55000000000000004</v>
      </c>
      <c r="T464" s="161">
        <f t="shared" si="62"/>
        <v>396.4</v>
      </c>
      <c r="U464" s="159">
        <v>4124</v>
      </c>
      <c r="V464" s="159">
        <v>1696</v>
      </c>
      <c r="W464" s="159" t="e">
        <f t="shared" si="63"/>
        <v>#DIV/0!</v>
      </c>
      <c r="X464" s="159">
        <f t="shared" si="60"/>
        <v>0</v>
      </c>
    </row>
    <row r="465" spans="1:24" x14ac:dyDescent="0.2">
      <c r="A465" s="147">
        <v>2039</v>
      </c>
      <c r="B465" s="147">
        <v>8</v>
      </c>
      <c r="E465" s="166">
        <v>21.460872719347851</v>
      </c>
      <c r="F465" s="258">
        <f t="shared" si="61"/>
        <v>19.490609933266978</v>
      </c>
      <c r="G465" s="258">
        <f t="shared" si="61"/>
        <v>17.304742736498252</v>
      </c>
      <c r="H465" s="167">
        <v>29.52</v>
      </c>
      <c r="I465" s="309">
        <v>873838.74292740587</v>
      </c>
      <c r="J465" s="181">
        <f>VLOOKUP($A465&amp;$B465,'LE Inputs'!$C$2:$J$505,MATCH('LE UtilityData'!J$1,'LE Inputs'!$C$1:$J$1,0),0)*1000</f>
        <v>1617602.9197345481</v>
      </c>
      <c r="K465" s="181">
        <v>657461.91608893336</v>
      </c>
      <c r="L465" s="157">
        <v>420153.01285853353</v>
      </c>
      <c r="M465" s="306"/>
      <c r="N465" s="155">
        <v>93053.384078189294</v>
      </c>
      <c r="O465" s="181">
        <f>VLOOKUP($A465&amp;$B465,'LE Inputs'!$C$2:$J$525,MATCH('LE UtilityData'!O$1,'LE Inputs'!$C$1:$J$1,0),0)</f>
        <v>88634.040610014141</v>
      </c>
      <c r="P465" s="181" t="e">
        <f>VLOOKUP($A465&amp;$B465,'LE Inputs'!$C$2:$J$505,MATCH('LE UtilityData'!P$1,'LE Inputs'!$C$1:$J$1,0),0)</f>
        <v>#N/A</v>
      </c>
      <c r="Q465" s="307">
        <f t="shared" si="62"/>
        <v>0.1</v>
      </c>
      <c r="R465" s="307">
        <f t="shared" si="62"/>
        <v>418.51750000000004</v>
      </c>
      <c r="S465" s="161">
        <f t="shared" si="62"/>
        <v>0.1</v>
      </c>
      <c r="T465" s="161">
        <f t="shared" si="62"/>
        <v>417.05</v>
      </c>
      <c r="U465" s="159">
        <v>4124</v>
      </c>
      <c r="V465" s="159">
        <v>1696</v>
      </c>
      <c r="W465" s="159" t="e">
        <f t="shared" si="63"/>
        <v>#DIV/0!</v>
      </c>
      <c r="X465" s="159">
        <f t="shared" si="60"/>
        <v>0</v>
      </c>
    </row>
    <row r="466" spans="1:24" x14ac:dyDescent="0.2">
      <c r="A466" s="147">
        <v>2039</v>
      </c>
      <c r="B466" s="147">
        <v>9</v>
      </c>
      <c r="E466" s="166">
        <v>21.460872719347851</v>
      </c>
      <c r="F466" s="258">
        <f t="shared" si="61"/>
        <v>19.490609933266978</v>
      </c>
      <c r="G466" s="258">
        <f t="shared" si="61"/>
        <v>17.304742736498252</v>
      </c>
      <c r="H466" s="167">
        <v>30.71</v>
      </c>
      <c r="I466" s="309">
        <v>874172.74292740587</v>
      </c>
      <c r="J466" s="181">
        <f>VLOOKUP($A466&amp;$B466,'LE Inputs'!$C$2:$J$505,MATCH('LE UtilityData'!J$1,'LE Inputs'!$C$1:$J$1,0),0)*1000</f>
        <v>1617602.9197345481</v>
      </c>
      <c r="K466" s="181">
        <v>657461.91608893336</v>
      </c>
      <c r="L466" s="157">
        <v>420313.60439493606</v>
      </c>
      <c r="M466" s="306"/>
      <c r="N466" s="155">
        <v>93053.384078189294</v>
      </c>
      <c r="O466" s="181">
        <f>VLOOKUP($A466&amp;$B466,'LE Inputs'!$C$2:$J$525,MATCH('LE UtilityData'!O$1,'LE Inputs'!$C$1:$J$1,0),0)</f>
        <v>88634.040610014141</v>
      </c>
      <c r="P466" s="181" t="e">
        <f>VLOOKUP($A466&amp;$B466,'LE Inputs'!$C$2:$J$505,MATCH('LE UtilityData'!P$1,'LE Inputs'!$C$1:$J$1,0),0)</f>
        <v>#N/A</v>
      </c>
      <c r="Q466" s="307">
        <f t="shared" si="62"/>
        <v>5.2125000000000004</v>
      </c>
      <c r="R466" s="307">
        <f t="shared" si="62"/>
        <v>326.05</v>
      </c>
      <c r="S466" s="161">
        <f t="shared" si="62"/>
        <v>5.35</v>
      </c>
      <c r="T466" s="161">
        <f t="shared" si="62"/>
        <v>330.2</v>
      </c>
      <c r="U466" s="159">
        <v>4124</v>
      </c>
      <c r="V466" s="159">
        <v>1696</v>
      </c>
      <c r="W466" s="159" t="e">
        <f t="shared" si="63"/>
        <v>#DIV/0!</v>
      </c>
      <c r="X466" s="159">
        <f t="shared" si="60"/>
        <v>0</v>
      </c>
    </row>
    <row r="467" spans="1:24" x14ac:dyDescent="0.2">
      <c r="A467" s="147">
        <v>2039</v>
      </c>
      <c r="B467" s="147">
        <v>10</v>
      </c>
      <c r="E467" s="166">
        <v>21.460872719347851</v>
      </c>
      <c r="F467" s="258">
        <f t="shared" ref="F467:G482" si="64">F455*(1+0.02)</f>
        <v>19.490609933266978</v>
      </c>
      <c r="G467" s="258">
        <f t="shared" si="64"/>
        <v>17.304742736498252</v>
      </c>
      <c r="H467" s="167">
        <v>29.52</v>
      </c>
      <c r="I467" s="309">
        <v>874506.74292740587</v>
      </c>
      <c r="J467" s="181">
        <f>VLOOKUP($A467&amp;$B467,'LE Inputs'!$C$2:$J$505,MATCH('LE UtilityData'!J$1,'LE Inputs'!$C$1:$J$1,0),0)*1000</f>
        <v>1620495.1949773054</v>
      </c>
      <c r="K467" s="181">
        <v>658562.91460396233</v>
      </c>
      <c r="L467" s="157">
        <v>420474.19593133859</v>
      </c>
      <c r="M467" s="306"/>
      <c r="N467" s="155">
        <v>93418.214352221505</v>
      </c>
      <c r="O467" s="181">
        <f>VLOOKUP($A467&amp;$B467,'LE Inputs'!$C$2:$J$525,MATCH('LE UtilityData'!O$1,'LE Inputs'!$C$1:$J$1,0),0)</f>
        <v>88887.536242389018</v>
      </c>
      <c r="P467" s="181" t="e">
        <f>VLOOKUP($A467&amp;$B467,'LE Inputs'!$C$2:$J$505,MATCH('LE UtilityData'!P$1,'LE Inputs'!$C$1:$J$1,0),0)</f>
        <v>#N/A</v>
      </c>
      <c r="Q467" s="307">
        <f t="shared" ref="Q467:T482" si="65">Q455</f>
        <v>99.232500000000002</v>
      </c>
      <c r="R467" s="307">
        <f t="shared" si="65"/>
        <v>97.24</v>
      </c>
      <c r="S467" s="161">
        <f t="shared" si="65"/>
        <v>99.3</v>
      </c>
      <c r="T467" s="161">
        <f t="shared" si="65"/>
        <v>100.05</v>
      </c>
      <c r="U467" s="159">
        <v>4124</v>
      </c>
      <c r="V467" s="159">
        <v>1696</v>
      </c>
      <c r="W467" s="159" t="e">
        <f t="shared" si="63"/>
        <v>#DIV/0!</v>
      </c>
      <c r="X467" s="159">
        <f t="shared" si="60"/>
        <v>0</v>
      </c>
    </row>
    <row r="468" spans="1:24" x14ac:dyDescent="0.2">
      <c r="A468" s="147">
        <v>2039</v>
      </c>
      <c r="B468" s="147">
        <v>11</v>
      </c>
      <c r="E468" s="166">
        <v>21.460872719347851</v>
      </c>
      <c r="F468" s="258">
        <f t="shared" si="64"/>
        <v>19.490609933266978</v>
      </c>
      <c r="G468" s="258">
        <f t="shared" si="64"/>
        <v>17.304742736498252</v>
      </c>
      <c r="H468" s="167">
        <v>29.38</v>
      </c>
      <c r="I468" s="309">
        <v>874840.74292740587</v>
      </c>
      <c r="J468" s="181">
        <f>VLOOKUP($A468&amp;$B468,'LE Inputs'!$C$2:$J$505,MATCH('LE UtilityData'!J$1,'LE Inputs'!$C$1:$J$1,0),0)*1000</f>
        <v>1620495.1949773054</v>
      </c>
      <c r="K468" s="181">
        <v>658562.91460396233</v>
      </c>
      <c r="L468" s="157">
        <v>420634.78746774112</v>
      </c>
      <c r="M468" s="306"/>
      <c r="N468" s="155">
        <v>93418.214352221505</v>
      </c>
      <c r="O468" s="181">
        <f>VLOOKUP($A468&amp;$B468,'LE Inputs'!$C$2:$J$525,MATCH('LE UtilityData'!O$1,'LE Inputs'!$C$1:$J$1,0),0)</f>
        <v>88887.536242389018</v>
      </c>
      <c r="P468" s="181" t="e">
        <f>VLOOKUP($A468&amp;$B468,'LE Inputs'!$C$2:$J$505,MATCH('LE UtilityData'!P$1,'LE Inputs'!$C$1:$J$1,0),0)</f>
        <v>#N/A</v>
      </c>
      <c r="Q468" s="307">
        <f t="shared" si="65"/>
        <v>353.59499999999997</v>
      </c>
      <c r="R468" s="307">
        <f t="shared" si="65"/>
        <v>11.487500000000001</v>
      </c>
      <c r="S468" s="161">
        <f t="shared" si="65"/>
        <v>352.6</v>
      </c>
      <c r="T468" s="161">
        <f t="shared" si="65"/>
        <v>12.75</v>
      </c>
      <c r="U468" s="159">
        <v>4124</v>
      </c>
      <c r="V468" s="159">
        <v>1696</v>
      </c>
      <c r="W468" s="159" t="e">
        <f t="shared" si="63"/>
        <v>#DIV/0!</v>
      </c>
      <c r="X468" s="159">
        <f t="shared" si="60"/>
        <v>0</v>
      </c>
    </row>
    <row r="469" spans="1:24" x14ac:dyDescent="0.2">
      <c r="A469" s="147">
        <v>2039</v>
      </c>
      <c r="B469" s="147">
        <v>12</v>
      </c>
      <c r="E469" s="166">
        <v>21.460872719347851</v>
      </c>
      <c r="F469" s="258">
        <f t="shared" si="64"/>
        <v>19.490609933266978</v>
      </c>
      <c r="G469" s="258">
        <f t="shared" si="64"/>
        <v>17.304742736498252</v>
      </c>
      <c r="H469" s="167">
        <v>32.81</v>
      </c>
      <c r="I469" s="309">
        <v>875174.74292740587</v>
      </c>
      <c r="J469" s="181">
        <f>VLOOKUP($A469&amp;$B469,'LE Inputs'!$C$2:$J$505,MATCH('LE UtilityData'!J$1,'LE Inputs'!$C$1:$J$1,0),0)*1000</f>
        <v>1620495.1949773054</v>
      </c>
      <c r="K469" s="181">
        <v>658562.91460396233</v>
      </c>
      <c r="L469" s="157">
        <v>420795.37900414364</v>
      </c>
      <c r="M469" s="306"/>
      <c r="N469" s="155">
        <v>93418.214352221505</v>
      </c>
      <c r="O469" s="181">
        <f>VLOOKUP($A469&amp;$B469,'LE Inputs'!$C$2:$J$525,MATCH('LE UtilityData'!O$1,'LE Inputs'!$C$1:$J$1,0),0)</f>
        <v>88887.536242389018</v>
      </c>
      <c r="P469" s="181" t="e">
        <f>VLOOKUP($A469&amp;$B469,'LE Inputs'!$C$2:$J$505,MATCH('LE UtilityData'!P$1,'LE Inputs'!$C$1:$J$1,0),0)</f>
        <v>#N/A</v>
      </c>
      <c r="Q469" s="307">
        <f t="shared" si="65"/>
        <v>667.68999999999994</v>
      </c>
      <c r="R469" s="307">
        <f t="shared" si="65"/>
        <v>1.1850000000000001</v>
      </c>
      <c r="S469" s="161">
        <f t="shared" si="65"/>
        <v>669.9</v>
      </c>
      <c r="T469" s="161">
        <f t="shared" si="65"/>
        <v>1.05</v>
      </c>
      <c r="U469" s="159">
        <v>4124</v>
      </c>
      <c r="V469" s="159">
        <v>1696</v>
      </c>
      <c r="W469" s="159" t="e">
        <f t="shared" si="63"/>
        <v>#DIV/0!</v>
      </c>
      <c r="X469" s="159">
        <f t="shared" si="60"/>
        <v>0</v>
      </c>
    </row>
    <row r="470" spans="1:24" x14ac:dyDescent="0.2">
      <c r="A470" s="147">
        <v>2040</v>
      </c>
      <c r="B470" s="147">
        <v>1</v>
      </c>
      <c r="E470" s="166">
        <v>21.997394537331548</v>
      </c>
      <c r="F470" s="258">
        <f t="shared" si="64"/>
        <v>19.880422131932317</v>
      </c>
      <c r="G470" s="258">
        <f t="shared" si="64"/>
        <v>17.650837591228218</v>
      </c>
      <c r="H470" s="166">
        <v>32.43</v>
      </c>
      <c r="I470" s="148">
        <v>875508.74292740587</v>
      </c>
      <c r="J470" s="181">
        <f>VLOOKUP($A470&amp;$B470,'LE Inputs'!$C$2:$J$505,MATCH('LE UtilityData'!J$1,'LE Inputs'!$C$1:$J$1,0),0)*1000</f>
        <v>1623785.3490545466</v>
      </c>
      <c r="K470" s="181">
        <v>660018.80586217705</v>
      </c>
      <c r="L470" s="157">
        <v>420955.97054054611</v>
      </c>
      <c r="M470" s="306"/>
      <c r="N470" s="307">
        <f t="shared" ref="N470:N517" si="66">N458*1.024</f>
        <v>94630.981498344147</v>
      </c>
      <c r="O470" s="181">
        <f>VLOOKUP($A470&amp;$B470,'LE Inputs'!$C$2:$J$525,MATCH('LE UtilityData'!O$1,'LE Inputs'!$C$1:$J$1,0),0)</f>
        <v>89929.271494689019</v>
      </c>
      <c r="P470" s="181" t="e">
        <f>VLOOKUP($A470&amp;$B470,'LE Inputs'!$C$2:$J$505,MATCH('LE UtilityData'!P$1,'LE Inputs'!$C$1:$J$1,0),0)</f>
        <v>#N/A</v>
      </c>
      <c r="Q470" s="307">
        <f t="shared" si="65"/>
        <v>927.57249999999999</v>
      </c>
      <c r="R470" s="307">
        <f t="shared" si="65"/>
        <v>0.35</v>
      </c>
      <c r="S470" s="161">
        <f t="shared" si="65"/>
        <v>932.4</v>
      </c>
      <c r="T470" s="161">
        <f t="shared" si="65"/>
        <v>0.35</v>
      </c>
      <c r="U470" s="159">
        <v>4124</v>
      </c>
      <c r="V470" s="159">
        <v>1696</v>
      </c>
      <c r="W470" s="159" t="e">
        <f t="shared" si="63"/>
        <v>#DIV/0!</v>
      </c>
      <c r="X470" s="159">
        <f t="shared" si="60"/>
        <v>0</v>
      </c>
    </row>
    <row r="471" spans="1:24" x14ac:dyDescent="0.2">
      <c r="A471" s="147">
        <v>2040</v>
      </c>
      <c r="B471" s="147">
        <v>2</v>
      </c>
      <c r="E471" s="166">
        <v>21.997394537331548</v>
      </c>
      <c r="F471" s="258">
        <f t="shared" si="64"/>
        <v>19.880422131932317</v>
      </c>
      <c r="G471" s="258">
        <f t="shared" si="64"/>
        <v>17.650837591228218</v>
      </c>
      <c r="H471" s="166">
        <v>29.9</v>
      </c>
      <c r="I471" s="148">
        <v>875842.74292740587</v>
      </c>
      <c r="J471" s="181">
        <f>VLOOKUP($A471&amp;$B471,'LE Inputs'!$C$2:$J$505,MATCH('LE UtilityData'!J$1,'LE Inputs'!$C$1:$J$1,0),0)*1000</f>
        <v>1623785.3490545466</v>
      </c>
      <c r="K471" s="181">
        <v>660018.80586217705</v>
      </c>
      <c r="L471" s="157">
        <v>421116.56207694864</v>
      </c>
      <c r="M471" s="306"/>
      <c r="N471" s="307">
        <f t="shared" si="66"/>
        <v>94630.981498344147</v>
      </c>
      <c r="O471" s="181">
        <f>VLOOKUP($A471&amp;$B471,'LE Inputs'!$C$2:$J$525,MATCH('LE UtilityData'!O$1,'LE Inputs'!$C$1:$J$1,0),0)</f>
        <v>89929.271494689019</v>
      </c>
      <c r="P471" s="181" t="e">
        <f>VLOOKUP($A471&amp;$B471,'LE Inputs'!$C$2:$J$505,MATCH('LE UtilityData'!P$1,'LE Inputs'!$C$1:$J$1,0),0)</f>
        <v>#N/A</v>
      </c>
      <c r="Q471" s="307">
        <f t="shared" si="65"/>
        <v>858.35750000000007</v>
      </c>
      <c r="R471" s="307">
        <f t="shared" si="65"/>
        <v>0.05</v>
      </c>
      <c r="S471" s="161">
        <f t="shared" si="65"/>
        <v>864.1</v>
      </c>
      <c r="T471" s="161">
        <f t="shared" si="65"/>
        <v>0.05</v>
      </c>
      <c r="U471" s="159">
        <v>4124</v>
      </c>
      <c r="V471" s="159">
        <v>1696</v>
      </c>
      <c r="W471" s="159" t="e">
        <f t="shared" si="63"/>
        <v>#DIV/0!</v>
      </c>
      <c r="X471" s="159">
        <f t="shared" si="60"/>
        <v>0</v>
      </c>
    </row>
    <row r="472" spans="1:24" x14ac:dyDescent="0.2">
      <c r="A472" s="147">
        <v>2040</v>
      </c>
      <c r="B472" s="147">
        <v>3</v>
      </c>
      <c r="E472" s="166">
        <v>21.997394537331548</v>
      </c>
      <c r="F472" s="258">
        <f t="shared" si="64"/>
        <v>19.880422131932317</v>
      </c>
      <c r="G472" s="258">
        <f t="shared" si="64"/>
        <v>17.650837591228218</v>
      </c>
      <c r="H472" s="166">
        <v>30.33</v>
      </c>
      <c r="I472" s="148">
        <v>876176.74292740587</v>
      </c>
      <c r="J472" s="181">
        <f>VLOOKUP($A472&amp;$B472,'LE Inputs'!$C$2:$J$505,MATCH('LE UtilityData'!J$1,'LE Inputs'!$C$1:$J$1,0),0)*1000</f>
        <v>1623785.3490545466</v>
      </c>
      <c r="K472" s="181">
        <v>660018.80586217705</v>
      </c>
      <c r="L472" s="157">
        <v>421277.15361335117</v>
      </c>
      <c r="M472" s="306"/>
      <c r="N472" s="307">
        <f t="shared" si="66"/>
        <v>94630.981498344147</v>
      </c>
      <c r="O472" s="181">
        <f>VLOOKUP($A472&amp;$B472,'LE Inputs'!$C$2:$J$525,MATCH('LE UtilityData'!O$1,'LE Inputs'!$C$1:$J$1,0),0)</f>
        <v>89929.271494689019</v>
      </c>
      <c r="P472" s="181" t="e">
        <f>VLOOKUP($A472&amp;$B472,'LE Inputs'!$C$2:$J$505,MATCH('LE UtilityData'!P$1,'LE Inputs'!$C$1:$J$1,0),0)</f>
        <v>#N/A</v>
      </c>
      <c r="Q472" s="307">
        <f t="shared" si="65"/>
        <v>666.12749999999994</v>
      </c>
      <c r="R472" s="307">
        <f t="shared" si="65"/>
        <v>2.0225</v>
      </c>
      <c r="S472" s="161">
        <f t="shared" si="65"/>
        <v>674.3</v>
      </c>
      <c r="T472" s="161">
        <f t="shared" si="65"/>
        <v>1.1499999999999999</v>
      </c>
      <c r="U472" s="159">
        <v>4124</v>
      </c>
      <c r="V472" s="159">
        <v>1696</v>
      </c>
      <c r="W472" s="159" t="e">
        <f t="shared" si="63"/>
        <v>#DIV/0!</v>
      </c>
      <c r="X472" s="159">
        <f t="shared" si="60"/>
        <v>0</v>
      </c>
    </row>
    <row r="473" spans="1:24" x14ac:dyDescent="0.2">
      <c r="A473" s="147">
        <v>2040</v>
      </c>
      <c r="B473" s="147">
        <v>4</v>
      </c>
      <c r="E473" s="166">
        <v>21.997394537331548</v>
      </c>
      <c r="F473" s="258">
        <f t="shared" si="64"/>
        <v>19.880422131932317</v>
      </c>
      <c r="G473" s="258">
        <f t="shared" si="64"/>
        <v>17.650837591228218</v>
      </c>
      <c r="H473" s="166">
        <v>30.29</v>
      </c>
      <c r="I473" s="148">
        <v>876510.74292740587</v>
      </c>
      <c r="J473" s="181">
        <f>VLOOKUP($A473&amp;$B473,'LE Inputs'!$C$2:$J$505,MATCH('LE UtilityData'!J$1,'LE Inputs'!$C$1:$J$1,0),0)*1000</f>
        <v>1626676.4251669936</v>
      </c>
      <c r="K473" s="181">
        <v>661220.4095889763</v>
      </c>
      <c r="L473" s="157">
        <v>421437.7451497537</v>
      </c>
      <c r="M473" s="306"/>
      <c r="N473" s="307">
        <f t="shared" si="66"/>
        <v>94701.360689142166</v>
      </c>
      <c r="O473" s="181">
        <f>VLOOKUP($A473&amp;$B473,'LE Inputs'!$C$2:$J$525,MATCH('LE UtilityData'!O$1,'LE Inputs'!$C$1:$J$1,0),0)</f>
        <v>90329.691805004448</v>
      </c>
      <c r="P473" s="181" t="e">
        <f>VLOOKUP($A473&amp;$B473,'LE Inputs'!$C$2:$J$505,MATCH('LE UtilityData'!P$1,'LE Inputs'!$C$1:$J$1,0),0)</f>
        <v>#N/A</v>
      </c>
      <c r="Q473" s="307">
        <f t="shared" si="65"/>
        <v>370.83499999999998</v>
      </c>
      <c r="R473" s="307">
        <f t="shared" si="65"/>
        <v>22.565000000000001</v>
      </c>
      <c r="S473" s="161">
        <f t="shared" si="65"/>
        <v>377.1</v>
      </c>
      <c r="T473" s="161">
        <f t="shared" si="65"/>
        <v>20.25</v>
      </c>
      <c r="U473" s="159">
        <v>4124</v>
      </c>
      <c r="V473" s="159">
        <v>1696</v>
      </c>
      <c r="W473" s="159" t="e">
        <f t="shared" si="63"/>
        <v>#DIV/0!</v>
      </c>
      <c r="X473" s="159">
        <f t="shared" si="60"/>
        <v>0</v>
      </c>
    </row>
    <row r="474" spans="1:24" x14ac:dyDescent="0.2">
      <c r="A474" s="147">
        <v>2040</v>
      </c>
      <c r="B474" s="147">
        <v>5</v>
      </c>
      <c r="E474" s="166">
        <v>21.997394537331548</v>
      </c>
      <c r="F474" s="258">
        <f t="shared" si="64"/>
        <v>19.880422131932317</v>
      </c>
      <c r="G474" s="258">
        <f t="shared" si="64"/>
        <v>17.650837591228218</v>
      </c>
      <c r="H474" s="166">
        <v>30.05</v>
      </c>
      <c r="I474" s="148">
        <v>876844.74292740587</v>
      </c>
      <c r="J474" s="181">
        <f>VLOOKUP($A474&amp;$B474,'LE Inputs'!$C$2:$J$505,MATCH('LE UtilityData'!J$1,'LE Inputs'!$C$1:$J$1,0),0)*1000</f>
        <v>1626676.4251669936</v>
      </c>
      <c r="K474" s="181">
        <v>661220.4095889763</v>
      </c>
      <c r="L474" s="157">
        <v>421598.33668615622</v>
      </c>
      <c r="M474" s="306"/>
      <c r="N474" s="307">
        <f t="shared" si="66"/>
        <v>94701.360689142166</v>
      </c>
      <c r="O474" s="181">
        <f>VLOOKUP($A474&amp;$B474,'LE Inputs'!$C$2:$J$525,MATCH('LE UtilityData'!O$1,'LE Inputs'!$C$1:$J$1,0),0)</f>
        <v>90329.691805004448</v>
      </c>
      <c r="P474" s="181" t="e">
        <f>VLOOKUP($A474&amp;$B474,'LE Inputs'!$C$2:$J$505,MATCH('LE UtilityData'!P$1,'LE Inputs'!$C$1:$J$1,0),0)</f>
        <v>#N/A</v>
      </c>
      <c r="Q474" s="307">
        <f t="shared" si="65"/>
        <v>141.76749999999998</v>
      </c>
      <c r="R474" s="307">
        <f t="shared" si="65"/>
        <v>69.552499999999995</v>
      </c>
      <c r="S474" s="161">
        <f t="shared" si="65"/>
        <v>141</v>
      </c>
      <c r="T474" s="161">
        <f t="shared" si="65"/>
        <v>69.349999999999994</v>
      </c>
      <c r="U474" s="159">
        <v>4124</v>
      </c>
      <c r="V474" s="159">
        <v>1696</v>
      </c>
      <c r="W474" s="159" t="e">
        <f t="shared" si="63"/>
        <v>#DIV/0!</v>
      </c>
      <c r="X474" s="159">
        <f t="shared" si="60"/>
        <v>0</v>
      </c>
    </row>
    <row r="475" spans="1:24" x14ac:dyDescent="0.2">
      <c r="A475" s="147">
        <v>2040</v>
      </c>
      <c r="B475" s="147">
        <v>6</v>
      </c>
      <c r="E475" s="166">
        <v>21.997394537331548</v>
      </c>
      <c r="F475" s="258">
        <f t="shared" si="64"/>
        <v>19.880422131932317</v>
      </c>
      <c r="G475" s="258">
        <f t="shared" si="64"/>
        <v>17.650837591228218</v>
      </c>
      <c r="H475" s="166">
        <v>30.67</v>
      </c>
      <c r="I475" s="148">
        <v>877178.59663744271</v>
      </c>
      <c r="J475" s="181">
        <f>VLOOKUP($A475&amp;$B475,'LE Inputs'!$C$2:$J$505,MATCH('LE UtilityData'!J$1,'LE Inputs'!$C$1:$J$1,0),0)*1000</f>
        <v>1626676.4251669936</v>
      </c>
      <c r="K475" s="181">
        <v>661220.4095889763</v>
      </c>
      <c r="L475" s="157">
        <v>421758.85788444517</v>
      </c>
      <c r="M475" s="306"/>
      <c r="N475" s="307">
        <f t="shared" si="66"/>
        <v>94701.360689142166</v>
      </c>
      <c r="O475" s="181">
        <f>VLOOKUP($A475&amp;$B475,'LE Inputs'!$C$2:$J$525,MATCH('LE UtilityData'!O$1,'LE Inputs'!$C$1:$J$1,0),0)</f>
        <v>90329.691805004448</v>
      </c>
      <c r="P475" s="181" t="e">
        <f>VLOOKUP($A475&amp;$B475,'LE Inputs'!$C$2:$J$505,MATCH('LE UtilityData'!P$1,'LE Inputs'!$C$1:$J$1,0),0)</f>
        <v>#N/A</v>
      </c>
      <c r="Q475" s="307">
        <f t="shared" si="65"/>
        <v>29.807499999999997</v>
      </c>
      <c r="R475" s="307">
        <f t="shared" si="65"/>
        <v>219.05749999999998</v>
      </c>
      <c r="S475" s="161">
        <f t="shared" si="65"/>
        <v>29.5</v>
      </c>
      <c r="T475" s="161">
        <f t="shared" si="65"/>
        <v>224.8</v>
      </c>
      <c r="U475" s="159">
        <v>4124</v>
      </c>
      <c r="V475" s="159">
        <v>1696</v>
      </c>
      <c r="W475" s="159" t="e">
        <f t="shared" si="63"/>
        <v>#DIV/0!</v>
      </c>
      <c r="X475" s="159">
        <f t="shared" si="60"/>
        <v>0</v>
      </c>
    </row>
    <row r="476" spans="1:24" x14ac:dyDescent="0.2">
      <c r="A476" s="147">
        <v>2040</v>
      </c>
      <c r="B476" s="147">
        <v>7</v>
      </c>
      <c r="E476" s="166">
        <v>21.997394537331548</v>
      </c>
      <c r="F476" s="258">
        <f t="shared" si="64"/>
        <v>19.880422131932317</v>
      </c>
      <c r="G476" s="258">
        <f t="shared" si="64"/>
        <v>17.650837591228218</v>
      </c>
      <c r="H476" s="166">
        <v>30.62</v>
      </c>
      <c r="I476" s="148">
        <v>877514.59663744271</v>
      </c>
      <c r="J476" s="181">
        <f>VLOOKUP($A476&amp;$B476,'LE Inputs'!$C$2:$J$505,MATCH('LE UtilityData'!J$1,'LE Inputs'!$C$1:$J$1,0),0)*1000</f>
        <v>1628366.0504644737</v>
      </c>
      <c r="K476" s="181">
        <v>662004.50475364178</v>
      </c>
      <c r="L476" s="157">
        <v>421920.41104681417</v>
      </c>
      <c r="M476" s="306"/>
      <c r="N476" s="307">
        <f t="shared" si="66"/>
        <v>95286.665296065839</v>
      </c>
      <c r="O476" s="181">
        <f>VLOOKUP($A476&amp;$B476,'LE Inputs'!$C$2:$J$525,MATCH('LE UtilityData'!O$1,'LE Inputs'!$C$1:$J$1,0),0)</f>
        <v>90764.476101317385</v>
      </c>
      <c r="P476" s="181" t="e">
        <f>VLOOKUP($A476&amp;$B476,'LE Inputs'!$C$2:$J$505,MATCH('LE UtilityData'!P$1,'LE Inputs'!$C$1:$J$1,0),0)</f>
        <v>#N/A</v>
      </c>
      <c r="Q476" s="307">
        <f t="shared" si="65"/>
        <v>0.57250000000000001</v>
      </c>
      <c r="R476" s="307">
        <f t="shared" si="65"/>
        <v>397.17500000000001</v>
      </c>
      <c r="S476" s="161">
        <f t="shared" si="65"/>
        <v>0.55000000000000004</v>
      </c>
      <c r="T476" s="161">
        <f t="shared" si="65"/>
        <v>396.4</v>
      </c>
      <c r="U476" s="159">
        <v>4124</v>
      </c>
      <c r="V476" s="159">
        <v>1696</v>
      </c>
      <c r="W476" s="159" t="e">
        <f t="shared" si="63"/>
        <v>#DIV/0!</v>
      </c>
      <c r="X476" s="159">
        <f t="shared" si="60"/>
        <v>0</v>
      </c>
    </row>
    <row r="477" spans="1:24" x14ac:dyDescent="0.2">
      <c r="A477" s="147">
        <v>2040</v>
      </c>
      <c r="B477" s="147">
        <v>8</v>
      </c>
      <c r="E477" s="166">
        <v>21.997394537331548</v>
      </c>
      <c r="F477" s="258">
        <f t="shared" si="64"/>
        <v>19.880422131932317</v>
      </c>
      <c r="G477" s="258">
        <f t="shared" si="64"/>
        <v>17.650837591228218</v>
      </c>
      <c r="H477" s="166">
        <v>29.52</v>
      </c>
      <c r="I477" s="148">
        <v>877850.59663744271</v>
      </c>
      <c r="J477" s="181">
        <f>VLOOKUP($A477&amp;$B477,'LE Inputs'!$C$2:$J$505,MATCH('LE UtilityData'!J$1,'LE Inputs'!$C$1:$J$1,0),0)*1000</f>
        <v>1628366.0504644737</v>
      </c>
      <c r="K477" s="181">
        <v>662004.50475364178</v>
      </c>
      <c r="L477" s="157">
        <v>422081.96420918318</v>
      </c>
      <c r="M477" s="306"/>
      <c r="N477" s="307">
        <f t="shared" si="66"/>
        <v>95286.665296065839</v>
      </c>
      <c r="O477" s="181">
        <f>VLOOKUP($A477&amp;$B477,'LE Inputs'!$C$2:$J$525,MATCH('LE UtilityData'!O$1,'LE Inputs'!$C$1:$J$1,0),0)</f>
        <v>90764.476101317385</v>
      </c>
      <c r="P477" s="181" t="e">
        <f>VLOOKUP($A477&amp;$B477,'LE Inputs'!$C$2:$J$505,MATCH('LE UtilityData'!P$1,'LE Inputs'!$C$1:$J$1,0),0)</f>
        <v>#N/A</v>
      </c>
      <c r="Q477" s="307">
        <f t="shared" si="65"/>
        <v>0.1</v>
      </c>
      <c r="R477" s="307">
        <f t="shared" si="65"/>
        <v>418.51750000000004</v>
      </c>
      <c r="S477" s="161">
        <f t="shared" si="65"/>
        <v>0.1</v>
      </c>
      <c r="T477" s="161">
        <f t="shared" si="65"/>
        <v>417.05</v>
      </c>
      <c r="U477" s="159">
        <v>4124</v>
      </c>
      <c r="V477" s="159">
        <v>1696</v>
      </c>
      <c r="W477" s="159" t="e">
        <f t="shared" si="63"/>
        <v>#DIV/0!</v>
      </c>
      <c r="X477" s="159">
        <f t="shared" si="60"/>
        <v>0</v>
      </c>
    </row>
    <row r="478" spans="1:24" x14ac:dyDescent="0.2">
      <c r="A478" s="147">
        <v>2040</v>
      </c>
      <c r="B478" s="147">
        <v>9</v>
      </c>
      <c r="E478" s="166">
        <v>21.997394537331548</v>
      </c>
      <c r="F478" s="258">
        <f t="shared" si="64"/>
        <v>19.880422131932317</v>
      </c>
      <c r="G478" s="258">
        <f t="shared" si="64"/>
        <v>17.650837591228218</v>
      </c>
      <c r="H478" s="166">
        <v>30.71</v>
      </c>
      <c r="I478" s="148">
        <v>878186.59663744271</v>
      </c>
      <c r="J478" s="181">
        <f>VLOOKUP($A478&amp;$B478,'LE Inputs'!$C$2:$J$505,MATCH('LE UtilityData'!J$1,'LE Inputs'!$C$1:$J$1,0),0)*1000</f>
        <v>1628366.0504644737</v>
      </c>
      <c r="K478" s="181">
        <v>662004.50475364178</v>
      </c>
      <c r="L478" s="157">
        <v>422243.51737155212</v>
      </c>
      <c r="M478" s="306"/>
      <c r="N478" s="307">
        <f t="shared" si="66"/>
        <v>95286.665296065839</v>
      </c>
      <c r="O478" s="181">
        <f>VLOOKUP($A478&amp;$B478,'LE Inputs'!$C$2:$J$525,MATCH('LE UtilityData'!O$1,'LE Inputs'!$C$1:$J$1,0),0)</f>
        <v>90764.476101317385</v>
      </c>
      <c r="P478" s="181" t="e">
        <f>VLOOKUP($A478&amp;$B478,'LE Inputs'!$C$2:$J$505,MATCH('LE UtilityData'!P$1,'LE Inputs'!$C$1:$J$1,0),0)</f>
        <v>#N/A</v>
      </c>
      <c r="Q478" s="307">
        <f t="shared" si="65"/>
        <v>5.2125000000000004</v>
      </c>
      <c r="R478" s="307">
        <f t="shared" si="65"/>
        <v>326.05</v>
      </c>
      <c r="S478" s="161">
        <f t="shared" si="65"/>
        <v>5.35</v>
      </c>
      <c r="T478" s="161">
        <f t="shared" si="65"/>
        <v>330.2</v>
      </c>
      <c r="U478" s="159">
        <v>4124</v>
      </c>
      <c r="V478" s="159">
        <v>1696</v>
      </c>
      <c r="W478" s="159" t="e">
        <f t="shared" si="63"/>
        <v>#DIV/0!</v>
      </c>
      <c r="X478" s="159">
        <f t="shared" si="60"/>
        <v>0</v>
      </c>
    </row>
    <row r="479" spans="1:24" x14ac:dyDescent="0.2">
      <c r="A479" s="147">
        <v>2040</v>
      </c>
      <c r="B479" s="147">
        <v>10</v>
      </c>
      <c r="E479" s="166">
        <v>21.997394537331548</v>
      </c>
      <c r="F479" s="258">
        <f t="shared" si="64"/>
        <v>19.880422131932317</v>
      </c>
      <c r="G479" s="258">
        <f t="shared" si="64"/>
        <v>17.650837591228218</v>
      </c>
      <c r="H479" s="166">
        <v>29.52</v>
      </c>
      <c r="I479" s="148">
        <v>878522.59663744271</v>
      </c>
      <c r="J479" s="181">
        <f>VLOOKUP($A479&amp;$B479,'LE Inputs'!$C$2:$J$505,MATCH('LE UtilityData'!J$1,'LE Inputs'!$C$1:$J$1,0),0)*1000</f>
        <v>1631259.3703972592</v>
      </c>
      <c r="K479" s="181">
        <v>663007.75377696857</v>
      </c>
      <c r="L479" s="157">
        <v>422405.07053392113</v>
      </c>
      <c r="M479" s="306"/>
      <c r="N479" s="307">
        <f t="shared" si="66"/>
        <v>95660.251496674828</v>
      </c>
      <c r="O479" s="181">
        <f>VLOOKUP($A479&amp;$B479,'LE Inputs'!$C$2:$J$525,MATCH('LE UtilityData'!O$1,'LE Inputs'!$C$1:$J$1,0),0)</f>
        <v>90903.90560777206</v>
      </c>
      <c r="P479" s="181" t="e">
        <f>VLOOKUP($A479&amp;$B479,'LE Inputs'!$C$2:$J$505,MATCH('LE UtilityData'!P$1,'LE Inputs'!$C$1:$J$1,0),0)</f>
        <v>#N/A</v>
      </c>
      <c r="Q479" s="307">
        <f t="shared" si="65"/>
        <v>99.232500000000002</v>
      </c>
      <c r="R479" s="307">
        <f t="shared" si="65"/>
        <v>97.24</v>
      </c>
      <c r="S479" s="161">
        <f t="shared" si="65"/>
        <v>99.3</v>
      </c>
      <c r="T479" s="161">
        <f t="shared" si="65"/>
        <v>100.05</v>
      </c>
      <c r="U479" s="159">
        <v>4124</v>
      </c>
      <c r="V479" s="159">
        <v>1696</v>
      </c>
      <c r="W479" s="159" t="e">
        <f t="shared" si="63"/>
        <v>#DIV/0!</v>
      </c>
      <c r="X479" s="159">
        <f t="shared" si="60"/>
        <v>0</v>
      </c>
    </row>
    <row r="480" spans="1:24" x14ac:dyDescent="0.2">
      <c r="A480" s="147">
        <v>2040</v>
      </c>
      <c r="B480" s="147">
        <v>11</v>
      </c>
      <c r="E480" s="166">
        <v>21.997394537331548</v>
      </c>
      <c r="F480" s="258">
        <f t="shared" si="64"/>
        <v>19.880422131932317</v>
      </c>
      <c r="G480" s="258">
        <f t="shared" si="64"/>
        <v>17.650837591228218</v>
      </c>
      <c r="H480" s="166">
        <v>29.38</v>
      </c>
      <c r="I480" s="148">
        <v>878858.59663744271</v>
      </c>
      <c r="J480" s="181">
        <f>VLOOKUP($A480&amp;$B480,'LE Inputs'!$C$2:$J$505,MATCH('LE UtilityData'!J$1,'LE Inputs'!$C$1:$J$1,0),0)*1000</f>
        <v>1631259.3703972592</v>
      </c>
      <c r="K480" s="181">
        <v>663007.75377696857</v>
      </c>
      <c r="L480" s="157">
        <v>422566.62369629013</v>
      </c>
      <c r="M480" s="306"/>
      <c r="N480" s="307">
        <f t="shared" si="66"/>
        <v>95660.251496674828</v>
      </c>
      <c r="O480" s="181">
        <f>VLOOKUP($A480&amp;$B480,'LE Inputs'!$C$2:$J$525,MATCH('LE UtilityData'!O$1,'LE Inputs'!$C$1:$J$1,0),0)</f>
        <v>90903.90560777206</v>
      </c>
      <c r="P480" s="181" t="e">
        <f>VLOOKUP($A480&amp;$B480,'LE Inputs'!$C$2:$J$505,MATCH('LE UtilityData'!P$1,'LE Inputs'!$C$1:$J$1,0),0)</f>
        <v>#N/A</v>
      </c>
      <c r="Q480" s="307">
        <f t="shared" si="65"/>
        <v>353.59499999999997</v>
      </c>
      <c r="R480" s="307">
        <f t="shared" si="65"/>
        <v>11.487500000000001</v>
      </c>
      <c r="S480" s="161">
        <f t="shared" si="65"/>
        <v>352.6</v>
      </c>
      <c r="T480" s="161">
        <f t="shared" si="65"/>
        <v>12.75</v>
      </c>
      <c r="U480" s="159">
        <v>4124</v>
      </c>
      <c r="V480" s="159">
        <v>1696</v>
      </c>
      <c r="W480" s="159" t="e">
        <f t="shared" si="63"/>
        <v>#DIV/0!</v>
      </c>
      <c r="X480" s="159">
        <f t="shared" si="60"/>
        <v>0</v>
      </c>
    </row>
    <row r="481" spans="1:24" x14ac:dyDescent="0.2">
      <c r="A481" s="147">
        <v>2040</v>
      </c>
      <c r="B481" s="147">
        <v>12</v>
      </c>
      <c r="E481" s="166">
        <v>21.997394537331548</v>
      </c>
      <c r="F481" s="258">
        <f t="shared" si="64"/>
        <v>19.880422131932317</v>
      </c>
      <c r="G481" s="258">
        <f t="shared" si="64"/>
        <v>17.650837591228218</v>
      </c>
      <c r="H481" s="166">
        <v>32.81</v>
      </c>
      <c r="I481" s="148">
        <v>879194.59663744271</v>
      </c>
      <c r="J481" s="181">
        <f>VLOOKUP($A481&amp;$B481,'LE Inputs'!$C$2:$J$505,MATCH('LE UtilityData'!J$1,'LE Inputs'!$C$1:$J$1,0),0)*1000</f>
        <v>1631259.3703972592</v>
      </c>
      <c r="K481" s="181">
        <v>663007.75377696857</v>
      </c>
      <c r="L481" s="157">
        <v>422728.17685865914</v>
      </c>
      <c r="M481" s="306"/>
      <c r="N481" s="307">
        <f t="shared" si="66"/>
        <v>95660.251496674828</v>
      </c>
      <c r="O481" s="181">
        <f>VLOOKUP($A481&amp;$B481,'LE Inputs'!$C$2:$J$525,MATCH('LE UtilityData'!O$1,'LE Inputs'!$C$1:$J$1,0),0)</f>
        <v>90903.90560777206</v>
      </c>
      <c r="P481" s="181" t="e">
        <f>VLOOKUP($A481&amp;$B481,'LE Inputs'!$C$2:$J$505,MATCH('LE UtilityData'!P$1,'LE Inputs'!$C$1:$J$1,0),0)</f>
        <v>#N/A</v>
      </c>
      <c r="Q481" s="307">
        <f t="shared" si="65"/>
        <v>667.68999999999994</v>
      </c>
      <c r="R481" s="307">
        <f t="shared" si="65"/>
        <v>1.1850000000000001</v>
      </c>
      <c r="S481" s="161">
        <f t="shared" si="65"/>
        <v>669.9</v>
      </c>
      <c r="T481" s="161">
        <f t="shared" si="65"/>
        <v>1.05</v>
      </c>
      <c r="U481" s="159">
        <v>4124</v>
      </c>
      <c r="V481" s="159">
        <v>1696</v>
      </c>
      <c r="W481" s="159" t="e">
        <f t="shared" si="63"/>
        <v>#DIV/0!</v>
      </c>
      <c r="X481" s="159">
        <f t="shared" si="60"/>
        <v>0</v>
      </c>
    </row>
    <row r="482" spans="1:24" x14ac:dyDescent="0.2">
      <c r="A482" s="147">
        <v>2041</v>
      </c>
      <c r="B482" s="147">
        <v>1</v>
      </c>
      <c r="E482" s="166">
        <v>22.547329400764834</v>
      </c>
      <c r="F482" s="258">
        <f t="shared" si="64"/>
        <v>20.278030574570963</v>
      </c>
      <c r="G482" s="258">
        <f t="shared" si="64"/>
        <v>18.003854343052783</v>
      </c>
      <c r="H482" s="166">
        <f t="shared" ref="H482:H517" si="67">H470</f>
        <v>32.43</v>
      </c>
      <c r="I482" s="148">
        <v>879530.59663744271</v>
      </c>
      <c r="J482" s="181">
        <f>VLOOKUP($A482&amp;$B482,'LE Inputs'!$C$2:$J$505,MATCH('LE UtilityData'!J$1,'LE Inputs'!$C$1:$J$1,0),0)*1000</f>
        <v>1634955.0126437005</v>
      </c>
      <c r="K482" s="181">
        <v>664906.80433900061</v>
      </c>
      <c r="L482" s="157">
        <v>422889.73002102808</v>
      </c>
      <c r="M482" s="306"/>
      <c r="N482" s="307">
        <f t="shared" si="66"/>
        <v>96902.125054304415</v>
      </c>
      <c r="O482" s="181">
        <f>VLOOKUP($A482&amp;$B482,'LE Inputs'!$C$2:$J$525,MATCH('LE UtilityData'!O$1,'LE Inputs'!$C$1:$J$1,0),0)</f>
        <v>91922.650964035478</v>
      </c>
      <c r="P482" s="181" t="e">
        <f>VLOOKUP($A482&amp;$B482,'LE Inputs'!$C$2:$J$505,MATCH('LE UtilityData'!P$1,'LE Inputs'!$C$1:$J$1,0),0)</f>
        <v>#N/A</v>
      </c>
      <c r="Q482" s="307">
        <f t="shared" si="65"/>
        <v>927.57249999999999</v>
      </c>
      <c r="R482" s="307">
        <f t="shared" si="65"/>
        <v>0.35</v>
      </c>
      <c r="S482" s="161">
        <f t="shared" si="65"/>
        <v>932.4</v>
      </c>
      <c r="T482" s="161">
        <f t="shared" si="65"/>
        <v>0.35</v>
      </c>
      <c r="U482" s="159">
        <v>4124</v>
      </c>
      <c r="V482" s="159">
        <v>1696</v>
      </c>
      <c r="W482" s="159" t="e">
        <f t="shared" si="63"/>
        <v>#DIV/0!</v>
      </c>
      <c r="X482" s="159">
        <f t="shared" si="60"/>
        <v>0</v>
      </c>
    </row>
    <row r="483" spans="1:24" x14ac:dyDescent="0.2">
      <c r="A483" s="147">
        <v>2041</v>
      </c>
      <c r="B483" s="147">
        <v>2</v>
      </c>
      <c r="E483" s="166">
        <v>22.547329400764834</v>
      </c>
      <c r="F483" s="258">
        <f t="shared" ref="F483:G498" si="68">F471*(1+0.02)</f>
        <v>20.278030574570963</v>
      </c>
      <c r="G483" s="258">
        <f t="shared" si="68"/>
        <v>18.003854343052783</v>
      </c>
      <c r="H483" s="166">
        <f t="shared" si="67"/>
        <v>29.9</v>
      </c>
      <c r="I483" s="148">
        <v>879866.59663744271</v>
      </c>
      <c r="J483" s="181">
        <f>VLOOKUP($A483&amp;$B483,'LE Inputs'!$C$2:$J$505,MATCH('LE UtilityData'!J$1,'LE Inputs'!$C$1:$J$1,0),0)*1000</f>
        <v>1634955.0126437005</v>
      </c>
      <c r="K483" s="181">
        <v>664906.80433900061</v>
      </c>
      <c r="L483" s="157">
        <v>423051.28318339703</v>
      </c>
      <c r="M483" s="306"/>
      <c r="N483" s="307">
        <f t="shared" si="66"/>
        <v>96902.125054304415</v>
      </c>
      <c r="O483" s="181">
        <f>VLOOKUP($A483&amp;$B483,'LE Inputs'!$C$2:$J$525,MATCH('LE UtilityData'!O$1,'LE Inputs'!$C$1:$J$1,0),0)</f>
        <v>91922.650964035478</v>
      </c>
      <c r="P483" s="181" t="e">
        <f>VLOOKUP($A483&amp;$B483,'LE Inputs'!$C$2:$J$505,MATCH('LE UtilityData'!P$1,'LE Inputs'!$C$1:$J$1,0),0)</f>
        <v>#N/A</v>
      </c>
      <c r="Q483" s="307">
        <f t="shared" ref="Q483:T498" si="69">Q471</f>
        <v>858.35750000000007</v>
      </c>
      <c r="R483" s="307">
        <f t="shared" si="69"/>
        <v>0.05</v>
      </c>
      <c r="S483" s="161">
        <f t="shared" si="69"/>
        <v>864.1</v>
      </c>
      <c r="T483" s="161">
        <f t="shared" si="69"/>
        <v>0.05</v>
      </c>
      <c r="U483" s="159">
        <v>4124</v>
      </c>
      <c r="V483" s="159">
        <v>1696</v>
      </c>
      <c r="W483" s="159" t="e">
        <f t="shared" si="63"/>
        <v>#DIV/0!</v>
      </c>
      <c r="X483" s="159">
        <f t="shared" si="60"/>
        <v>0</v>
      </c>
    </row>
    <row r="484" spans="1:24" x14ac:dyDescent="0.2">
      <c r="A484" s="147">
        <v>2041</v>
      </c>
      <c r="B484" s="147">
        <v>3</v>
      </c>
      <c r="E484" s="166">
        <v>22.547329400764834</v>
      </c>
      <c r="F484" s="258">
        <f t="shared" si="68"/>
        <v>20.278030574570963</v>
      </c>
      <c r="G484" s="258">
        <f t="shared" si="68"/>
        <v>18.003854343052783</v>
      </c>
      <c r="H484" s="166">
        <f t="shared" si="67"/>
        <v>30.33</v>
      </c>
      <c r="I484" s="148">
        <v>880202.59663744271</v>
      </c>
      <c r="J484" s="181">
        <f>VLOOKUP($A484&amp;$B484,'LE Inputs'!$C$2:$J$505,MATCH('LE UtilityData'!J$1,'LE Inputs'!$C$1:$J$1,0),0)*1000</f>
        <v>1634955.0126437005</v>
      </c>
      <c r="K484" s="181">
        <v>664906.80433900061</v>
      </c>
      <c r="L484" s="157">
        <v>423212.83634576603</v>
      </c>
      <c r="M484" s="306"/>
      <c r="N484" s="307">
        <f t="shared" si="66"/>
        <v>96902.125054304415</v>
      </c>
      <c r="O484" s="181">
        <f>VLOOKUP($A484&amp;$B484,'LE Inputs'!$C$2:$J$525,MATCH('LE UtilityData'!O$1,'LE Inputs'!$C$1:$J$1,0),0)</f>
        <v>91922.650964035478</v>
      </c>
      <c r="P484" s="181" t="e">
        <f>VLOOKUP($A484&amp;$B484,'LE Inputs'!$C$2:$J$505,MATCH('LE UtilityData'!P$1,'LE Inputs'!$C$1:$J$1,0),0)</f>
        <v>#N/A</v>
      </c>
      <c r="Q484" s="307">
        <f t="shared" si="69"/>
        <v>666.12749999999994</v>
      </c>
      <c r="R484" s="307">
        <f t="shared" si="69"/>
        <v>2.0225</v>
      </c>
      <c r="S484" s="161">
        <f t="shared" si="69"/>
        <v>674.3</v>
      </c>
      <c r="T484" s="161">
        <f t="shared" si="69"/>
        <v>1.1499999999999999</v>
      </c>
      <c r="U484" s="159">
        <v>4124</v>
      </c>
      <c r="V484" s="159">
        <v>1696</v>
      </c>
      <c r="W484" s="159" t="e">
        <f t="shared" si="63"/>
        <v>#DIV/0!</v>
      </c>
      <c r="X484" s="159">
        <f t="shared" si="60"/>
        <v>0</v>
      </c>
    </row>
    <row r="485" spans="1:24" x14ac:dyDescent="0.2">
      <c r="A485" s="147">
        <v>2041</v>
      </c>
      <c r="B485" s="147">
        <v>4</v>
      </c>
      <c r="E485" s="166">
        <v>22.547329400764834</v>
      </c>
      <c r="F485" s="258">
        <f t="shared" si="68"/>
        <v>20.278030574570963</v>
      </c>
      <c r="G485" s="258">
        <f t="shared" si="68"/>
        <v>18.003854343052783</v>
      </c>
      <c r="H485" s="166">
        <f t="shared" si="67"/>
        <v>30.29</v>
      </c>
      <c r="I485" s="148">
        <v>880538.59663744271</v>
      </c>
      <c r="J485" s="181">
        <f>VLOOKUP($A485&amp;$B485,'LE Inputs'!$C$2:$J$505,MATCH('LE UtilityData'!J$1,'LE Inputs'!$C$1:$J$1,0),0)*1000</f>
        <v>1637850.0459704618</v>
      </c>
      <c r="K485" s="181">
        <v>666197.00955765625</v>
      </c>
      <c r="L485" s="157">
        <v>423374.38950813498</v>
      </c>
      <c r="M485" s="306"/>
      <c r="N485" s="307">
        <f t="shared" si="66"/>
        <v>96974.193345681575</v>
      </c>
      <c r="O485" s="181">
        <f>VLOOKUP($A485&amp;$B485,'LE Inputs'!$C$2:$J$525,MATCH('LE UtilityData'!O$1,'LE Inputs'!$C$1:$J$1,0),0)</f>
        <v>92291.411671340684</v>
      </c>
      <c r="P485" s="181" t="e">
        <f>VLOOKUP($A485&amp;$B485,'LE Inputs'!$C$2:$J$505,MATCH('LE UtilityData'!P$1,'LE Inputs'!$C$1:$J$1,0),0)</f>
        <v>#N/A</v>
      </c>
      <c r="Q485" s="307">
        <f t="shared" si="69"/>
        <v>370.83499999999998</v>
      </c>
      <c r="R485" s="307">
        <f t="shared" si="69"/>
        <v>22.565000000000001</v>
      </c>
      <c r="S485" s="161">
        <f t="shared" si="69"/>
        <v>377.1</v>
      </c>
      <c r="T485" s="161">
        <f t="shared" si="69"/>
        <v>20.25</v>
      </c>
      <c r="U485" s="159">
        <v>4124</v>
      </c>
      <c r="V485" s="159">
        <v>1696</v>
      </c>
      <c r="W485" s="159" t="e">
        <f t="shared" si="63"/>
        <v>#DIV/0!</v>
      </c>
      <c r="X485" s="159">
        <f t="shared" si="60"/>
        <v>0</v>
      </c>
    </row>
    <row r="486" spans="1:24" x14ac:dyDescent="0.2">
      <c r="A486" s="147">
        <v>2041</v>
      </c>
      <c r="B486" s="147">
        <v>5</v>
      </c>
      <c r="E486" s="166">
        <v>22.547329400764834</v>
      </c>
      <c r="F486" s="258">
        <f t="shared" si="68"/>
        <v>20.278030574570963</v>
      </c>
      <c r="G486" s="258">
        <f t="shared" si="68"/>
        <v>18.003854343052783</v>
      </c>
      <c r="H486" s="166">
        <f t="shared" si="67"/>
        <v>30.05</v>
      </c>
      <c r="I486" s="148">
        <v>880874.59663744271</v>
      </c>
      <c r="J486" s="181">
        <f>VLOOKUP($A486&amp;$B486,'LE Inputs'!$C$2:$J$505,MATCH('LE UtilityData'!J$1,'LE Inputs'!$C$1:$J$1,0),0)*1000</f>
        <v>1637850.0459704618</v>
      </c>
      <c r="K486" s="181">
        <v>666197.00955765625</v>
      </c>
      <c r="L486" s="157">
        <v>423535.94267050392</v>
      </c>
      <c r="M486" s="306"/>
      <c r="N486" s="307">
        <f t="shared" si="66"/>
        <v>96974.193345681575</v>
      </c>
      <c r="O486" s="181">
        <f>VLOOKUP($A486&amp;$B486,'LE Inputs'!$C$2:$J$525,MATCH('LE UtilityData'!O$1,'LE Inputs'!$C$1:$J$1,0),0)</f>
        <v>92291.411671340684</v>
      </c>
      <c r="P486" s="181" t="e">
        <f>VLOOKUP($A486&amp;$B486,'LE Inputs'!$C$2:$J$505,MATCH('LE UtilityData'!P$1,'LE Inputs'!$C$1:$J$1,0),0)</f>
        <v>#N/A</v>
      </c>
      <c r="Q486" s="307">
        <f t="shared" si="69"/>
        <v>141.76749999999998</v>
      </c>
      <c r="R486" s="307">
        <f t="shared" si="69"/>
        <v>69.552499999999995</v>
      </c>
      <c r="S486" s="161">
        <f t="shared" si="69"/>
        <v>141</v>
      </c>
      <c r="T486" s="161">
        <f t="shared" si="69"/>
        <v>69.349999999999994</v>
      </c>
      <c r="U486" s="159">
        <v>4124</v>
      </c>
      <c r="V486" s="159">
        <v>1696</v>
      </c>
      <c r="W486" s="159" t="e">
        <f t="shared" si="63"/>
        <v>#DIV/0!</v>
      </c>
      <c r="X486" s="159">
        <f t="shared" si="60"/>
        <v>0</v>
      </c>
    </row>
    <row r="487" spans="1:24" x14ac:dyDescent="0.2">
      <c r="A487" s="147">
        <v>2041</v>
      </c>
      <c r="B487" s="147">
        <v>6</v>
      </c>
      <c r="E487" s="166">
        <v>22.547329400764834</v>
      </c>
      <c r="F487" s="258">
        <f t="shared" si="68"/>
        <v>20.278030574570963</v>
      </c>
      <c r="G487" s="258">
        <f t="shared" si="68"/>
        <v>18.003854343052783</v>
      </c>
      <c r="H487" s="166">
        <f t="shared" si="67"/>
        <v>30.67</v>
      </c>
      <c r="I487" s="148">
        <v>881205</v>
      </c>
      <c r="J487" s="181">
        <f>VLOOKUP($A487&amp;$B487,'LE Inputs'!$C$2:$J$505,MATCH('LE UtilityData'!J$1,'LE Inputs'!$C$1:$J$1,0),0)*1000</f>
        <v>1637850.0459704618</v>
      </c>
      <c r="K487" s="181">
        <v>666197.00955765625</v>
      </c>
      <c r="L487" s="157">
        <v>423694.80489692802</v>
      </c>
      <c r="M487" s="306"/>
      <c r="N487" s="307">
        <f t="shared" si="66"/>
        <v>96974.193345681575</v>
      </c>
      <c r="O487" s="181">
        <f>VLOOKUP($A487&amp;$B487,'LE Inputs'!$C$2:$J$525,MATCH('LE UtilityData'!O$1,'LE Inputs'!$C$1:$J$1,0),0)</f>
        <v>92291.411671340684</v>
      </c>
      <c r="P487" s="181" t="e">
        <f>VLOOKUP($A487&amp;$B487,'LE Inputs'!$C$2:$J$505,MATCH('LE UtilityData'!P$1,'LE Inputs'!$C$1:$J$1,0),0)</f>
        <v>#N/A</v>
      </c>
      <c r="Q487" s="307">
        <f t="shared" si="69"/>
        <v>29.807499999999997</v>
      </c>
      <c r="R487" s="307">
        <f t="shared" si="69"/>
        <v>219.05749999999998</v>
      </c>
      <c r="S487" s="161">
        <f t="shared" si="69"/>
        <v>29.5</v>
      </c>
      <c r="T487" s="161">
        <f t="shared" si="69"/>
        <v>224.8</v>
      </c>
      <c r="U487" s="159">
        <v>4124</v>
      </c>
      <c r="V487" s="159">
        <v>1696</v>
      </c>
      <c r="W487" s="159" t="e">
        <f t="shared" si="63"/>
        <v>#DIV/0!</v>
      </c>
      <c r="X487" s="159">
        <f t="shared" si="60"/>
        <v>0</v>
      </c>
    </row>
    <row r="488" spans="1:24" x14ac:dyDescent="0.2">
      <c r="A488" s="147">
        <v>2041</v>
      </c>
      <c r="B488" s="147">
        <v>7</v>
      </c>
      <c r="E488" s="166">
        <v>22.547329400764834</v>
      </c>
      <c r="F488" s="258">
        <f t="shared" si="68"/>
        <v>20.278030574570963</v>
      </c>
      <c r="G488" s="258">
        <f t="shared" si="68"/>
        <v>18.003854343052783</v>
      </c>
      <c r="H488" s="166">
        <f t="shared" si="67"/>
        <v>30.62</v>
      </c>
      <c r="I488" s="148">
        <v>881535</v>
      </c>
      <c r="J488" s="181">
        <f>VLOOKUP($A488&amp;$B488,'LE Inputs'!$C$2:$J$505,MATCH('LE UtilityData'!J$1,'LE Inputs'!$C$1:$J$1,0),0)*1000</f>
        <v>1639135.334025197</v>
      </c>
      <c r="K488" s="181">
        <v>666951.55045085889</v>
      </c>
      <c r="L488" s="157">
        <v>423853.4731813976</v>
      </c>
      <c r="M488" s="306"/>
      <c r="N488" s="307">
        <f t="shared" si="66"/>
        <v>97573.545263171414</v>
      </c>
      <c r="O488" s="181">
        <f>VLOOKUP($A488&amp;$B488,'LE Inputs'!$C$2:$J$525,MATCH('LE UtilityData'!O$1,'LE Inputs'!$C$1:$J$1,0),0)</f>
        <v>92778.190601653056</v>
      </c>
      <c r="P488" s="181" t="e">
        <f>VLOOKUP($A488&amp;$B488,'LE Inputs'!$C$2:$J$505,MATCH('LE UtilityData'!P$1,'LE Inputs'!$C$1:$J$1,0),0)</f>
        <v>#N/A</v>
      </c>
      <c r="Q488" s="307">
        <f t="shared" si="69"/>
        <v>0.57250000000000001</v>
      </c>
      <c r="R488" s="307">
        <f t="shared" si="69"/>
        <v>397.17500000000001</v>
      </c>
      <c r="S488" s="161">
        <f t="shared" si="69"/>
        <v>0.55000000000000004</v>
      </c>
      <c r="T488" s="161">
        <f t="shared" si="69"/>
        <v>396.4</v>
      </c>
      <c r="U488" s="159">
        <v>4124</v>
      </c>
      <c r="V488" s="159">
        <v>1696</v>
      </c>
      <c r="W488" s="159" t="e">
        <f t="shared" si="63"/>
        <v>#DIV/0!</v>
      </c>
      <c r="X488" s="159">
        <f t="shared" si="60"/>
        <v>0</v>
      </c>
    </row>
    <row r="489" spans="1:24" x14ac:dyDescent="0.2">
      <c r="A489" s="147">
        <v>2041</v>
      </c>
      <c r="B489" s="147">
        <v>8</v>
      </c>
      <c r="E489" s="166">
        <v>22.547329400764834</v>
      </c>
      <c r="F489" s="258">
        <f t="shared" si="68"/>
        <v>20.278030574570963</v>
      </c>
      <c r="G489" s="258">
        <f t="shared" si="68"/>
        <v>18.003854343052783</v>
      </c>
      <c r="H489" s="166">
        <f t="shared" si="67"/>
        <v>29.52</v>
      </c>
      <c r="I489" s="148">
        <v>881865</v>
      </c>
      <c r="J489" s="181">
        <f>VLOOKUP($A489&amp;$B489,'LE Inputs'!$C$2:$J$505,MATCH('LE UtilityData'!J$1,'LE Inputs'!$C$1:$J$1,0),0)*1000</f>
        <v>1639135.334025197</v>
      </c>
      <c r="K489" s="181">
        <v>666951.55045085889</v>
      </c>
      <c r="L489" s="157">
        <v>424012.14146586717</v>
      </c>
      <c r="M489" s="306"/>
      <c r="N489" s="307">
        <f t="shared" si="66"/>
        <v>97573.545263171414</v>
      </c>
      <c r="O489" s="181">
        <f>VLOOKUP($A489&amp;$B489,'LE Inputs'!$C$2:$J$525,MATCH('LE UtilityData'!O$1,'LE Inputs'!$C$1:$J$1,0),0)</f>
        <v>92778.190601653056</v>
      </c>
      <c r="P489" s="181" t="e">
        <f>VLOOKUP($A489&amp;$B489,'LE Inputs'!$C$2:$J$505,MATCH('LE UtilityData'!P$1,'LE Inputs'!$C$1:$J$1,0),0)</f>
        <v>#N/A</v>
      </c>
      <c r="Q489" s="307">
        <f t="shared" si="69"/>
        <v>0.1</v>
      </c>
      <c r="R489" s="307">
        <f t="shared" si="69"/>
        <v>418.51750000000004</v>
      </c>
      <c r="S489" s="161">
        <f t="shared" si="69"/>
        <v>0.1</v>
      </c>
      <c r="T489" s="161">
        <f t="shared" si="69"/>
        <v>417.05</v>
      </c>
      <c r="U489" s="159">
        <v>4124</v>
      </c>
      <c r="V489" s="159">
        <v>1696</v>
      </c>
      <c r="W489" s="159" t="e">
        <f t="shared" si="63"/>
        <v>#DIV/0!</v>
      </c>
      <c r="X489" s="159">
        <f t="shared" si="60"/>
        <v>0</v>
      </c>
    </row>
    <row r="490" spans="1:24" x14ac:dyDescent="0.2">
      <c r="A490" s="147">
        <v>2041</v>
      </c>
      <c r="B490" s="147">
        <v>9</v>
      </c>
      <c r="E490" s="166">
        <v>22.547329400764834</v>
      </c>
      <c r="F490" s="258">
        <f t="shared" si="68"/>
        <v>20.278030574570963</v>
      </c>
      <c r="G490" s="258">
        <f t="shared" si="68"/>
        <v>18.003854343052783</v>
      </c>
      <c r="H490" s="166">
        <f t="shared" si="67"/>
        <v>30.71</v>
      </c>
      <c r="I490" s="148">
        <v>882195</v>
      </c>
      <c r="J490" s="181">
        <f>VLOOKUP($A490&amp;$B490,'LE Inputs'!$C$2:$J$505,MATCH('LE UtilityData'!J$1,'LE Inputs'!$C$1:$J$1,0),0)*1000</f>
        <v>1639135.334025197</v>
      </c>
      <c r="K490" s="181">
        <v>666951.55045085889</v>
      </c>
      <c r="L490" s="157">
        <v>424170.80975033675</v>
      </c>
      <c r="M490" s="306"/>
      <c r="N490" s="307">
        <f t="shared" si="66"/>
        <v>97573.545263171414</v>
      </c>
      <c r="O490" s="181">
        <f>VLOOKUP($A490&amp;$B490,'LE Inputs'!$C$2:$J$525,MATCH('LE UtilityData'!O$1,'LE Inputs'!$C$1:$J$1,0),0)</f>
        <v>92778.190601653056</v>
      </c>
      <c r="P490" s="181" t="e">
        <f>VLOOKUP($A490&amp;$B490,'LE Inputs'!$C$2:$J$505,MATCH('LE UtilityData'!P$1,'LE Inputs'!$C$1:$J$1,0),0)</f>
        <v>#N/A</v>
      </c>
      <c r="Q490" s="307">
        <f t="shared" si="69"/>
        <v>5.2125000000000004</v>
      </c>
      <c r="R490" s="307">
        <f t="shared" si="69"/>
        <v>326.05</v>
      </c>
      <c r="S490" s="161">
        <f t="shared" si="69"/>
        <v>5.35</v>
      </c>
      <c r="T490" s="161">
        <f t="shared" si="69"/>
        <v>330.2</v>
      </c>
      <c r="U490" s="159">
        <v>4124</v>
      </c>
      <c r="V490" s="159">
        <v>1696</v>
      </c>
      <c r="W490" s="159" t="e">
        <f t="shared" si="63"/>
        <v>#DIV/0!</v>
      </c>
      <c r="X490" s="159">
        <f t="shared" si="60"/>
        <v>0</v>
      </c>
    </row>
    <row r="491" spans="1:24" x14ac:dyDescent="0.2">
      <c r="A491" s="147">
        <v>2041</v>
      </c>
      <c r="B491" s="147">
        <v>10</v>
      </c>
      <c r="E491" s="166">
        <v>22.547329400764834</v>
      </c>
      <c r="F491" s="258">
        <f t="shared" si="68"/>
        <v>20.278030574570963</v>
      </c>
      <c r="G491" s="258">
        <f t="shared" si="68"/>
        <v>18.003854343052783</v>
      </c>
      <c r="H491" s="166">
        <f t="shared" si="67"/>
        <v>29.52</v>
      </c>
      <c r="I491" s="148">
        <v>882525</v>
      </c>
      <c r="J491" s="181">
        <f>VLOOKUP($A491&amp;$B491,'LE Inputs'!$C$2:$J$505,MATCH('LE UtilityData'!J$1,'LE Inputs'!$C$1:$J$1,0),0)*1000</f>
        <v>1642035.8310005879</v>
      </c>
      <c r="K491" s="181">
        <v>667965.99328001332</v>
      </c>
      <c r="L491" s="157">
        <v>424329.47803480626</v>
      </c>
      <c r="M491" s="306"/>
      <c r="N491" s="307">
        <f t="shared" si="66"/>
        <v>97956.097532595028</v>
      </c>
      <c r="O491" s="181">
        <f>VLOOKUP($A491&amp;$B491,'LE Inputs'!$C$2:$J$525,MATCH('LE UtilityData'!O$1,'LE Inputs'!$C$1:$J$1,0),0)</f>
        <v>92961.552784635947</v>
      </c>
      <c r="P491" s="181" t="e">
        <f>VLOOKUP($A491&amp;$B491,'LE Inputs'!$C$2:$J$505,MATCH('LE UtilityData'!P$1,'LE Inputs'!$C$1:$J$1,0),0)</f>
        <v>#N/A</v>
      </c>
      <c r="Q491" s="307">
        <f t="shared" si="69"/>
        <v>99.232500000000002</v>
      </c>
      <c r="R491" s="307">
        <f t="shared" si="69"/>
        <v>97.24</v>
      </c>
      <c r="S491" s="161">
        <f t="shared" si="69"/>
        <v>99.3</v>
      </c>
      <c r="T491" s="161">
        <f t="shared" si="69"/>
        <v>100.05</v>
      </c>
      <c r="U491" s="159">
        <v>4124</v>
      </c>
      <c r="V491" s="159">
        <v>1696</v>
      </c>
      <c r="W491" s="159" t="e">
        <f t="shared" si="63"/>
        <v>#DIV/0!</v>
      </c>
      <c r="X491" s="159">
        <f t="shared" si="60"/>
        <v>0</v>
      </c>
    </row>
    <row r="492" spans="1:24" x14ac:dyDescent="0.2">
      <c r="A492" s="147">
        <v>2041</v>
      </c>
      <c r="B492" s="147">
        <v>11</v>
      </c>
      <c r="E492" s="166">
        <v>22.547329400764834</v>
      </c>
      <c r="F492" s="258">
        <f t="shared" si="68"/>
        <v>20.278030574570963</v>
      </c>
      <c r="G492" s="258">
        <f t="shared" si="68"/>
        <v>18.003854343052783</v>
      </c>
      <c r="H492" s="166">
        <f t="shared" si="67"/>
        <v>29.38</v>
      </c>
      <c r="I492" s="148">
        <v>882855</v>
      </c>
      <c r="J492" s="181">
        <f>VLOOKUP($A492&amp;$B492,'LE Inputs'!$C$2:$J$505,MATCH('LE UtilityData'!J$1,'LE Inputs'!$C$1:$J$1,0),0)*1000</f>
        <v>1642035.8310005879</v>
      </c>
      <c r="K492" s="181">
        <v>667965.99328001332</v>
      </c>
      <c r="L492" s="157">
        <v>424488.14631927584</v>
      </c>
      <c r="M492" s="306"/>
      <c r="N492" s="307">
        <f t="shared" si="66"/>
        <v>97956.097532595028</v>
      </c>
      <c r="O492" s="181">
        <f>VLOOKUP($A492&amp;$B492,'LE Inputs'!$C$2:$J$525,MATCH('LE UtilityData'!O$1,'LE Inputs'!$C$1:$J$1,0),0)</f>
        <v>92961.552784635947</v>
      </c>
      <c r="P492" s="181" t="e">
        <f>VLOOKUP($A492&amp;$B492,'LE Inputs'!$C$2:$J$505,MATCH('LE UtilityData'!P$1,'LE Inputs'!$C$1:$J$1,0),0)</f>
        <v>#N/A</v>
      </c>
      <c r="Q492" s="307">
        <f t="shared" si="69"/>
        <v>353.59499999999997</v>
      </c>
      <c r="R492" s="307">
        <f t="shared" si="69"/>
        <v>11.487500000000001</v>
      </c>
      <c r="S492" s="161">
        <f t="shared" si="69"/>
        <v>352.6</v>
      </c>
      <c r="T492" s="161">
        <f t="shared" si="69"/>
        <v>12.75</v>
      </c>
      <c r="U492" s="159">
        <v>4124</v>
      </c>
      <c r="V492" s="159">
        <v>1696</v>
      </c>
      <c r="W492" s="159" t="e">
        <f t="shared" si="63"/>
        <v>#DIV/0!</v>
      </c>
      <c r="X492" s="159">
        <f t="shared" si="60"/>
        <v>0</v>
      </c>
    </row>
    <row r="493" spans="1:24" x14ac:dyDescent="0.2">
      <c r="A493" s="147">
        <v>2041</v>
      </c>
      <c r="B493" s="147">
        <v>12</v>
      </c>
      <c r="E493" s="166">
        <v>22.547329400764834</v>
      </c>
      <c r="F493" s="258">
        <f t="shared" si="68"/>
        <v>20.278030574570963</v>
      </c>
      <c r="G493" s="258">
        <f t="shared" si="68"/>
        <v>18.003854343052783</v>
      </c>
      <c r="H493" s="166">
        <f t="shared" si="67"/>
        <v>32.81</v>
      </c>
      <c r="I493" s="148">
        <v>883185</v>
      </c>
      <c r="J493" s="181">
        <f>VLOOKUP($A493&amp;$B493,'LE Inputs'!$C$2:$J$505,MATCH('LE UtilityData'!J$1,'LE Inputs'!$C$1:$J$1,0),0)*1000</f>
        <v>1642035.8310005879</v>
      </c>
      <c r="K493" s="181">
        <v>667965.99328001332</v>
      </c>
      <c r="L493" s="157">
        <v>424646.81460374541</v>
      </c>
      <c r="M493" s="306"/>
      <c r="N493" s="307">
        <f t="shared" si="66"/>
        <v>97956.097532595028</v>
      </c>
      <c r="O493" s="181">
        <f>VLOOKUP($A493&amp;$B493,'LE Inputs'!$C$2:$J$525,MATCH('LE UtilityData'!O$1,'LE Inputs'!$C$1:$J$1,0),0)</f>
        <v>92961.552784635947</v>
      </c>
      <c r="P493" s="181" t="e">
        <f>VLOOKUP($A493&amp;$B493,'LE Inputs'!$C$2:$J$505,MATCH('LE UtilityData'!P$1,'LE Inputs'!$C$1:$J$1,0),0)</f>
        <v>#N/A</v>
      </c>
      <c r="Q493" s="307">
        <f t="shared" si="69"/>
        <v>667.68999999999994</v>
      </c>
      <c r="R493" s="307">
        <f t="shared" si="69"/>
        <v>1.1850000000000001</v>
      </c>
      <c r="S493" s="161">
        <f t="shared" si="69"/>
        <v>669.9</v>
      </c>
      <c r="T493" s="161">
        <f t="shared" si="69"/>
        <v>1.05</v>
      </c>
      <c r="U493" s="159">
        <v>4124</v>
      </c>
      <c r="V493" s="159">
        <v>1696</v>
      </c>
      <c r="W493" s="159" t="e">
        <f t="shared" si="63"/>
        <v>#DIV/0!</v>
      </c>
      <c r="X493" s="159">
        <f t="shared" si="60"/>
        <v>0</v>
      </c>
    </row>
    <row r="494" spans="1:24" x14ac:dyDescent="0.2">
      <c r="A494" s="147">
        <f>A482+1</f>
        <v>2042</v>
      </c>
      <c r="B494" s="147">
        <v>1</v>
      </c>
      <c r="E494" s="310">
        <f>E482*(1+E482/E470-1)</f>
        <v>23.111012635783954</v>
      </c>
      <c r="F494" s="258">
        <f t="shared" si="68"/>
        <v>20.683591186062383</v>
      </c>
      <c r="G494" s="258">
        <f t="shared" si="68"/>
        <v>18.363931429913841</v>
      </c>
      <c r="H494" s="166">
        <f t="shared" si="67"/>
        <v>32.43</v>
      </c>
      <c r="J494" s="181">
        <f>VLOOKUP($A494&amp;$B494,'LE Inputs'!$C$2:$J$505,MATCH('LE UtilityData'!J$1,'LE Inputs'!$C$1:$J$1,0),0)*1000</f>
        <v>1642025.6822418813</v>
      </c>
      <c r="K494" s="181">
        <v>667980.31193029589</v>
      </c>
      <c r="M494" s="306"/>
      <c r="N494" s="307">
        <f t="shared" si="66"/>
        <v>99227.776055607726</v>
      </c>
      <c r="O494" s="181">
        <f>VLOOKUP($A494&amp;$B494,'LE Inputs'!$C$2:$J$525,MATCH('LE UtilityData'!O$1,'LE Inputs'!$C$1:$J$1,0),0)</f>
        <v>93678.386795921557</v>
      </c>
      <c r="P494" s="181" t="e">
        <f>VLOOKUP($A494&amp;$B494,'LE Inputs'!$C$2:$J$505,MATCH('LE UtilityData'!P$1,'LE Inputs'!$C$1:$J$1,0),0)</f>
        <v>#N/A</v>
      </c>
      <c r="Q494" s="307">
        <f t="shared" si="69"/>
        <v>927.57249999999999</v>
      </c>
      <c r="R494" s="307">
        <f t="shared" si="69"/>
        <v>0.35</v>
      </c>
      <c r="S494" s="161">
        <f t="shared" si="69"/>
        <v>932.4</v>
      </c>
      <c r="T494" s="161">
        <f t="shared" si="69"/>
        <v>0.35</v>
      </c>
      <c r="U494" s="159">
        <v>4124</v>
      </c>
      <c r="V494" s="159">
        <v>1696</v>
      </c>
      <c r="W494" s="159" t="e">
        <f t="shared" si="63"/>
        <v>#DIV/0!</v>
      </c>
    </row>
    <row r="495" spans="1:24" x14ac:dyDescent="0.2">
      <c r="A495" s="147">
        <f t="shared" ref="A495:A517" si="70">A483+1</f>
        <v>2042</v>
      </c>
      <c r="B495" s="147">
        <v>2</v>
      </c>
      <c r="E495" s="310">
        <f t="shared" ref="E495:E505" si="71">E483*(1+E483/E471-1)</f>
        <v>23.111012635783954</v>
      </c>
      <c r="F495" s="258">
        <f t="shared" si="68"/>
        <v>20.683591186062383</v>
      </c>
      <c r="G495" s="258">
        <f t="shared" si="68"/>
        <v>18.363931429913841</v>
      </c>
      <c r="H495" s="166">
        <f t="shared" si="67"/>
        <v>29.9</v>
      </c>
      <c r="J495" s="181">
        <f>VLOOKUP($A495&amp;$B495,'LE Inputs'!$C$2:$J$505,MATCH('LE UtilityData'!J$1,'LE Inputs'!$C$1:$J$1,0),0)*1000</f>
        <v>1642025.6822418813</v>
      </c>
      <c r="K495" s="181">
        <v>667980.31193029589</v>
      </c>
      <c r="M495" s="306"/>
      <c r="N495" s="307">
        <f t="shared" si="66"/>
        <v>99227.776055607726</v>
      </c>
      <c r="O495" s="181">
        <f>VLOOKUP($A495&amp;$B495,'LE Inputs'!$C$2:$J$525,MATCH('LE UtilityData'!O$1,'LE Inputs'!$C$1:$J$1,0),0)</f>
        <v>93678.386795921557</v>
      </c>
      <c r="P495" s="181" t="e">
        <f>VLOOKUP($A495&amp;$B495,'LE Inputs'!$C$2:$J$505,MATCH('LE UtilityData'!P$1,'LE Inputs'!$C$1:$J$1,0),0)</f>
        <v>#N/A</v>
      </c>
      <c r="Q495" s="307">
        <f t="shared" si="69"/>
        <v>858.35750000000007</v>
      </c>
      <c r="R495" s="307">
        <f t="shared" si="69"/>
        <v>0.05</v>
      </c>
      <c r="S495" s="161">
        <f t="shared" si="69"/>
        <v>864.1</v>
      </c>
      <c r="T495" s="161">
        <f t="shared" si="69"/>
        <v>0.05</v>
      </c>
      <c r="U495" s="159">
        <v>4124</v>
      </c>
      <c r="V495" s="159">
        <v>1696</v>
      </c>
      <c r="W495" s="159" t="e">
        <f t="shared" si="63"/>
        <v>#DIV/0!</v>
      </c>
    </row>
    <row r="496" spans="1:24" x14ac:dyDescent="0.2">
      <c r="A496" s="147">
        <f t="shared" si="70"/>
        <v>2042</v>
      </c>
      <c r="B496" s="147">
        <v>3</v>
      </c>
      <c r="E496" s="310">
        <f t="shared" si="71"/>
        <v>23.111012635783954</v>
      </c>
      <c r="F496" s="258">
        <f t="shared" si="68"/>
        <v>20.683591186062383</v>
      </c>
      <c r="G496" s="258">
        <f t="shared" si="68"/>
        <v>18.363931429913841</v>
      </c>
      <c r="H496" s="166">
        <f t="shared" si="67"/>
        <v>30.33</v>
      </c>
      <c r="J496" s="181">
        <f>VLOOKUP($A496&amp;$B496,'LE Inputs'!$C$2:$J$505,MATCH('LE UtilityData'!J$1,'LE Inputs'!$C$1:$J$1,0),0)*1000</f>
        <v>1642025.6822418813</v>
      </c>
      <c r="K496" s="181">
        <v>667980.31193029589</v>
      </c>
      <c r="M496" s="306"/>
      <c r="N496" s="307">
        <f t="shared" si="66"/>
        <v>99227.776055607726</v>
      </c>
      <c r="O496" s="181">
        <f>VLOOKUP($A496&amp;$B496,'LE Inputs'!$C$2:$J$525,MATCH('LE UtilityData'!O$1,'LE Inputs'!$C$1:$J$1,0),0)</f>
        <v>93678.386795921557</v>
      </c>
      <c r="P496" s="181" t="e">
        <f>VLOOKUP($A496&amp;$B496,'LE Inputs'!$C$2:$J$505,MATCH('LE UtilityData'!P$1,'LE Inputs'!$C$1:$J$1,0),0)</f>
        <v>#N/A</v>
      </c>
      <c r="Q496" s="307">
        <f t="shared" si="69"/>
        <v>666.12749999999994</v>
      </c>
      <c r="R496" s="307">
        <f t="shared" si="69"/>
        <v>2.0225</v>
      </c>
      <c r="S496" s="161">
        <f t="shared" si="69"/>
        <v>674.3</v>
      </c>
      <c r="T496" s="161">
        <f t="shared" si="69"/>
        <v>1.1499999999999999</v>
      </c>
      <c r="U496" s="159">
        <v>4124</v>
      </c>
      <c r="V496" s="159">
        <v>1696</v>
      </c>
      <c r="W496" s="159" t="e">
        <f t="shared" si="63"/>
        <v>#DIV/0!</v>
      </c>
    </row>
    <row r="497" spans="1:24" x14ac:dyDescent="0.2">
      <c r="A497" s="147">
        <f t="shared" si="70"/>
        <v>2042</v>
      </c>
      <c r="B497" s="147">
        <v>4</v>
      </c>
      <c r="E497" s="310">
        <f t="shared" si="71"/>
        <v>23.111012635783954</v>
      </c>
      <c r="F497" s="258">
        <f t="shared" si="68"/>
        <v>20.683591186062383</v>
      </c>
      <c r="G497" s="258">
        <f t="shared" si="68"/>
        <v>18.363931429913841</v>
      </c>
      <c r="H497" s="166">
        <f t="shared" si="67"/>
        <v>30.29</v>
      </c>
      <c r="J497" s="181">
        <f>VLOOKUP($A497&amp;$B497,'LE Inputs'!$C$2:$J$505,MATCH('LE UtilityData'!J$1,'LE Inputs'!$C$1:$J$1,0),0)*1000</f>
        <v>1645745.7157271488</v>
      </c>
      <c r="K497" s="181">
        <v>669893.60537154309</v>
      </c>
      <c r="M497" s="306"/>
      <c r="N497" s="307">
        <f t="shared" si="66"/>
        <v>99301.573985977928</v>
      </c>
      <c r="O497" s="181">
        <f>VLOOKUP($A497&amp;$B497,'LE Inputs'!$C$2:$J$525,MATCH('LE UtilityData'!O$1,'LE Inputs'!$C$1:$J$1,0),0)</f>
        <v>94451.024769586162</v>
      </c>
      <c r="P497" s="181" t="e">
        <f>VLOOKUP($A497&amp;$B497,'LE Inputs'!$C$2:$J$505,MATCH('LE UtilityData'!P$1,'LE Inputs'!$C$1:$J$1,0),0)</f>
        <v>#N/A</v>
      </c>
      <c r="Q497" s="307">
        <f t="shared" si="69"/>
        <v>370.83499999999998</v>
      </c>
      <c r="R497" s="307">
        <f t="shared" si="69"/>
        <v>22.565000000000001</v>
      </c>
      <c r="S497" s="161">
        <f t="shared" si="69"/>
        <v>377.1</v>
      </c>
      <c r="T497" s="161">
        <f t="shared" si="69"/>
        <v>20.25</v>
      </c>
      <c r="U497" s="159">
        <v>4124</v>
      </c>
      <c r="V497" s="159">
        <v>1696</v>
      </c>
      <c r="W497" s="159" t="e">
        <f t="shared" si="63"/>
        <v>#DIV/0!</v>
      </c>
      <c r="X497" s="147"/>
    </row>
    <row r="498" spans="1:24" x14ac:dyDescent="0.2">
      <c r="A498" s="147">
        <f t="shared" si="70"/>
        <v>2042</v>
      </c>
      <c r="B498" s="147">
        <v>5</v>
      </c>
      <c r="E498" s="310">
        <f t="shared" si="71"/>
        <v>23.111012635783954</v>
      </c>
      <c r="F498" s="258">
        <f t="shared" si="68"/>
        <v>20.683591186062383</v>
      </c>
      <c r="G498" s="258">
        <f t="shared" si="68"/>
        <v>18.363931429913841</v>
      </c>
      <c r="H498" s="166">
        <f t="shared" si="67"/>
        <v>30.05</v>
      </c>
      <c r="J498" s="181">
        <f>VLOOKUP($A498&amp;$B498,'LE Inputs'!$C$2:$J$505,MATCH('LE UtilityData'!J$1,'LE Inputs'!$C$1:$J$1,0),0)*1000</f>
        <v>1645745.7157271488</v>
      </c>
      <c r="K498" s="181">
        <v>669893.60537154309</v>
      </c>
      <c r="M498" s="306"/>
      <c r="N498" s="307">
        <f t="shared" si="66"/>
        <v>99301.573985977928</v>
      </c>
      <c r="O498" s="181">
        <f>VLOOKUP($A498&amp;$B498,'LE Inputs'!$C$2:$J$525,MATCH('LE UtilityData'!O$1,'LE Inputs'!$C$1:$J$1,0),0)</f>
        <v>94451.024769586162</v>
      </c>
      <c r="P498" s="181" t="e">
        <f>VLOOKUP($A498&amp;$B498,'LE Inputs'!$C$2:$J$505,MATCH('LE UtilityData'!P$1,'LE Inputs'!$C$1:$J$1,0),0)</f>
        <v>#N/A</v>
      </c>
      <c r="Q498" s="307">
        <f t="shared" si="69"/>
        <v>141.76749999999998</v>
      </c>
      <c r="R498" s="307">
        <f t="shared" si="69"/>
        <v>69.552499999999995</v>
      </c>
      <c r="S498" s="161">
        <f t="shared" si="69"/>
        <v>141</v>
      </c>
      <c r="T498" s="161">
        <f t="shared" si="69"/>
        <v>69.349999999999994</v>
      </c>
      <c r="U498" s="159">
        <v>4124</v>
      </c>
      <c r="V498" s="159">
        <v>1696</v>
      </c>
      <c r="W498" s="159" t="e">
        <f t="shared" si="63"/>
        <v>#DIV/0!</v>
      </c>
      <c r="X498" s="147"/>
    </row>
    <row r="499" spans="1:24" x14ac:dyDescent="0.2">
      <c r="A499" s="147">
        <f t="shared" si="70"/>
        <v>2042</v>
      </c>
      <c r="B499" s="147">
        <v>6</v>
      </c>
      <c r="E499" s="310">
        <f t="shared" si="71"/>
        <v>23.111012635783954</v>
      </c>
      <c r="F499" s="258">
        <f t="shared" ref="F499:G514" si="72">F487*(1+0.02)</f>
        <v>20.683591186062383</v>
      </c>
      <c r="G499" s="258">
        <f t="shared" si="72"/>
        <v>18.363931429913841</v>
      </c>
      <c r="H499" s="166">
        <f t="shared" si="67"/>
        <v>30.67</v>
      </c>
      <c r="J499" s="181">
        <f>VLOOKUP($A499&amp;$B499,'LE Inputs'!$C$2:$J$505,MATCH('LE UtilityData'!J$1,'LE Inputs'!$C$1:$J$1,0),0)*1000</f>
        <v>1645745.7157271488</v>
      </c>
      <c r="K499" s="181">
        <v>669893.60537154309</v>
      </c>
      <c r="M499" s="306"/>
      <c r="N499" s="307">
        <f t="shared" si="66"/>
        <v>99301.573985977928</v>
      </c>
      <c r="O499" s="181">
        <f>VLOOKUP($A499&amp;$B499,'LE Inputs'!$C$2:$J$525,MATCH('LE UtilityData'!O$1,'LE Inputs'!$C$1:$J$1,0),0)</f>
        <v>94451.024769586162</v>
      </c>
      <c r="P499" s="181" t="e">
        <f>VLOOKUP($A499&amp;$B499,'LE Inputs'!$C$2:$J$505,MATCH('LE UtilityData'!P$1,'LE Inputs'!$C$1:$J$1,0),0)</f>
        <v>#N/A</v>
      </c>
      <c r="Q499" s="307">
        <f t="shared" ref="Q499:T514" si="73">Q487</f>
        <v>29.807499999999997</v>
      </c>
      <c r="R499" s="307">
        <f t="shared" si="73"/>
        <v>219.05749999999998</v>
      </c>
      <c r="S499" s="161">
        <f t="shared" si="73"/>
        <v>29.5</v>
      </c>
      <c r="T499" s="161">
        <f t="shared" si="73"/>
        <v>224.8</v>
      </c>
      <c r="U499" s="159">
        <v>4124</v>
      </c>
      <c r="V499" s="159">
        <v>1696</v>
      </c>
      <c r="W499" s="159" t="e">
        <f t="shared" si="63"/>
        <v>#DIV/0!</v>
      </c>
      <c r="X499" s="147"/>
    </row>
    <row r="500" spans="1:24" x14ac:dyDescent="0.2">
      <c r="A500" s="147">
        <f t="shared" si="70"/>
        <v>2042</v>
      </c>
      <c r="B500" s="147">
        <v>7</v>
      </c>
      <c r="E500" s="310">
        <f t="shared" si="71"/>
        <v>23.111012635783954</v>
      </c>
      <c r="F500" s="258">
        <f t="shared" si="72"/>
        <v>20.683591186062383</v>
      </c>
      <c r="G500" s="258">
        <f t="shared" si="72"/>
        <v>18.363931429913841</v>
      </c>
      <c r="H500" s="166">
        <f t="shared" si="67"/>
        <v>30.62</v>
      </c>
      <c r="J500" s="181">
        <f>VLOOKUP($A500&amp;$B500,'LE Inputs'!$C$2:$J$505,MATCH('LE UtilityData'!J$1,'LE Inputs'!$C$1:$J$1,0),0)*1000</f>
        <v>1648659.8562738667</v>
      </c>
      <c r="K500" s="181">
        <v>671193.48712933867</v>
      </c>
      <c r="M500" s="306"/>
      <c r="N500" s="307">
        <f t="shared" si="66"/>
        <v>99915.310349487525</v>
      </c>
      <c r="O500" s="181">
        <f>VLOOKUP($A500&amp;$B500,'LE Inputs'!$C$2:$J$525,MATCH('LE UtilityData'!O$1,'LE Inputs'!$C$1:$J$1,0),0)</f>
        <v>94968.198506691057</v>
      </c>
      <c r="P500" s="181" t="e">
        <f>VLOOKUP($A500&amp;$B500,'LE Inputs'!$C$2:$J$505,MATCH('LE UtilityData'!P$1,'LE Inputs'!$C$1:$J$1,0),0)</f>
        <v>#N/A</v>
      </c>
      <c r="Q500" s="307">
        <f t="shared" si="73"/>
        <v>0.57250000000000001</v>
      </c>
      <c r="R500" s="307">
        <f t="shared" si="73"/>
        <v>397.17500000000001</v>
      </c>
      <c r="S500" s="161">
        <f t="shared" si="73"/>
        <v>0.55000000000000004</v>
      </c>
      <c r="T500" s="161">
        <f t="shared" si="73"/>
        <v>396.4</v>
      </c>
      <c r="U500" s="159">
        <v>4124</v>
      </c>
      <c r="V500" s="159">
        <v>1696</v>
      </c>
      <c r="W500" s="159" t="e">
        <f t="shared" si="63"/>
        <v>#DIV/0!</v>
      </c>
      <c r="X500" s="147"/>
    </row>
    <row r="501" spans="1:24" x14ac:dyDescent="0.2">
      <c r="A501" s="147">
        <f t="shared" si="70"/>
        <v>2042</v>
      </c>
      <c r="B501" s="147">
        <v>8</v>
      </c>
      <c r="E501" s="310">
        <f t="shared" si="71"/>
        <v>23.111012635783954</v>
      </c>
      <c r="F501" s="258">
        <f t="shared" si="72"/>
        <v>20.683591186062383</v>
      </c>
      <c r="G501" s="258">
        <f t="shared" si="72"/>
        <v>18.363931429913841</v>
      </c>
      <c r="H501" s="166">
        <f t="shared" si="67"/>
        <v>29.52</v>
      </c>
      <c r="J501" s="181">
        <f>VLOOKUP($A501&amp;$B501,'LE Inputs'!$C$2:$J$505,MATCH('LE UtilityData'!J$1,'LE Inputs'!$C$1:$J$1,0),0)*1000</f>
        <v>1648659.8562738667</v>
      </c>
      <c r="K501" s="181">
        <v>671193.48712933867</v>
      </c>
      <c r="M501" s="306"/>
      <c r="N501" s="307">
        <f t="shared" si="66"/>
        <v>99915.310349487525</v>
      </c>
      <c r="O501" s="181">
        <f>VLOOKUP($A501&amp;$B501,'LE Inputs'!$C$2:$J$525,MATCH('LE UtilityData'!O$1,'LE Inputs'!$C$1:$J$1,0),0)</f>
        <v>94968.198506691057</v>
      </c>
      <c r="P501" s="181" t="e">
        <f>VLOOKUP($A501&amp;$B501,'LE Inputs'!$C$2:$J$505,MATCH('LE UtilityData'!P$1,'LE Inputs'!$C$1:$J$1,0),0)</f>
        <v>#N/A</v>
      </c>
      <c r="Q501" s="307">
        <f t="shared" si="73"/>
        <v>0.1</v>
      </c>
      <c r="R501" s="307">
        <f t="shared" si="73"/>
        <v>418.51750000000004</v>
      </c>
      <c r="S501" s="161">
        <f t="shared" si="73"/>
        <v>0.1</v>
      </c>
      <c r="T501" s="161">
        <f t="shared" si="73"/>
        <v>417.05</v>
      </c>
      <c r="U501" s="159">
        <v>4124</v>
      </c>
      <c r="V501" s="159">
        <v>1696</v>
      </c>
      <c r="W501" s="159" t="e">
        <f t="shared" si="63"/>
        <v>#DIV/0!</v>
      </c>
      <c r="X501" s="147"/>
    </row>
    <row r="502" spans="1:24" x14ac:dyDescent="0.2">
      <c r="A502" s="147">
        <f t="shared" si="70"/>
        <v>2042</v>
      </c>
      <c r="B502" s="147">
        <v>9</v>
      </c>
      <c r="E502" s="310">
        <f t="shared" si="71"/>
        <v>23.111012635783954</v>
      </c>
      <c r="F502" s="258">
        <f t="shared" si="72"/>
        <v>20.683591186062383</v>
      </c>
      <c r="G502" s="258">
        <f t="shared" si="72"/>
        <v>18.363931429913841</v>
      </c>
      <c r="H502" s="166">
        <f t="shared" si="67"/>
        <v>30.71</v>
      </c>
      <c r="J502" s="181">
        <f>VLOOKUP($A502&amp;$B502,'LE Inputs'!$C$2:$J$505,MATCH('LE UtilityData'!J$1,'LE Inputs'!$C$1:$J$1,0),0)*1000</f>
        <v>1648659.8562738667</v>
      </c>
      <c r="K502" s="181">
        <v>671193.48712933867</v>
      </c>
      <c r="M502" s="306"/>
      <c r="N502" s="307">
        <f t="shared" si="66"/>
        <v>99915.310349487525</v>
      </c>
      <c r="O502" s="181">
        <f>VLOOKUP($A502&amp;$B502,'LE Inputs'!$C$2:$J$525,MATCH('LE UtilityData'!O$1,'LE Inputs'!$C$1:$J$1,0),0)</f>
        <v>94968.198506691057</v>
      </c>
      <c r="P502" s="181" t="e">
        <f>VLOOKUP($A502&amp;$B502,'LE Inputs'!$C$2:$J$505,MATCH('LE UtilityData'!P$1,'LE Inputs'!$C$1:$J$1,0),0)</f>
        <v>#N/A</v>
      </c>
      <c r="Q502" s="307">
        <f t="shared" si="73"/>
        <v>5.2125000000000004</v>
      </c>
      <c r="R502" s="307">
        <f t="shared" si="73"/>
        <v>326.05</v>
      </c>
      <c r="S502" s="161">
        <f t="shared" si="73"/>
        <v>5.35</v>
      </c>
      <c r="T502" s="161">
        <f t="shared" si="73"/>
        <v>330.2</v>
      </c>
      <c r="U502" s="159">
        <v>4124</v>
      </c>
      <c r="V502" s="159">
        <v>1696</v>
      </c>
      <c r="W502" s="159" t="e">
        <f t="shared" si="63"/>
        <v>#DIV/0!</v>
      </c>
      <c r="X502" s="147"/>
    </row>
    <row r="503" spans="1:24" x14ac:dyDescent="0.2">
      <c r="A503" s="147">
        <f>A491+1</f>
        <v>2042</v>
      </c>
      <c r="B503" s="147">
        <v>10</v>
      </c>
      <c r="E503" s="310">
        <f t="shared" si="71"/>
        <v>23.111012635783954</v>
      </c>
      <c r="F503" s="258">
        <f t="shared" si="72"/>
        <v>20.683591186062383</v>
      </c>
      <c r="G503" s="258">
        <f t="shared" si="72"/>
        <v>18.363931429913841</v>
      </c>
      <c r="H503" s="166">
        <f t="shared" si="67"/>
        <v>29.52</v>
      </c>
      <c r="J503" s="181">
        <f>VLOOKUP($A503&amp;$B503,'LE Inputs'!$C$2:$J$505,MATCH('LE UtilityData'!J$1,'LE Inputs'!$C$1:$J$1,0),0)*1000</f>
        <v>1649953.627229763</v>
      </c>
      <c r="K503" s="181">
        <v>671953.68707924034</v>
      </c>
      <c r="M503" s="306"/>
      <c r="N503" s="307">
        <f t="shared" si="66"/>
        <v>100307.0438733773</v>
      </c>
      <c r="O503" s="181">
        <f>VLOOKUP($A503&amp;$B503,'LE Inputs'!$C$2:$J$525,MATCH('LE UtilityData'!O$1,'LE Inputs'!$C$1:$J$1,0),0)</f>
        <v>95155.888911938397</v>
      </c>
      <c r="P503" s="181" t="e">
        <f>VLOOKUP($A503&amp;$B503,'LE Inputs'!$C$2:$J$505,MATCH('LE UtilityData'!P$1,'LE Inputs'!$C$1:$J$1,0),0)</f>
        <v>#N/A</v>
      </c>
      <c r="Q503" s="307">
        <f t="shared" si="73"/>
        <v>99.232500000000002</v>
      </c>
      <c r="R503" s="307">
        <f t="shared" si="73"/>
        <v>97.24</v>
      </c>
      <c r="S503" s="161">
        <f t="shared" si="73"/>
        <v>99.3</v>
      </c>
      <c r="T503" s="161">
        <f t="shared" si="73"/>
        <v>100.05</v>
      </c>
      <c r="U503" s="159">
        <v>4124</v>
      </c>
      <c r="V503" s="159">
        <v>1696</v>
      </c>
      <c r="W503" s="159" t="e">
        <f t="shared" si="63"/>
        <v>#DIV/0!</v>
      </c>
      <c r="X503" s="147"/>
    </row>
    <row r="504" spans="1:24" x14ac:dyDescent="0.2">
      <c r="A504" s="147">
        <f t="shared" si="70"/>
        <v>2042</v>
      </c>
      <c r="B504" s="147">
        <v>11</v>
      </c>
      <c r="E504" s="310">
        <f t="shared" si="71"/>
        <v>23.111012635783954</v>
      </c>
      <c r="F504" s="258">
        <f t="shared" si="72"/>
        <v>20.683591186062383</v>
      </c>
      <c r="G504" s="258">
        <f t="shared" si="72"/>
        <v>18.363931429913841</v>
      </c>
      <c r="H504" s="166">
        <f t="shared" si="67"/>
        <v>29.38</v>
      </c>
      <c r="J504" s="181">
        <f>VLOOKUP($A504&amp;$B504,'LE Inputs'!$C$2:$J$505,MATCH('LE UtilityData'!J$1,'LE Inputs'!$C$1:$J$1,0),0)*1000</f>
        <v>1649953.627229763</v>
      </c>
      <c r="K504" s="181">
        <v>671953.68707924034</v>
      </c>
      <c r="M504" s="306"/>
      <c r="N504" s="307">
        <f t="shared" si="66"/>
        <v>100307.0438733773</v>
      </c>
      <c r="O504" s="181">
        <f>VLOOKUP($A504&amp;$B504,'LE Inputs'!$C$2:$J$525,MATCH('LE UtilityData'!O$1,'LE Inputs'!$C$1:$J$1,0),0)</f>
        <v>95155.888911938397</v>
      </c>
      <c r="P504" s="181" t="e">
        <f>VLOOKUP($A504&amp;$B504,'LE Inputs'!$C$2:$J$505,MATCH('LE UtilityData'!P$1,'LE Inputs'!$C$1:$J$1,0),0)</f>
        <v>#N/A</v>
      </c>
      <c r="Q504" s="307">
        <f t="shared" si="73"/>
        <v>353.59499999999997</v>
      </c>
      <c r="R504" s="307">
        <f t="shared" si="73"/>
        <v>11.487500000000001</v>
      </c>
      <c r="S504" s="161">
        <f t="shared" si="73"/>
        <v>352.6</v>
      </c>
      <c r="T504" s="161">
        <f t="shared" si="73"/>
        <v>12.75</v>
      </c>
      <c r="U504" s="159">
        <v>4124</v>
      </c>
      <c r="V504" s="159">
        <v>1696</v>
      </c>
      <c r="W504" s="159" t="e">
        <f t="shared" si="63"/>
        <v>#DIV/0!</v>
      </c>
      <c r="X504" s="147"/>
    </row>
    <row r="505" spans="1:24" x14ac:dyDescent="0.2">
      <c r="A505" s="147">
        <f t="shared" si="70"/>
        <v>2042</v>
      </c>
      <c r="B505" s="147">
        <v>12</v>
      </c>
      <c r="E505" s="310">
        <f t="shared" si="71"/>
        <v>23.111012635783954</v>
      </c>
      <c r="F505" s="258">
        <f t="shared" si="72"/>
        <v>20.683591186062383</v>
      </c>
      <c r="G505" s="258">
        <f t="shared" si="72"/>
        <v>18.363931429913841</v>
      </c>
      <c r="H505" s="166">
        <f t="shared" si="67"/>
        <v>32.81</v>
      </c>
      <c r="J505" s="181">
        <f>VLOOKUP($A505&amp;$B505,'LE Inputs'!$C$2:$J$525,MATCH('LE UtilityData'!J$1,'LE Inputs'!$C$1:$J$1,0),0)*1000</f>
        <v>1649953.627229763</v>
      </c>
      <c r="K505" s="181">
        <v>671953.68707924034</v>
      </c>
      <c r="M505" s="306"/>
      <c r="N505" s="307">
        <f t="shared" si="66"/>
        <v>100307.0438733773</v>
      </c>
      <c r="O505" s="181">
        <f>VLOOKUP($A505&amp;$B505,'LE Inputs'!$C$2:$J$525,MATCH('LE UtilityData'!O$1,'LE Inputs'!$C$1:$J$1,0),0)</f>
        <v>95155.888911938397</v>
      </c>
      <c r="P505" s="181" t="e">
        <f>VLOOKUP($A505&amp;$B505,'LE Inputs'!$C$2:$J$505,MATCH('LE UtilityData'!P$1,'LE Inputs'!$C$1:$J$1,0),0)</f>
        <v>#N/A</v>
      </c>
      <c r="Q505" s="307">
        <f t="shared" si="73"/>
        <v>667.68999999999994</v>
      </c>
      <c r="R505" s="307">
        <f t="shared" si="73"/>
        <v>1.1850000000000001</v>
      </c>
      <c r="S505" s="161">
        <f t="shared" si="73"/>
        <v>669.9</v>
      </c>
      <c r="T505" s="161">
        <f t="shared" si="73"/>
        <v>1.05</v>
      </c>
      <c r="U505" s="159">
        <v>4124</v>
      </c>
      <c r="V505" s="159">
        <v>1696</v>
      </c>
      <c r="W505" s="159" t="e">
        <f t="shared" si="63"/>
        <v>#DIV/0!</v>
      </c>
      <c r="X505" s="147"/>
    </row>
    <row r="506" spans="1:24" x14ac:dyDescent="0.2">
      <c r="A506" s="147">
        <f t="shared" si="70"/>
        <v>2043</v>
      </c>
      <c r="B506" s="147">
        <f>B494</f>
        <v>1</v>
      </c>
      <c r="F506" s="258">
        <f t="shared" si="72"/>
        <v>21.097263009783632</v>
      </c>
      <c r="G506" s="258">
        <f t="shared" si="72"/>
        <v>18.731210058512119</v>
      </c>
      <c r="H506" s="166">
        <f t="shared" si="67"/>
        <v>32.43</v>
      </c>
      <c r="J506" s="181">
        <f>VLOOKUP($A506&amp;$B506,'LE Inputs'!$C$2:$J$525,MATCH('LE UtilityData'!J$1,'LE Inputs'!$C$1:$J$1,0),0)*1000</f>
        <v>1652873.2674851918</v>
      </c>
      <c r="K506" s="181">
        <v>671954.68707923999</v>
      </c>
      <c r="N506" s="307">
        <f t="shared" si="66"/>
        <v>101609.24268094232</v>
      </c>
      <c r="O506" s="181">
        <f>VLOOKUP($A506&amp;$B506,'LE Inputs'!$C$2:$J$525,MATCH('LE UtilityData'!O$1,'LE Inputs'!$C$1:$J$1,0),0)</f>
        <v>96233.826179893134</v>
      </c>
      <c r="P506" s="181"/>
      <c r="Q506" s="307">
        <f t="shared" si="73"/>
        <v>927.57249999999999</v>
      </c>
      <c r="R506" s="307">
        <f t="shared" si="73"/>
        <v>0.35</v>
      </c>
      <c r="S506" s="161">
        <f t="shared" si="73"/>
        <v>932.4</v>
      </c>
      <c r="T506" s="161">
        <f t="shared" si="73"/>
        <v>0.35</v>
      </c>
      <c r="U506" s="159">
        <v>4124</v>
      </c>
      <c r="V506" s="159">
        <v>1696</v>
      </c>
    </row>
    <row r="507" spans="1:24" x14ac:dyDescent="0.2">
      <c r="A507" s="147">
        <f t="shared" si="70"/>
        <v>2043</v>
      </c>
      <c r="B507" s="147">
        <f t="shared" ref="B507:B517" si="74">B495</f>
        <v>2</v>
      </c>
      <c r="F507" s="258">
        <f t="shared" si="72"/>
        <v>21.097263009783632</v>
      </c>
      <c r="G507" s="258">
        <f t="shared" si="72"/>
        <v>18.731210058512119</v>
      </c>
      <c r="H507" s="166">
        <f t="shared" si="67"/>
        <v>29.9</v>
      </c>
      <c r="J507" s="181">
        <f>VLOOKUP($A507&amp;$B507,'LE Inputs'!$C$2:$J$525,MATCH('LE UtilityData'!J$1,'LE Inputs'!$C$1:$J$1,0),0)*1000</f>
        <v>1652873.2674851918</v>
      </c>
      <c r="K507" s="181">
        <v>671955.68707923999</v>
      </c>
      <c r="N507" s="307">
        <f t="shared" si="66"/>
        <v>101609.24268094232</v>
      </c>
      <c r="O507" s="181">
        <f>VLOOKUP($A507&amp;$B507,'LE Inputs'!$C$2:$J$525,MATCH('LE UtilityData'!O$1,'LE Inputs'!$C$1:$J$1,0),0)</f>
        <v>96233.826179893134</v>
      </c>
      <c r="P507" s="181"/>
      <c r="Q507" s="307">
        <f t="shared" si="73"/>
        <v>858.35750000000007</v>
      </c>
      <c r="R507" s="307">
        <f t="shared" si="73"/>
        <v>0.05</v>
      </c>
      <c r="S507" s="161">
        <f t="shared" si="73"/>
        <v>864.1</v>
      </c>
      <c r="T507" s="161">
        <f t="shared" si="73"/>
        <v>0.05</v>
      </c>
      <c r="U507" s="159">
        <v>4124</v>
      </c>
      <c r="V507" s="159">
        <v>1696</v>
      </c>
    </row>
    <row r="508" spans="1:24" x14ac:dyDescent="0.2">
      <c r="A508" s="147">
        <f t="shared" si="70"/>
        <v>2043</v>
      </c>
      <c r="B508" s="147">
        <f t="shared" si="74"/>
        <v>3</v>
      </c>
      <c r="F508" s="258">
        <f t="shared" si="72"/>
        <v>21.097263009783632</v>
      </c>
      <c r="G508" s="258">
        <f t="shared" si="72"/>
        <v>18.731210058512119</v>
      </c>
      <c r="H508" s="166">
        <f t="shared" si="67"/>
        <v>30.33</v>
      </c>
      <c r="J508" s="181">
        <f>VLOOKUP($A508&amp;$B508,'LE Inputs'!$C$2:$J$525,MATCH('LE UtilityData'!J$1,'LE Inputs'!$C$1:$J$1,0),0)*1000</f>
        <v>1652873.2674851918</v>
      </c>
      <c r="K508" s="181">
        <v>671956.68707923999</v>
      </c>
      <c r="N508" s="307">
        <f t="shared" si="66"/>
        <v>101609.24268094232</v>
      </c>
      <c r="O508" s="181">
        <f>VLOOKUP($A508&amp;$B508,'LE Inputs'!$C$2:$J$525,MATCH('LE UtilityData'!O$1,'LE Inputs'!$C$1:$J$1,0),0)</f>
        <v>96233.826179893134</v>
      </c>
      <c r="P508" s="181"/>
      <c r="Q508" s="307">
        <f t="shared" si="73"/>
        <v>666.12749999999994</v>
      </c>
      <c r="R508" s="307">
        <f t="shared" si="73"/>
        <v>2.0225</v>
      </c>
      <c r="S508" s="161">
        <f t="shared" si="73"/>
        <v>674.3</v>
      </c>
      <c r="T508" s="161">
        <f t="shared" si="73"/>
        <v>1.1499999999999999</v>
      </c>
      <c r="U508" s="159">
        <v>4124</v>
      </c>
      <c r="V508" s="159">
        <v>1696</v>
      </c>
    </row>
    <row r="509" spans="1:24" x14ac:dyDescent="0.2">
      <c r="A509" s="147">
        <f t="shared" si="70"/>
        <v>2043</v>
      </c>
      <c r="B509" s="147">
        <f t="shared" si="74"/>
        <v>4</v>
      </c>
      <c r="F509" s="258">
        <f t="shared" si="72"/>
        <v>21.097263009783632</v>
      </c>
      <c r="G509" s="258">
        <f t="shared" si="72"/>
        <v>18.731210058512119</v>
      </c>
      <c r="H509" s="166">
        <f t="shared" si="67"/>
        <v>30.29</v>
      </c>
      <c r="J509" s="181">
        <f>VLOOKUP($A509&amp;$B509,'LE Inputs'!$C$2:$J$525,MATCH('LE UtilityData'!J$1,'LE Inputs'!$C$1:$J$1,0),0)*1000</f>
        <v>1652863.0517446776</v>
      </c>
      <c r="K509" s="181">
        <v>671957.68707923999</v>
      </c>
      <c r="N509" s="307">
        <f t="shared" si="66"/>
        <v>101684.81176164139</v>
      </c>
      <c r="O509" s="181">
        <f>VLOOKUP($A509&amp;$B509,'LE Inputs'!$C$2:$J$525,MATCH('LE UtilityData'!O$1,'LE Inputs'!$C$1:$J$1,0),0)</f>
        <v>96970.214604174762</v>
      </c>
      <c r="P509" s="181"/>
      <c r="Q509" s="307">
        <f t="shared" si="73"/>
        <v>370.83499999999998</v>
      </c>
      <c r="R509" s="307">
        <f t="shared" si="73"/>
        <v>22.565000000000001</v>
      </c>
      <c r="S509" s="161">
        <f t="shared" si="73"/>
        <v>377.1</v>
      </c>
      <c r="T509" s="161">
        <f t="shared" si="73"/>
        <v>20.25</v>
      </c>
      <c r="U509" s="159">
        <v>4124</v>
      </c>
      <c r="V509" s="159">
        <v>1696</v>
      </c>
    </row>
    <row r="510" spans="1:24" x14ac:dyDescent="0.2">
      <c r="A510" s="147">
        <f t="shared" si="70"/>
        <v>2043</v>
      </c>
      <c r="B510" s="147">
        <f t="shared" si="74"/>
        <v>5</v>
      </c>
      <c r="F510" s="258">
        <f t="shared" si="72"/>
        <v>21.097263009783632</v>
      </c>
      <c r="G510" s="258">
        <f t="shared" si="72"/>
        <v>18.731210058512119</v>
      </c>
      <c r="H510" s="166">
        <f t="shared" si="67"/>
        <v>30.05</v>
      </c>
      <c r="J510" s="181">
        <f>VLOOKUP($A510&amp;$B510,'LE Inputs'!$C$2:$J$525,MATCH('LE UtilityData'!J$1,'LE Inputs'!$C$1:$J$1,0),0)*1000</f>
        <v>1652863.0517446776</v>
      </c>
      <c r="K510" s="181">
        <v>671958.68707923999</v>
      </c>
      <c r="N510" s="307">
        <f t="shared" si="66"/>
        <v>101684.81176164139</v>
      </c>
      <c r="O510" s="181">
        <f>VLOOKUP($A510&amp;$B510,'LE Inputs'!$C$2:$J$525,MATCH('LE UtilityData'!O$1,'LE Inputs'!$C$1:$J$1,0),0)</f>
        <v>96970.214604174762</v>
      </c>
      <c r="P510" s="181"/>
      <c r="Q510" s="307">
        <f t="shared" si="73"/>
        <v>141.76749999999998</v>
      </c>
      <c r="R510" s="307">
        <f t="shared" si="73"/>
        <v>69.552499999999995</v>
      </c>
      <c r="S510" s="161">
        <f t="shared" si="73"/>
        <v>141</v>
      </c>
      <c r="T510" s="161">
        <f t="shared" si="73"/>
        <v>69.349999999999994</v>
      </c>
      <c r="U510" s="159">
        <v>4124</v>
      </c>
      <c r="V510" s="159">
        <v>1696</v>
      </c>
    </row>
    <row r="511" spans="1:24" x14ac:dyDescent="0.2">
      <c r="A511" s="147">
        <f t="shared" si="70"/>
        <v>2043</v>
      </c>
      <c r="B511" s="147">
        <f t="shared" si="74"/>
        <v>6</v>
      </c>
      <c r="F511" s="258">
        <f t="shared" si="72"/>
        <v>21.097263009783632</v>
      </c>
      <c r="G511" s="258">
        <f t="shared" si="72"/>
        <v>18.731210058512119</v>
      </c>
      <c r="H511" s="166">
        <f t="shared" si="67"/>
        <v>30.67</v>
      </c>
      <c r="J511" s="181">
        <f>VLOOKUP($A511&amp;$B511,'LE Inputs'!$C$2:$J$525,MATCH('LE UtilityData'!J$1,'LE Inputs'!$C$1:$J$1,0),0)*1000</f>
        <v>1652863.0517446776</v>
      </c>
      <c r="K511" s="181">
        <v>671959.68707923999</v>
      </c>
      <c r="N511" s="307">
        <f t="shared" si="66"/>
        <v>101684.81176164139</v>
      </c>
      <c r="O511" s="181">
        <f>VLOOKUP($A511&amp;$B511,'LE Inputs'!$C$2:$J$525,MATCH('LE UtilityData'!O$1,'LE Inputs'!$C$1:$J$1,0),0)</f>
        <v>96970.214604174762</v>
      </c>
      <c r="P511" s="181"/>
      <c r="Q511" s="307">
        <f t="shared" si="73"/>
        <v>29.807499999999997</v>
      </c>
      <c r="R511" s="307">
        <f t="shared" si="73"/>
        <v>219.05749999999998</v>
      </c>
      <c r="S511" s="161">
        <f t="shared" si="73"/>
        <v>29.5</v>
      </c>
      <c r="T511" s="161">
        <f t="shared" si="73"/>
        <v>224.8</v>
      </c>
      <c r="U511" s="159">
        <v>4124</v>
      </c>
      <c r="V511" s="159">
        <v>1696</v>
      </c>
    </row>
    <row r="512" spans="1:24" x14ac:dyDescent="0.2">
      <c r="A512" s="147">
        <f t="shared" si="70"/>
        <v>2043</v>
      </c>
      <c r="B512" s="147">
        <f t="shared" si="74"/>
        <v>7</v>
      </c>
      <c r="F512" s="258">
        <f t="shared" si="72"/>
        <v>21.097263009783632</v>
      </c>
      <c r="G512" s="258">
        <f t="shared" si="72"/>
        <v>18.731210058512119</v>
      </c>
      <c r="H512" s="166">
        <f t="shared" si="67"/>
        <v>30.62</v>
      </c>
      <c r="J512" s="181">
        <f>VLOOKUP($A512&amp;$B512,'LE Inputs'!$C$2:$J$525,MATCH('LE UtilityData'!J$1,'LE Inputs'!$C$1:$J$1,0),0)*1000</f>
        <v>1656607.6374509479</v>
      </c>
      <c r="K512" s="181">
        <v>671960.68707923999</v>
      </c>
      <c r="N512" s="307">
        <f t="shared" si="66"/>
        <v>102313.27779787523</v>
      </c>
      <c r="O512" s="181">
        <f>VLOOKUP($A512&amp;$B512,'LE Inputs'!$C$2:$J$525,MATCH('LE UtilityData'!O$1,'LE Inputs'!$C$1:$J$1,0),0)</f>
        <v>97501.182355949262</v>
      </c>
      <c r="P512" s="181"/>
      <c r="Q512" s="307">
        <f t="shared" si="73"/>
        <v>0.57250000000000001</v>
      </c>
      <c r="R512" s="307">
        <f t="shared" si="73"/>
        <v>397.17500000000001</v>
      </c>
      <c r="S512" s="161">
        <f t="shared" si="73"/>
        <v>0.55000000000000004</v>
      </c>
      <c r="T512" s="161">
        <f t="shared" si="73"/>
        <v>396.4</v>
      </c>
      <c r="U512" s="159">
        <v>4124</v>
      </c>
      <c r="V512" s="159">
        <v>1696</v>
      </c>
    </row>
    <row r="513" spans="1:22" s="147" customFormat="1" x14ac:dyDescent="0.2">
      <c r="A513" s="147">
        <f t="shared" si="70"/>
        <v>2043</v>
      </c>
      <c r="B513" s="147">
        <f t="shared" si="74"/>
        <v>8</v>
      </c>
      <c r="C513" s="162"/>
      <c r="D513" s="162"/>
      <c r="E513" s="167"/>
      <c r="F513" s="258">
        <f t="shared" si="72"/>
        <v>21.097263009783632</v>
      </c>
      <c r="G513" s="258">
        <f t="shared" si="72"/>
        <v>18.731210058512119</v>
      </c>
      <c r="H513" s="166">
        <f t="shared" si="67"/>
        <v>29.52</v>
      </c>
      <c r="I513" s="156"/>
      <c r="J513" s="181">
        <f>VLOOKUP($A513&amp;$B513,'LE Inputs'!$C$2:$J$525,MATCH('LE UtilityData'!J$1,'LE Inputs'!$C$1:$J$1,0),0)*1000</f>
        <v>1656607.6374509479</v>
      </c>
      <c r="K513" s="181">
        <v>671961.68707923999</v>
      </c>
      <c r="L513" s="157"/>
      <c r="N513" s="307">
        <f t="shared" si="66"/>
        <v>102313.27779787523</v>
      </c>
      <c r="O513" s="181">
        <f>VLOOKUP($A513&amp;$B513,'LE Inputs'!$C$2:$J$525,MATCH('LE UtilityData'!O$1,'LE Inputs'!$C$1:$J$1,0),0)</f>
        <v>97501.182355949262</v>
      </c>
      <c r="P513" s="181"/>
      <c r="Q513" s="307">
        <f t="shared" si="73"/>
        <v>0.1</v>
      </c>
      <c r="R513" s="307">
        <f t="shared" si="73"/>
        <v>418.51750000000004</v>
      </c>
      <c r="S513" s="161">
        <f t="shared" si="73"/>
        <v>0.1</v>
      </c>
      <c r="T513" s="161">
        <f t="shared" si="73"/>
        <v>417.05</v>
      </c>
      <c r="U513" s="159">
        <v>4124</v>
      </c>
      <c r="V513" s="159">
        <v>1696</v>
      </c>
    </row>
    <row r="514" spans="1:22" s="147" customFormat="1" x14ac:dyDescent="0.2">
      <c r="A514" s="147">
        <f t="shared" si="70"/>
        <v>2043</v>
      </c>
      <c r="B514" s="147">
        <f t="shared" si="74"/>
        <v>9</v>
      </c>
      <c r="C514" s="162"/>
      <c r="D514" s="162"/>
      <c r="E514" s="167"/>
      <c r="F514" s="258">
        <f t="shared" si="72"/>
        <v>21.097263009783632</v>
      </c>
      <c r="G514" s="258">
        <f t="shared" si="72"/>
        <v>18.731210058512119</v>
      </c>
      <c r="H514" s="166">
        <f t="shared" si="67"/>
        <v>30.71</v>
      </c>
      <c r="I514" s="156"/>
      <c r="J514" s="181">
        <f>VLOOKUP($A514&amp;$B514,'LE Inputs'!$C$2:$J$525,MATCH('LE UtilityData'!J$1,'LE Inputs'!$C$1:$J$1,0),0)*1000</f>
        <v>1656607.6374509479</v>
      </c>
      <c r="K514" s="181">
        <v>671962.68707923999</v>
      </c>
      <c r="L514" s="157"/>
      <c r="N514" s="307">
        <f t="shared" si="66"/>
        <v>102313.27779787523</v>
      </c>
      <c r="O514" s="181">
        <f>VLOOKUP($A514&amp;$B514,'LE Inputs'!$C$2:$J$525,MATCH('LE UtilityData'!O$1,'LE Inputs'!$C$1:$J$1,0),0)</f>
        <v>97501.182355949262</v>
      </c>
      <c r="P514" s="181"/>
      <c r="Q514" s="307">
        <f t="shared" si="73"/>
        <v>5.2125000000000004</v>
      </c>
      <c r="R514" s="307">
        <f t="shared" si="73"/>
        <v>326.05</v>
      </c>
      <c r="S514" s="161">
        <f t="shared" si="73"/>
        <v>5.35</v>
      </c>
      <c r="T514" s="161">
        <f t="shared" si="73"/>
        <v>330.2</v>
      </c>
      <c r="U514" s="159">
        <v>4124</v>
      </c>
      <c r="V514" s="159">
        <v>1696</v>
      </c>
    </row>
    <row r="515" spans="1:22" s="147" customFormat="1" x14ac:dyDescent="0.2">
      <c r="A515" s="147">
        <f t="shared" si="70"/>
        <v>2043</v>
      </c>
      <c r="B515" s="147">
        <f t="shared" si="74"/>
        <v>10</v>
      </c>
      <c r="C515" s="162"/>
      <c r="D515" s="162"/>
      <c r="E515" s="167"/>
      <c r="F515" s="258">
        <f t="shared" ref="F515:G517" si="75">F503*(1+0.02)</f>
        <v>21.097263009783632</v>
      </c>
      <c r="G515" s="258">
        <f t="shared" si="75"/>
        <v>18.731210058512119</v>
      </c>
      <c r="H515" s="166">
        <f t="shared" si="67"/>
        <v>29.52</v>
      </c>
      <c r="I515" s="156"/>
      <c r="J515" s="181">
        <f>VLOOKUP($A515&amp;$B515,'LE Inputs'!$C$2:$J$525,MATCH('LE UtilityData'!J$1,'LE Inputs'!$C$1:$J$1,0),0)*1000</f>
        <v>1659541.0113252741</v>
      </c>
      <c r="K515" s="181">
        <v>671963.68707923999</v>
      </c>
      <c r="L515" s="157"/>
      <c r="N515" s="307">
        <f t="shared" si="66"/>
        <v>102714.41292633837</v>
      </c>
      <c r="O515" s="181">
        <f>VLOOKUP($A515&amp;$B515,'LE Inputs'!$C$2:$J$525,MATCH('LE UtilityData'!O$1,'LE Inputs'!$C$1:$J$1,0),0)</f>
        <v>97780.72742814252</v>
      </c>
      <c r="P515" s="181"/>
      <c r="Q515" s="307">
        <f t="shared" ref="Q515:T517" si="76">Q503</f>
        <v>99.232500000000002</v>
      </c>
      <c r="R515" s="307">
        <f t="shared" si="76"/>
        <v>97.24</v>
      </c>
      <c r="S515" s="161">
        <f t="shared" si="76"/>
        <v>99.3</v>
      </c>
      <c r="T515" s="161">
        <f t="shared" si="76"/>
        <v>100.05</v>
      </c>
      <c r="U515" s="159">
        <v>4124</v>
      </c>
      <c r="V515" s="159">
        <v>1696</v>
      </c>
    </row>
    <row r="516" spans="1:22" s="147" customFormat="1" x14ac:dyDescent="0.2">
      <c r="A516" s="147">
        <f t="shared" si="70"/>
        <v>2043</v>
      </c>
      <c r="B516" s="147">
        <f t="shared" si="74"/>
        <v>11</v>
      </c>
      <c r="C516" s="162"/>
      <c r="D516" s="162"/>
      <c r="E516" s="167"/>
      <c r="F516" s="258">
        <f t="shared" si="75"/>
        <v>21.097263009783632</v>
      </c>
      <c r="G516" s="258">
        <f t="shared" si="75"/>
        <v>18.731210058512119</v>
      </c>
      <c r="H516" s="166">
        <f t="shared" si="67"/>
        <v>29.38</v>
      </c>
      <c r="I516" s="156"/>
      <c r="J516" s="181">
        <f>VLOOKUP($A516&amp;$B516,'LE Inputs'!$C$2:$J$525,MATCH('LE UtilityData'!J$1,'LE Inputs'!$C$1:$J$1,0),0)*1000</f>
        <v>1659541.0113252741</v>
      </c>
      <c r="K516" s="181">
        <v>671964.68707923999</v>
      </c>
      <c r="L516" s="157"/>
      <c r="N516" s="307">
        <f t="shared" si="66"/>
        <v>102714.41292633837</v>
      </c>
      <c r="O516" s="181">
        <f>VLOOKUP($A516&amp;$B516,'LE Inputs'!$C$2:$J$525,MATCH('LE UtilityData'!O$1,'LE Inputs'!$C$1:$J$1,0),0)</f>
        <v>97780.72742814252</v>
      </c>
      <c r="P516" s="181"/>
      <c r="Q516" s="307">
        <f t="shared" si="76"/>
        <v>353.59499999999997</v>
      </c>
      <c r="R516" s="307">
        <f t="shared" si="76"/>
        <v>11.487500000000001</v>
      </c>
      <c r="S516" s="161">
        <f t="shared" si="76"/>
        <v>352.6</v>
      </c>
      <c r="T516" s="161">
        <f t="shared" si="76"/>
        <v>12.75</v>
      </c>
      <c r="U516" s="159">
        <v>4124</v>
      </c>
      <c r="V516" s="159">
        <v>1696</v>
      </c>
    </row>
    <row r="517" spans="1:22" s="147" customFormat="1" x14ac:dyDescent="0.2">
      <c r="A517" s="147">
        <f t="shared" si="70"/>
        <v>2043</v>
      </c>
      <c r="B517" s="147">
        <f t="shared" si="74"/>
        <v>12</v>
      </c>
      <c r="C517" s="162"/>
      <c r="D517" s="162"/>
      <c r="E517" s="167"/>
      <c r="F517" s="258">
        <f t="shared" si="75"/>
        <v>21.097263009783632</v>
      </c>
      <c r="G517" s="258">
        <f t="shared" si="75"/>
        <v>18.731210058512119</v>
      </c>
      <c r="H517" s="166">
        <f t="shared" si="67"/>
        <v>32.81</v>
      </c>
      <c r="I517" s="156"/>
      <c r="J517" s="181">
        <f>VLOOKUP($A517&amp;$B517,'LE Inputs'!$C$2:$J$525,MATCH('LE UtilityData'!J$1,'LE Inputs'!$C$1:$J$1,0),0)*1000</f>
        <v>1659541.0113252741</v>
      </c>
      <c r="K517" s="181">
        <v>671965.68707923999</v>
      </c>
      <c r="L517" s="157"/>
      <c r="N517" s="307">
        <f t="shared" si="66"/>
        <v>102714.41292633837</v>
      </c>
      <c r="O517" s="181">
        <f>VLOOKUP($A517&amp;$B517,'LE Inputs'!$C$2:$J$525,MATCH('LE UtilityData'!O$1,'LE Inputs'!$C$1:$J$1,0),0)</f>
        <v>97780.72742814252</v>
      </c>
      <c r="P517" s="181"/>
      <c r="Q517" s="307">
        <f t="shared" si="76"/>
        <v>667.68999999999994</v>
      </c>
      <c r="R517" s="307">
        <f t="shared" si="76"/>
        <v>1.1850000000000001</v>
      </c>
      <c r="S517" s="161">
        <f t="shared" si="76"/>
        <v>669.9</v>
      </c>
      <c r="T517" s="161">
        <f t="shared" si="76"/>
        <v>1.05</v>
      </c>
      <c r="U517" s="159">
        <v>4124</v>
      </c>
      <c r="V517" s="159">
        <v>1696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5"/>
  <sheetViews>
    <sheetView tabSelected="1" workbookViewId="0"/>
  </sheetViews>
  <sheetFormatPr defaultRowHeight="12.75" x14ac:dyDescent="0.2"/>
  <cols>
    <col min="1" max="1" width="37" style="170" bestFit="1" customWidth="1"/>
    <col min="2" max="2" width="0.85546875" style="170" customWidth="1"/>
    <col min="3" max="3" width="12.140625" style="170" bestFit="1" customWidth="1"/>
    <col min="4" max="13" width="10.5703125" style="170" bestFit="1" customWidth="1"/>
    <col min="14" max="16384" width="9.140625" style="170"/>
  </cols>
  <sheetData>
    <row r="1" spans="1:13" x14ac:dyDescent="0.2">
      <c r="A1" s="311" t="s">
        <v>261</v>
      </c>
      <c r="C1" s="251" t="s">
        <v>262</v>
      </c>
    </row>
    <row r="3" spans="1:13" s="205" customFormat="1" hidden="1" x14ac:dyDescent="0.2">
      <c r="C3" s="205">
        <v>2011</v>
      </c>
      <c r="D3" s="205">
        <v>2012</v>
      </c>
      <c r="E3" s="205">
        <v>2013</v>
      </c>
      <c r="F3" s="205">
        <v>2014</v>
      </c>
      <c r="G3" s="205">
        <v>2015</v>
      </c>
      <c r="H3" s="205">
        <v>2016</v>
      </c>
      <c r="I3" s="205">
        <v>2017</v>
      </c>
      <c r="J3" s="205">
        <v>2018</v>
      </c>
      <c r="K3" s="205">
        <v>2019</v>
      </c>
      <c r="L3" s="205">
        <v>2020</v>
      </c>
      <c r="M3" s="205">
        <v>2021</v>
      </c>
    </row>
    <row r="4" spans="1:13" hidden="1" x14ac:dyDescent="0.2">
      <c r="A4" s="312" t="s">
        <v>263</v>
      </c>
      <c r="C4" s="313"/>
    </row>
    <row r="5" spans="1:13" hidden="1" x14ac:dyDescent="0.2">
      <c r="A5" s="205"/>
      <c r="C5" s="253"/>
    </row>
    <row r="6" spans="1:13" hidden="1" x14ac:dyDescent="0.2">
      <c r="A6" s="314" t="s">
        <v>210</v>
      </c>
      <c r="C6" s="254">
        <v>5.0099999999999999E-2</v>
      </c>
      <c r="D6" s="254">
        <v>5.0099999999999999E-2</v>
      </c>
      <c r="E6" s="254">
        <v>5.0099999999999999E-2</v>
      </c>
      <c r="F6" s="254">
        <v>5.0099999999999999E-2</v>
      </c>
      <c r="G6" s="254">
        <v>5.0099999999999999E-2</v>
      </c>
      <c r="H6" s="254">
        <v>5.0099999999999999E-2</v>
      </c>
      <c r="I6" s="254">
        <v>5.0099999999999999E-2</v>
      </c>
      <c r="J6" s="254">
        <v>5.0099999999999999E-2</v>
      </c>
      <c r="K6" s="254">
        <v>5.0099999999999999E-2</v>
      </c>
      <c r="L6" s="254">
        <v>5.0099999999999999E-2</v>
      </c>
      <c r="M6" s="171"/>
    </row>
    <row r="7" spans="1:13" hidden="1" x14ac:dyDescent="0.2">
      <c r="A7" s="255" t="s">
        <v>211</v>
      </c>
      <c r="C7" s="253">
        <v>0</v>
      </c>
      <c r="D7" s="253">
        <v>0</v>
      </c>
      <c r="E7" s="253">
        <v>0</v>
      </c>
      <c r="F7" s="253">
        <v>0</v>
      </c>
      <c r="G7" s="253">
        <v>0</v>
      </c>
      <c r="H7" s="253">
        <v>0</v>
      </c>
      <c r="I7" s="253">
        <v>0</v>
      </c>
      <c r="J7" s="253">
        <v>0</v>
      </c>
      <c r="K7" s="253">
        <v>0</v>
      </c>
      <c r="L7" s="253">
        <v>0</v>
      </c>
      <c r="M7" s="171"/>
    </row>
    <row r="8" spans="1:13" hidden="1" x14ac:dyDescent="0.2">
      <c r="A8" s="255" t="s">
        <v>212</v>
      </c>
      <c r="C8" s="253">
        <v>8.4177933155080431E-3</v>
      </c>
      <c r="D8" s="253">
        <v>8.5745908675910927E-3</v>
      </c>
      <c r="E8" s="253">
        <v>8.654270996749671E-3</v>
      </c>
      <c r="F8" s="253">
        <v>8.733605148984849E-3</v>
      </c>
      <c r="G8" s="253">
        <v>8.7456155533717148E-3</v>
      </c>
      <c r="H8" s="253">
        <v>8.7296481745018813E-3</v>
      </c>
      <c r="I8" s="253">
        <v>8.7490945751722386E-3</v>
      </c>
      <c r="J8" s="253">
        <v>8.7171276310565263E-3</v>
      </c>
      <c r="K8" s="253">
        <v>8.6409191235149851E-3</v>
      </c>
      <c r="L8" s="253">
        <v>8.5611685765600645E-3</v>
      </c>
      <c r="M8" s="171"/>
    </row>
    <row r="9" spans="1:13" hidden="1" x14ac:dyDescent="0.2">
      <c r="A9" s="255" t="s">
        <v>213</v>
      </c>
      <c r="C9" s="253">
        <v>0</v>
      </c>
      <c r="D9" s="253">
        <v>0</v>
      </c>
      <c r="E9" s="253">
        <v>3.550739396559336E-3</v>
      </c>
      <c r="F9" s="253">
        <v>4.1504732083219838E-3</v>
      </c>
      <c r="G9" s="253">
        <v>5.968677160829175E-3</v>
      </c>
      <c r="H9" s="253">
        <v>7.5112471517753401E-3</v>
      </c>
      <c r="I9" s="253">
        <v>1.2257793978360076E-2</v>
      </c>
      <c r="J9" s="253">
        <v>1.2723182829554973E-2</v>
      </c>
      <c r="K9" s="253">
        <v>1.438458022254694E-2</v>
      </c>
      <c r="L9" s="253">
        <v>1.5050849748960086E-2</v>
      </c>
      <c r="M9" s="171"/>
    </row>
    <row r="10" spans="1:13" hidden="1" x14ac:dyDescent="0.2">
      <c r="A10" s="199" t="s">
        <v>214</v>
      </c>
      <c r="C10" s="253">
        <v>2.0579999999999998E-2</v>
      </c>
      <c r="D10" s="253">
        <v>2.0579999999999998E-2</v>
      </c>
      <c r="E10" s="253">
        <v>2.0579999999999998E-2</v>
      </c>
      <c r="F10" s="253">
        <v>2.0579999999999998E-2</v>
      </c>
      <c r="G10" s="253">
        <v>2.0579999999999998E-2</v>
      </c>
      <c r="H10" s="253">
        <v>2.0579999999999998E-2</v>
      </c>
      <c r="I10" s="253">
        <v>2.0579999999999998E-2</v>
      </c>
      <c r="J10" s="253">
        <v>2.0579999999999998E-2</v>
      </c>
      <c r="K10" s="253">
        <v>2.0579999999999998E-2</v>
      </c>
      <c r="L10" s="253">
        <v>2.0579999999999998E-2</v>
      </c>
      <c r="M10" s="171"/>
    </row>
    <row r="11" spans="1:13" hidden="1" x14ac:dyDescent="0.2">
      <c r="A11" s="199" t="s">
        <v>215</v>
      </c>
      <c r="C11" s="253">
        <v>5.2946215408337461E-4</v>
      </c>
      <c r="D11" s="253">
        <v>4.2237275660235146E-3</v>
      </c>
      <c r="E11" s="253">
        <v>5.2345473775303351E-3</v>
      </c>
      <c r="F11" s="253">
        <v>5.8028844640265363E-3</v>
      </c>
      <c r="G11" s="253">
        <v>6.0932207375119143E-3</v>
      </c>
      <c r="H11" s="253">
        <v>7.7971844852617938E-3</v>
      </c>
      <c r="I11" s="253">
        <v>7.9037004601277116E-3</v>
      </c>
      <c r="J11" s="253">
        <v>9.1433427753075149E-3</v>
      </c>
      <c r="K11" s="253">
        <v>1.0320793961847973E-2</v>
      </c>
      <c r="L11" s="253">
        <v>1.0752385791148258E-2</v>
      </c>
      <c r="M11" s="171"/>
    </row>
    <row r="12" spans="1:13" hidden="1" x14ac:dyDescent="0.2">
      <c r="A12" s="199" t="s">
        <v>216</v>
      </c>
      <c r="C12" s="253">
        <v>7.6817678196452587E-4</v>
      </c>
      <c r="D12" s="253">
        <v>2.2705872276894698E-3</v>
      </c>
      <c r="E12" s="253">
        <v>6.2747782240819396E-3</v>
      </c>
      <c r="F12" s="253">
        <v>1.7374050905743576E-2</v>
      </c>
      <c r="G12" s="253">
        <v>2.5915552945279061E-2</v>
      </c>
      <c r="H12" s="253">
        <v>2.9497696747525629E-2</v>
      </c>
      <c r="I12" s="253">
        <v>2.9872850713186384E-2</v>
      </c>
      <c r="J12" s="253">
        <v>2.8998501120950853E-2</v>
      </c>
      <c r="K12" s="253">
        <v>2.7506181034429214E-2</v>
      </c>
      <c r="L12" s="253">
        <v>2.5884395659118053E-2</v>
      </c>
      <c r="M12" s="171"/>
    </row>
    <row r="13" spans="1:13" hidden="1" x14ac:dyDescent="0.2">
      <c r="A13" s="199" t="s">
        <v>217</v>
      </c>
      <c r="C13" s="253">
        <v>2.499205785957546E-3</v>
      </c>
      <c r="D13" s="253">
        <v>3.250979740240155E-3</v>
      </c>
      <c r="E13" s="253">
        <v>2.8648334997827267E-3</v>
      </c>
      <c r="F13" s="253">
        <v>3.297286614057491E-3</v>
      </c>
      <c r="G13" s="253">
        <v>3.2359988385392627E-3</v>
      </c>
      <c r="H13" s="253">
        <v>3.5102690526852363E-3</v>
      </c>
      <c r="I13" s="253">
        <v>3.2984518405781739E-3</v>
      </c>
      <c r="J13" s="253">
        <v>3.4582206934921931E-3</v>
      </c>
      <c r="K13" s="253">
        <v>3.1753472505428424E-3</v>
      </c>
      <c r="L13" s="253">
        <v>3.3149072715636784E-3</v>
      </c>
      <c r="M13" s="171"/>
    </row>
    <row r="14" spans="1:13" hidden="1" x14ac:dyDescent="0.2">
      <c r="C14" s="253"/>
      <c r="D14" s="253"/>
      <c r="E14" s="253"/>
      <c r="F14" s="253"/>
      <c r="G14" s="253"/>
      <c r="H14" s="253"/>
      <c r="I14" s="253"/>
      <c r="J14" s="253"/>
      <c r="K14" s="253"/>
      <c r="L14" s="253"/>
    </row>
    <row r="15" spans="1:13" ht="13.5" hidden="1" thickBot="1" x14ac:dyDescent="0.25">
      <c r="A15" s="185" t="s">
        <v>193</v>
      </c>
      <c r="C15" s="315">
        <f t="shared" ref="C15:L15" si="0">SUM(C6:C14)</f>
        <v>8.2894638037513485E-2</v>
      </c>
      <c r="D15" s="315">
        <f t="shared" si="0"/>
        <v>8.8999885401544243E-2</v>
      </c>
      <c r="E15" s="315">
        <f t="shared" si="0"/>
        <v>9.7259169494704006E-2</v>
      </c>
      <c r="F15" s="315">
        <f t="shared" si="0"/>
        <v>0.11003830034113445</v>
      </c>
      <c r="G15" s="315">
        <f t="shared" si="0"/>
        <v>0.12063906523553111</v>
      </c>
      <c r="H15" s="315">
        <f t="shared" si="0"/>
        <v>0.12772604561174988</v>
      </c>
      <c r="I15" s="315">
        <f t="shared" si="0"/>
        <v>0.13276189156742457</v>
      </c>
      <c r="J15" s="315">
        <f t="shared" si="0"/>
        <v>0.13372037505036205</v>
      </c>
      <c r="K15" s="315">
        <f t="shared" si="0"/>
        <v>0.13470782159288194</v>
      </c>
      <c r="L15" s="315">
        <f t="shared" si="0"/>
        <v>0.13424370704735014</v>
      </c>
      <c r="M15" s="316"/>
    </row>
    <row r="16" spans="1:13" hidden="1" x14ac:dyDescent="0.2">
      <c r="A16" s="185"/>
      <c r="C16" s="317"/>
      <c r="D16" s="318">
        <f>D15/C15-1</f>
        <v>7.36506909079917E-2</v>
      </c>
      <c r="E16" s="318">
        <f>E15/D15-1</f>
        <v>9.2801064359757657E-2</v>
      </c>
      <c r="F16" s="318">
        <f t="shared" ref="F16:L16" si="1">F15/E15-1</f>
        <v>0.13139255571297359</v>
      </c>
      <c r="G16" s="318">
        <f t="shared" si="1"/>
        <v>9.633704684217026E-2</v>
      </c>
      <c r="H16" s="318">
        <f t="shared" si="1"/>
        <v>5.8745319042239119E-2</v>
      </c>
      <c r="I16" s="318">
        <f t="shared" si="1"/>
        <v>3.9426930752888056E-2</v>
      </c>
      <c r="J16" s="318">
        <f t="shared" si="1"/>
        <v>7.2195678415043485E-3</v>
      </c>
      <c r="K16" s="318">
        <f t="shared" si="1"/>
        <v>7.3844134983018783E-3</v>
      </c>
      <c r="L16" s="318">
        <f t="shared" si="1"/>
        <v>-3.4453422232189057E-3</v>
      </c>
      <c r="M16" s="316"/>
    </row>
    <row r="17" spans="1:42" x14ac:dyDescent="0.2">
      <c r="A17" s="185" t="s">
        <v>264</v>
      </c>
      <c r="C17" s="205">
        <v>2012</v>
      </c>
      <c r="D17" s="205">
        <v>2013</v>
      </c>
      <c r="E17" s="205">
        <v>2014</v>
      </c>
      <c r="F17" s="205">
        <v>2015</v>
      </c>
      <c r="G17" s="205">
        <v>2016</v>
      </c>
      <c r="H17" s="205">
        <v>2017</v>
      </c>
      <c r="I17" s="205">
        <v>2018</v>
      </c>
      <c r="J17" s="205">
        <v>2019</v>
      </c>
      <c r="K17" s="205">
        <v>2020</v>
      </c>
      <c r="L17" s="205">
        <v>2021</v>
      </c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</row>
    <row r="18" spans="1:42" ht="14.25" x14ac:dyDescent="0.2">
      <c r="A18" s="247" t="s">
        <v>200</v>
      </c>
      <c r="B18" s="248"/>
      <c r="C18" s="248"/>
      <c r="D18" s="248"/>
      <c r="E18" s="248"/>
      <c r="F18" s="248"/>
      <c r="G18" s="248"/>
      <c r="H18" s="248"/>
      <c r="I18" s="248"/>
      <c r="J18" s="248"/>
    </row>
    <row r="19" spans="1:42" x14ac:dyDescent="0.2">
      <c r="A19" s="249" t="s">
        <v>201</v>
      </c>
      <c r="B19" s="250">
        <v>5.0099999999999999E-2</v>
      </c>
      <c r="C19" s="250">
        <v>5.0099999999999999E-2</v>
      </c>
      <c r="D19" s="250">
        <v>5.0099999999999999E-2</v>
      </c>
      <c r="E19" s="250">
        <v>5.0099999999999999E-2</v>
      </c>
      <c r="F19" s="250">
        <v>5.0099999999999999E-2</v>
      </c>
      <c r="G19" s="250">
        <v>5.0099999999999999E-2</v>
      </c>
      <c r="H19" s="250">
        <v>5.0099999999999999E-2</v>
      </c>
      <c r="I19" s="250">
        <v>5.0099999999999999E-2</v>
      </c>
      <c r="J19" s="250">
        <v>5.0099999999999999E-2</v>
      </c>
      <c r="K19" s="250">
        <v>5.0099999999999999E-2</v>
      </c>
      <c r="L19" s="250">
        <v>5.0099999999999999E-2</v>
      </c>
    </row>
    <row r="20" spans="1:42" x14ac:dyDescent="0.2">
      <c r="A20" s="249" t="s">
        <v>202</v>
      </c>
      <c r="B20" s="250">
        <v>0</v>
      </c>
      <c r="C20" s="250">
        <v>0</v>
      </c>
      <c r="D20" s="250">
        <v>0</v>
      </c>
      <c r="E20" s="250">
        <v>0</v>
      </c>
      <c r="F20" s="250">
        <v>0</v>
      </c>
      <c r="G20" s="250">
        <v>0</v>
      </c>
      <c r="H20" s="250">
        <v>0</v>
      </c>
      <c r="I20" s="250">
        <v>0</v>
      </c>
      <c r="J20" s="250">
        <v>0</v>
      </c>
      <c r="K20" s="250">
        <v>0</v>
      </c>
      <c r="L20" s="250">
        <v>0</v>
      </c>
    </row>
    <row r="21" spans="1:42" x14ac:dyDescent="0.2">
      <c r="A21" s="249" t="s">
        <v>203</v>
      </c>
      <c r="B21" s="250">
        <v>8.72214919944388E-3</v>
      </c>
      <c r="C21" s="250">
        <v>8.72214919944388E-3</v>
      </c>
      <c r="D21" s="250">
        <v>8.8452019501474508E-3</v>
      </c>
      <c r="E21" s="250">
        <v>9.0272106057238295E-3</v>
      </c>
      <c r="F21" s="250">
        <v>9.1024720295670696E-3</v>
      </c>
      <c r="G21" s="250">
        <v>9.1144044022180692E-3</v>
      </c>
      <c r="H21" s="250">
        <v>9.1144044022180692E-3</v>
      </c>
      <c r="I21" s="250">
        <v>9.1144044022180692E-3</v>
      </c>
      <c r="J21" s="250">
        <v>9.1144044022180692E-3</v>
      </c>
      <c r="K21" s="250">
        <v>9.1144044022180692E-3</v>
      </c>
      <c r="L21" s="250">
        <v>9.1144044022180692E-3</v>
      </c>
    </row>
    <row r="22" spans="1:42" x14ac:dyDescent="0.2">
      <c r="A22" s="249" t="s">
        <v>204</v>
      </c>
      <c r="B22" s="250">
        <v>0</v>
      </c>
      <c r="C22" s="250">
        <v>0</v>
      </c>
      <c r="D22" s="250">
        <v>6.0780826656920998E-3</v>
      </c>
      <c r="E22" s="250">
        <v>6.6334898584716499E-3</v>
      </c>
      <c r="F22" s="250">
        <v>8.4949767637760402E-3</v>
      </c>
      <c r="G22" s="250">
        <v>9.4520999337621096E-3</v>
      </c>
      <c r="H22" s="250">
        <v>9.4520999337621096E-3</v>
      </c>
      <c r="I22" s="250">
        <v>9.4520999337621096E-3</v>
      </c>
      <c r="J22" s="250">
        <v>9.4520999337621096E-3</v>
      </c>
      <c r="K22" s="250">
        <v>9.4520999337621096E-3</v>
      </c>
      <c r="L22" s="250">
        <v>9.4520999337621096E-3</v>
      </c>
    </row>
    <row r="23" spans="1:42" x14ac:dyDescent="0.2">
      <c r="A23" s="249" t="s">
        <v>205</v>
      </c>
      <c r="B23" s="250">
        <v>2.215E-2</v>
      </c>
      <c r="C23" s="250">
        <v>2.215E-2</v>
      </c>
      <c r="D23" s="250">
        <v>2.215E-2</v>
      </c>
      <c r="E23" s="250">
        <v>2.215E-2</v>
      </c>
      <c r="F23" s="250">
        <v>2.215E-2</v>
      </c>
      <c r="G23" s="250">
        <v>2.215E-2</v>
      </c>
      <c r="H23" s="250">
        <v>2.215E-2</v>
      </c>
      <c r="I23" s="250">
        <v>2.215E-2</v>
      </c>
      <c r="J23" s="250">
        <v>2.215E-2</v>
      </c>
      <c r="K23" s="250">
        <v>2.215E-2</v>
      </c>
      <c r="L23" s="250">
        <v>2.215E-2</v>
      </c>
    </row>
    <row r="24" spans="1:42" x14ac:dyDescent="0.2">
      <c r="A24" s="249" t="s">
        <v>206</v>
      </c>
      <c r="B24" s="250">
        <v>2.11584955700646E-3</v>
      </c>
      <c r="C24" s="250">
        <v>2.11584955700646E-3</v>
      </c>
      <c r="D24" s="250">
        <v>3.17078096559656E-3</v>
      </c>
      <c r="E24" s="250">
        <v>4.99467304261426E-3</v>
      </c>
      <c r="F24" s="250">
        <v>6.00848832545702E-3</v>
      </c>
      <c r="G24" s="250">
        <v>8.7785755699067297E-3</v>
      </c>
      <c r="H24" s="250">
        <v>8.7785755699067297E-3</v>
      </c>
      <c r="I24" s="250">
        <v>8.7785755699067297E-3</v>
      </c>
      <c r="J24" s="250">
        <v>8.7785755699067297E-3</v>
      </c>
      <c r="K24" s="250">
        <v>8.7785755699067297E-3</v>
      </c>
      <c r="L24" s="250">
        <v>8.7785755699067297E-3</v>
      </c>
    </row>
    <row r="25" spans="1:42" x14ac:dyDescent="0.2">
      <c r="A25" s="249" t="s">
        <v>207</v>
      </c>
      <c r="B25" s="250">
        <v>8.0496585504694995E-4</v>
      </c>
      <c r="C25" s="250">
        <v>8.0496585504694995E-4</v>
      </c>
      <c r="D25" s="250">
        <v>3.7737169469218498E-3</v>
      </c>
      <c r="E25" s="250">
        <v>7.8583930945860091E-3</v>
      </c>
      <c r="F25" s="250">
        <v>1.6317771906084501E-2</v>
      </c>
      <c r="G25" s="250">
        <v>2.18543833087948E-2</v>
      </c>
      <c r="H25" s="250">
        <v>2.18543833087948E-2</v>
      </c>
      <c r="I25" s="250">
        <v>2.18543833087948E-2</v>
      </c>
      <c r="J25" s="250">
        <v>2.18543833087948E-2</v>
      </c>
      <c r="K25" s="250">
        <v>2.18543833087948E-2</v>
      </c>
      <c r="L25" s="250">
        <v>2.18543833087948E-2</v>
      </c>
    </row>
    <row r="26" spans="1:42" x14ac:dyDescent="0.2">
      <c r="A26" s="249" t="s">
        <v>208</v>
      </c>
      <c r="B26" s="250">
        <v>1.87913726574761E-3</v>
      </c>
      <c r="C26" s="250">
        <v>1.87913726574761E-3</v>
      </c>
      <c r="D26" s="250">
        <v>1.74396101446055E-3</v>
      </c>
      <c r="E26" s="250">
        <v>2.1558752444988901E-3</v>
      </c>
      <c r="F26" s="250">
        <v>1.92880321842758E-3</v>
      </c>
      <c r="G26" s="250">
        <v>2.15139307249166E-3</v>
      </c>
      <c r="H26" s="250">
        <v>2.15139307249166E-3</v>
      </c>
      <c r="I26" s="250">
        <v>2.15139307249166E-3</v>
      </c>
      <c r="J26" s="250">
        <v>2.15139307249166E-3</v>
      </c>
      <c r="K26" s="250">
        <v>2.15139307249166E-3</v>
      </c>
      <c r="L26" s="250">
        <v>2.15139307249166E-3</v>
      </c>
    </row>
    <row r="27" spans="1:42" ht="13.5" thickBot="1" x14ac:dyDescent="0.25">
      <c r="A27" s="319" t="s">
        <v>209</v>
      </c>
      <c r="B27" s="320">
        <v>8.5772101877244905E-2</v>
      </c>
      <c r="C27" s="315">
        <v>8.5772101877244905E-2</v>
      </c>
      <c r="D27" s="315">
        <v>9.5861743542818498E-2</v>
      </c>
      <c r="E27" s="315">
        <v>0.102919641845894</v>
      </c>
      <c r="F27" s="315">
        <v>0.114102512243312</v>
      </c>
      <c r="G27" s="315">
        <v>0.123600856287173</v>
      </c>
      <c r="H27" s="315">
        <v>0.123600856287173</v>
      </c>
      <c r="I27" s="315">
        <v>0.123600856287173</v>
      </c>
      <c r="J27" s="315">
        <v>0.123600856287173</v>
      </c>
      <c r="K27" s="315">
        <v>0.123600856287173</v>
      </c>
      <c r="L27" s="315">
        <v>0.123600856287173</v>
      </c>
    </row>
    <row r="28" spans="1:42" ht="13.5" thickTop="1" x14ac:dyDescent="0.2">
      <c r="A28" s="185"/>
      <c r="C28" s="318">
        <f>C27/C15-1</f>
        <v>3.4712303568166236E-2</v>
      </c>
      <c r="D28" s="318">
        <f>D27/C27-1</f>
        <v>0.11763313996914349</v>
      </c>
      <c r="E28" s="318">
        <f t="shared" ref="E28:G28" si="2">E27/D27-1</f>
        <v>7.362580777516281E-2</v>
      </c>
      <c r="F28" s="318">
        <f t="shared" si="2"/>
        <v>0.1086563283436468</v>
      </c>
      <c r="G28" s="318">
        <f t="shared" si="2"/>
        <v>8.3243951926376125E-2</v>
      </c>
      <c r="H28" s="321"/>
      <c r="I28" s="321"/>
      <c r="J28" s="321"/>
      <c r="K28" s="321"/>
      <c r="L28" s="316"/>
    </row>
    <row r="29" spans="1:42" x14ac:dyDescent="0.2"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</row>
    <row r="30" spans="1:42" x14ac:dyDescent="0.2">
      <c r="A30" s="185" t="s">
        <v>265</v>
      </c>
      <c r="C30" s="251" t="s">
        <v>266</v>
      </c>
    </row>
    <row r="31" spans="1:42" ht="14.25" x14ac:dyDescent="0.2">
      <c r="A31" s="247" t="s">
        <v>267</v>
      </c>
      <c r="B31" s="248"/>
      <c r="C31" s="322"/>
      <c r="D31" s="322"/>
      <c r="E31" s="322"/>
      <c r="F31" s="322"/>
      <c r="G31" s="322"/>
      <c r="H31" s="322"/>
      <c r="I31" s="322"/>
      <c r="J31" s="322"/>
      <c r="K31" s="322"/>
      <c r="L31" s="322"/>
      <c r="M31" s="322"/>
    </row>
    <row r="32" spans="1:42" ht="14.25" x14ac:dyDescent="0.2">
      <c r="A32" s="247" t="s">
        <v>200</v>
      </c>
      <c r="B32" s="248"/>
      <c r="C32" s="205">
        <v>2012</v>
      </c>
      <c r="D32" s="205">
        <v>2013</v>
      </c>
      <c r="E32" s="205">
        <v>2014</v>
      </c>
      <c r="F32" s="205">
        <v>2015</v>
      </c>
      <c r="G32" s="205">
        <v>2016</v>
      </c>
      <c r="H32" s="205">
        <v>2017</v>
      </c>
      <c r="I32" s="205">
        <v>2018</v>
      </c>
      <c r="J32" s="205">
        <v>2019</v>
      </c>
      <c r="K32" s="205">
        <v>2020</v>
      </c>
      <c r="L32" s="205">
        <v>2021</v>
      </c>
      <c r="M32" s="205">
        <v>2022</v>
      </c>
    </row>
    <row r="33" spans="1:13" x14ac:dyDescent="0.2">
      <c r="A33" s="249" t="s">
        <v>201</v>
      </c>
      <c r="B33" s="250">
        <v>5.0220815586811303E-2</v>
      </c>
      <c r="C33" s="250">
        <v>5.0220815586811303E-2</v>
      </c>
      <c r="D33" s="250">
        <v>5.0270000000000002E-2</v>
      </c>
      <c r="E33" s="250">
        <v>5.0270000000000002E-2</v>
      </c>
      <c r="F33" s="250">
        <v>5.0269999999999898E-2</v>
      </c>
      <c r="G33" s="250">
        <v>5.0270000000000002E-2</v>
      </c>
      <c r="H33" s="250">
        <v>5.0270000000000002E-2</v>
      </c>
      <c r="I33" s="250">
        <v>5.0270000000000002E-2</v>
      </c>
      <c r="J33" s="250">
        <v>5.0270000000000002E-2</v>
      </c>
      <c r="K33" s="250">
        <v>5.0270000000000002E-2</v>
      </c>
      <c r="L33" s="250">
        <v>5.0270000000000002E-2</v>
      </c>
      <c r="M33" s="250">
        <v>5.0270000000000002E-2</v>
      </c>
    </row>
    <row r="34" spans="1:13" x14ac:dyDescent="0.2">
      <c r="A34" s="249" t="s">
        <v>202</v>
      </c>
      <c r="B34" s="250">
        <v>0</v>
      </c>
      <c r="C34" s="250">
        <v>0</v>
      </c>
      <c r="D34" s="250">
        <v>0</v>
      </c>
      <c r="E34" s="250">
        <v>0</v>
      </c>
      <c r="F34" s="250">
        <v>0</v>
      </c>
      <c r="G34" s="250">
        <v>0</v>
      </c>
      <c r="H34" s="250">
        <v>0</v>
      </c>
      <c r="I34" s="250">
        <v>0</v>
      </c>
      <c r="J34" s="250">
        <v>0</v>
      </c>
      <c r="K34" s="250">
        <v>0</v>
      </c>
      <c r="L34" s="250">
        <v>0</v>
      </c>
      <c r="M34" s="250">
        <v>0</v>
      </c>
    </row>
    <row r="35" spans="1:13" x14ac:dyDescent="0.2">
      <c r="A35" s="249" t="s">
        <v>203</v>
      </c>
      <c r="B35" s="250">
        <v>8.5615627942892906E-3</v>
      </c>
      <c r="C35" s="250">
        <v>8.5615627942892906E-3</v>
      </c>
      <c r="D35" s="250">
        <v>8.3836185188511103E-3</v>
      </c>
      <c r="E35" s="250">
        <v>8.4388105094189893E-3</v>
      </c>
      <c r="F35" s="250">
        <v>8.4431918792715402E-3</v>
      </c>
      <c r="G35" s="250">
        <v>8.4701121075613905E-3</v>
      </c>
      <c r="H35" s="250">
        <v>8.4740999635891708E-3</v>
      </c>
      <c r="I35" s="250">
        <v>8.4740999635891708E-3</v>
      </c>
      <c r="J35" s="250">
        <v>8.4740999635891708E-3</v>
      </c>
      <c r="K35" s="250">
        <v>8.4740999635891708E-3</v>
      </c>
      <c r="L35" s="250">
        <v>8.4740999635891708E-3</v>
      </c>
      <c r="M35" s="250">
        <v>8.4740999635891708E-3</v>
      </c>
    </row>
    <row r="36" spans="1:13" x14ac:dyDescent="0.2">
      <c r="A36" s="249" t="s">
        <v>204</v>
      </c>
      <c r="B36" s="250">
        <v>0</v>
      </c>
      <c r="C36" s="250">
        <v>0</v>
      </c>
      <c r="D36" s="250">
        <v>2.7649039277964599E-3</v>
      </c>
      <c r="E36" s="250">
        <v>2.7608411323815901E-3</v>
      </c>
      <c r="F36" s="250">
        <v>4.7565591651612896E-3</v>
      </c>
      <c r="G36" s="250">
        <v>4.7539532977968202E-3</v>
      </c>
      <c r="H36" s="250">
        <v>7.0265593639560796E-3</v>
      </c>
      <c r="I36" s="250">
        <v>7.0265593639560796E-3</v>
      </c>
      <c r="J36" s="250">
        <v>7.0265593639560796E-3</v>
      </c>
      <c r="K36" s="250">
        <v>7.0265593639560796E-3</v>
      </c>
      <c r="L36" s="250">
        <v>7.0265593639560796E-3</v>
      </c>
      <c r="M36" s="250">
        <v>7.0265593639560796E-3</v>
      </c>
    </row>
    <row r="37" spans="1:13" x14ac:dyDescent="0.2">
      <c r="A37" s="249" t="s">
        <v>205</v>
      </c>
      <c r="B37" s="250">
        <v>2.215E-2</v>
      </c>
      <c r="C37" s="250">
        <v>2.215E-2</v>
      </c>
      <c r="D37" s="250">
        <v>2.215E-2</v>
      </c>
      <c r="E37" s="250">
        <v>2.215E-2</v>
      </c>
      <c r="F37" s="250">
        <v>2.2149999999999899E-2</v>
      </c>
      <c r="G37" s="250">
        <v>2.215E-2</v>
      </c>
      <c r="H37" s="250">
        <v>2.215E-2</v>
      </c>
      <c r="I37" s="250">
        <v>2.215E-2</v>
      </c>
      <c r="J37" s="250">
        <v>2.215E-2</v>
      </c>
      <c r="K37" s="250">
        <v>2.215E-2</v>
      </c>
      <c r="L37" s="250">
        <v>2.215E-2</v>
      </c>
      <c r="M37" s="250">
        <v>2.215E-2</v>
      </c>
    </row>
    <row r="38" spans="1:13" x14ac:dyDescent="0.2">
      <c r="A38" s="249" t="s">
        <v>206</v>
      </c>
      <c r="B38" s="250">
        <v>4.9321512821933903E-3</v>
      </c>
      <c r="C38" s="250">
        <v>4.9321512821933903E-3</v>
      </c>
      <c r="D38" s="250">
        <v>4.2671815981127799E-3</v>
      </c>
      <c r="E38" s="250">
        <v>5.0120075664716697E-3</v>
      </c>
      <c r="F38" s="250">
        <v>7.4888013298068301E-3</v>
      </c>
      <c r="G38" s="250">
        <v>9.8344285229031193E-3</v>
      </c>
      <c r="H38" s="250">
        <v>9.8091526170224399E-3</v>
      </c>
      <c r="I38" s="250">
        <v>9.8091526170224399E-3</v>
      </c>
      <c r="J38" s="250">
        <v>9.8091526170224399E-3</v>
      </c>
      <c r="K38" s="250">
        <v>9.8091526170224399E-3</v>
      </c>
      <c r="L38" s="250">
        <v>9.8091526170224399E-3</v>
      </c>
      <c r="M38" s="250">
        <v>9.8091526170224399E-3</v>
      </c>
    </row>
    <row r="39" spans="1:13" x14ac:dyDescent="0.2">
      <c r="A39" s="249" t="s">
        <v>207</v>
      </c>
      <c r="B39" s="250">
        <v>5.6859072247198697E-4</v>
      </c>
      <c r="C39" s="250">
        <v>5.6859072247198697E-4</v>
      </c>
      <c r="D39" s="250">
        <v>2.04519793185473E-3</v>
      </c>
      <c r="E39" s="250">
        <v>4.5545664116964897E-3</v>
      </c>
      <c r="F39" s="250">
        <v>8.3253256237284506E-3</v>
      </c>
      <c r="G39" s="250">
        <v>1.26311751966791E-2</v>
      </c>
      <c r="H39" s="250">
        <v>1.266228814981E-2</v>
      </c>
      <c r="I39" s="250">
        <v>1.266228814981E-2</v>
      </c>
      <c r="J39" s="250">
        <v>1.266228814981E-2</v>
      </c>
      <c r="K39" s="250">
        <v>1.266228814981E-2</v>
      </c>
      <c r="L39" s="250">
        <v>1.266228814981E-2</v>
      </c>
      <c r="M39" s="250">
        <v>1.266228814981E-2</v>
      </c>
    </row>
    <row r="40" spans="1:13" x14ac:dyDescent="0.2">
      <c r="A40" s="249" t="s">
        <v>208</v>
      </c>
      <c r="B40" s="250">
        <v>1.8673889973529799E-3</v>
      </c>
      <c r="C40" s="250">
        <v>1.8673889973529799E-3</v>
      </c>
      <c r="D40" s="250">
        <v>1.5715858993328999E-3</v>
      </c>
      <c r="E40" s="250">
        <v>1.6862045990841199E-3</v>
      </c>
      <c r="F40" s="250">
        <v>1.7152429596739101E-3</v>
      </c>
      <c r="G40" s="250">
        <v>1.62938098091261E-3</v>
      </c>
      <c r="H40" s="250">
        <v>1.8629095307054701E-3</v>
      </c>
      <c r="I40" s="250">
        <v>1.8629095307054701E-3</v>
      </c>
      <c r="J40" s="250">
        <v>1.8629095307054701E-3</v>
      </c>
      <c r="K40" s="250">
        <v>1.8629095307054701E-3</v>
      </c>
      <c r="L40" s="250">
        <v>1.8629095307054701E-3</v>
      </c>
      <c r="M40" s="250">
        <v>1.8629095307054701E-3</v>
      </c>
    </row>
    <row r="41" spans="1:13" ht="13.5" thickBot="1" x14ac:dyDescent="0.25">
      <c r="A41" s="249" t="s">
        <v>209</v>
      </c>
      <c r="B41" s="250">
        <v>8.8300509383118994E-2</v>
      </c>
      <c r="C41" s="315">
        <v>8.8300509383118994E-2</v>
      </c>
      <c r="D41" s="315">
        <v>9.1452487875947994E-2</v>
      </c>
      <c r="E41" s="315">
        <v>9.4872430219052895E-2</v>
      </c>
      <c r="F41" s="315">
        <v>0.103149120957642</v>
      </c>
      <c r="G41" s="315">
        <v>0.109739050105853</v>
      </c>
      <c r="H41" s="315">
        <v>0.112255009625083</v>
      </c>
      <c r="I41" s="315">
        <v>0.112255009625083</v>
      </c>
      <c r="J41" s="315">
        <v>0.112255009625083</v>
      </c>
      <c r="K41" s="315">
        <v>0.112255009625083</v>
      </c>
      <c r="L41" s="315">
        <v>0.112255009625083</v>
      </c>
      <c r="M41" s="315">
        <v>0.112255009625083</v>
      </c>
    </row>
    <row r="42" spans="1:13" ht="13.5" thickTop="1" x14ac:dyDescent="0.2">
      <c r="D42" s="318">
        <f>D41/C41-1</f>
        <v>3.5696039749365083E-2</v>
      </c>
      <c r="E42" s="318">
        <f t="shared" ref="E42:I42" si="3">E41/D41-1</f>
        <v>3.7395837144900135E-2</v>
      </c>
      <c r="F42" s="318">
        <f t="shared" si="3"/>
        <v>8.724021003234439E-2</v>
      </c>
      <c r="G42" s="318">
        <f t="shared" si="3"/>
        <v>6.3887399980045778E-2</v>
      </c>
      <c r="H42" s="318">
        <f t="shared" si="3"/>
        <v>2.2926747742058495E-2</v>
      </c>
      <c r="I42" s="318">
        <f t="shared" si="3"/>
        <v>0</v>
      </c>
    </row>
    <row r="44" spans="1:13" ht="13.5" thickBot="1" x14ac:dyDescent="0.25">
      <c r="C44" s="323"/>
      <c r="D44" s="323">
        <f>D41/D27-1</f>
        <v>-4.5995988638585783E-2</v>
      </c>
      <c r="E44" s="323">
        <f t="shared" ref="E44:L44" si="4">E41/E27-1</f>
        <v>-7.8189269633201275E-2</v>
      </c>
      <c r="F44" s="323">
        <f t="shared" si="4"/>
        <v>-9.5996057144763003E-2</v>
      </c>
      <c r="G44" s="323">
        <f t="shared" si="4"/>
        <v>-0.11214975848641062</v>
      </c>
      <c r="H44" s="323">
        <f t="shared" si="4"/>
        <v>-9.1794239966502933E-2</v>
      </c>
      <c r="I44" s="323">
        <f t="shared" si="4"/>
        <v>-9.1794239966502933E-2</v>
      </c>
      <c r="J44" s="323">
        <f t="shared" si="4"/>
        <v>-9.1794239966502933E-2</v>
      </c>
      <c r="K44" s="323">
        <f t="shared" si="4"/>
        <v>-9.1794239966502933E-2</v>
      </c>
      <c r="L44" s="323">
        <f t="shared" si="4"/>
        <v>-9.1794239966502933E-2</v>
      </c>
    </row>
    <row r="45" spans="1:13" ht="13.5" thickTop="1" x14ac:dyDescent="0.2"/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tabSelected="1" workbookViewId="0">
      <pane ySplit="1" topLeftCell="A16" activePane="bottomLeft" state="frozenSplit"/>
      <selection pane="bottomLeft"/>
    </sheetView>
  </sheetViews>
  <sheetFormatPr defaultColWidth="9.140625" defaultRowHeight="12.75" x14ac:dyDescent="0.2"/>
  <cols>
    <col min="1" max="1" width="5.85546875" style="170" bestFit="1" customWidth="1"/>
    <col min="2" max="2" width="9.140625" style="151"/>
    <col min="3" max="3" width="7.85546875" style="170" bestFit="1" customWidth="1"/>
    <col min="4" max="4" width="9.140625" style="170"/>
    <col min="5" max="5" width="7.85546875" style="170" bestFit="1" customWidth="1"/>
    <col min="6" max="6" width="9.28515625" style="170" bestFit="1" customWidth="1"/>
    <col min="7" max="7" width="7.85546875" style="170" bestFit="1" customWidth="1"/>
    <col min="8" max="8" width="10.85546875" style="170" bestFit="1" customWidth="1"/>
    <col min="9" max="9" width="7.85546875" style="170" bestFit="1" customWidth="1"/>
    <col min="10" max="10" width="7.7109375" style="170" bestFit="1" customWidth="1"/>
    <col min="11" max="11" width="7.85546875" style="170" bestFit="1" customWidth="1"/>
    <col min="12" max="12" width="9.140625" style="170"/>
    <col min="13" max="13" width="0" style="151" hidden="1" customWidth="1"/>
    <col min="14" max="14" width="5.85546875" hidden="1" customWidth="1"/>
    <col min="15" max="15" width="0" style="5" hidden="1" customWidth="1"/>
    <col min="16" max="16" width="7.85546875" style="170" hidden="1" customWidth="1"/>
    <col min="17" max="17" width="0" hidden="1" customWidth="1"/>
    <col min="18" max="18" width="7.85546875" style="170" hidden="1" customWidth="1"/>
    <col min="19" max="19" width="9.28515625" hidden="1" customWidth="1"/>
    <col min="20" max="20" width="7.85546875" style="170" hidden="1" customWidth="1"/>
    <col min="21" max="21" width="10.85546875" hidden="1" customWidth="1"/>
    <col min="22" max="22" width="7.85546875" style="170" hidden="1" customWidth="1"/>
    <col min="23" max="23" width="10.85546875" hidden="1" customWidth="1"/>
    <col min="24" max="24" width="7.85546875" style="170" hidden="1" customWidth="1"/>
    <col min="25" max="16384" width="9.140625" style="170"/>
  </cols>
  <sheetData>
    <row r="1" spans="1:24" s="205" customFormat="1" x14ac:dyDescent="0.2">
      <c r="A1" s="183" t="s">
        <v>15</v>
      </c>
      <c r="B1" s="204" t="s">
        <v>16</v>
      </c>
      <c r="C1" s="183" t="s">
        <v>125</v>
      </c>
      <c r="D1" s="204" t="s">
        <v>17</v>
      </c>
      <c r="E1" s="183" t="s">
        <v>125</v>
      </c>
      <c r="F1" s="204" t="s">
        <v>5</v>
      </c>
      <c r="G1" s="183" t="s">
        <v>125</v>
      </c>
      <c r="H1" s="204" t="s">
        <v>19</v>
      </c>
      <c r="I1" s="183" t="s">
        <v>125</v>
      </c>
      <c r="J1" s="183" t="s">
        <v>124</v>
      </c>
      <c r="K1" s="183" t="s">
        <v>125</v>
      </c>
      <c r="L1" s="183"/>
      <c r="M1" s="204" t="s">
        <v>268</v>
      </c>
      <c r="N1" s="22" t="s">
        <v>15</v>
      </c>
      <c r="O1" s="35" t="s">
        <v>16</v>
      </c>
      <c r="P1" s="183" t="s">
        <v>125</v>
      </c>
      <c r="Q1" s="35" t="s">
        <v>17</v>
      </c>
      <c r="R1" s="183" t="s">
        <v>125</v>
      </c>
      <c r="S1" s="35" t="s">
        <v>5</v>
      </c>
      <c r="T1" s="183" t="s">
        <v>125</v>
      </c>
      <c r="U1" s="35" t="s">
        <v>19</v>
      </c>
      <c r="V1" s="183" t="s">
        <v>125</v>
      </c>
      <c r="W1" s="35" t="s">
        <v>193</v>
      </c>
      <c r="X1" s="183" t="s">
        <v>125</v>
      </c>
    </row>
    <row r="2" spans="1:24" x14ac:dyDescent="0.2">
      <c r="A2" s="182">
        <v>1995</v>
      </c>
      <c r="B2" s="206">
        <f>SUM('LE ShareUEC'!$D2:$G2,'LE ShareUEC'!$U2)</f>
        <v>1924.5434970527715</v>
      </c>
      <c r="C2" s="188"/>
      <c r="D2" s="206">
        <f>SUM('LE ShareUEC'!$H2:$K2)</f>
        <v>4857.1094773233326</v>
      </c>
      <c r="E2" s="188"/>
      <c r="F2" s="206">
        <f>'LE ShareUEC'!$L2</f>
        <v>2084.5471377976546</v>
      </c>
      <c r="G2" s="188"/>
      <c r="H2" s="206" t="e">
        <f>SUM('LE ShareUEC'!$M2:$T2,'LE ShareUEC'!$V2:$W2)</f>
        <v>#REF!</v>
      </c>
      <c r="I2" s="188"/>
      <c r="J2" s="206" t="e">
        <f t="shared" ref="J2:J49" si="0">AnnHeat1995+AnnCool1995+F2+H2</f>
        <v>#REF!</v>
      </c>
      <c r="K2" s="188"/>
      <c r="L2" s="207"/>
      <c r="M2" s="206"/>
      <c r="N2" s="24">
        <v>1995</v>
      </c>
      <c r="O2" s="36">
        <v>1980.1651850817598</v>
      </c>
      <c r="P2" s="188"/>
      <c r="Q2" s="36">
        <v>6329.3009284444779</v>
      </c>
      <c r="R2" s="188"/>
      <c r="S2" s="36">
        <v>1550.6053227754155</v>
      </c>
      <c r="T2" s="188"/>
      <c r="U2" s="36">
        <v>6900.8388423990491</v>
      </c>
      <c r="V2" s="188"/>
      <c r="W2" s="36">
        <f>SUM(O2:U2)</f>
        <v>16760.9102787007</v>
      </c>
      <c r="X2" s="188"/>
    </row>
    <row r="3" spans="1:24" x14ac:dyDescent="0.2">
      <c r="A3" s="182">
        <f t="shared" ref="A3:A50" si="1">A2+1</f>
        <v>1996</v>
      </c>
      <c r="B3" s="206">
        <f>SUM('LE ShareUEC'!$D3:$G3,'LE ShareUEC'!$U3)</f>
        <v>1898.447491676392</v>
      </c>
      <c r="C3" s="188">
        <f t="shared" ref="C3:I48" si="2">B3/B2-1</f>
        <v>-1.3559582008067173E-2</v>
      </c>
      <c r="D3" s="206">
        <f>SUM('LE ShareUEC'!$H3:$K3)</f>
        <v>4738.7640087180644</v>
      </c>
      <c r="E3" s="188">
        <f t="shared" si="2"/>
        <v>-2.4365410983177238E-2</v>
      </c>
      <c r="F3" s="206">
        <f>'LE ShareUEC'!$L3</f>
        <v>2090.2152792413035</v>
      </c>
      <c r="G3" s="188">
        <f t="shared" si="2"/>
        <v>2.7191236604211522E-3</v>
      </c>
      <c r="H3" s="206" t="e">
        <f>SUM('LE ShareUEC'!$M3:$T3,'LE ShareUEC'!$V3:$W3)</f>
        <v>#REF!</v>
      </c>
      <c r="I3" s="188" t="e">
        <f t="shared" si="2"/>
        <v>#REF!</v>
      </c>
      <c r="J3" s="206" t="e">
        <f t="shared" si="0"/>
        <v>#REF!</v>
      </c>
      <c r="K3" s="188" t="e">
        <f t="shared" ref="K3:K50" si="3">J3/J2-1</f>
        <v>#REF!</v>
      </c>
      <c r="L3" s="207"/>
      <c r="M3" s="206"/>
      <c r="N3" s="24">
        <f t="shared" ref="N3:N27" si="4">N2+1</f>
        <v>1996</v>
      </c>
      <c r="O3" s="36">
        <v>1988.4048223723955</v>
      </c>
      <c r="P3" s="188">
        <f t="shared" ref="P3:X48" si="5">O3/O2-1</f>
        <v>4.1610858289560237E-3</v>
      </c>
      <c r="Q3" s="36">
        <v>6214.8485866793644</v>
      </c>
      <c r="R3" s="188">
        <f t="shared" si="5"/>
        <v>-1.8082935707915859E-2</v>
      </c>
      <c r="S3" s="36">
        <v>1554.4805966172155</v>
      </c>
      <c r="T3" s="188">
        <f t="shared" si="5"/>
        <v>2.4992006572399639E-3</v>
      </c>
      <c r="U3" s="36">
        <v>6980.779463347928</v>
      </c>
      <c r="V3" s="188">
        <f t="shared" si="5"/>
        <v>1.1584188933339457E-2</v>
      </c>
      <c r="W3" s="36">
        <f t="shared" ref="W3:W48" si="6">SUM(O3:U3)</f>
        <v>16738.502046367677</v>
      </c>
      <c r="X3" s="188">
        <f t="shared" si="5"/>
        <v>-1.3369340901190352E-3</v>
      </c>
    </row>
    <row r="4" spans="1:24" x14ac:dyDescent="0.2">
      <c r="A4" s="182">
        <f t="shared" si="1"/>
        <v>1997</v>
      </c>
      <c r="B4" s="206">
        <f>SUM('LE ShareUEC'!$D4:$G4,'LE ShareUEC'!$U4)</f>
        <v>1871.8109088198837</v>
      </c>
      <c r="C4" s="188">
        <f t="shared" si="2"/>
        <v>-1.4030718770624118E-2</v>
      </c>
      <c r="D4" s="206">
        <f>SUM('LE ShareUEC'!$H4:$K4)</f>
        <v>4623.9540059965439</v>
      </c>
      <c r="E4" s="188">
        <f t="shared" si="2"/>
        <v>-2.4227837155490484E-2</v>
      </c>
      <c r="F4" s="206">
        <f>'LE ShareUEC'!$L4</f>
        <v>2095.8555390668876</v>
      </c>
      <c r="G4" s="188">
        <f t="shared" si="2"/>
        <v>2.6984109635019848E-3</v>
      </c>
      <c r="H4" s="206" t="e">
        <f>SUM('LE ShareUEC'!$M4:$T4,'LE ShareUEC'!$V4:$W4)</f>
        <v>#REF!</v>
      </c>
      <c r="I4" s="188" t="e">
        <f t="shared" si="2"/>
        <v>#REF!</v>
      </c>
      <c r="J4" s="206" t="e">
        <f t="shared" si="0"/>
        <v>#REF!</v>
      </c>
      <c r="K4" s="188" t="e">
        <f t="shared" si="3"/>
        <v>#REF!</v>
      </c>
      <c r="L4" s="207"/>
      <c r="M4" s="206"/>
      <c r="N4" s="24">
        <f t="shared" si="4"/>
        <v>1997</v>
      </c>
      <c r="O4" s="36">
        <v>1995.7020595868146</v>
      </c>
      <c r="P4" s="188">
        <f t="shared" si="5"/>
        <v>3.6698951502807109E-3</v>
      </c>
      <c r="Q4" s="36">
        <v>6105.2680831445796</v>
      </c>
      <c r="R4" s="188">
        <f t="shared" si="5"/>
        <v>-1.763204718609801E-2</v>
      </c>
      <c r="S4" s="36">
        <v>1558.3351209551458</v>
      </c>
      <c r="T4" s="188">
        <f t="shared" si="5"/>
        <v>2.4796220334422081E-3</v>
      </c>
      <c r="U4" s="36">
        <v>7058.2154632500205</v>
      </c>
      <c r="V4" s="188">
        <f t="shared" si="5"/>
        <v>1.1092744056543369E-2</v>
      </c>
      <c r="W4" s="36">
        <f t="shared" si="6"/>
        <v>16717.509244406559</v>
      </c>
      <c r="X4" s="188">
        <f t="shared" si="5"/>
        <v>-1.2541625232034281E-3</v>
      </c>
    </row>
    <row r="5" spans="1:24" x14ac:dyDescent="0.2">
      <c r="A5" s="182">
        <f t="shared" si="1"/>
        <v>1998</v>
      </c>
      <c r="B5" s="206">
        <f>SUM('LE ShareUEC'!$D5:$G5,'LE ShareUEC'!$U5)</f>
        <v>1844.6869604649978</v>
      </c>
      <c r="C5" s="188">
        <f t="shared" si="2"/>
        <v>-1.4490752365572401E-2</v>
      </c>
      <c r="D5" s="206">
        <f>SUM('LE ShareUEC'!$H5:$K5)</f>
        <v>4512.4980734209048</v>
      </c>
      <c r="E5" s="188">
        <f t="shared" si="2"/>
        <v>-2.4104031404961646E-2</v>
      </c>
      <c r="F5" s="206">
        <f>'LE ShareUEC'!$L5</f>
        <v>2101.4681224944102</v>
      </c>
      <c r="G5" s="188">
        <f t="shared" si="2"/>
        <v>2.6779438386395071E-3</v>
      </c>
      <c r="H5" s="206" t="e">
        <f>SUM('LE ShareUEC'!$M5:$T5,'LE ShareUEC'!$V5:$W5)</f>
        <v>#REF!</v>
      </c>
      <c r="I5" s="188" t="e">
        <f t="shared" si="2"/>
        <v>#REF!</v>
      </c>
      <c r="J5" s="206" t="e">
        <f t="shared" si="0"/>
        <v>#REF!</v>
      </c>
      <c r="K5" s="188" t="e">
        <f t="shared" si="3"/>
        <v>#REF!</v>
      </c>
      <c r="L5" s="207"/>
      <c r="M5" s="206"/>
      <c r="N5" s="24">
        <f t="shared" si="4"/>
        <v>1998</v>
      </c>
      <c r="O5" s="36">
        <v>2002.0753398650165</v>
      </c>
      <c r="P5" s="188">
        <f t="shared" si="5"/>
        <v>3.1935028816483246E-3</v>
      </c>
      <c r="Q5" s="36">
        <v>6000.2507201696126</v>
      </c>
      <c r="R5" s="188">
        <f t="shared" si="5"/>
        <v>-1.7201105921114124E-2</v>
      </c>
      <c r="S5" s="36">
        <v>1562.1690619938574</v>
      </c>
      <c r="T5" s="188">
        <f t="shared" si="5"/>
        <v>2.4602801972155586E-3</v>
      </c>
      <c r="U5" s="36">
        <v>7135.8875191522911</v>
      </c>
      <c r="V5" s="188">
        <f t="shared" si="5"/>
        <v>1.1004489209303081E-2</v>
      </c>
      <c r="W5" s="36">
        <f t="shared" si="6"/>
        <v>16700.371093857935</v>
      </c>
      <c r="X5" s="188">
        <f t="shared" si="5"/>
        <v>-1.0251617210476072E-3</v>
      </c>
    </row>
    <row r="6" spans="1:24" x14ac:dyDescent="0.2">
      <c r="A6" s="182">
        <f t="shared" si="1"/>
        <v>1999</v>
      </c>
      <c r="B6" s="206">
        <f>SUM('LE ShareUEC'!$D6:$G6,'LE ShareUEC'!$U6)</f>
        <v>1817.1418692728346</v>
      </c>
      <c r="C6" s="188">
        <f t="shared" si="2"/>
        <v>-1.4932122242149903E-2</v>
      </c>
      <c r="D6" s="206">
        <f>SUM('LE ShareUEC'!$H6:$K6)</f>
        <v>4448.3393033276743</v>
      </c>
      <c r="E6" s="188">
        <f t="shared" si="2"/>
        <v>-1.4218016063238359E-2</v>
      </c>
      <c r="F6" s="206">
        <f>'LE ShareUEC'!$L6</f>
        <v>2107.053232734801</v>
      </c>
      <c r="G6" s="188">
        <f t="shared" si="2"/>
        <v>2.6577182782869802E-3</v>
      </c>
      <c r="H6" s="206" t="e">
        <f>SUM('LE ShareUEC'!$M6:$T6,'LE ShareUEC'!$V6:$W6)</f>
        <v>#REF!</v>
      </c>
      <c r="I6" s="188" t="e">
        <f t="shared" si="2"/>
        <v>#REF!</v>
      </c>
      <c r="J6" s="206" t="e">
        <f t="shared" si="0"/>
        <v>#REF!</v>
      </c>
      <c r="K6" s="188" t="e">
        <f t="shared" si="3"/>
        <v>#REF!</v>
      </c>
      <c r="L6" s="207"/>
      <c r="M6" s="206"/>
      <c r="N6" s="24">
        <f t="shared" si="4"/>
        <v>1999</v>
      </c>
      <c r="O6" s="36">
        <v>2007.5624901129081</v>
      </c>
      <c r="P6" s="188">
        <f t="shared" si="5"/>
        <v>2.7407311496387976E-3</v>
      </c>
      <c r="Q6" s="36">
        <v>5899.5137015270311</v>
      </c>
      <c r="R6" s="188">
        <f t="shared" si="5"/>
        <v>-1.6788801558567878E-2</v>
      </c>
      <c r="S6" s="36">
        <v>1565.9825841676491</v>
      </c>
      <c r="T6" s="188">
        <f t="shared" si="5"/>
        <v>2.441171232084427E-3</v>
      </c>
      <c r="U6" s="36">
        <v>7213.7956310547397</v>
      </c>
      <c r="V6" s="188">
        <f t="shared" si="5"/>
        <v>1.0917788669362771E-2</v>
      </c>
      <c r="W6" s="36">
        <f t="shared" si="6"/>
        <v>16686.842799963153</v>
      </c>
      <c r="X6" s="188">
        <f t="shared" si="5"/>
        <v>-8.100594782446402E-4</v>
      </c>
    </row>
    <row r="7" spans="1:24" x14ac:dyDescent="0.2">
      <c r="A7" s="182">
        <f t="shared" si="1"/>
        <v>2000</v>
      </c>
      <c r="B7" s="206">
        <f>SUM('LE ShareUEC'!$D7:$G7,'LE ShareUEC'!$U7)</f>
        <v>1810.9398576196004</v>
      </c>
      <c r="C7" s="192">
        <f t="shared" si="2"/>
        <v>-3.4130585828811011E-3</v>
      </c>
      <c r="D7" s="206">
        <f>SUM('LE ShareUEC'!$H7:$K7)</f>
        <v>4336.5507686340779</v>
      </c>
      <c r="E7" s="192">
        <f t="shared" si="2"/>
        <v>-2.5130397451914366E-2</v>
      </c>
      <c r="F7" s="206">
        <f>'LE ShareUEC'!$L7</f>
        <v>2112.6110710144403</v>
      </c>
      <c r="G7" s="192">
        <f t="shared" si="2"/>
        <v>2.63773035882231E-3</v>
      </c>
      <c r="H7" s="206" t="e">
        <f>SUM('LE ShareUEC'!$M7:$T7,'LE ShareUEC'!$V7:$W7)</f>
        <v>#REF!</v>
      </c>
      <c r="I7" s="192" t="e">
        <f t="shared" si="2"/>
        <v>#REF!</v>
      </c>
      <c r="J7" s="206" t="e">
        <f t="shared" si="0"/>
        <v>#REF!</v>
      </c>
      <c r="K7" s="192" t="e">
        <f t="shared" si="3"/>
        <v>#REF!</v>
      </c>
      <c r="L7" s="207"/>
      <c r="M7" s="206"/>
      <c r="N7" s="24">
        <f t="shared" si="4"/>
        <v>2000</v>
      </c>
      <c r="O7" s="36">
        <v>2012.2215880082119</v>
      </c>
      <c r="P7" s="192">
        <f t="shared" si="5"/>
        <v>2.3207735341985725E-3</v>
      </c>
      <c r="Q7" s="36">
        <v>5802.7974487850424</v>
      </c>
      <c r="R7" s="192">
        <f t="shared" si="5"/>
        <v>-1.6393936455636138E-2</v>
      </c>
      <c r="S7" s="36">
        <v>1569.7758501639794</v>
      </c>
      <c r="T7" s="192">
        <f t="shared" si="5"/>
        <v>2.4222913043101535E-3</v>
      </c>
      <c r="U7" s="36">
        <v>7291.9397989573654</v>
      </c>
      <c r="V7" s="192">
        <f t="shared" si="5"/>
        <v>1.0832600741587761E-2</v>
      </c>
      <c r="W7" s="36">
        <f t="shared" si="6"/>
        <v>16676.723035042982</v>
      </c>
      <c r="X7" s="192">
        <f t="shared" si="5"/>
        <v>-6.0645174413664904E-4</v>
      </c>
    </row>
    <row r="8" spans="1:24" x14ac:dyDescent="0.2">
      <c r="A8" s="182">
        <f t="shared" si="1"/>
        <v>2001</v>
      </c>
      <c r="B8" s="206">
        <f>SUM('LE ShareUEC'!$D8:$G8,'LE ShareUEC'!$U8)</f>
        <v>1804.2948113155724</v>
      </c>
      <c r="C8" s="192">
        <f t="shared" si="2"/>
        <v>-3.6693909386712464E-3</v>
      </c>
      <c r="D8" s="206">
        <f>SUM('LE ShareUEC'!$H8:$K8)</f>
        <v>4228.6775655130587</v>
      </c>
      <c r="E8" s="192">
        <f t="shared" si="2"/>
        <v>-2.4875346531454734E-2</v>
      </c>
      <c r="F8" s="206">
        <f>'LE ShareUEC'!$L8</f>
        <v>2118.1418365993291</v>
      </c>
      <c r="G8" s="192">
        <f t="shared" si="2"/>
        <v>2.6179762383962135E-3</v>
      </c>
      <c r="H8" s="206">
        <f>SUM('LE ShareUEC'!$M8:$T8,'LE ShareUEC'!$V8:$W8)</f>
        <v>9398.5512116002428</v>
      </c>
      <c r="I8" s="192" t="e">
        <f t="shared" si="2"/>
        <v>#REF!</v>
      </c>
      <c r="J8" s="206">
        <f t="shared" si="0"/>
        <v>17441.369146992627</v>
      </c>
      <c r="K8" s="192" t="e">
        <f t="shared" si="3"/>
        <v>#REF!</v>
      </c>
      <c r="L8" s="207"/>
      <c r="M8" s="206"/>
      <c r="N8" s="24">
        <f t="shared" si="4"/>
        <v>2001</v>
      </c>
      <c r="O8" s="36">
        <v>2016.1309174201167</v>
      </c>
      <c r="P8" s="192">
        <f t="shared" si="5"/>
        <v>1.9427926999702194E-3</v>
      </c>
      <c r="Q8" s="36">
        <v>5709.8632462843543</v>
      </c>
      <c r="R8" s="192">
        <f t="shared" si="5"/>
        <v>-1.6015413827712766E-2</v>
      </c>
      <c r="S8" s="36">
        <v>1573.5490209465986</v>
      </c>
      <c r="T8" s="192">
        <f t="shared" si="5"/>
        <v>2.4036366607531612E-3</v>
      </c>
      <c r="U8" s="36">
        <v>7370.32002286017</v>
      </c>
      <c r="V8" s="192">
        <f t="shared" si="5"/>
        <v>1.0748885216250947E-2</v>
      </c>
      <c r="W8" s="36">
        <f t="shared" si="6"/>
        <v>16669.851538526775</v>
      </c>
      <c r="X8" s="192">
        <f t="shared" si="5"/>
        <v>-4.1204117270332574E-4</v>
      </c>
    </row>
    <row r="9" spans="1:24" x14ac:dyDescent="0.2">
      <c r="A9" s="182">
        <f t="shared" si="1"/>
        <v>2002</v>
      </c>
      <c r="B9" s="206">
        <f>SUM('LE ShareUEC'!$D9:$G9,'LE ShareUEC'!$U9)</f>
        <v>1797.2907181075916</v>
      </c>
      <c r="C9" s="192">
        <f t="shared" si="2"/>
        <v>-3.8819006539589918E-3</v>
      </c>
      <c r="D9" s="206">
        <f>SUM('LE ShareUEC'!$H9:$K9)</f>
        <v>4124.4952648619355</v>
      </c>
      <c r="E9" s="192">
        <f t="shared" si="2"/>
        <v>-2.4637087845330363E-2</v>
      </c>
      <c r="F9" s="206">
        <f>'LE ShareUEC'!$L9</f>
        <v>2123.645726818901</v>
      </c>
      <c r="G9" s="192">
        <f t="shared" si="2"/>
        <v>2.5984521548416684E-3</v>
      </c>
      <c r="H9" s="206">
        <f>SUM('LE ShareUEC'!$M9:$T9,'LE ShareUEC'!$V9:$W9)</f>
        <v>9503.8208231623466</v>
      </c>
      <c r="I9" s="192">
        <f t="shared" si="2"/>
        <v>1.1200621158734991E-2</v>
      </c>
      <c r="J9" s="206">
        <f t="shared" si="0"/>
        <v>17552.142648774301</v>
      </c>
      <c r="K9" s="192">
        <f t="shared" si="3"/>
        <v>6.3511930083066659E-3</v>
      </c>
      <c r="L9" s="207"/>
      <c r="M9" s="206"/>
      <c r="N9" s="24">
        <f t="shared" si="4"/>
        <v>2002</v>
      </c>
      <c r="O9" s="36">
        <v>2020.1110592707569</v>
      </c>
      <c r="P9" s="192">
        <f t="shared" si="5"/>
        <v>1.9741485120090552E-3</v>
      </c>
      <c r="Q9" s="36">
        <v>5620.4911685797397</v>
      </c>
      <c r="R9" s="192">
        <f t="shared" si="5"/>
        <v>-1.5652227356368398E-2</v>
      </c>
      <c r="S9" s="36">
        <v>1577.3022557783192</v>
      </c>
      <c r="T9" s="192">
        <f t="shared" si="5"/>
        <v>2.3852036268070531E-3</v>
      </c>
      <c r="U9" s="36">
        <v>7452.2046517295248</v>
      </c>
      <c r="V9" s="192">
        <f t="shared" si="5"/>
        <v>1.1110050664744131E-2</v>
      </c>
      <c r="W9" s="36">
        <f t="shared" si="6"/>
        <v>16670.097842483123</v>
      </c>
      <c r="X9" s="192">
        <f t="shared" si="5"/>
        <v>1.4775413912815338E-5</v>
      </c>
    </row>
    <row r="10" spans="1:24" x14ac:dyDescent="0.2">
      <c r="A10" s="182">
        <f t="shared" si="1"/>
        <v>2003</v>
      </c>
      <c r="B10" s="206">
        <f>SUM('LE ShareUEC'!$D10:$G10,'LE ShareUEC'!$U10)</f>
        <v>1790.022006559878</v>
      </c>
      <c r="C10" s="192">
        <f t="shared" si="2"/>
        <v>-4.0442603272146105E-3</v>
      </c>
      <c r="D10" s="206">
        <f>SUM('LE ShareUEC'!$H10:$K10)</f>
        <v>4023.7965037965332</v>
      </c>
      <c r="E10" s="192">
        <f t="shared" si="2"/>
        <v>-2.4414808261095988E-2</v>
      </c>
      <c r="F10" s="206">
        <f>'LE ShareUEC'!$L10</f>
        <v>2129.1229370894926</v>
      </c>
      <c r="G10" s="192">
        <f t="shared" si="2"/>
        <v>2.5791544236504205E-3</v>
      </c>
      <c r="H10" s="206">
        <f>SUM('LE ShareUEC'!$M10:$T10,'LE ShareUEC'!$V10:$W10)</f>
        <v>9609.0824898353458</v>
      </c>
      <c r="I10" s="192">
        <f t="shared" si="2"/>
        <v>1.1075720873909844E-2</v>
      </c>
      <c r="J10" s="206">
        <f t="shared" si="0"/>
        <v>17662.881525717894</v>
      </c>
      <c r="K10" s="192">
        <f t="shared" si="3"/>
        <v>6.3091372466328455E-3</v>
      </c>
      <c r="L10" s="207"/>
      <c r="M10" s="206"/>
      <c r="N10" s="24">
        <f t="shared" si="4"/>
        <v>2003</v>
      </c>
      <c r="O10" s="36">
        <v>2022.1098983129862</v>
      </c>
      <c r="P10" s="192">
        <f t="shared" si="5"/>
        <v>9.8946987743864234E-4</v>
      </c>
      <c r="Q10" s="36">
        <v>5534.4782514654398</v>
      </c>
      <c r="R10" s="192">
        <f t="shared" si="5"/>
        <v>-1.5303452053289979E-2</v>
      </c>
      <c r="S10" s="36">
        <v>1581.0357122434239</v>
      </c>
      <c r="T10" s="192">
        <f t="shared" si="5"/>
        <v>2.3669886043891086E-3</v>
      </c>
      <c r="U10" s="36">
        <v>7537.1306051033589</v>
      </c>
      <c r="V10" s="192">
        <f t="shared" si="5"/>
        <v>1.1396084426388509E-2</v>
      </c>
      <c r="W10" s="36">
        <f t="shared" si="6"/>
        <v>16674.742520131636</v>
      </c>
      <c r="X10" s="192">
        <f t="shared" si="5"/>
        <v>2.7862329857941681E-4</v>
      </c>
    </row>
    <row r="11" spans="1:24" x14ac:dyDescent="0.2">
      <c r="A11" s="182">
        <f t="shared" si="1"/>
        <v>2004</v>
      </c>
      <c r="B11" s="206">
        <f>SUM('LE ShareUEC'!$D11:$G11,'LE ShareUEC'!$U11)</f>
        <v>1738.2439054346687</v>
      </c>
      <c r="C11" s="192">
        <f t="shared" si="2"/>
        <v>-2.8925957857198759E-2</v>
      </c>
      <c r="D11" s="206">
        <f>SUM('LE ShareUEC'!$H11:$K11)</f>
        <v>3982.7571935649685</v>
      </c>
      <c r="E11" s="192">
        <f t="shared" si="2"/>
        <v>-1.0199151520918992E-2</v>
      </c>
      <c r="F11" s="206">
        <f>'LE ShareUEC'!$L11</f>
        <v>2134.5736609374708</v>
      </c>
      <c r="G11" s="192">
        <f t="shared" si="2"/>
        <v>2.5600794360092216E-3</v>
      </c>
      <c r="H11" s="206">
        <f>SUM('LE ShareUEC'!$M11:$T11,'LE ShareUEC'!$V11:$W11)</f>
        <v>9714.3362116192347</v>
      </c>
      <c r="I11" s="192">
        <f t="shared" si="2"/>
        <v>1.0953566263504078E-2</v>
      </c>
      <c r="J11" s="206">
        <f t="shared" si="0"/>
        <v>17773.585971349763</v>
      </c>
      <c r="K11" s="192">
        <f t="shared" si="3"/>
        <v>6.2676322360357695E-3</v>
      </c>
      <c r="L11" s="207"/>
      <c r="M11" s="206"/>
      <c r="N11" s="24">
        <f t="shared" si="4"/>
        <v>2004</v>
      </c>
      <c r="O11" s="36">
        <v>2023.6784358202942</v>
      </c>
      <c r="P11" s="192">
        <f t="shared" si="5"/>
        <v>7.7569350143469329E-4</v>
      </c>
      <c r="Q11" s="36">
        <v>5451.636873714594</v>
      </c>
      <c r="R11" s="192">
        <f t="shared" si="5"/>
        <v>-1.4968236207073549E-2</v>
      </c>
      <c r="S11" s="36">
        <v>1584.7495462697209</v>
      </c>
      <c r="T11" s="192">
        <f t="shared" si="5"/>
        <v>2.3489880699958388E-3</v>
      </c>
      <c r="U11" s="36">
        <v>7622.8638545744552</v>
      </c>
      <c r="V11" s="192">
        <f t="shared" si="5"/>
        <v>1.137478623669419E-2</v>
      </c>
      <c r="W11" s="36">
        <f t="shared" si="6"/>
        <v>16682.916866824427</v>
      </c>
      <c r="X11" s="192">
        <f t="shared" si="5"/>
        <v>4.9022326329306587E-4</v>
      </c>
    </row>
    <row r="12" spans="1:24" x14ac:dyDescent="0.2">
      <c r="A12" s="182">
        <f t="shared" si="1"/>
        <v>2005</v>
      </c>
      <c r="B12" s="206">
        <f>SUM('LE ShareUEC'!$D12:$G12,'LE ShareUEC'!$U12)</f>
        <v>1686.8432557884555</v>
      </c>
      <c r="C12" s="192">
        <f t="shared" si="2"/>
        <v>-2.9570447211411222E-2</v>
      </c>
      <c r="D12" s="206">
        <f>SUM('LE ShareUEC'!$H12:$K12)</f>
        <v>3943.7929126466183</v>
      </c>
      <c r="E12" s="192">
        <f t="shared" si="2"/>
        <v>-9.7832428703676921E-3</v>
      </c>
      <c r="F12" s="206">
        <f>'LE ShareUEC'!$L12</f>
        <v>2139.998090022028</v>
      </c>
      <c r="G12" s="192">
        <f t="shared" si="2"/>
        <v>2.5412236568940205E-3</v>
      </c>
      <c r="H12" s="206">
        <f>SUM('LE ShareUEC'!$M12:$T12,'LE ShareUEC'!$V12:$W12)</f>
        <v>9902.8829751378544</v>
      </c>
      <c r="I12" s="192">
        <f t="shared" si="2"/>
        <v>1.9409124762750141E-2</v>
      </c>
      <c r="J12" s="206">
        <f t="shared" si="0"/>
        <v>17967.557163952937</v>
      </c>
      <c r="K12" s="192">
        <f t="shared" si="3"/>
        <v>1.0913452857282069E-2</v>
      </c>
      <c r="L12" s="207"/>
      <c r="M12" s="206"/>
      <c r="N12" s="24">
        <f t="shared" si="4"/>
        <v>2005</v>
      </c>
      <c r="O12" s="36">
        <v>2025.026994301161</v>
      </c>
      <c r="P12" s="192">
        <f t="shared" si="5"/>
        <v>6.6638970747345816E-4</v>
      </c>
      <c r="Q12" s="36">
        <v>5371.7933216468273</v>
      </c>
      <c r="R12" s="192">
        <f t="shared" si="5"/>
        <v>-1.4645794266440859E-2</v>
      </c>
      <c r="S12" s="36">
        <v>1588.4439121502512</v>
      </c>
      <c r="T12" s="192">
        <f t="shared" si="5"/>
        <v>2.3311985728131646E-3</v>
      </c>
      <c r="U12" s="36">
        <v>7709.3717418777042</v>
      </c>
      <c r="V12" s="192">
        <f t="shared" si="5"/>
        <v>1.1348475973545824E-2</v>
      </c>
      <c r="W12" s="36">
        <f t="shared" si="6"/>
        <v>16694.624321769959</v>
      </c>
      <c r="X12" s="192">
        <f t="shared" si="5"/>
        <v>7.0176306931157839E-4</v>
      </c>
    </row>
    <row r="13" spans="1:24" x14ac:dyDescent="0.2">
      <c r="A13" s="182">
        <f t="shared" si="1"/>
        <v>2006</v>
      </c>
      <c r="B13" s="206">
        <f>SUM('LE ShareUEC'!$D13:$G13,'LE ShareUEC'!$U13)</f>
        <v>1626.9714123970896</v>
      </c>
      <c r="C13" s="192">
        <f t="shared" si="2"/>
        <v>-3.5493424291743625E-2</v>
      </c>
      <c r="D13" s="206">
        <f>SUM('LE ShareUEC'!$H13:$K13)</f>
        <v>3900.2566233281113</v>
      </c>
      <c r="E13" s="192">
        <f t="shared" si="2"/>
        <v>-1.103919254454222E-2</v>
      </c>
      <c r="F13" s="206">
        <f>'LE ShareUEC'!$L13</f>
        <v>2144.4968479697081</v>
      </c>
      <c r="G13" s="192">
        <f t="shared" si="2"/>
        <v>2.1022252163009902E-3</v>
      </c>
      <c r="H13" s="206">
        <f>SUM('LE ShareUEC'!$M13:$T13,'LE ShareUEC'!$V13:$W13)</f>
        <v>10161.549178294903</v>
      </c>
      <c r="I13" s="192">
        <f t="shared" si="2"/>
        <v>2.6120292828508029E-2</v>
      </c>
      <c r="J13" s="206">
        <f t="shared" si="0"/>
        <v>18230.722125057666</v>
      </c>
      <c r="K13" s="192">
        <f t="shared" si="3"/>
        <v>1.4646674486874511E-2</v>
      </c>
      <c r="L13" s="207"/>
      <c r="M13" s="206"/>
      <c r="N13" s="24">
        <f t="shared" si="4"/>
        <v>2006</v>
      </c>
      <c r="O13" s="36">
        <v>2010.5211339207417</v>
      </c>
      <c r="P13" s="192">
        <f t="shared" si="5"/>
        <v>-7.1632923517769287E-3</v>
      </c>
      <c r="Q13" s="36">
        <v>5272.5347754026297</v>
      </c>
      <c r="R13" s="192">
        <f t="shared" si="5"/>
        <v>-1.8477729931308695E-2</v>
      </c>
      <c r="S13" s="36">
        <v>1590.6177661058362</v>
      </c>
      <c r="T13" s="192">
        <f t="shared" si="5"/>
        <v>1.3685430999210713E-3</v>
      </c>
      <c r="U13" s="36">
        <v>7682.6933359601662</v>
      </c>
      <c r="V13" s="192">
        <f t="shared" si="5"/>
        <v>-3.4605162146507107E-3</v>
      </c>
      <c r="W13" s="36">
        <f t="shared" si="6"/>
        <v>16556.342738910193</v>
      </c>
      <c r="X13" s="192">
        <f t="shared" si="5"/>
        <v>-8.2830005751879376E-3</v>
      </c>
    </row>
    <row r="14" spans="1:24" x14ac:dyDescent="0.2">
      <c r="A14" s="182">
        <f t="shared" si="1"/>
        <v>2007</v>
      </c>
      <c r="B14" s="206">
        <f>SUM('LE ShareUEC'!$D14:$G14,'LE ShareUEC'!$U14)</f>
        <v>1565.3161237234187</v>
      </c>
      <c r="C14" s="192">
        <f t="shared" si="2"/>
        <v>-3.7895741869754973E-2</v>
      </c>
      <c r="D14" s="206">
        <f>SUM('LE ShareUEC'!$H14:$K14)</f>
        <v>3848.7565296009298</v>
      </c>
      <c r="E14" s="192">
        <f t="shared" si="2"/>
        <v>-1.3204283384624094E-2</v>
      </c>
      <c r="F14" s="206">
        <f>'LE ShareUEC'!$L14</f>
        <v>2144.747731592638</v>
      </c>
      <c r="G14" s="192">
        <f t="shared" si="2"/>
        <v>1.1698950416616505E-4</v>
      </c>
      <c r="H14" s="206">
        <f>SUM('LE ShareUEC'!$M14:$T14,'LE ShareUEC'!$V14:$W14)</f>
        <v>10495.977702317563</v>
      </c>
      <c r="I14" s="192">
        <f t="shared" si="2"/>
        <v>3.2911175073285115E-2</v>
      </c>
      <c r="J14" s="206">
        <f t="shared" si="0"/>
        <v>18565.401532703258</v>
      </c>
      <c r="K14" s="192">
        <f t="shared" si="3"/>
        <v>1.8357989625961357E-2</v>
      </c>
      <c r="L14" s="207"/>
      <c r="M14" s="206"/>
      <c r="N14" s="24">
        <f t="shared" si="4"/>
        <v>2007</v>
      </c>
      <c r="O14" s="36">
        <v>2017.3415882756753</v>
      </c>
      <c r="P14" s="192">
        <f t="shared" si="5"/>
        <v>3.392381328334082E-3</v>
      </c>
      <c r="Q14" s="36">
        <v>5205.3835224602017</v>
      </c>
      <c r="R14" s="192">
        <f t="shared" si="5"/>
        <v>-1.2736047423660746E-2</v>
      </c>
      <c r="S14" s="36">
        <v>1593.5365774116233</v>
      </c>
      <c r="T14" s="192">
        <f t="shared" si="5"/>
        <v>1.8350174177501621E-3</v>
      </c>
      <c r="U14" s="36">
        <v>7760.5330645593058</v>
      </c>
      <c r="V14" s="192">
        <f t="shared" si="5"/>
        <v>1.0131828148703725E-2</v>
      </c>
      <c r="W14" s="36">
        <f t="shared" si="6"/>
        <v>16576.787244058127</v>
      </c>
      <c r="X14" s="192">
        <f t="shared" si="5"/>
        <v>1.2348442811518368E-3</v>
      </c>
    </row>
    <row r="15" spans="1:24" x14ac:dyDescent="0.2">
      <c r="A15" s="182">
        <f t="shared" si="1"/>
        <v>2008</v>
      </c>
      <c r="B15" s="206">
        <f>SUM('LE ShareUEC'!$D15:$G15,'LE ShareUEC'!$U15)</f>
        <v>1711.3882973726429</v>
      </c>
      <c r="C15" s="192">
        <f t="shared" si="2"/>
        <v>9.3318002309822345E-2</v>
      </c>
      <c r="D15" s="206">
        <f>SUM('LE ShareUEC'!$H15:$K15)</f>
        <v>3959.5376684570533</v>
      </c>
      <c r="E15" s="192">
        <f t="shared" si="2"/>
        <v>2.8783618294402791E-2</v>
      </c>
      <c r="F15" s="206">
        <f>'LE ShareUEC'!$L15</f>
        <v>2422.865622803427</v>
      </c>
      <c r="G15" s="192">
        <f t="shared" si="2"/>
        <v>0.1296739411885357</v>
      </c>
      <c r="H15" s="206">
        <f>SUM('LE ShareUEC'!$M15:$T15,'LE ShareUEC'!$V15:$W15)</f>
        <v>10742.826834794523</v>
      </c>
      <c r="I15" s="192">
        <f t="shared" si="2"/>
        <v>2.3518450541530234E-2</v>
      </c>
      <c r="J15" s="206">
        <f t="shared" si="0"/>
        <v>19090.368556391004</v>
      </c>
      <c r="K15" s="192">
        <f t="shared" si="3"/>
        <v>2.8276631817685693E-2</v>
      </c>
      <c r="L15" s="207"/>
      <c r="M15" s="206"/>
      <c r="N15" s="24">
        <f t="shared" si="4"/>
        <v>2008</v>
      </c>
      <c r="O15" s="36">
        <v>2057.652982182407</v>
      </c>
      <c r="P15" s="192">
        <f t="shared" si="5"/>
        <v>1.9982433387093268E-2</v>
      </c>
      <c r="Q15" s="36">
        <v>5140.8996069787509</v>
      </c>
      <c r="R15" s="192">
        <f t="shared" si="5"/>
        <v>-1.2387927844935032E-2</v>
      </c>
      <c r="S15" s="36">
        <v>1597.6992082898832</v>
      </c>
      <c r="T15" s="192">
        <f t="shared" si="5"/>
        <v>2.6121966306047462E-3</v>
      </c>
      <c r="U15" s="36">
        <v>7781.615238515582</v>
      </c>
      <c r="V15" s="192">
        <f t="shared" si="5"/>
        <v>2.7165883813515812E-3</v>
      </c>
      <c r="W15" s="36">
        <f t="shared" si="6"/>
        <v>16577.877242668794</v>
      </c>
      <c r="X15" s="192">
        <f t="shared" si="5"/>
        <v>6.5754515312210771E-5</v>
      </c>
    </row>
    <row r="16" spans="1:24" x14ac:dyDescent="0.2">
      <c r="A16" s="182">
        <f t="shared" si="1"/>
        <v>2009</v>
      </c>
      <c r="B16" s="206">
        <f>SUM('LE ShareUEC'!$D16:$G16,'LE ShareUEC'!$U16)</f>
        <v>1846.2413643220862</v>
      </c>
      <c r="C16" s="287">
        <f t="shared" si="2"/>
        <v>7.8797469374117135E-2</v>
      </c>
      <c r="D16" s="206">
        <f>SUM('LE ShareUEC'!$H16:$K16)</f>
        <v>4004.6285752727554</v>
      </c>
      <c r="E16" s="287">
        <f t="shared" si="2"/>
        <v>1.1387922174578735E-2</v>
      </c>
      <c r="F16" s="206">
        <f>'LE ShareUEC'!$L16</f>
        <v>2698.8402952031443</v>
      </c>
      <c r="G16" s="192">
        <f t="shared" si="2"/>
        <v>0.11390424206869354</v>
      </c>
      <c r="H16" s="206">
        <f>SUM('LE ShareUEC'!$M16:$W16)</f>
        <v>10820.415301817642</v>
      </c>
      <c r="I16" s="287">
        <f t="shared" si="2"/>
        <v>7.2223510828473003E-3</v>
      </c>
      <c r="J16" s="206">
        <f t="shared" si="0"/>
        <v>19443.931695813844</v>
      </c>
      <c r="K16" s="192">
        <f t="shared" si="3"/>
        <v>1.8520498353840065E-2</v>
      </c>
      <c r="L16" s="207"/>
      <c r="M16" s="206"/>
      <c r="N16" s="24">
        <f t="shared" si="4"/>
        <v>2009</v>
      </c>
      <c r="O16" s="36">
        <v>2062.7664348928679</v>
      </c>
      <c r="P16" s="192">
        <f t="shared" si="5"/>
        <v>2.4850899324324605E-3</v>
      </c>
      <c r="Q16" s="36">
        <v>5083.4114358998177</v>
      </c>
      <c r="R16" s="192">
        <f t="shared" si="5"/>
        <v>-1.118251190917896E-2</v>
      </c>
      <c r="S16" s="36">
        <v>1602.1900336175954</v>
      </c>
      <c r="T16" s="192">
        <f t="shared" si="5"/>
        <v>2.8108077568111955E-3</v>
      </c>
      <c r="U16" s="36">
        <v>7756.0593151456014</v>
      </c>
      <c r="V16" s="192">
        <f t="shared" si="5"/>
        <v>-3.2841412208984844E-3</v>
      </c>
      <c r="W16" s="36">
        <f t="shared" si="6"/>
        <v>16504.42133294166</v>
      </c>
      <c r="X16" s="192">
        <f t="shared" si="5"/>
        <v>-4.4309599264054089E-3</v>
      </c>
    </row>
    <row r="17" spans="1:24" x14ac:dyDescent="0.2">
      <c r="A17" s="182">
        <f t="shared" si="1"/>
        <v>2010</v>
      </c>
      <c r="B17" s="206">
        <f>SUM('LE ShareUEC'!$D17:$G17,'LE ShareUEC'!$U17)</f>
        <v>1987.4391498917089</v>
      </c>
      <c r="C17" s="287">
        <f t="shared" si="2"/>
        <v>7.6478508334942852E-2</v>
      </c>
      <c r="D17" s="206">
        <f>SUM('LE ShareUEC'!$H17:$K17)</f>
        <v>4078.4982453291409</v>
      </c>
      <c r="E17" s="287">
        <f t="shared" si="2"/>
        <v>1.8446072755037957E-2</v>
      </c>
      <c r="F17" s="206">
        <f>'LE ShareUEC'!$L17</f>
        <v>2975.0033520097386</v>
      </c>
      <c r="G17" s="192">
        <f t="shared" si="2"/>
        <v>0.10232656496845705</v>
      </c>
      <c r="H17" s="206">
        <f>SUM('LE ShareUEC'!$M17:$W17)</f>
        <v>10949.549693432615</v>
      </c>
      <c r="I17" s="287">
        <f t="shared" si="2"/>
        <v>1.1934328582866804E-2</v>
      </c>
      <c r="J17" s="206">
        <f t="shared" si="0"/>
        <v>19849.229144235411</v>
      </c>
      <c r="K17" s="192">
        <f t="shared" si="3"/>
        <v>2.0844418441812618E-2</v>
      </c>
      <c r="L17" s="207"/>
      <c r="M17" s="206"/>
      <c r="N17" s="24">
        <f t="shared" si="4"/>
        <v>2010</v>
      </c>
      <c r="O17" s="36">
        <v>2073.4899600000513</v>
      </c>
      <c r="P17" s="192">
        <f t="shared" si="5"/>
        <v>5.1986133407004864E-3</v>
      </c>
      <c r="Q17" s="36">
        <v>5033.0235909452003</v>
      </c>
      <c r="R17" s="192">
        <f t="shared" si="5"/>
        <v>-9.912210646333075E-3</v>
      </c>
      <c r="S17" s="36">
        <v>1606.2140429661363</v>
      </c>
      <c r="T17" s="192">
        <f t="shared" si="5"/>
        <v>2.511568081256188E-3</v>
      </c>
      <c r="U17" s="36">
        <v>7653.1552334805656</v>
      </c>
      <c r="V17" s="192">
        <f t="shared" si="5"/>
        <v>-1.3267572807764694E-2</v>
      </c>
      <c r="W17" s="36">
        <f t="shared" si="6"/>
        <v>16365.88062536273</v>
      </c>
      <c r="X17" s="192">
        <f t="shared" si="5"/>
        <v>-8.3941572251559071E-3</v>
      </c>
    </row>
    <row r="18" spans="1:24" x14ac:dyDescent="0.2">
      <c r="A18" s="182">
        <f t="shared" si="1"/>
        <v>2011</v>
      </c>
      <c r="B18" s="206">
        <f>SUM('LE ShareUEC'!$D18:$G18,'LE ShareUEC'!$U18)</f>
        <v>1989.1386131878805</v>
      </c>
      <c r="C18" s="287">
        <f t="shared" si="2"/>
        <v>8.5510205243988224E-4</v>
      </c>
      <c r="D18" s="206">
        <f>SUM('LE ShareUEC'!$H18:$K18)</f>
        <v>4109.7056574049884</v>
      </c>
      <c r="E18" s="287">
        <f t="shared" si="2"/>
        <v>7.6516919215516843E-3</v>
      </c>
      <c r="F18" s="206">
        <f>'LE ShareUEC'!$L18</f>
        <v>2981.7596736050414</v>
      </c>
      <c r="G18" s="192">
        <f t="shared" si="2"/>
        <v>2.2710299101809106E-3</v>
      </c>
      <c r="H18" s="206">
        <f>SUM('LE ShareUEC'!$M18:$W18)</f>
        <v>10781.935699977148</v>
      </c>
      <c r="I18" s="287">
        <f t="shared" si="2"/>
        <v>-1.5307843532232135E-2</v>
      </c>
      <c r="J18" s="206">
        <f t="shared" si="0"/>
        <v>19688.371472375246</v>
      </c>
      <c r="K18" s="192">
        <f t="shared" si="3"/>
        <v>-8.1039757610376073E-3</v>
      </c>
      <c r="L18" s="207"/>
      <c r="M18" s="206"/>
      <c r="N18" s="24">
        <f t="shared" si="4"/>
        <v>2011</v>
      </c>
      <c r="O18" s="36">
        <v>2079.4461299646882</v>
      </c>
      <c r="P18" s="192">
        <f t="shared" si="5"/>
        <v>2.872533785809539E-3</v>
      </c>
      <c r="Q18" s="36">
        <v>4991.015520320012</v>
      </c>
      <c r="R18" s="192">
        <f t="shared" si="5"/>
        <v>-8.3464879244286028E-3</v>
      </c>
      <c r="S18" s="36">
        <v>1610.5330910182556</v>
      </c>
      <c r="T18" s="192">
        <f t="shared" si="5"/>
        <v>2.6889617053424963E-3</v>
      </c>
      <c r="U18" s="36">
        <v>7605.9303906906998</v>
      </c>
      <c r="V18" s="192">
        <f t="shared" si="5"/>
        <v>-6.1706369920826454E-3</v>
      </c>
      <c r="W18" s="36">
        <f t="shared" si="6"/>
        <v>16286.922347001222</v>
      </c>
      <c r="X18" s="192">
        <f t="shared" si="5"/>
        <v>-4.8245664360488938E-3</v>
      </c>
    </row>
    <row r="19" spans="1:24" x14ac:dyDescent="0.2">
      <c r="A19" s="182">
        <f t="shared" si="1"/>
        <v>2012</v>
      </c>
      <c r="B19" s="206">
        <f>SUM('LE ShareUEC'!$D19:$G19,'LE ShareUEC'!$U19)</f>
        <v>1995.4831910527196</v>
      </c>
      <c r="C19" s="324">
        <f t="shared" si="2"/>
        <v>3.1896107303808208E-3</v>
      </c>
      <c r="D19" s="206">
        <f>SUM('LE ShareUEC'!$H19:$K19)</f>
        <v>4158.7982112820928</v>
      </c>
      <c r="E19" s="324">
        <f t="shared" si="2"/>
        <v>1.1945515803217566E-2</v>
      </c>
      <c r="F19" s="206">
        <f>'LE ShareUEC'!$L19</f>
        <v>2990.9974760422319</v>
      </c>
      <c r="G19" s="188">
        <f t="shared" si="2"/>
        <v>3.0981042902165079E-3</v>
      </c>
      <c r="H19" s="206">
        <f>SUM('LE ShareUEC'!$M19:$W19)</f>
        <v>10696.471148878334</v>
      </c>
      <c r="I19" s="324">
        <f t="shared" si="2"/>
        <v>-7.9266426249411381E-3</v>
      </c>
      <c r="J19" s="206">
        <f t="shared" si="0"/>
        <v>19612.144723713624</v>
      </c>
      <c r="K19" s="188">
        <f t="shared" si="3"/>
        <v>-3.8716634724500487E-3</v>
      </c>
      <c r="L19" s="207"/>
      <c r="M19" s="206">
        <f>H19-U19</f>
        <v>3103.9006137268916</v>
      </c>
      <c r="N19" s="24">
        <f t="shared" si="4"/>
        <v>2012</v>
      </c>
      <c r="O19" s="36">
        <v>2094.9429272700108</v>
      </c>
      <c r="P19" s="188">
        <f t="shared" si="5"/>
        <v>7.4523677637110541E-3</v>
      </c>
      <c r="Q19" s="36">
        <v>4954.7275550676059</v>
      </c>
      <c r="R19" s="188">
        <f t="shared" si="5"/>
        <v>-7.2706576656927924E-3</v>
      </c>
      <c r="S19" s="36">
        <v>1615.2149363181509</v>
      </c>
      <c r="T19" s="188">
        <f t="shared" si="5"/>
        <v>2.9070158980311067E-3</v>
      </c>
      <c r="U19" s="36">
        <v>7592.5705351514425</v>
      </c>
      <c r="V19" s="188">
        <f t="shared" si="5"/>
        <v>-1.7565051023356038E-3</v>
      </c>
      <c r="W19" s="36">
        <f t="shared" si="6"/>
        <v>16257.459042533206</v>
      </c>
      <c r="X19" s="188">
        <f t="shared" si="5"/>
        <v>-1.8090160829826729E-3</v>
      </c>
    </row>
    <row r="20" spans="1:24" x14ac:dyDescent="0.2">
      <c r="A20" s="182">
        <f t="shared" si="1"/>
        <v>2013</v>
      </c>
      <c r="B20" s="206">
        <f>SUM('LE ShareUEC'!$D20:$G20,'LE ShareUEC'!$U20)</f>
        <v>1992.4179486935004</v>
      </c>
      <c r="C20" s="324">
        <f t="shared" si="2"/>
        <v>-1.5360902927987752E-3</v>
      </c>
      <c r="D20" s="206">
        <f>SUM('LE ShareUEC'!$H20:$K20)</f>
        <v>4178.6346955190838</v>
      </c>
      <c r="E20" s="324">
        <f t="shared" si="2"/>
        <v>4.769763578136077E-3</v>
      </c>
      <c r="F20" s="206">
        <f>'LE ShareUEC'!$L20</f>
        <v>2997.5005763948147</v>
      </c>
      <c r="G20" s="188">
        <f t="shared" si="2"/>
        <v>2.1742246206064575E-3</v>
      </c>
      <c r="H20" s="206">
        <f>SUM('LE ShareUEC'!$M20:$W20)</f>
        <v>10434.996764765705</v>
      </c>
      <c r="I20" s="324">
        <f t="shared" si="2"/>
        <v>-2.4444920242695956E-2</v>
      </c>
      <c r="J20" s="206">
        <f t="shared" si="0"/>
        <v>19357.173439953578</v>
      </c>
      <c r="K20" s="188">
        <f t="shared" si="3"/>
        <v>-1.3000683370021804E-2</v>
      </c>
      <c r="L20" s="214" t="s">
        <v>32</v>
      </c>
      <c r="M20" s="206">
        <f t="shared" ref="M20:M48" si="7">H20-U20</f>
        <v>2848.0148068785302</v>
      </c>
      <c r="N20" s="24">
        <f t="shared" si="4"/>
        <v>2013</v>
      </c>
      <c r="O20" s="36">
        <v>2109.5665845555673</v>
      </c>
      <c r="P20" s="188">
        <f t="shared" si="5"/>
        <v>6.9804561714781332E-3</v>
      </c>
      <c r="Q20" s="36">
        <v>4923.537141672381</v>
      </c>
      <c r="R20" s="188">
        <f t="shared" si="5"/>
        <v>-6.2950814244718822E-3</v>
      </c>
      <c r="S20" s="36">
        <v>1620.2236079754168</v>
      </c>
      <c r="T20" s="188">
        <f t="shared" si="5"/>
        <v>3.1009319841253102E-3</v>
      </c>
      <c r="U20" s="36">
        <v>7586.9819578871748</v>
      </c>
      <c r="V20" s="188">
        <f t="shared" si="5"/>
        <v>-7.3605865607628829E-4</v>
      </c>
      <c r="W20" s="36">
        <f t="shared" si="6"/>
        <v>16240.31307839727</v>
      </c>
      <c r="X20" s="188">
        <f t="shared" si="5"/>
        <v>-1.0546521501962891E-3</v>
      </c>
    </row>
    <row r="21" spans="1:24" x14ac:dyDescent="0.2">
      <c r="A21" s="182">
        <f t="shared" si="1"/>
        <v>2014</v>
      </c>
      <c r="B21" s="206">
        <f>SUM('LE ShareUEC'!$D21:$G21,'LE ShareUEC'!$U21)</f>
        <v>1998.1114013240879</v>
      </c>
      <c r="C21" s="324">
        <f t="shared" si="2"/>
        <v>2.857559396270748E-3</v>
      </c>
      <c r="D21" s="206">
        <f>SUM('LE ShareUEC'!$H21:$K21)</f>
        <v>4211.1893622873458</v>
      </c>
      <c r="E21" s="324">
        <f t="shared" si="2"/>
        <v>7.7907424650380808E-3</v>
      </c>
      <c r="F21" s="206">
        <f>'LE ShareUEC'!$L21</f>
        <v>3004.6187260676816</v>
      </c>
      <c r="G21" s="188">
        <f t="shared" si="2"/>
        <v>2.3746950138798795E-3</v>
      </c>
      <c r="H21" s="206">
        <f>SUM('LE ShareUEC'!$M21:$W21)</f>
        <v>10372.959538794576</v>
      </c>
      <c r="I21" s="324">
        <f t="shared" si="2"/>
        <v>-5.9451121423057529E-3</v>
      </c>
      <c r="J21" s="206">
        <f t="shared" si="0"/>
        <v>19302.254363655313</v>
      </c>
      <c r="K21" s="188">
        <f t="shared" si="3"/>
        <v>-2.8371433705766114E-3</v>
      </c>
      <c r="L21" s="207"/>
      <c r="M21" s="206">
        <f t="shared" si="7"/>
        <v>2751.1061260169672</v>
      </c>
      <c r="N21" s="24">
        <f t="shared" si="4"/>
        <v>2014</v>
      </c>
      <c r="O21" s="36">
        <v>2124.2873809642124</v>
      </c>
      <c r="P21" s="188">
        <f t="shared" si="5"/>
        <v>6.978114137955238E-3</v>
      </c>
      <c r="Q21" s="36">
        <v>4897.5887699538371</v>
      </c>
      <c r="R21" s="188">
        <f t="shared" si="5"/>
        <v>-5.2702703304335907E-3</v>
      </c>
      <c r="S21" s="36">
        <v>1625.49397207533</v>
      </c>
      <c r="T21" s="188">
        <f t="shared" si="5"/>
        <v>3.2528621814731373E-3</v>
      </c>
      <c r="U21" s="36">
        <v>7621.8534127776084</v>
      </c>
      <c r="V21" s="188">
        <f t="shared" si="5"/>
        <v>4.5962221979694018E-3</v>
      </c>
      <c r="W21" s="36">
        <f t="shared" si="6"/>
        <v>16269.228496476975</v>
      </c>
      <c r="X21" s="188">
        <f t="shared" si="5"/>
        <v>1.7804717150537996E-3</v>
      </c>
    </row>
    <row r="22" spans="1:24" x14ac:dyDescent="0.2">
      <c r="A22" s="182">
        <f t="shared" si="1"/>
        <v>2015</v>
      </c>
      <c r="B22" s="206">
        <f>SUM('LE ShareUEC'!$D22:$G22,'LE ShareUEC'!$U22)</f>
        <v>2000.7588971499292</v>
      </c>
      <c r="C22" s="324">
        <f t="shared" si="2"/>
        <v>1.3249991087018742E-3</v>
      </c>
      <c r="D22" s="206">
        <f>SUM('LE ShareUEC'!$H22:$K22)</f>
        <v>4224.8681244027593</v>
      </c>
      <c r="E22" s="324">
        <f t="shared" si="2"/>
        <v>3.2481944977140742E-3</v>
      </c>
      <c r="F22" s="206">
        <f>'LE ShareUEC'!$L22</f>
        <v>2969.9986173601392</v>
      </c>
      <c r="G22" s="188">
        <f t="shared" si="2"/>
        <v>-1.1522296791663722E-2</v>
      </c>
      <c r="H22" s="206">
        <f>SUM('LE ShareUEC'!$M22:$W22)</f>
        <v>10338.273507210986</v>
      </c>
      <c r="I22" s="324">
        <f t="shared" si="2"/>
        <v>-3.3438896058414214E-3</v>
      </c>
      <c r="J22" s="206">
        <f t="shared" si="0"/>
        <v>19232.948223364183</v>
      </c>
      <c r="K22" s="188">
        <f t="shared" si="3"/>
        <v>-3.5905723230768016E-3</v>
      </c>
      <c r="L22" s="207"/>
      <c r="M22" s="206">
        <f t="shared" si="7"/>
        <v>2681.3334196541382</v>
      </c>
      <c r="N22" s="24">
        <f t="shared" si="4"/>
        <v>2015</v>
      </c>
      <c r="O22" s="36">
        <v>2138.7830062117814</v>
      </c>
      <c r="P22" s="188">
        <f t="shared" si="5"/>
        <v>6.8237590532544967E-3</v>
      </c>
      <c r="Q22" s="36">
        <v>4876.910189558731</v>
      </c>
      <c r="R22" s="188">
        <f t="shared" si="5"/>
        <v>-4.2221961390402907E-3</v>
      </c>
      <c r="S22" s="36">
        <v>1630.946815703586</v>
      </c>
      <c r="T22" s="188">
        <f t="shared" si="5"/>
        <v>3.3545763453641797E-3</v>
      </c>
      <c r="U22" s="36">
        <v>7656.9400875568481</v>
      </c>
      <c r="V22" s="188">
        <f t="shared" si="5"/>
        <v>4.6034308033815474E-3</v>
      </c>
      <c r="W22" s="36">
        <f t="shared" si="6"/>
        <v>16303.586055170206</v>
      </c>
      <c r="X22" s="188">
        <f t="shared" si="5"/>
        <v>2.1118124132728511E-3</v>
      </c>
    </row>
    <row r="23" spans="1:24" x14ac:dyDescent="0.2">
      <c r="A23" s="182">
        <f t="shared" si="1"/>
        <v>2016</v>
      </c>
      <c r="B23" s="206">
        <f>SUM('LE ShareUEC'!$D23:$G23,'LE ShareUEC'!$U23)</f>
        <v>2006.8230720048841</v>
      </c>
      <c r="C23" s="324">
        <f t="shared" si="2"/>
        <v>3.0309373426220532E-3</v>
      </c>
      <c r="D23" s="206">
        <f>SUM('LE ShareUEC'!$H23:$K23)</f>
        <v>4257.2398528373751</v>
      </c>
      <c r="E23" s="324">
        <f t="shared" si="2"/>
        <v>7.6621867195421078E-3</v>
      </c>
      <c r="F23" s="206">
        <f>'LE ShareUEC'!$L23</f>
        <v>2959.8584505785484</v>
      </c>
      <c r="G23" s="188">
        <f t="shared" si="2"/>
        <v>-3.4141991589894394E-3</v>
      </c>
      <c r="H23" s="206">
        <f>SUM('LE ShareUEC'!$M23:$W23)</f>
        <v>10360.999236170592</v>
      </c>
      <c r="I23" s="324">
        <f t="shared" si="2"/>
        <v>2.1982131681614892E-3</v>
      </c>
      <c r="J23" s="206">
        <f t="shared" si="0"/>
        <v>19245.533785542197</v>
      </c>
      <c r="K23" s="188">
        <f t="shared" si="3"/>
        <v>6.5437508757626439E-4</v>
      </c>
      <c r="L23" s="207"/>
      <c r="M23" s="206">
        <f t="shared" si="7"/>
        <v>2661.262430318624</v>
      </c>
      <c r="N23" s="24">
        <f t="shared" si="4"/>
        <v>2016</v>
      </c>
      <c r="O23" s="36">
        <v>2153.3466622295755</v>
      </c>
      <c r="P23" s="188">
        <f t="shared" si="5"/>
        <v>6.8093191200304659E-3</v>
      </c>
      <c r="Q23" s="36">
        <v>4861.5816282929482</v>
      </c>
      <c r="R23" s="188">
        <f t="shared" si="5"/>
        <v>-3.1430886914014522E-3</v>
      </c>
      <c r="S23" s="36">
        <v>1636.6722434861317</v>
      </c>
      <c r="T23" s="188">
        <f t="shared" si="5"/>
        <v>3.5104932468785766E-3</v>
      </c>
      <c r="U23" s="36">
        <v>7699.7368058519678</v>
      </c>
      <c r="V23" s="188">
        <f t="shared" si="5"/>
        <v>5.5892716680214782E-3</v>
      </c>
      <c r="W23" s="36">
        <f t="shared" si="6"/>
        <v>16351.344516584299</v>
      </c>
      <c r="X23" s="188">
        <f t="shared" si="5"/>
        <v>2.9293224970556864E-3</v>
      </c>
    </row>
    <row r="24" spans="1:24" x14ac:dyDescent="0.2">
      <c r="A24" s="182">
        <f t="shared" si="1"/>
        <v>2017</v>
      </c>
      <c r="B24" s="206">
        <f>SUM('LE ShareUEC'!$D24:$G24,'LE ShareUEC'!$U24)</f>
        <v>2014.2459147054901</v>
      </c>
      <c r="C24" s="324">
        <f t="shared" si="2"/>
        <v>3.698802751550101E-3</v>
      </c>
      <c r="D24" s="206">
        <f>SUM('LE ShareUEC'!$H24:$K24)</f>
        <v>4294.4132746545029</v>
      </c>
      <c r="E24" s="324">
        <f t="shared" si="2"/>
        <v>8.7318128886613167E-3</v>
      </c>
      <c r="F24" s="206">
        <f>'LE ShareUEC'!$L24</f>
        <v>2954.5323165886111</v>
      </c>
      <c r="G24" s="188">
        <f t="shared" si="2"/>
        <v>-1.7994556425142694E-3</v>
      </c>
      <c r="H24" s="206">
        <f>SUM('LE ShareUEC'!$M24:$W24)</f>
        <v>10395.789516238197</v>
      </c>
      <c r="I24" s="324">
        <f t="shared" si="2"/>
        <v>3.3578112761702972E-3</v>
      </c>
      <c r="J24" s="206">
        <f t="shared" si="0"/>
        <v>19274.997931619866</v>
      </c>
      <c r="K24" s="188">
        <f t="shared" si="3"/>
        <v>1.5309601908679582E-3</v>
      </c>
      <c r="L24" s="207"/>
      <c r="M24" s="206">
        <f t="shared" si="7"/>
        <v>2677.496576202062</v>
      </c>
      <c r="N24" s="24">
        <f t="shared" si="4"/>
        <v>2017</v>
      </c>
      <c r="O24" s="36">
        <v>2165.5465181426985</v>
      </c>
      <c r="P24" s="188">
        <f t="shared" si="5"/>
        <v>5.6655326924885951E-3</v>
      </c>
      <c r="Q24" s="36">
        <v>4849.0655737858797</v>
      </c>
      <c r="R24" s="188">
        <f t="shared" si="5"/>
        <v>-2.5744820233458698E-3</v>
      </c>
      <c r="S24" s="36">
        <v>1642.6421638050745</v>
      </c>
      <c r="T24" s="188">
        <f t="shared" si="5"/>
        <v>3.6475967272633358E-3</v>
      </c>
      <c r="U24" s="36">
        <v>7718.2929400361354</v>
      </c>
      <c r="V24" s="188">
        <f t="shared" si="5"/>
        <v>2.4099699317079448E-3</v>
      </c>
      <c r="W24" s="36">
        <f t="shared" si="6"/>
        <v>16375.553934417185</v>
      </c>
      <c r="X24" s="188">
        <f t="shared" si="5"/>
        <v>1.4805765855114839E-3</v>
      </c>
    </row>
    <row r="25" spans="1:24" x14ac:dyDescent="0.2">
      <c r="A25" s="182">
        <f t="shared" si="1"/>
        <v>2018</v>
      </c>
      <c r="B25" s="206">
        <f>SUM('LE ShareUEC'!$D25:$G25,'LE ShareUEC'!$U25)</f>
        <v>2021.3677701154352</v>
      </c>
      <c r="C25" s="324">
        <f t="shared" si="2"/>
        <v>3.5357427600821723E-3</v>
      </c>
      <c r="D25" s="206">
        <f>SUM('LE ShareUEC'!$H25:$K25)</f>
        <v>4333.0506123204532</v>
      </c>
      <c r="E25" s="324">
        <f t="shared" si="2"/>
        <v>8.9971167642357575E-3</v>
      </c>
      <c r="F25" s="206">
        <f>'LE ShareUEC'!$L25</f>
        <v>2949.2416483528727</v>
      </c>
      <c r="G25" s="188">
        <f t="shared" si="2"/>
        <v>-1.7906956732316459E-3</v>
      </c>
      <c r="H25" s="206">
        <f>SUM('LE ShareUEC'!$M25:$W25)</f>
        <v>10447.198777591821</v>
      </c>
      <c r="I25" s="324">
        <f t="shared" si="2"/>
        <v>4.9452002922261151E-3</v>
      </c>
      <c r="J25" s="206">
        <f t="shared" si="0"/>
        <v>19321.11652473775</v>
      </c>
      <c r="K25" s="188">
        <f t="shared" si="3"/>
        <v>2.3926639723383936E-3</v>
      </c>
      <c r="L25" s="207"/>
      <c r="M25" s="206">
        <f t="shared" si="7"/>
        <v>2687.1695919071008</v>
      </c>
      <c r="N25" s="24">
        <f t="shared" si="4"/>
        <v>2018</v>
      </c>
      <c r="O25" s="36">
        <v>2178.3923379209727</v>
      </c>
      <c r="P25" s="188">
        <f t="shared" si="5"/>
        <v>5.9319066437286683E-3</v>
      </c>
      <c r="Q25" s="36">
        <v>4841.59182941789</v>
      </c>
      <c r="R25" s="188">
        <f t="shared" si="5"/>
        <v>-1.5412751702911232E-3</v>
      </c>
      <c r="S25" s="36">
        <v>1648.8443853232857</v>
      </c>
      <c r="T25" s="188">
        <f t="shared" si="5"/>
        <v>3.7757593557954383E-3</v>
      </c>
      <c r="U25" s="36">
        <v>7760.0291856847198</v>
      </c>
      <c r="V25" s="188">
        <f t="shared" si="5"/>
        <v>5.4074451401153745E-3</v>
      </c>
      <c r="W25" s="36">
        <f t="shared" si="6"/>
        <v>16428.8659047377</v>
      </c>
      <c r="X25" s="188">
        <f t="shared" si="5"/>
        <v>3.2555827139666427E-3</v>
      </c>
    </row>
    <row r="26" spans="1:24" x14ac:dyDescent="0.2">
      <c r="A26" s="182">
        <f t="shared" si="1"/>
        <v>2019</v>
      </c>
      <c r="B26" s="206">
        <f>SUM('LE ShareUEC'!$D26:$G26,'LE ShareUEC'!$U26)</f>
        <v>2024.8783056346651</v>
      </c>
      <c r="C26" s="188">
        <f t="shared" si="2"/>
        <v>1.7367129184162611E-3</v>
      </c>
      <c r="D26" s="206">
        <f>SUM('LE ShareUEC'!$H26:$K26)</f>
        <v>4372.680728740982</v>
      </c>
      <c r="E26" s="188">
        <f t="shared" si="2"/>
        <v>9.1460081975147656E-3</v>
      </c>
      <c r="F26" s="206">
        <f>'LE ShareUEC'!$L26</f>
        <v>2944.1273486841351</v>
      </c>
      <c r="G26" s="188">
        <f t="shared" si="2"/>
        <v>-1.734106688610626E-3</v>
      </c>
      <c r="H26" s="206">
        <f>SUM('LE ShareUEC'!$M26:$W26)</f>
        <v>10508.458179473488</v>
      </c>
      <c r="I26" s="188">
        <f t="shared" si="2"/>
        <v>5.8637155457463841E-3</v>
      </c>
      <c r="J26" s="206">
        <f t="shared" si="0"/>
        <v>19377.261626950676</v>
      </c>
      <c r="K26" s="188">
        <f t="shared" si="3"/>
        <v>2.9058932562742168E-3</v>
      </c>
      <c r="L26" s="207"/>
      <c r="M26" s="206">
        <f t="shared" si="7"/>
        <v>2690.8567816838076</v>
      </c>
      <c r="N26" s="24">
        <f t="shared" si="4"/>
        <v>2019</v>
      </c>
      <c r="O26" s="36">
        <v>2191.3129440232983</v>
      </c>
      <c r="P26" s="188">
        <f t="shared" si="5"/>
        <v>5.9312575964423075E-3</v>
      </c>
      <c r="Q26" s="36">
        <v>4837.6011106135293</v>
      </c>
      <c r="R26" s="188">
        <f t="shared" si="5"/>
        <v>-8.2425758819915096E-4</v>
      </c>
      <c r="S26" s="36">
        <v>1655.2596146726826</v>
      </c>
      <c r="T26" s="188">
        <f t="shared" si="5"/>
        <v>3.8907427568666275E-3</v>
      </c>
      <c r="U26" s="36">
        <v>7817.60139778968</v>
      </c>
      <c r="V26" s="188">
        <f t="shared" si="5"/>
        <v>7.4190715946231833E-3</v>
      </c>
      <c r="W26" s="36">
        <f t="shared" si="6"/>
        <v>16501.784064841955</v>
      </c>
      <c r="X26" s="188">
        <f t="shared" si="5"/>
        <v>4.4384171449853849E-3</v>
      </c>
    </row>
    <row r="27" spans="1:24" x14ac:dyDescent="0.2">
      <c r="A27" s="182">
        <f t="shared" si="1"/>
        <v>2020</v>
      </c>
      <c r="B27" s="206">
        <f>SUM('LE ShareUEC'!$D27:$G27,'LE ShareUEC'!$U27)</f>
        <v>2029.9790749606291</v>
      </c>
      <c r="C27" s="188">
        <f t="shared" si="2"/>
        <v>2.5190498173495168E-3</v>
      </c>
      <c r="D27" s="206">
        <f>SUM('LE ShareUEC'!$H27:$K27)</f>
        <v>4410.1128978762363</v>
      </c>
      <c r="E27" s="188">
        <f t="shared" si="2"/>
        <v>8.5604624388004869E-3</v>
      </c>
      <c r="F27" s="206">
        <f>'LE ShareUEC'!$L27</f>
        <v>2939.1874430697117</v>
      </c>
      <c r="G27" s="188">
        <f t="shared" si="2"/>
        <v>-1.6778844898238665E-3</v>
      </c>
      <c r="H27" s="206">
        <f>SUM('LE ShareUEC'!$M27:$W27)</f>
        <v>10530.842825040672</v>
      </c>
      <c r="I27" s="188">
        <f t="shared" si="2"/>
        <v>2.1301550793539903E-3</v>
      </c>
      <c r="J27" s="206">
        <f t="shared" si="0"/>
        <v>19394.70636690344</v>
      </c>
      <c r="K27" s="188">
        <f t="shared" si="3"/>
        <v>9.0026858740976934E-4</v>
      </c>
      <c r="L27" s="207"/>
      <c r="M27" s="206">
        <f t="shared" si="7"/>
        <v>2636.8901131434286</v>
      </c>
      <c r="N27" s="24">
        <f t="shared" si="4"/>
        <v>2020</v>
      </c>
      <c r="O27" s="36">
        <v>2205.0716727164449</v>
      </c>
      <c r="P27" s="188">
        <f t="shared" si="5"/>
        <v>6.2787602887450777E-3</v>
      </c>
      <c r="Q27" s="36">
        <v>4830.914511149289</v>
      </c>
      <c r="R27" s="188">
        <f t="shared" si="5"/>
        <v>-1.3822138930740246E-3</v>
      </c>
      <c r="S27" s="36">
        <v>1659.2021339558537</v>
      </c>
      <c r="T27" s="188">
        <f t="shared" si="5"/>
        <v>2.3818132504553891E-3</v>
      </c>
      <c r="U27" s="36">
        <v>7893.9527118972437</v>
      </c>
      <c r="V27" s="188">
        <f t="shared" si="5"/>
        <v>9.7665908278659064E-3</v>
      </c>
      <c r="W27" s="36">
        <f t="shared" si="6"/>
        <v>16589.148308078475</v>
      </c>
      <c r="X27" s="188">
        <f t="shared" si="5"/>
        <v>5.2942301810052772E-3</v>
      </c>
    </row>
    <row r="28" spans="1:24" x14ac:dyDescent="0.2">
      <c r="A28" s="182">
        <f t="shared" si="1"/>
        <v>2021</v>
      </c>
      <c r="B28" s="206">
        <f>SUM('LE ShareUEC'!$D28:$G28,'LE ShareUEC'!$U28)</f>
        <v>2031.7832870120246</v>
      </c>
      <c r="C28" s="188">
        <f t="shared" si="2"/>
        <v>8.8878357104760219E-4</v>
      </c>
      <c r="D28" s="206">
        <f>SUM('LE ShareUEC'!$H28:$K28)</f>
        <v>4449.2085448123698</v>
      </c>
      <c r="E28" s="188">
        <f t="shared" si="2"/>
        <v>8.8649991148663787E-3</v>
      </c>
      <c r="F28" s="206">
        <f>'LE ShareUEC'!$L28</f>
        <v>2934.2289421210576</v>
      </c>
      <c r="G28" s="188">
        <f t="shared" si="2"/>
        <v>-1.6870312100528695E-3</v>
      </c>
      <c r="H28" s="206">
        <f>SUM('LE ShareUEC'!$M28:$W28)</f>
        <v>10576.549470819578</v>
      </c>
      <c r="I28" s="188">
        <f t="shared" si="2"/>
        <v>4.3402647383761206E-3</v>
      </c>
      <c r="J28" s="206">
        <f t="shared" si="0"/>
        <v>19435.454511733689</v>
      </c>
      <c r="K28" s="188">
        <f t="shared" si="3"/>
        <v>2.1009931297431006E-3</v>
      </c>
      <c r="L28" s="207"/>
      <c r="M28" s="206">
        <f t="shared" si="7"/>
        <v>2629.691540468928</v>
      </c>
      <c r="N28" s="25">
        <v>2021</v>
      </c>
      <c r="O28" s="36">
        <v>2218.6240625876899</v>
      </c>
      <c r="P28" s="188">
        <f t="shared" si="5"/>
        <v>6.1460087846259004E-3</v>
      </c>
      <c r="Q28" s="36">
        <v>4828.466643873664</v>
      </c>
      <c r="R28" s="188">
        <f t="shared" si="5"/>
        <v>-5.0670887882109383E-4</v>
      </c>
      <c r="S28" s="36">
        <v>1663.6207612134729</v>
      </c>
      <c r="T28" s="188">
        <f t="shared" si="5"/>
        <v>2.663103649152232E-3</v>
      </c>
      <c r="U28" s="36">
        <v>7946.8579303506503</v>
      </c>
      <c r="V28" s="188">
        <f t="shared" si="5"/>
        <v>6.7019933339189652E-3</v>
      </c>
      <c r="W28" s="36">
        <f t="shared" si="6"/>
        <v>16657.577700429032</v>
      </c>
      <c r="X28" s="188">
        <f t="shared" si="5"/>
        <v>4.1249490980337367E-3</v>
      </c>
    </row>
    <row r="29" spans="1:24" x14ac:dyDescent="0.2">
      <c r="A29" s="182">
        <f t="shared" si="1"/>
        <v>2022</v>
      </c>
      <c r="B29" s="206">
        <f>SUM('LE ShareUEC'!$D29:$G29,'LE ShareUEC'!$U29)</f>
        <v>2033.6503026735791</v>
      </c>
      <c r="C29" s="188">
        <f t="shared" si="2"/>
        <v>9.189049213511602E-4</v>
      </c>
      <c r="D29" s="206">
        <f>SUM('LE ShareUEC'!$H29:$K29)</f>
        <v>4488.3726002615922</v>
      </c>
      <c r="E29" s="188">
        <f t="shared" si="2"/>
        <v>8.8024769022989613E-3</v>
      </c>
      <c r="F29" s="206">
        <f>'LE ShareUEC'!$L29</f>
        <v>2929.3673556982212</v>
      </c>
      <c r="G29" s="188">
        <f t="shared" si="2"/>
        <v>-1.6568531354346216E-3</v>
      </c>
      <c r="H29" s="206">
        <f>SUM('LE ShareUEC'!$M29:$W29)</f>
        <v>10643.853482593839</v>
      </c>
      <c r="I29" s="188">
        <f t="shared" si="2"/>
        <v>6.3635131627710617E-3</v>
      </c>
      <c r="J29" s="206">
        <f t="shared" si="0"/>
        <v>19497.896937085115</v>
      </c>
      <c r="K29" s="188">
        <f t="shared" si="3"/>
        <v>3.2128101410608956E-3</v>
      </c>
      <c r="L29" s="207"/>
      <c r="M29" s="206">
        <f t="shared" si="7"/>
        <v>2630.8612807796526</v>
      </c>
      <c r="N29" s="25">
        <v>2022</v>
      </c>
      <c r="O29" s="36">
        <v>2232.1266454463075</v>
      </c>
      <c r="P29" s="188">
        <f t="shared" si="5"/>
        <v>6.0860165930360921E-3</v>
      </c>
      <c r="Q29" s="36">
        <v>4829.3614926780583</v>
      </c>
      <c r="R29" s="188">
        <f t="shared" si="5"/>
        <v>1.8532773867874219E-4</v>
      </c>
      <c r="S29" s="36">
        <v>1668.1262729401158</v>
      </c>
      <c r="T29" s="188">
        <f t="shared" si="5"/>
        <v>2.7082564919160834E-3</v>
      </c>
      <c r="U29" s="36">
        <v>8012.992201814186</v>
      </c>
      <c r="V29" s="188">
        <f t="shared" si="5"/>
        <v>8.3220654053668408E-3</v>
      </c>
      <c r="W29" s="36">
        <f t="shared" si="6"/>
        <v>16742.615592479491</v>
      </c>
      <c r="X29" s="188">
        <f t="shared" si="5"/>
        <v>5.1050575047455471E-3</v>
      </c>
    </row>
    <row r="30" spans="1:24" x14ac:dyDescent="0.2">
      <c r="A30" s="182">
        <f t="shared" si="1"/>
        <v>2023</v>
      </c>
      <c r="B30" s="206">
        <f>SUM('LE ShareUEC'!$D30:$G30,'LE ShareUEC'!$U30)</f>
        <v>2033.7851949707476</v>
      </c>
      <c r="C30" s="188">
        <f t="shared" si="2"/>
        <v>6.633013404089283E-5</v>
      </c>
      <c r="D30" s="206">
        <f>SUM('LE ShareUEC'!$H30:$K30)</f>
        <v>4530.1273618043524</v>
      </c>
      <c r="E30" s="188">
        <f t="shared" si="2"/>
        <v>9.3028732820279458E-3</v>
      </c>
      <c r="F30" s="206">
        <f>'LE ShareUEC'!$L30</f>
        <v>2924.5404564250384</v>
      </c>
      <c r="G30" s="188">
        <f t="shared" si="2"/>
        <v>-1.6477616792559546E-3</v>
      </c>
      <c r="H30" s="206">
        <f>SUM('LE ShareUEC'!$M30:$W30)</f>
        <v>10720.827332880668</v>
      </c>
      <c r="I30" s="188">
        <f t="shared" si="2"/>
        <v>7.2317653012330396E-3</v>
      </c>
      <c r="J30" s="206">
        <f t="shared" si="0"/>
        <v>19570.043888098764</v>
      </c>
      <c r="K30" s="188">
        <f t="shared" si="3"/>
        <v>3.7002427106087588E-3</v>
      </c>
      <c r="L30" s="207"/>
      <c r="M30" s="206">
        <f t="shared" si="7"/>
        <v>2632.2873694936998</v>
      </c>
      <c r="N30" s="25">
        <v>2023</v>
      </c>
      <c r="O30" s="36">
        <v>2245.0854650145279</v>
      </c>
      <c r="P30" s="188">
        <f t="shared" si="5"/>
        <v>5.8055933316585318E-3</v>
      </c>
      <c r="Q30" s="36">
        <v>4832.3474904222903</v>
      </c>
      <c r="R30" s="188">
        <f t="shared" si="5"/>
        <v>6.1830073163071653E-4</v>
      </c>
      <c r="S30" s="36">
        <v>1672.7743889399774</v>
      </c>
      <c r="T30" s="188">
        <f t="shared" si="5"/>
        <v>2.786429346064434E-3</v>
      </c>
      <c r="U30" s="36">
        <v>8088.5399633869683</v>
      </c>
      <c r="V30" s="188">
        <f t="shared" si="5"/>
        <v>9.4281586291420361E-3</v>
      </c>
      <c r="W30" s="36">
        <f t="shared" si="6"/>
        <v>16838.756518087175</v>
      </c>
      <c r="X30" s="188">
        <f t="shared" si="5"/>
        <v>5.7422882987809842E-3</v>
      </c>
    </row>
    <row r="31" spans="1:24" x14ac:dyDescent="0.2">
      <c r="A31" s="182">
        <f t="shared" si="1"/>
        <v>2024</v>
      </c>
      <c r="B31" s="206">
        <f>SUM('LE ShareUEC'!$D31:$G31,'LE ShareUEC'!$U31)</f>
        <v>2034.2530198677541</v>
      </c>
      <c r="C31" s="188">
        <f t="shared" si="2"/>
        <v>2.3002670004834691E-4</v>
      </c>
      <c r="D31" s="206">
        <f>SUM('LE ShareUEC'!$H31:$K31)</f>
        <v>4574.7685474563968</v>
      </c>
      <c r="E31" s="188">
        <f t="shared" si="2"/>
        <v>9.8542893139021981E-3</v>
      </c>
      <c r="F31" s="206">
        <f>'LE ShareUEC'!$L31</f>
        <v>2919.7715334849563</v>
      </c>
      <c r="G31" s="188">
        <f t="shared" si="2"/>
        <v>-1.6306571959382454E-3</v>
      </c>
      <c r="H31" s="206">
        <f>SUM('LE ShareUEC'!$M31:$W31)</f>
        <v>10806.568083140373</v>
      </c>
      <c r="I31" s="188">
        <f t="shared" si="2"/>
        <v>7.9975870888937539E-3</v>
      </c>
      <c r="J31" s="206">
        <f t="shared" si="0"/>
        <v>19651.015715418383</v>
      </c>
      <c r="K31" s="188">
        <f t="shared" si="3"/>
        <v>4.1375393832847607E-3</v>
      </c>
      <c r="L31" s="207"/>
      <c r="M31" s="206">
        <f t="shared" si="7"/>
        <v>2628.9721182178318</v>
      </c>
      <c r="N31" s="25">
        <v>2024</v>
      </c>
      <c r="O31" s="36">
        <v>2258.1288084682137</v>
      </c>
      <c r="P31" s="188">
        <f t="shared" si="5"/>
        <v>5.8097313696703345E-3</v>
      </c>
      <c r="Q31" s="36">
        <v>4837.8290423959725</v>
      </c>
      <c r="R31" s="188">
        <f t="shared" si="5"/>
        <v>1.1343455710803863E-3</v>
      </c>
      <c r="S31" s="36">
        <v>1677.5113391152495</v>
      </c>
      <c r="T31" s="188">
        <f t="shared" si="5"/>
        <v>2.8317926234355806E-3</v>
      </c>
      <c r="U31" s="36">
        <v>8177.5959649225415</v>
      </c>
      <c r="V31" s="188">
        <f t="shared" si="5"/>
        <v>1.1010145457485354E-2</v>
      </c>
      <c r="W31" s="36">
        <f t="shared" si="6"/>
        <v>16951.074930771541</v>
      </c>
      <c r="X31" s="188">
        <f t="shared" si="5"/>
        <v>6.67023200696093E-3</v>
      </c>
    </row>
    <row r="32" spans="1:24" x14ac:dyDescent="0.2">
      <c r="A32" s="182">
        <f t="shared" si="1"/>
        <v>2025</v>
      </c>
      <c r="B32" s="206">
        <f>SUM('LE ShareUEC'!$D32:$G32,'LE ShareUEC'!$U32)</f>
        <v>2034.6501629890145</v>
      </c>
      <c r="C32" s="188">
        <f t="shared" si="2"/>
        <v>1.9522798657867213E-4</v>
      </c>
      <c r="D32" s="206">
        <f>SUM('LE ShareUEC'!$H32:$K32)</f>
        <v>4620.9466283572601</v>
      </c>
      <c r="E32" s="188">
        <f t="shared" si="2"/>
        <v>1.0094080262604388E-2</v>
      </c>
      <c r="F32" s="206">
        <f>'LE ShareUEC'!$L32</f>
        <v>2915.3317832187495</v>
      </c>
      <c r="G32" s="188">
        <f t="shared" si="2"/>
        <v>-1.520581393198106E-3</v>
      </c>
      <c r="H32" s="206">
        <f>SUM('LE ShareUEC'!$M32:$W32)</f>
        <v>10902.787396708627</v>
      </c>
      <c r="I32" s="188">
        <f t="shared" si="2"/>
        <v>8.9037808144074582E-3</v>
      </c>
      <c r="J32" s="206">
        <f t="shared" si="0"/>
        <v>19742.795278720434</v>
      </c>
      <c r="K32" s="188">
        <f t="shared" si="3"/>
        <v>4.6704742712122549E-3</v>
      </c>
      <c r="L32" s="207"/>
      <c r="M32" s="206">
        <f t="shared" si="7"/>
        <v>2658.8394134558021</v>
      </c>
      <c r="N32" s="25">
        <v>2025</v>
      </c>
      <c r="O32" s="36">
        <v>2270.4824272404271</v>
      </c>
      <c r="P32" s="188">
        <f t="shared" si="5"/>
        <v>5.4707325489520287E-3</v>
      </c>
      <c r="Q32" s="36">
        <v>4845.3426570726069</v>
      </c>
      <c r="R32" s="188">
        <f t="shared" si="5"/>
        <v>1.5530963601213532E-3</v>
      </c>
      <c r="S32" s="36">
        <v>1682.3206949673058</v>
      </c>
      <c r="T32" s="188">
        <f t="shared" si="5"/>
        <v>2.8669587739376112E-3</v>
      </c>
      <c r="U32" s="36">
        <v>8243.947983252825</v>
      </c>
      <c r="V32" s="188">
        <f t="shared" si="5"/>
        <v>8.1138782858554137E-3</v>
      </c>
      <c r="W32" s="36">
        <f t="shared" si="6"/>
        <v>17042.103653320846</v>
      </c>
      <c r="X32" s="188">
        <f t="shared" si="5"/>
        <v>5.3700855503895362E-3</v>
      </c>
    </row>
    <row r="33" spans="1:24" x14ac:dyDescent="0.2">
      <c r="A33" s="182">
        <f t="shared" si="1"/>
        <v>2026</v>
      </c>
      <c r="B33" s="206">
        <f>SUM('LE ShareUEC'!$D33:$G33,'LE ShareUEC'!$U33)</f>
        <v>2033.7941474163435</v>
      </c>
      <c r="C33" s="188">
        <f t="shared" si="2"/>
        <v>-4.2071879885896557E-4</v>
      </c>
      <c r="D33" s="206">
        <f>SUM('LE ShareUEC'!$H33:$K33)</f>
        <v>4668.0943254045533</v>
      </c>
      <c r="E33" s="188">
        <f t="shared" si="2"/>
        <v>1.0203038649692076E-2</v>
      </c>
      <c r="F33" s="206">
        <f>'LE ShareUEC'!$L33</f>
        <v>2912.0082564561053</v>
      </c>
      <c r="G33" s="188">
        <f t="shared" si="2"/>
        <v>-1.1400166463985117E-3</v>
      </c>
      <c r="H33" s="206">
        <f>SUM('LE ShareUEC'!$M33:$W33)</f>
        <v>10994.765064139458</v>
      </c>
      <c r="I33" s="188">
        <f t="shared" si="2"/>
        <v>8.436160780187052E-3</v>
      </c>
      <c r="J33" s="206">
        <f t="shared" si="0"/>
        <v>19831.44941938862</v>
      </c>
      <c r="K33" s="188">
        <f t="shared" si="3"/>
        <v>4.4904553492353116E-3</v>
      </c>
      <c r="M33" s="206">
        <f t="shared" si="7"/>
        <v>2673.7362298611588</v>
      </c>
      <c r="N33" s="25">
        <v>2026</v>
      </c>
      <c r="O33" s="36">
        <v>2283.1220419604701</v>
      </c>
      <c r="P33" s="188">
        <f t="shared" si="5"/>
        <v>5.5669291109226027E-3</v>
      </c>
      <c r="Q33" s="36">
        <v>4854.5419773466119</v>
      </c>
      <c r="R33" s="188">
        <f t="shared" si="5"/>
        <v>1.8985902391397413E-3</v>
      </c>
      <c r="S33" s="36">
        <v>1687.3397202705789</v>
      </c>
      <c r="T33" s="188">
        <f t="shared" si="5"/>
        <v>2.9833939024157541E-3</v>
      </c>
      <c r="U33" s="36">
        <v>8321.0288342782987</v>
      </c>
      <c r="V33" s="188">
        <f t="shared" si="5"/>
        <v>9.3499924043747296E-3</v>
      </c>
      <c r="W33" s="36">
        <f t="shared" si="6"/>
        <v>17146.043022769212</v>
      </c>
      <c r="X33" s="188">
        <f t="shared" si="5"/>
        <v>6.098975312130106E-3</v>
      </c>
    </row>
    <row r="34" spans="1:24" x14ac:dyDescent="0.2">
      <c r="A34" s="182">
        <f t="shared" si="1"/>
        <v>2027</v>
      </c>
      <c r="B34" s="206">
        <f>SUM('LE ShareUEC'!$D34:$G34,'LE ShareUEC'!$U34)</f>
        <v>2034.043016582526</v>
      </c>
      <c r="C34" s="188">
        <f t="shared" si="2"/>
        <v>1.2236693988842973E-4</v>
      </c>
      <c r="D34" s="206">
        <f>SUM('LE ShareUEC'!$H34:$K34)</f>
        <v>4715.0414571387473</v>
      </c>
      <c r="E34" s="188">
        <f t="shared" si="2"/>
        <v>1.0057022943752436E-2</v>
      </c>
      <c r="F34" s="206">
        <f>'LE ShareUEC'!$L34</f>
        <v>2909.8862830610424</v>
      </c>
      <c r="G34" s="188">
        <f t="shared" si="2"/>
        <v>-7.2869758880611535E-4</v>
      </c>
      <c r="H34" s="206">
        <f>SUM('LE ShareUEC'!$M34:$W34)</f>
        <v>11096.507733801671</v>
      </c>
      <c r="I34" s="188">
        <f t="shared" si="2"/>
        <v>9.2537374894945401E-3</v>
      </c>
      <c r="J34" s="206">
        <f t="shared" si="0"/>
        <v>19931.07011565577</v>
      </c>
      <c r="K34" s="188">
        <f t="shared" si="3"/>
        <v>5.0233694048480437E-3</v>
      </c>
      <c r="M34" s="206">
        <f t="shared" si="7"/>
        <v>2703.3554068969952</v>
      </c>
      <c r="N34" s="25">
        <v>2027</v>
      </c>
      <c r="O34" s="36">
        <v>2295.6461182627872</v>
      </c>
      <c r="P34" s="188">
        <f t="shared" si="5"/>
        <v>5.4855045293868976E-3</v>
      </c>
      <c r="Q34" s="36">
        <v>4864.9954341510802</v>
      </c>
      <c r="R34" s="188">
        <f t="shared" si="5"/>
        <v>2.1533353410576606E-3</v>
      </c>
      <c r="S34" s="36">
        <v>1692.6323587421314</v>
      </c>
      <c r="T34" s="188">
        <f t="shared" si="5"/>
        <v>3.1366762768458845E-3</v>
      </c>
      <c r="U34" s="36">
        <v>8393.1523269046756</v>
      </c>
      <c r="V34" s="188">
        <f t="shared" si="5"/>
        <v>8.6676171976793892E-3</v>
      </c>
      <c r="W34" s="36">
        <f t="shared" si="6"/>
        <v>17246.437013576822</v>
      </c>
      <c r="X34" s="188">
        <f t="shared" si="5"/>
        <v>5.8552279773409488E-3</v>
      </c>
    </row>
    <row r="35" spans="1:24" x14ac:dyDescent="0.2">
      <c r="A35" s="182">
        <f t="shared" si="1"/>
        <v>2028</v>
      </c>
      <c r="B35" s="206">
        <f>SUM('LE ShareUEC'!$D35:$G35,'LE ShareUEC'!$U35)</f>
        <v>2032.3895014720738</v>
      </c>
      <c r="C35" s="188">
        <f t="shared" si="2"/>
        <v>-8.1292042349734306E-4</v>
      </c>
      <c r="D35" s="206">
        <f>SUM('LE ShareUEC'!$H35:$K35)</f>
        <v>4760.9754077851694</v>
      </c>
      <c r="E35" s="188">
        <f t="shared" si="2"/>
        <v>9.7420035569095731E-3</v>
      </c>
      <c r="F35" s="206">
        <f>'LE ShareUEC'!$L35</f>
        <v>2908.7978025078723</v>
      </c>
      <c r="G35" s="188">
        <f t="shared" si="2"/>
        <v>-3.7406291768382616E-4</v>
      </c>
      <c r="H35" s="206">
        <f>SUM('LE ShareUEC'!$M35:$W35)</f>
        <v>11201.538788461912</v>
      </c>
      <c r="I35" s="188">
        <f t="shared" si="2"/>
        <v>9.4652351153958758E-3</v>
      </c>
      <c r="J35" s="206">
        <f t="shared" si="0"/>
        <v>20035.01268976284</v>
      </c>
      <c r="K35" s="188">
        <f t="shared" si="3"/>
        <v>5.2151025260516182E-3</v>
      </c>
      <c r="M35" s="206">
        <f t="shared" si="7"/>
        <v>2732.5462742873315</v>
      </c>
      <c r="N35" s="25">
        <v>2028</v>
      </c>
      <c r="O35" s="36">
        <v>2308.0721597317015</v>
      </c>
      <c r="P35" s="188">
        <f t="shared" si="5"/>
        <v>5.4128732517002565E-3</v>
      </c>
      <c r="Q35" s="36">
        <v>4875.030390224546</v>
      </c>
      <c r="R35" s="188">
        <f t="shared" si="5"/>
        <v>2.0626856097383239E-3</v>
      </c>
      <c r="S35" s="36">
        <v>1698.012397244685</v>
      </c>
      <c r="T35" s="188">
        <f t="shared" si="5"/>
        <v>3.178503869884608E-3</v>
      </c>
      <c r="U35" s="36">
        <v>8468.9925141745807</v>
      </c>
      <c r="V35" s="188">
        <f t="shared" si="5"/>
        <v>9.0359598296334553E-3</v>
      </c>
      <c r="W35" s="36">
        <f t="shared" si="6"/>
        <v>17350.118115438243</v>
      </c>
      <c r="X35" s="188">
        <f t="shared" si="5"/>
        <v>6.0117403832340433E-3</v>
      </c>
    </row>
    <row r="36" spans="1:24" x14ac:dyDescent="0.2">
      <c r="A36" s="182">
        <f t="shared" si="1"/>
        <v>2029</v>
      </c>
      <c r="B36" s="206">
        <f>SUM('LE ShareUEC'!$D36:$G36,'LE ShareUEC'!$U36)</f>
        <v>2033.9875817270622</v>
      </c>
      <c r="C36" s="188">
        <f t="shared" si="2"/>
        <v>7.8630609626295644E-4</v>
      </c>
      <c r="D36" s="206">
        <f>SUM('LE ShareUEC'!$H36:$K36)</f>
        <v>4807.2112701217493</v>
      </c>
      <c r="E36" s="188">
        <f t="shared" si="2"/>
        <v>9.7114264150524043E-3</v>
      </c>
      <c r="F36" s="206">
        <f>'LE ShareUEC'!$L36</f>
        <v>2908.4585337599892</v>
      </c>
      <c r="G36" s="188">
        <f t="shared" si="2"/>
        <v>-1.1663538372819193E-4</v>
      </c>
      <c r="H36" s="206">
        <f>SUM('LE ShareUEC'!$M36:$W36)</f>
        <v>11310.224614316627</v>
      </c>
      <c r="I36" s="188">
        <f t="shared" si="2"/>
        <v>9.7027585144520145E-3</v>
      </c>
      <c r="J36" s="206">
        <f t="shared" si="0"/>
        <v>20143.359246869673</v>
      </c>
      <c r="K36" s="188">
        <f t="shared" si="3"/>
        <v>5.4078606679492935E-3</v>
      </c>
      <c r="M36" s="206">
        <f t="shared" si="7"/>
        <v>2796.4193505812473</v>
      </c>
      <c r="N36" s="25">
        <v>2029</v>
      </c>
      <c r="O36" s="36">
        <v>2319.5903548061224</v>
      </c>
      <c r="P36" s="188">
        <f t="shared" si="5"/>
        <v>4.9903964336017737E-3</v>
      </c>
      <c r="Q36" s="36">
        <v>4884.8688997475847</v>
      </c>
      <c r="R36" s="188">
        <f t="shared" si="5"/>
        <v>2.0181432187102999E-3</v>
      </c>
      <c r="S36" s="36">
        <v>1703.4712600311248</v>
      </c>
      <c r="T36" s="188">
        <f t="shared" si="5"/>
        <v>3.2148544941708046E-3</v>
      </c>
      <c r="U36" s="36">
        <v>8513.8052637353794</v>
      </c>
      <c r="V36" s="188">
        <f t="shared" si="5"/>
        <v>5.2913908573888335E-3</v>
      </c>
      <c r="W36" s="36">
        <f t="shared" si="6"/>
        <v>17421.746001714357</v>
      </c>
      <c r="X36" s="188">
        <f t="shared" si="5"/>
        <v>4.1283803256866314E-3</v>
      </c>
    </row>
    <row r="37" spans="1:24" x14ac:dyDescent="0.2">
      <c r="A37" s="182">
        <f t="shared" si="1"/>
        <v>2030</v>
      </c>
      <c r="B37" s="206">
        <f>SUM('LE ShareUEC'!$D37:$G37,'LE ShareUEC'!$U37)</f>
        <v>2031.4371264168517</v>
      </c>
      <c r="C37" s="188">
        <f t="shared" si="2"/>
        <v>-1.2539188209029772E-3</v>
      </c>
      <c r="D37" s="206">
        <f>SUM('LE ShareUEC'!$H37:$K37)</f>
        <v>4852.5698717163405</v>
      </c>
      <c r="E37" s="188">
        <f t="shared" si="2"/>
        <v>9.4355332116373702E-3</v>
      </c>
      <c r="F37" s="206">
        <f>'LE ShareUEC'!$L37</f>
        <v>2909.0156988013323</v>
      </c>
      <c r="G37" s="188">
        <f t="shared" si="2"/>
        <v>1.9156712563561662E-4</v>
      </c>
      <c r="H37" s="206">
        <f>SUM('LE ShareUEC'!$M37:$W37)</f>
        <v>11428.371950840239</v>
      </c>
      <c r="I37" s="188">
        <f t="shared" si="2"/>
        <v>1.0446064561269619E-2</v>
      </c>
      <c r="J37" s="206">
        <f t="shared" si="0"/>
        <v>20262.063748434626</v>
      </c>
      <c r="K37" s="188">
        <f t="shared" si="3"/>
        <v>5.8929843880632937E-3</v>
      </c>
      <c r="M37" s="206">
        <f t="shared" si="7"/>
        <v>2792.5057002294216</v>
      </c>
      <c r="N37" s="25">
        <f>N36+1</f>
        <v>2030</v>
      </c>
      <c r="O37" s="36">
        <v>2331.7279391994302</v>
      </c>
      <c r="P37" s="188">
        <f t="shared" si="5"/>
        <v>5.232641344692146E-3</v>
      </c>
      <c r="Q37" s="36">
        <v>4894.769896919981</v>
      </c>
      <c r="R37" s="188">
        <f t="shared" si="5"/>
        <v>2.0268706029977768E-3</v>
      </c>
      <c r="S37" s="36">
        <v>1709.0243747304082</v>
      </c>
      <c r="T37" s="188">
        <f t="shared" si="5"/>
        <v>3.2598816484770143E-3</v>
      </c>
      <c r="U37" s="36">
        <v>8635.8662506108176</v>
      </c>
      <c r="V37" s="188">
        <f t="shared" si="5"/>
        <v>1.4336830957992097E-2</v>
      </c>
      <c r="W37" s="36">
        <f t="shared" si="6"/>
        <v>17571.398980854232</v>
      </c>
      <c r="X37" s="188">
        <f t="shared" si="5"/>
        <v>8.5900103884621881E-3</v>
      </c>
    </row>
    <row r="38" spans="1:24" x14ac:dyDescent="0.2">
      <c r="A38" s="182">
        <f t="shared" si="1"/>
        <v>2031</v>
      </c>
      <c r="B38" s="206">
        <f>SUM('LE ShareUEC'!$D38:$G38,'LE ShareUEC'!$U38)</f>
        <v>2032.3949947111014</v>
      </c>
      <c r="C38" s="188">
        <f t="shared" si="2"/>
        <v>4.7152249104520649E-4</v>
      </c>
      <c r="D38" s="206">
        <f>SUM('LE ShareUEC'!$H38:$K38)</f>
        <v>4895.9354402767412</v>
      </c>
      <c r="E38" s="188">
        <f t="shared" si="2"/>
        <v>8.9366190919086819E-3</v>
      </c>
      <c r="F38" s="206">
        <f>'LE ShareUEC'!$L38</f>
        <v>2910.4427884177289</v>
      </c>
      <c r="G38" s="188">
        <f t="shared" si="2"/>
        <v>4.9057473872848867E-4</v>
      </c>
      <c r="H38" s="206">
        <f>SUM('LE ShareUEC'!$M38:$W38)</f>
        <v>11544.055195489622</v>
      </c>
      <c r="I38" s="188">
        <f t="shared" si="2"/>
        <v>1.012246058729982E-2</v>
      </c>
      <c r="J38" s="206">
        <f t="shared" si="0"/>
        <v>20379.174082700407</v>
      </c>
      <c r="K38" s="188">
        <f t="shared" si="3"/>
        <v>5.7797831316579451E-3</v>
      </c>
      <c r="M38" s="206">
        <f t="shared" si="7"/>
        <v>2839.7178468045986</v>
      </c>
      <c r="N38" s="25">
        <f t="shared" ref="N38:N45" si="8">N37+1</f>
        <v>2031</v>
      </c>
      <c r="O38" s="36">
        <v>2344.274777675218</v>
      </c>
      <c r="P38" s="188">
        <f t="shared" si="5"/>
        <v>5.380918701902937E-3</v>
      </c>
      <c r="Q38" s="36">
        <v>4904.467823174291</v>
      </c>
      <c r="R38" s="188">
        <f t="shared" si="5"/>
        <v>1.9812833817607345E-3</v>
      </c>
      <c r="S38" s="36">
        <v>1714.564709873295</v>
      </c>
      <c r="T38" s="188">
        <f t="shared" si="5"/>
        <v>3.2418116586316881E-3</v>
      </c>
      <c r="U38" s="36">
        <v>8704.3373486850232</v>
      </c>
      <c r="V38" s="188">
        <f t="shared" si="5"/>
        <v>7.9286890379250963E-3</v>
      </c>
      <c r="W38" s="36">
        <f t="shared" si="6"/>
        <v>17667.65526342157</v>
      </c>
      <c r="X38" s="188">
        <f t="shared" si="5"/>
        <v>5.4780090459625175E-3</v>
      </c>
    </row>
    <row r="39" spans="1:24" x14ac:dyDescent="0.2">
      <c r="A39" s="182">
        <f t="shared" si="1"/>
        <v>2032</v>
      </c>
      <c r="B39" s="206">
        <f>SUM('LE ShareUEC'!$D39:$G39,'LE ShareUEC'!$U39)</f>
        <v>2032.1124918638677</v>
      </c>
      <c r="C39" s="188">
        <f t="shared" si="2"/>
        <v>-1.3899997193889124E-4</v>
      </c>
      <c r="D39" s="206">
        <f>SUM('LE ShareUEC'!$H39:$K39)</f>
        <v>4935.9681708853304</v>
      </c>
      <c r="E39" s="188">
        <f t="shared" si="2"/>
        <v>8.1767276339588246E-3</v>
      </c>
      <c r="F39" s="206">
        <f>'LE ShareUEC'!$L39</f>
        <v>2912.7361744498735</v>
      </c>
      <c r="G39" s="188">
        <f t="shared" si="2"/>
        <v>7.8798526508450095E-4</v>
      </c>
      <c r="H39" s="206">
        <f>SUM('LE ShareUEC'!$M39:$W39)</f>
        <v>11648.487634651636</v>
      </c>
      <c r="I39" s="188">
        <f t="shared" si="2"/>
        <v>9.0464258350753113E-3</v>
      </c>
      <c r="J39" s="206">
        <f t="shared" si="0"/>
        <v>20485.899907894564</v>
      </c>
      <c r="K39" s="188">
        <f t="shared" si="3"/>
        <v>5.2370044419394191E-3</v>
      </c>
      <c r="M39" s="206">
        <f t="shared" si="7"/>
        <v>2874.8151307977751</v>
      </c>
      <c r="N39" s="25">
        <f t="shared" si="8"/>
        <v>2032</v>
      </c>
      <c r="O39" s="36">
        <v>2356.6120478930679</v>
      </c>
      <c r="P39" s="188">
        <f t="shared" si="5"/>
        <v>5.262723608742137E-3</v>
      </c>
      <c r="Q39" s="36">
        <v>4913.9669011820997</v>
      </c>
      <c r="R39" s="188">
        <f t="shared" si="5"/>
        <v>1.9368213535675416E-3</v>
      </c>
      <c r="S39" s="36">
        <v>1720.0923095240717</v>
      </c>
      <c r="T39" s="188">
        <f t="shared" si="5"/>
        <v>3.2239084468179691E-3</v>
      </c>
      <c r="U39" s="36">
        <v>8773.6725038538607</v>
      </c>
      <c r="V39" s="188">
        <f t="shared" si="5"/>
        <v>7.9655868553063502E-3</v>
      </c>
      <c r="W39" s="36">
        <f t="shared" si="6"/>
        <v>17764.354185906508</v>
      </c>
      <c r="X39" s="188">
        <f t="shared" si="5"/>
        <v>5.473217642249395E-3</v>
      </c>
    </row>
    <row r="40" spans="1:24" x14ac:dyDescent="0.2">
      <c r="A40" s="182">
        <f t="shared" si="1"/>
        <v>2033</v>
      </c>
      <c r="B40" s="206">
        <f>SUM('LE ShareUEC'!$D40:$G40,'LE ShareUEC'!$U40)</f>
        <v>2031.5583177807248</v>
      </c>
      <c r="C40" s="188">
        <f t="shared" si="2"/>
        <v>-2.727083689322285E-4</v>
      </c>
      <c r="D40" s="206">
        <f>SUM('LE ShareUEC'!$H40:$K40)</f>
        <v>4974.8480311534086</v>
      </c>
      <c r="E40" s="188">
        <f t="shared" si="2"/>
        <v>7.8768458227527205E-3</v>
      </c>
      <c r="F40" s="206">
        <f>'LE ShareUEC'!$L40</f>
        <v>2916.0118769204619</v>
      </c>
      <c r="G40" s="188">
        <f t="shared" si="2"/>
        <v>1.1246135160891679E-3</v>
      </c>
      <c r="H40" s="206">
        <f>SUM('LE ShareUEC'!$M40:$W40)</f>
        <v>11743.657212659193</v>
      </c>
      <c r="I40" s="188">
        <f t="shared" si="2"/>
        <v>8.1701231088959769E-3</v>
      </c>
      <c r="J40" s="206">
        <f t="shared" si="0"/>
        <v>20584.34518837271</v>
      </c>
      <c r="K40" s="188">
        <f t="shared" si="3"/>
        <v>4.805514081429596E-3</v>
      </c>
      <c r="M40" s="206">
        <f t="shared" si="7"/>
        <v>2899.7742742564042</v>
      </c>
      <c r="N40" s="25">
        <f t="shared" si="8"/>
        <v>2033</v>
      </c>
      <c r="O40" s="36">
        <v>2368.7395529279415</v>
      </c>
      <c r="P40" s="188">
        <f t="shared" si="5"/>
        <v>5.1461610092828902E-3</v>
      </c>
      <c r="Q40" s="36">
        <v>4923.27123597023</v>
      </c>
      <c r="R40" s="188">
        <f t="shared" si="5"/>
        <v>1.8934467763491725E-3</v>
      </c>
      <c r="S40" s="36">
        <v>1725.6072175446759</v>
      </c>
      <c r="T40" s="188">
        <f t="shared" si="5"/>
        <v>3.2061698026719654E-3</v>
      </c>
      <c r="U40" s="36">
        <v>8843.8829384027886</v>
      </c>
      <c r="V40" s="188">
        <f t="shared" si="5"/>
        <v>8.0023997383180667E-3</v>
      </c>
      <c r="W40" s="36">
        <f t="shared" si="6"/>
        <v>17861.511190623223</v>
      </c>
      <c r="X40" s="188">
        <f t="shared" si="5"/>
        <v>5.4692111911276431E-3</v>
      </c>
    </row>
    <row r="41" spans="1:24" x14ac:dyDescent="0.2">
      <c r="A41" s="182">
        <f t="shared" si="1"/>
        <v>2034</v>
      </c>
      <c r="B41" s="206">
        <f>SUM('LE ShareUEC'!$D41:$G41,'LE ShareUEC'!$U41)</f>
        <v>2031.0116328393558</v>
      </c>
      <c r="C41" s="188">
        <f t="shared" si="2"/>
        <v>-2.6909635651817254E-4</v>
      </c>
      <c r="D41" s="206">
        <f>SUM('LE ShareUEC'!$H41:$K41)</f>
        <v>5014.2806029356498</v>
      </c>
      <c r="E41" s="188">
        <f t="shared" si="2"/>
        <v>7.9263872052588447E-3</v>
      </c>
      <c r="F41" s="206">
        <f>'LE ShareUEC'!$L41</f>
        <v>2919.8523712821566</v>
      </c>
      <c r="G41" s="188">
        <f t="shared" si="2"/>
        <v>1.3170365978585341E-3</v>
      </c>
      <c r="H41" s="206">
        <f>SUM('LE ShareUEC'!$M41:$W41)</f>
        <v>11831.898336817523</v>
      </c>
      <c r="I41" s="188">
        <f t="shared" si="2"/>
        <v>7.5139390192018318E-3</v>
      </c>
      <c r="J41" s="206">
        <f t="shared" si="0"/>
        <v>20676.426806892734</v>
      </c>
      <c r="K41" s="188">
        <f t="shared" si="3"/>
        <v>4.4733809930488366E-3</v>
      </c>
      <c r="M41" s="206">
        <f t="shared" si="7"/>
        <v>2916.9183172356225</v>
      </c>
      <c r="N41" s="25">
        <f t="shared" si="8"/>
        <v>2034</v>
      </c>
      <c r="O41" s="36">
        <v>2380.6570976924199</v>
      </c>
      <c r="P41" s="188">
        <f t="shared" si="5"/>
        <v>5.0311756519401118E-3</v>
      </c>
      <c r="Q41" s="36">
        <v>4932.3848190251592</v>
      </c>
      <c r="R41" s="188">
        <f t="shared" si="5"/>
        <v>1.8511234945464139E-3</v>
      </c>
      <c r="S41" s="36">
        <v>1731.1094775958586</v>
      </c>
      <c r="T41" s="188">
        <f t="shared" si="5"/>
        <v>3.1885935543383148E-3</v>
      </c>
      <c r="U41" s="36">
        <v>8914.9800195819007</v>
      </c>
      <c r="V41" s="188">
        <f t="shared" si="5"/>
        <v>8.0391250850220253E-3</v>
      </c>
      <c r="W41" s="36">
        <f t="shared" si="6"/>
        <v>17959.141484788041</v>
      </c>
      <c r="X41" s="188">
        <f t="shared" si="5"/>
        <v>5.4659593537678131E-3</v>
      </c>
    </row>
    <row r="42" spans="1:24" x14ac:dyDescent="0.2">
      <c r="A42" s="182">
        <f t="shared" si="1"/>
        <v>2035</v>
      </c>
      <c r="B42" s="206">
        <f>SUM('LE ShareUEC'!$D42:$G42,'LE ShareUEC'!$U42)</f>
        <v>2030.0957471824454</v>
      </c>
      <c r="C42" s="188">
        <f t="shared" si="2"/>
        <v>-4.5095047320331538E-4</v>
      </c>
      <c r="D42" s="206">
        <f>SUM('LE ShareUEC'!$H42:$K42)</f>
        <v>5052.7357981144451</v>
      </c>
      <c r="E42" s="188">
        <f t="shared" si="2"/>
        <v>7.6691350612252407E-3</v>
      </c>
      <c r="F42" s="206">
        <f>'LE ShareUEC'!$L42</f>
        <v>2924.7700424505465</v>
      </c>
      <c r="G42" s="188">
        <f t="shared" si="2"/>
        <v>1.6842191121568817E-3</v>
      </c>
      <c r="H42" s="206">
        <f>SUM('LE ShareUEC'!$M42:$W42)</f>
        <v>11922.309666611785</v>
      </c>
      <c r="I42" s="188">
        <f t="shared" si="2"/>
        <v>7.6413207095371583E-3</v>
      </c>
      <c r="J42" s="206">
        <f t="shared" si="0"/>
        <v>20771.755807855388</v>
      </c>
      <c r="K42" s="188">
        <f t="shared" si="3"/>
        <v>4.6105162102223485E-3</v>
      </c>
      <c r="M42" s="206">
        <f t="shared" si="7"/>
        <v>2935.3344051274908</v>
      </c>
      <c r="N42" s="25">
        <f t="shared" si="8"/>
        <v>2035</v>
      </c>
      <c r="O42" s="36">
        <v>2392.3644889113684</v>
      </c>
      <c r="P42" s="188">
        <f t="shared" si="5"/>
        <v>4.917714201804424E-3</v>
      </c>
      <c r="Q42" s="36">
        <v>4941.3115322264348</v>
      </c>
      <c r="R42" s="188">
        <f t="shared" si="5"/>
        <v>1.809816859147606E-3</v>
      </c>
      <c r="S42" s="36">
        <v>1736.5991331383357</v>
      </c>
      <c r="T42" s="188">
        <f t="shared" si="5"/>
        <v>3.1711775676377396E-3</v>
      </c>
      <c r="U42" s="36">
        <v>8986.9752614842946</v>
      </c>
      <c r="V42" s="188">
        <f t="shared" si="5"/>
        <v>8.075760320747305E-3</v>
      </c>
      <c r="W42" s="36">
        <f t="shared" si="6"/>
        <v>18057.260314469066</v>
      </c>
      <c r="X42" s="188">
        <f t="shared" si="5"/>
        <v>5.4634476689285894E-3</v>
      </c>
    </row>
    <row r="43" spans="1:24" x14ac:dyDescent="0.2">
      <c r="A43" s="182">
        <f t="shared" si="1"/>
        <v>2036</v>
      </c>
      <c r="B43" s="206">
        <f>SUM('LE ShareUEC'!$D43:$G43,'LE ShareUEC'!$U43)</f>
        <v>2028.8962075801746</v>
      </c>
      <c r="C43" s="188">
        <f t="shared" si="2"/>
        <v>-5.9087833858850747E-4</v>
      </c>
      <c r="D43" s="206">
        <f>SUM('LE ShareUEC'!$H43:$K43)</f>
        <v>5089.9993793191516</v>
      </c>
      <c r="E43" s="188">
        <f t="shared" si="2"/>
        <v>7.3749316595204117E-3</v>
      </c>
      <c r="F43" s="206">
        <f>'LE ShareUEC'!$L43</f>
        <v>2929.6807281258184</v>
      </c>
      <c r="G43" s="188">
        <f t="shared" si="2"/>
        <v>1.6789988970065117E-3</v>
      </c>
      <c r="H43" s="206">
        <f>SUM('LE ShareUEC'!$M43:$W43)</f>
        <v>12014.527985510664</v>
      </c>
      <c r="I43" s="188">
        <f t="shared" si="2"/>
        <v>7.734937396999042E-3</v>
      </c>
      <c r="J43" s="206">
        <f t="shared" si="0"/>
        <v>20868.88481242954</v>
      </c>
      <c r="K43" s="188">
        <f t="shared" si="3"/>
        <v>4.6760132110459374E-3</v>
      </c>
      <c r="M43" s="206">
        <f t="shared" si="7"/>
        <v>2954.6476585618948</v>
      </c>
      <c r="N43" s="25">
        <f t="shared" si="8"/>
        <v>2036</v>
      </c>
      <c r="O43" s="36">
        <v>2403.8615350973405</v>
      </c>
      <c r="P43" s="188">
        <f t="shared" si="5"/>
        <v>4.8057251473432316E-3</v>
      </c>
      <c r="Q43" s="36">
        <v>4950.0551516173755</v>
      </c>
      <c r="R43" s="188">
        <f t="shared" si="5"/>
        <v>1.7694936524272897E-3</v>
      </c>
      <c r="S43" s="36">
        <v>1742.0762274339324</v>
      </c>
      <c r="T43" s="188">
        <f t="shared" si="5"/>
        <v>3.1539197452543632E-3</v>
      </c>
      <c r="U43" s="36">
        <v>9059.8803269487689</v>
      </c>
      <c r="V43" s="188">
        <f t="shared" si="5"/>
        <v>8.1123028987211132E-3</v>
      </c>
      <c r="W43" s="36">
        <f t="shared" si="6"/>
        <v>18155.882970235962</v>
      </c>
      <c r="X43" s="188">
        <f t="shared" si="5"/>
        <v>5.4616621818244226E-3</v>
      </c>
    </row>
    <row r="44" spans="1:24" x14ac:dyDescent="0.2">
      <c r="A44" s="182">
        <f t="shared" si="1"/>
        <v>2037</v>
      </c>
      <c r="B44" s="206">
        <f>SUM('LE ShareUEC'!$D44:$G44,'LE ShareUEC'!$U44)</f>
        <v>2027.7283286586971</v>
      </c>
      <c r="C44" s="188">
        <f t="shared" si="2"/>
        <v>-5.7562280274081612E-4</v>
      </c>
      <c r="D44" s="206">
        <f>SUM('LE ShareUEC'!$H44:$K44)</f>
        <v>5127.2242702000303</v>
      </c>
      <c r="E44" s="188">
        <f t="shared" si="2"/>
        <v>7.3133389823434314E-3</v>
      </c>
      <c r="F44" s="206">
        <f>'LE ShareUEC'!$L44</f>
        <v>2934.5844431816236</v>
      </c>
      <c r="G44" s="188">
        <f t="shared" si="2"/>
        <v>1.6738052746594345E-3</v>
      </c>
      <c r="H44" s="206">
        <f>SUM('LE ShareUEC'!$M44:$W44)</f>
        <v>12107.888122028082</v>
      </c>
      <c r="I44" s="188">
        <f t="shared" si="2"/>
        <v>7.7706037748639378E-3</v>
      </c>
      <c r="J44" s="206">
        <f t="shared" si="0"/>
        <v>20967.148664002762</v>
      </c>
      <c r="K44" s="188">
        <f t="shared" si="3"/>
        <v>4.7086297354372864E-3</v>
      </c>
      <c r="M44" s="206">
        <f t="shared" si="7"/>
        <v>2974.1810925408245</v>
      </c>
      <c r="N44" s="25">
        <f t="shared" si="8"/>
        <v>2037</v>
      </c>
      <c r="O44" s="36">
        <v>2415.148046526665</v>
      </c>
      <c r="P44" s="188">
        <f t="shared" si="5"/>
        <v>4.6951587121542016E-3</v>
      </c>
      <c r="Q44" s="36">
        <v>4958.6193510208359</v>
      </c>
      <c r="R44" s="188">
        <f t="shared" si="5"/>
        <v>1.7301220170571341E-3</v>
      </c>
      <c r="S44" s="36">
        <v>1747.5408035467194</v>
      </c>
      <c r="T44" s="188">
        <f t="shared" si="5"/>
        <v>3.1368180259461198E-3</v>
      </c>
      <c r="U44" s="36">
        <v>9133.7070294872574</v>
      </c>
      <c r="V44" s="188">
        <f t="shared" si="5"/>
        <v>8.1487503006953954E-3</v>
      </c>
      <c r="W44" s="36">
        <f t="shared" si="6"/>
        <v>18255.024792680233</v>
      </c>
      <c r="X44" s="188">
        <f t="shared" si="5"/>
        <v>5.4605894192423232E-3</v>
      </c>
    </row>
    <row r="45" spans="1:24" x14ac:dyDescent="0.2">
      <c r="A45" s="182">
        <f t="shared" si="1"/>
        <v>2038</v>
      </c>
      <c r="B45" s="206">
        <f>SUM('LE ShareUEC'!$D45:$G45,'LE ShareUEC'!$U45)</f>
        <v>2032.9332930135242</v>
      </c>
      <c r="C45" s="188">
        <f t="shared" si="2"/>
        <v>2.566894332570735E-3</v>
      </c>
      <c r="D45" s="206">
        <f>SUM('LE ShareUEC'!$H45:$K45)</f>
        <v>5164.4100805126491</v>
      </c>
      <c r="E45" s="188">
        <f t="shared" si="2"/>
        <v>7.2526202001239604E-3</v>
      </c>
      <c r="F45" s="206">
        <f>'LE ShareUEC'!$L45</f>
        <v>2939.4812024494154</v>
      </c>
      <c r="G45" s="188">
        <f t="shared" si="2"/>
        <v>1.6686380516905963E-3</v>
      </c>
      <c r="H45" s="206">
        <f>SUM('LE ShareUEC'!$M45:$W45)</f>
        <v>12202.403221615699</v>
      </c>
      <c r="I45" s="188">
        <f t="shared" si="2"/>
        <v>7.8060763888019302E-3</v>
      </c>
      <c r="J45" s="206">
        <f t="shared" si="0"/>
        <v>21066.56052285817</v>
      </c>
      <c r="K45" s="188">
        <f t="shared" si="3"/>
        <v>4.7413151138706588E-3</v>
      </c>
      <c r="M45" s="206">
        <f t="shared" si="7"/>
        <v>2996.4509879631623</v>
      </c>
      <c r="N45" s="25">
        <f t="shared" si="8"/>
        <v>2038</v>
      </c>
      <c r="O45" s="36">
        <v>2426.7285544474189</v>
      </c>
      <c r="P45" s="188">
        <f t="shared" si="5"/>
        <v>4.7949474308244255E-3</v>
      </c>
      <c r="Q45" s="36">
        <v>4963.7434276401609</v>
      </c>
      <c r="R45" s="188">
        <f t="shared" si="5"/>
        <v>1.0333676083182919E-3</v>
      </c>
      <c r="S45" s="36">
        <v>1745.5460355916189</v>
      </c>
      <c r="T45" s="188">
        <f t="shared" si="5"/>
        <v>-1.1414714615258781E-3</v>
      </c>
      <c r="U45" s="36">
        <v>9205.952233652537</v>
      </c>
      <c r="V45" s="188">
        <f t="shared" si="5"/>
        <v>7.9097352183559178E-3</v>
      </c>
      <c r="W45" s="36">
        <f t="shared" si="6"/>
        <v>18341.974938175314</v>
      </c>
      <c r="X45" s="188">
        <f t="shared" si="5"/>
        <v>4.7630801098634823E-3</v>
      </c>
    </row>
    <row r="46" spans="1:24" x14ac:dyDescent="0.2">
      <c r="A46" s="182">
        <f t="shared" si="1"/>
        <v>2039</v>
      </c>
      <c r="B46" s="206">
        <f>SUM('LE ShareUEC'!$D46:$G46,'LE ShareUEC'!$U46)</f>
        <v>2038.1224012096454</v>
      </c>
      <c r="C46" s="188">
        <f t="shared" si="2"/>
        <v>2.5525226105325149E-3</v>
      </c>
      <c r="D46" s="206">
        <f>SUM('LE ShareUEC'!$H46:$K46)</f>
        <v>5201.556416745073</v>
      </c>
      <c r="E46" s="188">
        <f t="shared" si="2"/>
        <v>7.1927549620025566E-3</v>
      </c>
      <c r="F46" s="206">
        <f>'LE ShareUEC'!$L46</f>
        <v>2944.3710207186027</v>
      </c>
      <c r="G46" s="188">
        <f t="shared" si="2"/>
        <v>1.6634970365221324E-3</v>
      </c>
      <c r="H46" s="206">
        <f>SUM('LE ShareUEC'!$M46:$W46)</f>
        <v>12298.08658839383</v>
      </c>
      <c r="I46" s="188">
        <f t="shared" si="2"/>
        <v>7.8413542840998218E-3</v>
      </c>
      <c r="J46" s="206">
        <f t="shared" si="0"/>
        <v>21167.133707905487</v>
      </c>
      <c r="K46" s="188">
        <f t="shared" si="3"/>
        <v>4.7740676480239053E-3</v>
      </c>
      <c r="M46" s="206">
        <f t="shared" si="7"/>
        <v>3018.9364611937945</v>
      </c>
      <c r="N46" s="25">
        <f>N45+1</f>
        <v>2039</v>
      </c>
      <c r="O46" s="36">
        <v>2436.1784774372159</v>
      </c>
      <c r="P46" s="188">
        <f t="shared" si="5"/>
        <v>3.8940997222283169E-3</v>
      </c>
      <c r="Q46" s="36">
        <v>4966.5094116950222</v>
      </c>
      <c r="R46" s="188">
        <f t="shared" si="5"/>
        <v>5.5723751543212963E-4</v>
      </c>
      <c r="S46" s="36">
        <v>1743.5558163856372</v>
      </c>
      <c r="T46" s="188">
        <f t="shared" si="5"/>
        <v>-1.1401699900209783E-3</v>
      </c>
      <c r="U46" s="36">
        <v>9279.1501272000351</v>
      </c>
      <c r="V46" s="188">
        <f t="shared" si="5"/>
        <v>7.9511485275713945E-3</v>
      </c>
      <c r="W46" s="36">
        <f t="shared" si="6"/>
        <v>18425.397143885159</v>
      </c>
      <c r="X46" s="188">
        <f t="shared" si="5"/>
        <v>4.5481583085265065E-3</v>
      </c>
    </row>
    <row r="47" spans="1:24" x14ac:dyDescent="0.2">
      <c r="A47" s="182">
        <f t="shared" si="1"/>
        <v>2040</v>
      </c>
      <c r="B47" s="206">
        <f>SUM('LE ShareUEC'!$D47:$G47,'LE ShareUEC'!$U47)</f>
        <v>2043.2932537060256</v>
      </c>
      <c r="C47" s="188">
        <f t="shared" si="2"/>
        <v>2.5370667106701106E-3</v>
      </c>
      <c r="D47" s="206">
        <f>SUM('LE ShareUEC'!$H47:$K47)</f>
        <v>5238.6628821513295</v>
      </c>
      <c r="E47" s="188">
        <f t="shared" si="2"/>
        <v>7.1337235306727642E-3</v>
      </c>
      <c r="F47" s="206">
        <f>'LE ShareUEC'!$L47</f>
        <v>2949.2539127366963</v>
      </c>
      <c r="G47" s="188">
        <f t="shared" si="2"/>
        <v>1.6583820394013848E-3</v>
      </c>
      <c r="H47" s="206">
        <f>SUM('LE ShareUEC'!$M47:$W47)</f>
        <v>12394.951687043722</v>
      </c>
      <c r="I47" s="188">
        <f t="shared" si="2"/>
        <v>7.8764365459345065E-3</v>
      </c>
      <c r="J47" s="206">
        <f t="shared" si="0"/>
        <v>21268.881698573474</v>
      </c>
      <c r="K47" s="188">
        <f t="shared" si="3"/>
        <v>4.8068856214569244E-3</v>
      </c>
      <c r="M47" s="206">
        <f t="shared" si="7"/>
        <v>3041.6387155737593</v>
      </c>
      <c r="N47" s="25">
        <f>N46+1</f>
        <v>2040</v>
      </c>
      <c r="O47" s="36">
        <v>2445.4203244636142</v>
      </c>
      <c r="P47" s="188">
        <f t="shared" si="5"/>
        <v>3.7935837263123329E-3</v>
      </c>
      <c r="Q47" s="36">
        <v>4969.1112665042274</v>
      </c>
      <c r="R47" s="188">
        <f t="shared" si="5"/>
        <v>5.2387997153058308E-4</v>
      </c>
      <c r="S47" s="36">
        <v>1741.5701303874521</v>
      </c>
      <c r="T47" s="188">
        <f t="shared" si="5"/>
        <v>-1.1388714829339008E-3</v>
      </c>
      <c r="U47" s="36">
        <v>9353.3129714699626</v>
      </c>
      <c r="V47" s="188">
        <f t="shared" si="5"/>
        <v>7.9924177595245283E-3</v>
      </c>
      <c r="W47" s="36">
        <f t="shared" si="6"/>
        <v>18509.41787141747</v>
      </c>
      <c r="X47" s="188">
        <f t="shared" si="5"/>
        <v>4.560049744175787E-3</v>
      </c>
    </row>
    <row r="48" spans="1:24" x14ac:dyDescent="0.2">
      <c r="A48" s="182">
        <f t="shared" si="1"/>
        <v>2041</v>
      </c>
      <c r="B48" s="206">
        <f>SUM('LE ShareUEC'!$D48:$G48,'LE ShareUEC'!$U48)</f>
        <v>2048.4435640662432</v>
      </c>
      <c r="C48" s="188">
        <f t="shared" si="2"/>
        <v>2.5205928472951111E-3</v>
      </c>
      <c r="D48" s="206">
        <f>SUM('LE ShareUEC'!$H48:$K48)</f>
        <v>5275.729076785974</v>
      </c>
      <c r="E48" s="188">
        <f t="shared" si="2"/>
        <v>7.0755067597367827E-3</v>
      </c>
      <c r="F48" s="206">
        <f>'LE ShareUEC'!$L48</f>
        <v>2954.1298932094592</v>
      </c>
      <c r="G48" s="188">
        <f t="shared" si="2"/>
        <v>1.6532928723786977E-3</v>
      </c>
      <c r="H48" s="206">
        <f>SUM('LE ShareUEC'!$M48:$W48)</f>
        <v>12493.012144722608</v>
      </c>
      <c r="I48" s="188">
        <f t="shared" si="2"/>
        <v>7.9113222991733512E-3</v>
      </c>
      <c r="J48" s="206">
        <f t="shared" si="0"/>
        <v>21371.818136725124</v>
      </c>
      <c r="K48" s="188">
        <f t="shared" si="3"/>
        <v>4.8397672999682673E-3</v>
      </c>
      <c r="M48" s="206">
        <f t="shared" si="7"/>
        <v>3064.5589582491775</v>
      </c>
      <c r="N48" s="25">
        <f>N47+1</f>
        <v>2041</v>
      </c>
      <c r="O48" s="36">
        <v>2453.4905546290206</v>
      </c>
      <c r="P48" s="188">
        <f t="shared" si="5"/>
        <v>3.3001403009016439E-3</v>
      </c>
      <c r="Q48" s="36">
        <v>4971.5528165883688</v>
      </c>
      <c r="R48" s="188">
        <f t="shared" si="5"/>
        <v>4.9134542440198992E-4</v>
      </c>
      <c r="S48" s="36">
        <v>1739.5889621264598</v>
      </c>
      <c r="T48" s="188">
        <f t="shared" si="5"/>
        <v>-1.1375759301472943E-3</v>
      </c>
      <c r="U48" s="36">
        <v>9428.4531864734308</v>
      </c>
      <c r="V48" s="188">
        <f t="shared" si="5"/>
        <v>8.0335401191711231E-3</v>
      </c>
      <c r="W48" s="36">
        <f t="shared" si="6"/>
        <v>18593.088173727076</v>
      </c>
      <c r="X48" s="188">
        <f t="shared" si="5"/>
        <v>4.5204178159925501E-3</v>
      </c>
    </row>
    <row r="49" spans="1:11" x14ac:dyDescent="0.2">
      <c r="A49" s="182">
        <f t="shared" si="1"/>
        <v>2042</v>
      </c>
      <c r="B49" s="206">
        <f>SUM('LE ShareUEC'!$D49:$G49,'LE ShareUEC'!$U49)</f>
        <v>2053.5711543416828</v>
      </c>
      <c r="D49" s="206">
        <f>SUM('LE ShareUEC'!$H49:$K49)</f>
        <v>5312.7545975397843</v>
      </c>
      <c r="F49" s="206">
        <f>'LE ShareUEC'!$L49</f>
        <v>2958.9989768010514</v>
      </c>
      <c r="H49" s="206">
        <f>SUM('LE ShareUEC'!$M49:$W49)</f>
        <v>12592.281753001818</v>
      </c>
      <c r="J49" s="206">
        <f t="shared" si="0"/>
        <v>21475.956828595925</v>
      </c>
      <c r="K49" s="188">
        <f t="shared" si="3"/>
        <v>4.8727109319655071E-3</v>
      </c>
    </row>
    <row r="50" spans="1:11" x14ac:dyDescent="0.2">
      <c r="A50" s="182">
        <f t="shared" si="1"/>
        <v>2043</v>
      </c>
      <c r="B50" s="206">
        <f>SUM('LE ShareUEC'!$D50:$G50,'LE ShareUEC'!$U50)</f>
        <v>2045.9328021035114</v>
      </c>
      <c r="D50" s="206">
        <f>SUM('LE ShareUEC'!$H50:$K50)</f>
        <v>5308.9903066833303</v>
      </c>
      <c r="F50" s="206">
        <f>'LE ShareUEC'!$L50</f>
        <v>2956.9077623689586</v>
      </c>
      <c r="H50" s="206">
        <f>SUM('LE ShareUEC'!$M50:$W50)</f>
        <v>12689.427716341685</v>
      </c>
      <c r="J50" s="206">
        <f t="shared" ref="J50" si="9">AnnHeat1995+AnnCool1995+F50+H50</f>
        <v>21571.011577503697</v>
      </c>
      <c r="K50" s="188">
        <f t="shared" si="3"/>
        <v>4.4261007631196669E-3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7"/>
  <sheetViews>
    <sheetView tabSelected="1" workbookViewId="0">
      <pane ySplit="1" topLeftCell="A412" activePane="bottomLeft" state="frozen"/>
      <selection pane="bottomLeft"/>
    </sheetView>
  </sheetViews>
  <sheetFormatPr defaultColWidth="9.140625" defaultRowHeight="12.75" x14ac:dyDescent="0.2"/>
  <cols>
    <col min="1" max="1" width="6" style="147" bestFit="1" customWidth="1"/>
    <col min="2" max="2" width="7.140625" style="147" bestFit="1" customWidth="1"/>
    <col min="3" max="4" width="7.140625" style="147" customWidth="1"/>
    <col min="5" max="5" width="26.5703125" style="147" bestFit="1" customWidth="1"/>
    <col min="6" max="6" width="34.140625" style="147" bestFit="1" customWidth="1"/>
    <col min="7" max="7" width="11.42578125" style="147" customWidth="1"/>
    <col min="8" max="8" width="19.7109375" style="150" customWidth="1"/>
    <col min="9" max="9" width="18.28515625" style="147" customWidth="1"/>
    <col min="10" max="10" width="12.7109375" style="147" bestFit="1" customWidth="1"/>
    <col min="11" max="13" width="7.140625" style="147" customWidth="1"/>
    <col min="14" max="14" width="5.7109375" style="170" customWidth="1"/>
    <col min="15" max="15" width="8.7109375" style="170" customWidth="1"/>
    <col min="16" max="16" width="26.5703125" style="150" bestFit="1" customWidth="1"/>
    <col min="17" max="17" width="34.140625" style="150" bestFit="1" customWidth="1"/>
    <col min="18" max="18" width="27" style="150" bestFit="1" customWidth="1"/>
    <col min="19" max="19" width="19.7109375" style="150" bestFit="1" customWidth="1"/>
    <col min="20" max="20" width="27.42578125" style="170" bestFit="1" customWidth="1"/>
    <col min="21" max="21" width="20.140625" style="170" customWidth="1"/>
    <col min="22" max="22" width="10.28515625" style="170" customWidth="1"/>
    <col min="23" max="16384" width="9.140625" style="170"/>
  </cols>
  <sheetData>
    <row r="1" spans="1:27" x14ac:dyDescent="0.2">
      <c r="A1" s="144" t="s">
        <v>15</v>
      </c>
      <c r="B1" s="144" t="s">
        <v>18</v>
      </c>
      <c r="C1" s="144" t="s">
        <v>188</v>
      </c>
      <c r="D1" s="144" t="s">
        <v>187</v>
      </c>
      <c r="E1" s="146" t="s">
        <v>184</v>
      </c>
      <c r="F1" s="146" t="s">
        <v>225</v>
      </c>
      <c r="G1" s="146" t="s">
        <v>158</v>
      </c>
      <c r="H1" s="146" t="s">
        <v>223</v>
      </c>
      <c r="I1" s="146" t="s">
        <v>185</v>
      </c>
      <c r="J1" s="146"/>
      <c r="K1" s="146"/>
      <c r="L1" s="146"/>
      <c r="M1" s="144" t="s">
        <v>183</v>
      </c>
      <c r="N1" s="170" t="s">
        <v>182</v>
      </c>
      <c r="O1" s="170" t="s">
        <v>181</v>
      </c>
      <c r="P1" s="146" t="s">
        <v>184</v>
      </c>
      <c r="Q1" s="146" t="s">
        <v>225</v>
      </c>
      <c r="R1" s="146" t="s">
        <v>224</v>
      </c>
      <c r="S1" s="146" t="s">
        <v>185</v>
      </c>
      <c r="T1" s="146" t="s">
        <v>186</v>
      </c>
      <c r="U1" s="146"/>
      <c r="V1" s="146" t="s">
        <v>223</v>
      </c>
      <c r="W1" s="185" t="s">
        <v>197</v>
      </c>
      <c r="X1" s="185" t="s">
        <v>198</v>
      </c>
      <c r="Y1" s="170" t="s">
        <v>199</v>
      </c>
      <c r="Z1" s="170" t="s">
        <v>199</v>
      </c>
      <c r="AA1" s="146" t="s">
        <v>158</v>
      </c>
    </row>
    <row r="2" spans="1:27" x14ac:dyDescent="0.2">
      <c r="A2" s="147">
        <v>2001</v>
      </c>
      <c r="B2" s="147">
        <v>1</v>
      </c>
      <c r="C2" s="147" t="str">
        <f>A2&amp;B2</f>
        <v>20011</v>
      </c>
      <c r="D2" s="170" t="s">
        <v>177</v>
      </c>
      <c r="E2" s="151">
        <f t="shared" ref="E2:F21" si="0">VLOOKUP($A2&amp;$D2,$O$1:$V$189,MATCH(E$1,$O$1:$V$1,0),0)</f>
        <v>113069.32213241505</v>
      </c>
      <c r="F2" s="151">
        <f t="shared" si="0"/>
        <v>113069.322</v>
      </c>
      <c r="G2" s="151">
        <f>VLOOKUP($A2&amp;$D2,$O$1:$AA$189,MATCH(G$1,$O$1:$AA$1,0),0)</f>
        <v>4063.346</v>
      </c>
      <c r="H2" s="151">
        <f>VLOOKUP($A2&amp;$D2,$O$1:$AA$189,MATCH(H$1,$O$1:$AA$1,0),0)</f>
        <v>4063.346</v>
      </c>
      <c r="I2" s="151">
        <f t="shared" ref="I2:I65" si="1">VLOOKUP($A2&amp;$D2,$O$1:$V$189,MATCH(I$1,$O$1:$V$1,0),0)</f>
        <v>1603.5920000000001</v>
      </c>
      <c r="J2" s="284">
        <f>E2/F2-1</f>
        <v>1.171096108976144E-9</v>
      </c>
      <c r="M2" s="147">
        <v>2001</v>
      </c>
      <c r="N2" s="170" t="s">
        <v>177</v>
      </c>
      <c r="O2" s="170" t="str">
        <f t="shared" ref="O2:O49" si="2">M2&amp;N2</f>
        <v>2001Q1</v>
      </c>
      <c r="P2" s="175">
        <v>113069.32213241505</v>
      </c>
      <c r="Q2" s="175">
        <v>113069.322</v>
      </c>
      <c r="R2" s="233">
        <v>1603.5920000000001</v>
      </c>
      <c r="S2" s="233">
        <v>1603.5920000000001</v>
      </c>
      <c r="T2" s="180">
        <v>34569.886538168648</v>
      </c>
      <c r="U2" s="180"/>
      <c r="V2" s="235">
        <f>X2</f>
        <v>4063.346</v>
      </c>
      <c r="W2" s="180">
        <v>413.29820000000001</v>
      </c>
      <c r="X2" s="180">
        <v>4063.346</v>
      </c>
      <c r="Y2" s="170">
        <f t="shared" ref="Y2:Y33" si="3">W2/R2</f>
        <v>0.25773276494270364</v>
      </c>
      <c r="Z2" s="170">
        <f t="shared" ref="Z2:Z33" si="4">X2/S2</f>
        <v>2.5339026385763956</v>
      </c>
      <c r="AA2" s="180">
        <v>4063.346</v>
      </c>
    </row>
    <row r="3" spans="1:27" x14ac:dyDescent="0.2">
      <c r="A3" s="147">
        <v>2001</v>
      </c>
      <c r="B3" s="147">
        <v>2</v>
      </c>
      <c r="C3" s="147" t="str">
        <f t="shared" ref="C3:C66" si="5">A3&amp;B3</f>
        <v>20012</v>
      </c>
      <c r="D3" s="170" t="s">
        <v>177</v>
      </c>
      <c r="E3" s="151">
        <f t="shared" si="0"/>
        <v>113069.32213241505</v>
      </c>
      <c r="F3" s="151">
        <f t="shared" si="0"/>
        <v>113069.322</v>
      </c>
      <c r="G3" s="151">
        <f t="shared" ref="G3:G66" si="6">VLOOKUP($A3&amp;$D3,$O$1:$AA$189,MATCH(G$1,$O$1:$AA$1,0),0)</f>
        <v>4063.346</v>
      </c>
      <c r="H3" s="151">
        <f t="shared" ref="H3:H66" si="7">VLOOKUP($A3&amp;$D3,$O$1:$AA$189,MATCH(H$1,$O$1:$AA$1,0),0)</f>
        <v>4063.346</v>
      </c>
      <c r="I3" s="151">
        <f t="shared" si="1"/>
        <v>1603.5920000000001</v>
      </c>
      <c r="J3" s="284">
        <f t="shared" ref="J3:J66" si="8">E3/F3-1</f>
        <v>1.171096108976144E-9</v>
      </c>
      <c r="M3" s="147">
        <v>2001</v>
      </c>
      <c r="N3" s="170" t="s">
        <v>178</v>
      </c>
      <c r="O3" s="170" t="str">
        <f t="shared" si="2"/>
        <v>2001Q2</v>
      </c>
      <c r="P3" s="175">
        <v>112494.2696849964</v>
      </c>
      <c r="Q3" s="175">
        <v>112494.27</v>
      </c>
      <c r="R3" s="233">
        <v>1606.74</v>
      </c>
      <c r="S3" s="233">
        <v>1606.74</v>
      </c>
      <c r="T3" s="180">
        <v>34431.916408019461</v>
      </c>
      <c r="U3" s="180"/>
      <c r="V3" s="235">
        <f t="shared" ref="V3:V66" si="9">X3</f>
        <v>4068.1320000000001</v>
      </c>
      <c r="W3" s="180">
        <v>414.52</v>
      </c>
      <c r="X3" s="180">
        <v>4068.1320000000001</v>
      </c>
      <c r="Y3" s="170">
        <f t="shared" si="3"/>
        <v>0.25798822460385623</v>
      </c>
      <c r="Z3" s="170">
        <f t="shared" si="4"/>
        <v>2.5319168004779864</v>
      </c>
      <c r="AA3" s="180">
        <v>4068.1320000000001</v>
      </c>
    </row>
    <row r="4" spans="1:27" x14ac:dyDescent="0.2">
      <c r="A4" s="147">
        <v>2001</v>
      </c>
      <c r="B4" s="147">
        <v>3</v>
      </c>
      <c r="C4" s="147" t="str">
        <f t="shared" si="5"/>
        <v>20013</v>
      </c>
      <c r="D4" s="170" t="s">
        <v>177</v>
      </c>
      <c r="E4" s="151">
        <f t="shared" si="0"/>
        <v>113069.32213241505</v>
      </c>
      <c r="F4" s="151">
        <f t="shared" si="0"/>
        <v>113069.322</v>
      </c>
      <c r="G4" s="151">
        <f t="shared" si="6"/>
        <v>4063.346</v>
      </c>
      <c r="H4" s="151">
        <f t="shared" si="7"/>
        <v>4063.346</v>
      </c>
      <c r="I4" s="151">
        <f t="shared" si="1"/>
        <v>1603.5920000000001</v>
      </c>
      <c r="J4" s="284">
        <f t="shared" si="8"/>
        <v>1.171096108976144E-9</v>
      </c>
      <c r="M4" s="147">
        <v>2001</v>
      </c>
      <c r="N4" s="170" t="s">
        <v>179</v>
      </c>
      <c r="O4" s="170" t="str">
        <f t="shared" si="2"/>
        <v>2001Q3</v>
      </c>
      <c r="P4" s="175">
        <v>112373.13660868235</v>
      </c>
      <c r="Q4" s="175">
        <v>112373.137</v>
      </c>
      <c r="R4" s="233">
        <v>1609.894</v>
      </c>
      <c r="S4" s="233">
        <v>1609.894</v>
      </c>
      <c r="T4" s="180">
        <v>34399.937636938055</v>
      </c>
      <c r="U4" s="180"/>
      <c r="V4" s="235">
        <f t="shared" si="9"/>
        <v>4073.5569999999998</v>
      </c>
      <c r="W4" s="180">
        <v>415.50199999999995</v>
      </c>
      <c r="X4" s="180">
        <v>4073.5569999999998</v>
      </c>
      <c r="Y4" s="170">
        <f t="shared" si="3"/>
        <v>0.25809276884068139</v>
      </c>
      <c r="Z4" s="170">
        <f t="shared" si="4"/>
        <v>2.5303262202356178</v>
      </c>
      <c r="AA4" s="180">
        <v>4073.5569999999998</v>
      </c>
    </row>
    <row r="5" spans="1:27" x14ac:dyDescent="0.2">
      <c r="A5" s="147">
        <v>2001</v>
      </c>
      <c r="B5" s="147">
        <v>4</v>
      </c>
      <c r="C5" s="147" t="str">
        <f t="shared" si="5"/>
        <v>20014</v>
      </c>
      <c r="D5" s="170" t="s">
        <v>178</v>
      </c>
      <c r="E5" s="151">
        <f t="shared" si="0"/>
        <v>112494.2696849964</v>
      </c>
      <c r="F5" s="151">
        <f t="shared" si="0"/>
        <v>112494.27</v>
      </c>
      <c r="G5" s="151">
        <f t="shared" si="6"/>
        <v>4068.1320000000001</v>
      </c>
      <c r="H5" s="151">
        <f t="shared" si="7"/>
        <v>4068.1320000000001</v>
      </c>
      <c r="I5" s="151">
        <f t="shared" si="1"/>
        <v>1606.74</v>
      </c>
      <c r="J5" s="284">
        <f t="shared" si="8"/>
        <v>-2.8001746477102074E-9</v>
      </c>
      <c r="M5" s="147">
        <v>2001</v>
      </c>
      <c r="N5" s="170" t="s">
        <v>180</v>
      </c>
      <c r="O5" s="170" t="str">
        <f t="shared" si="2"/>
        <v>2001Q4</v>
      </c>
      <c r="P5" s="175">
        <v>112983.5851011616</v>
      </c>
      <c r="Q5" s="175">
        <v>112983.58500000001</v>
      </c>
      <c r="R5" s="233">
        <v>1613.0550000000001</v>
      </c>
      <c r="S5" s="233">
        <v>1613.0550000000001</v>
      </c>
      <c r="T5" s="180">
        <v>34635.991880930669</v>
      </c>
      <c r="U5" s="180"/>
      <c r="V5" s="235">
        <f t="shared" si="9"/>
        <v>4078.989</v>
      </c>
      <c r="W5" s="180">
        <v>416.48399999999992</v>
      </c>
      <c r="X5" s="180">
        <v>4078.989</v>
      </c>
      <c r="Y5" s="170">
        <f t="shared" si="3"/>
        <v>0.25819578377674657</v>
      </c>
      <c r="Z5" s="170">
        <f t="shared" si="4"/>
        <v>2.528735226015232</v>
      </c>
      <c r="AA5" s="180">
        <v>4078.989</v>
      </c>
    </row>
    <row r="6" spans="1:27" x14ac:dyDescent="0.2">
      <c r="A6" s="147">
        <v>2001</v>
      </c>
      <c r="B6" s="147">
        <v>5</v>
      </c>
      <c r="C6" s="147" t="str">
        <f t="shared" si="5"/>
        <v>20015</v>
      </c>
      <c r="D6" s="170" t="s">
        <v>178</v>
      </c>
      <c r="E6" s="151">
        <f t="shared" si="0"/>
        <v>112494.2696849964</v>
      </c>
      <c r="F6" s="151">
        <f t="shared" si="0"/>
        <v>112494.27</v>
      </c>
      <c r="G6" s="151">
        <f t="shared" si="6"/>
        <v>4068.1320000000001</v>
      </c>
      <c r="H6" s="151">
        <f t="shared" si="7"/>
        <v>4068.1320000000001</v>
      </c>
      <c r="I6" s="151">
        <f t="shared" si="1"/>
        <v>1606.74</v>
      </c>
      <c r="J6" s="284">
        <f t="shared" si="8"/>
        <v>-2.8001746477102074E-9</v>
      </c>
      <c r="M6" s="147">
        <f>M2+1</f>
        <v>2002</v>
      </c>
      <c r="N6" s="170" t="str">
        <f>N2</f>
        <v>Q1</v>
      </c>
      <c r="O6" s="170" t="str">
        <f t="shared" si="2"/>
        <v>2002Q1</v>
      </c>
      <c r="P6" s="175">
        <v>113421.69408897014</v>
      </c>
      <c r="Q6" s="175">
        <v>113421.694</v>
      </c>
      <c r="R6" s="233">
        <v>1616.222</v>
      </c>
      <c r="S6" s="233">
        <v>1616.222</v>
      </c>
      <c r="T6" s="180">
        <v>35447.445392607326</v>
      </c>
      <c r="U6" s="180"/>
      <c r="V6" s="235">
        <f t="shared" si="9"/>
        <v>4084.4279999999999</v>
      </c>
      <c r="W6" s="180">
        <v>417.46599999999995</v>
      </c>
      <c r="X6" s="180">
        <v>4084.4279999999999</v>
      </c>
      <c r="Y6" s="170">
        <f t="shared" si="3"/>
        <v>0.25829743686201523</v>
      </c>
      <c r="Z6" s="170">
        <f t="shared" si="4"/>
        <v>2.5271454045298234</v>
      </c>
      <c r="AA6" s="180">
        <v>4084.4279999999999</v>
      </c>
    </row>
    <row r="7" spans="1:27" x14ac:dyDescent="0.2">
      <c r="A7" s="147">
        <v>2001</v>
      </c>
      <c r="B7" s="147">
        <v>6</v>
      </c>
      <c r="C7" s="147" t="str">
        <f t="shared" si="5"/>
        <v>20016</v>
      </c>
      <c r="D7" s="170" t="s">
        <v>178</v>
      </c>
      <c r="E7" s="151">
        <f t="shared" si="0"/>
        <v>112494.2696849964</v>
      </c>
      <c r="F7" s="151">
        <f t="shared" si="0"/>
        <v>112494.27</v>
      </c>
      <c r="G7" s="151">
        <f t="shared" si="6"/>
        <v>4068.1320000000001</v>
      </c>
      <c r="H7" s="151">
        <f t="shared" si="7"/>
        <v>4068.1320000000001</v>
      </c>
      <c r="I7" s="151">
        <f t="shared" si="1"/>
        <v>1606.74</v>
      </c>
      <c r="J7" s="284">
        <f t="shared" si="8"/>
        <v>-2.8001746477102074E-9</v>
      </c>
      <c r="M7" s="147">
        <f t="shared" ref="M7:M70" si="10">M3+1</f>
        <v>2002</v>
      </c>
      <c r="N7" s="170" t="str">
        <f t="shared" ref="N7:N70" si="11">N3</f>
        <v>Q2</v>
      </c>
      <c r="O7" s="170" t="str">
        <f t="shared" si="2"/>
        <v>2002Q2</v>
      </c>
      <c r="P7" s="175">
        <v>114074.54596497289</v>
      </c>
      <c r="Q7" s="175">
        <v>114074.546</v>
      </c>
      <c r="R7" s="233">
        <v>1619.394</v>
      </c>
      <c r="S7" s="233">
        <v>1619.394</v>
      </c>
      <c r="T7" s="180">
        <v>35596.576099127022</v>
      </c>
      <c r="U7" s="180"/>
      <c r="V7" s="235">
        <f t="shared" si="9"/>
        <v>4089.875</v>
      </c>
      <c r="W7" s="180">
        <v>418.44800000000004</v>
      </c>
      <c r="X7" s="180">
        <v>4089.875</v>
      </c>
      <c r="Y7" s="170">
        <f t="shared" si="3"/>
        <v>0.2583978945210369</v>
      </c>
      <c r="Z7" s="170">
        <f t="shared" si="4"/>
        <v>2.5255589436542309</v>
      </c>
      <c r="AA7" s="180">
        <v>4089.875</v>
      </c>
    </row>
    <row r="8" spans="1:27" x14ac:dyDescent="0.2">
      <c r="A8" s="147">
        <v>2001</v>
      </c>
      <c r="B8" s="147">
        <v>7</v>
      </c>
      <c r="C8" s="147" t="str">
        <f t="shared" si="5"/>
        <v>20017</v>
      </c>
      <c r="D8" s="170" t="s">
        <v>179</v>
      </c>
      <c r="E8" s="151">
        <f t="shared" si="0"/>
        <v>112373.13660868235</v>
      </c>
      <c r="F8" s="151">
        <f t="shared" si="0"/>
        <v>112373.137</v>
      </c>
      <c r="G8" s="151">
        <f t="shared" si="6"/>
        <v>4073.5569999999998</v>
      </c>
      <c r="H8" s="151">
        <f t="shared" si="7"/>
        <v>4073.5569999999998</v>
      </c>
      <c r="I8" s="151">
        <f t="shared" si="1"/>
        <v>1609.894</v>
      </c>
      <c r="J8" s="284">
        <f t="shared" si="8"/>
        <v>-3.4823059991140326E-9</v>
      </c>
      <c r="M8" s="147">
        <f t="shared" si="10"/>
        <v>2002</v>
      </c>
      <c r="N8" s="170" t="str">
        <f t="shared" si="11"/>
        <v>Q3</v>
      </c>
      <c r="O8" s="170" t="str">
        <f t="shared" si="2"/>
        <v>2002Q3</v>
      </c>
      <c r="P8" s="175">
        <v>114002.70729034615</v>
      </c>
      <c r="Q8" s="175">
        <v>114002.70699999999</v>
      </c>
      <c r="R8" s="233">
        <v>1622.5740000000001</v>
      </c>
      <c r="S8" s="233">
        <v>1622.5740000000001</v>
      </c>
      <c r="T8" s="180">
        <v>35529.120654001694</v>
      </c>
      <c r="U8" s="180"/>
      <c r="V8" s="235">
        <f t="shared" si="9"/>
        <v>4096.6819999999998</v>
      </c>
      <c r="W8" s="180">
        <v>420.07424999999984</v>
      </c>
      <c r="X8" s="180">
        <v>4096.6819999999998</v>
      </c>
      <c r="Y8" s="170">
        <f t="shared" si="3"/>
        <v>0.25889373920696362</v>
      </c>
      <c r="Z8" s="170">
        <f t="shared" si="4"/>
        <v>2.5248044156999927</v>
      </c>
      <c r="AA8" s="180">
        <v>4096.6819999999998</v>
      </c>
    </row>
    <row r="9" spans="1:27" x14ac:dyDescent="0.2">
      <c r="A9" s="147">
        <v>2001</v>
      </c>
      <c r="B9" s="147">
        <v>8</v>
      </c>
      <c r="C9" s="147" t="str">
        <f t="shared" si="5"/>
        <v>20018</v>
      </c>
      <c r="D9" s="170" t="s">
        <v>179</v>
      </c>
      <c r="E9" s="151">
        <f t="shared" si="0"/>
        <v>112373.13660868235</v>
      </c>
      <c r="F9" s="151">
        <f t="shared" si="0"/>
        <v>112373.137</v>
      </c>
      <c r="G9" s="151">
        <f t="shared" si="6"/>
        <v>4073.5569999999998</v>
      </c>
      <c r="H9" s="151">
        <f t="shared" si="7"/>
        <v>4073.5569999999998</v>
      </c>
      <c r="I9" s="151">
        <f t="shared" si="1"/>
        <v>1609.894</v>
      </c>
      <c r="J9" s="284">
        <f t="shared" si="8"/>
        <v>-3.4823059991140326E-9</v>
      </c>
      <c r="M9" s="147">
        <f t="shared" si="10"/>
        <v>2002</v>
      </c>
      <c r="N9" s="170" t="str">
        <f t="shared" si="11"/>
        <v>Q4</v>
      </c>
      <c r="O9" s="170" t="str">
        <f t="shared" si="2"/>
        <v>2002Q4</v>
      </c>
      <c r="P9" s="175">
        <v>114407.6133447391</v>
      </c>
      <c r="Q9" s="175">
        <v>114407.613</v>
      </c>
      <c r="R9" s="233">
        <v>1625.759</v>
      </c>
      <c r="S9" s="233">
        <v>1625.759</v>
      </c>
      <c r="T9" s="180">
        <v>35618.929902433476</v>
      </c>
      <c r="U9" s="180"/>
      <c r="V9" s="235">
        <f t="shared" si="9"/>
        <v>4103.5</v>
      </c>
      <c r="W9" s="180">
        <v>421.70050000000003</v>
      </c>
      <c r="X9" s="180">
        <v>4103.5</v>
      </c>
      <c r="Y9" s="170">
        <f t="shared" si="3"/>
        <v>0.25938684638990162</v>
      </c>
      <c r="Z9" s="170">
        <f t="shared" si="4"/>
        <v>2.5240518428623187</v>
      </c>
      <c r="AA9" s="180">
        <v>4103.5</v>
      </c>
    </row>
    <row r="10" spans="1:27" x14ac:dyDescent="0.2">
      <c r="A10" s="147">
        <v>2001</v>
      </c>
      <c r="B10" s="147">
        <v>9</v>
      </c>
      <c r="C10" s="147" t="str">
        <f t="shared" si="5"/>
        <v>20019</v>
      </c>
      <c r="D10" s="170" t="s">
        <v>179</v>
      </c>
      <c r="E10" s="151">
        <f t="shared" si="0"/>
        <v>112373.13660868235</v>
      </c>
      <c r="F10" s="151">
        <f t="shared" si="0"/>
        <v>112373.137</v>
      </c>
      <c r="G10" s="151">
        <f t="shared" si="6"/>
        <v>4073.5569999999998</v>
      </c>
      <c r="H10" s="151">
        <f t="shared" si="7"/>
        <v>4073.5569999999998</v>
      </c>
      <c r="I10" s="151">
        <f t="shared" si="1"/>
        <v>1609.894</v>
      </c>
      <c r="J10" s="284">
        <f t="shared" si="8"/>
        <v>-3.4823059991140326E-9</v>
      </c>
      <c r="M10" s="147">
        <f t="shared" si="10"/>
        <v>2003</v>
      </c>
      <c r="N10" s="170" t="str">
        <f t="shared" si="11"/>
        <v>Q1</v>
      </c>
      <c r="O10" s="170" t="str">
        <f t="shared" si="2"/>
        <v>2003Q1</v>
      </c>
      <c r="P10" s="175">
        <v>113801.59673857653</v>
      </c>
      <c r="Q10" s="175">
        <v>113801.59699999999</v>
      </c>
      <c r="R10" s="233">
        <v>1628.951</v>
      </c>
      <c r="S10" s="233">
        <v>1628.951</v>
      </c>
      <c r="T10" s="180">
        <v>35646.967823316591</v>
      </c>
      <c r="U10" s="180"/>
      <c r="V10" s="235">
        <f t="shared" si="9"/>
        <v>4110.3289999999997</v>
      </c>
      <c r="W10" s="180">
        <v>423.32675</v>
      </c>
      <c r="X10" s="180">
        <v>4110.3289999999997</v>
      </c>
      <c r="Y10" s="170">
        <f t="shared" si="3"/>
        <v>0.25987690851351575</v>
      </c>
      <c r="Z10" s="170">
        <f t="shared" si="4"/>
        <v>2.5232981225340723</v>
      </c>
      <c r="AA10" s="180">
        <v>4110.3289999999997</v>
      </c>
    </row>
    <row r="11" spans="1:27" x14ac:dyDescent="0.2">
      <c r="A11" s="147">
        <v>2001</v>
      </c>
      <c r="B11" s="147">
        <v>10</v>
      </c>
      <c r="C11" s="147" t="str">
        <f t="shared" si="5"/>
        <v>200110</v>
      </c>
      <c r="D11" s="170" t="s">
        <v>180</v>
      </c>
      <c r="E11" s="151">
        <f t="shared" si="0"/>
        <v>112983.5851011616</v>
      </c>
      <c r="F11" s="151">
        <f t="shared" si="0"/>
        <v>112983.58500000001</v>
      </c>
      <c r="G11" s="151">
        <f t="shared" si="6"/>
        <v>4078.989</v>
      </c>
      <c r="H11" s="151">
        <f t="shared" si="7"/>
        <v>4078.989</v>
      </c>
      <c r="I11" s="151">
        <f t="shared" si="1"/>
        <v>1613.0550000000001</v>
      </c>
      <c r="J11" s="284">
        <f t="shared" si="8"/>
        <v>8.9536533742773372E-10</v>
      </c>
      <c r="M11" s="147">
        <f t="shared" si="10"/>
        <v>2003</v>
      </c>
      <c r="N11" s="170" t="str">
        <f t="shared" si="11"/>
        <v>Q2</v>
      </c>
      <c r="O11" s="170" t="str">
        <f t="shared" si="2"/>
        <v>2003Q2</v>
      </c>
      <c r="P11" s="175">
        <v>114321.78396384545</v>
      </c>
      <c r="Q11" s="175">
        <v>114321.784</v>
      </c>
      <c r="R11" s="233">
        <v>1632.1479999999999</v>
      </c>
      <c r="S11" s="233">
        <v>1632.1479999999999</v>
      </c>
      <c r="T11" s="180">
        <v>35842.575547320266</v>
      </c>
      <c r="U11" s="180"/>
      <c r="V11" s="235">
        <f t="shared" si="9"/>
        <v>4117.17</v>
      </c>
      <c r="W11" s="180">
        <v>424.95300000000003</v>
      </c>
      <c r="X11" s="180">
        <v>4117.17</v>
      </c>
      <c r="Y11" s="170">
        <f t="shared" si="3"/>
        <v>0.26036425618265013</v>
      </c>
      <c r="Z11" s="170">
        <f t="shared" si="4"/>
        <v>2.5225469749066876</v>
      </c>
      <c r="AA11" s="180">
        <v>4117.17</v>
      </c>
    </row>
    <row r="12" spans="1:27" x14ac:dyDescent="0.2">
      <c r="A12" s="147">
        <v>2001</v>
      </c>
      <c r="B12" s="147">
        <v>11</v>
      </c>
      <c r="C12" s="147" t="str">
        <f t="shared" si="5"/>
        <v>200111</v>
      </c>
      <c r="D12" s="170" t="s">
        <v>180</v>
      </c>
      <c r="E12" s="151">
        <f t="shared" si="0"/>
        <v>112983.5851011616</v>
      </c>
      <c r="F12" s="151">
        <f t="shared" si="0"/>
        <v>112983.58500000001</v>
      </c>
      <c r="G12" s="151">
        <f t="shared" si="6"/>
        <v>4078.989</v>
      </c>
      <c r="H12" s="151">
        <f t="shared" si="7"/>
        <v>4078.989</v>
      </c>
      <c r="I12" s="151">
        <f t="shared" si="1"/>
        <v>1613.0550000000001</v>
      </c>
      <c r="J12" s="284">
        <f t="shared" si="8"/>
        <v>8.9536533742773372E-10</v>
      </c>
      <c r="M12" s="147">
        <f t="shared" si="10"/>
        <v>2003</v>
      </c>
      <c r="N12" s="170" t="str">
        <f t="shared" si="11"/>
        <v>Q3</v>
      </c>
      <c r="O12" s="170" t="str">
        <f t="shared" si="2"/>
        <v>2003Q3</v>
      </c>
      <c r="P12" s="175">
        <v>114399.5530773366</v>
      </c>
      <c r="Q12" s="175">
        <v>114399.553</v>
      </c>
      <c r="R12" s="233">
        <v>1635.3530000000001</v>
      </c>
      <c r="S12" s="233">
        <v>1635.3530000000001</v>
      </c>
      <c r="T12" s="180">
        <v>35879.356060081816</v>
      </c>
      <c r="U12" s="180"/>
      <c r="V12" s="235">
        <f t="shared" si="9"/>
        <v>4124.384</v>
      </c>
      <c r="W12" s="180">
        <v>426.27199999999993</v>
      </c>
      <c r="X12" s="180">
        <v>4124.384</v>
      </c>
      <c r="Y12" s="170">
        <f t="shared" si="3"/>
        <v>0.2606605424027717</v>
      </c>
      <c r="Z12" s="170">
        <f t="shared" si="4"/>
        <v>2.5220145130745473</v>
      </c>
      <c r="AA12" s="180">
        <v>4124.384</v>
      </c>
    </row>
    <row r="13" spans="1:27" x14ac:dyDescent="0.2">
      <c r="A13" s="147">
        <v>2001</v>
      </c>
      <c r="B13" s="147">
        <v>12</v>
      </c>
      <c r="C13" s="147" t="str">
        <f t="shared" si="5"/>
        <v>200112</v>
      </c>
      <c r="D13" s="170" t="s">
        <v>180</v>
      </c>
      <c r="E13" s="151">
        <f t="shared" si="0"/>
        <v>112983.5851011616</v>
      </c>
      <c r="F13" s="151">
        <f t="shared" si="0"/>
        <v>112983.58500000001</v>
      </c>
      <c r="G13" s="151">
        <f t="shared" si="6"/>
        <v>4078.989</v>
      </c>
      <c r="H13" s="151">
        <f t="shared" si="7"/>
        <v>4078.989</v>
      </c>
      <c r="I13" s="151">
        <f t="shared" si="1"/>
        <v>1613.0550000000001</v>
      </c>
      <c r="J13" s="284">
        <f t="shared" si="8"/>
        <v>8.9536533742773372E-10</v>
      </c>
      <c r="M13" s="147">
        <f t="shared" si="10"/>
        <v>2003</v>
      </c>
      <c r="N13" s="170" t="str">
        <f t="shared" si="11"/>
        <v>Q4</v>
      </c>
      <c r="O13" s="170" t="str">
        <f t="shared" si="2"/>
        <v>2003Q4</v>
      </c>
      <c r="P13" s="175">
        <v>115855.96172409452</v>
      </c>
      <c r="Q13" s="175">
        <v>115855.962</v>
      </c>
      <c r="R13" s="233">
        <v>1638.5630000000001</v>
      </c>
      <c r="S13" s="233">
        <v>1638.5630000000001</v>
      </c>
      <c r="T13" s="180">
        <v>36361.519986701038</v>
      </c>
      <c r="U13" s="180"/>
      <c r="V13" s="235">
        <f t="shared" si="9"/>
        <v>4131.6099999999997</v>
      </c>
      <c r="W13" s="180">
        <v>427.59099999999995</v>
      </c>
      <c r="X13" s="180">
        <v>4131.6099999999997</v>
      </c>
      <c r="Y13" s="170">
        <f t="shared" si="3"/>
        <v>0.26095487326395134</v>
      </c>
      <c r="Z13" s="170">
        <f t="shared" si="4"/>
        <v>2.5214837635171792</v>
      </c>
      <c r="AA13" s="180">
        <v>4131.6099999999997</v>
      </c>
    </row>
    <row r="14" spans="1:27" x14ac:dyDescent="0.2">
      <c r="A14" s="147">
        <v>2002</v>
      </c>
      <c r="B14" s="147">
        <v>1</v>
      </c>
      <c r="C14" s="147" t="str">
        <f t="shared" si="5"/>
        <v>20021</v>
      </c>
      <c r="D14" s="147" t="str">
        <f>D2</f>
        <v>Q1</v>
      </c>
      <c r="E14" s="151">
        <f t="shared" si="0"/>
        <v>113421.69408897014</v>
      </c>
      <c r="F14" s="151">
        <f t="shared" si="0"/>
        <v>113421.694</v>
      </c>
      <c r="G14" s="151">
        <f t="shared" si="6"/>
        <v>4084.4279999999999</v>
      </c>
      <c r="H14" s="151">
        <f t="shared" si="7"/>
        <v>4084.4279999999999</v>
      </c>
      <c r="I14" s="151">
        <f t="shared" si="1"/>
        <v>1616.222</v>
      </c>
      <c r="J14" s="284">
        <f t="shared" si="8"/>
        <v>7.8441897422010243E-10</v>
      </c>
      <c r="M14" s="147">
        <f t="shared" si="10"/>
        <v>2004</v>
      </c>
      <c r="N14" s="170" t="str">
        <f t="shared" si="11"/>
        <v>Q1</v>
      </c>
      <c r="O14" s="170" t="str">
        <f t="shared" si="2"/>
        <v>2004Q1</v>
      </c>
      <c r="P14" s="175">
        <v>116263.07300067642</v>
      </c>
      <c r="Q14" s="175">
        <v>116263.073</v>
      </c>
      <c r="R14" s="233">
        <v>1641.78</v>
      </c>
      <c r="S14" s="233">
        <v>1641.78</v>
      </c>
      <c r="T14" s="180">
        <v>36644.026083426186</v>
      </c>
      <c r="U14" s="180"/>
      <c r="V14" s="235">
        <f t="shared" si="9"/>
        <v>4138.8490000000002</v>
      </c>
      <c r="W14" s="180">
        <v>428.91</v>
      </c>
      <c r="X14" s="180">
        <v>4138.8490000000002</v>
      </c>
      <c r="Y14" s="170">
        <f t="shared" si="3"/>
        <v>0.26124693929759168</v>
      </c>
      <c r="Z14" s="170">
        <f t="shared" si="4"/>
        <v>2.5209522591333799</v>
      </c>
      <c r="AA14" s="180">
        <v>4138.8490000000002</v>
      </c>
    </row>
    <row r="15" spans="1:27" x14ac:dyDescent="0.2">
      <c r="A15" s="147">
        <v>2002</v>
      </c>
      <c r="B15" s="147">
        <v>2</v>
      </c>
      <c r="C15" s="147" t="str">
        <f t="shared" si="5"/>
        <v>20022</v>
      </c>
      <c r="D15" s="147" t="str">
        <f t="shared" ref="D15:D78" si="12">D3</f>
        <v>Q1</v>
      </c>
      <c r="E15" s="151">
        <f t="shared" si="0"/>
        <v>113421.69408897014</v>
      </c>
      <c r="F15" s="151">
        <f t="shared" si="0"/>
        <v>113421.694</v>
      </c>
      <c r="G15" s="151">
        <f t="shared" si="6"/>
        <v>4084.4279999999999</v>
      </c>
      <c r="H15" s="151">
        <f t="shared" si="7"/>
        <v>4084.4279999999999</v>
      </c>
      <c r="I15" s="151">
        <f t="shared" si="1"/>
        <v>1616.222</v>
      </c>
      <c r="J15" s="284">
        <f t="shared" si="8"/>
        <v>7.8441897422010243E-10</v>
      </c>
      <c r="M15" s="147">
        <f t="shared" si="10"/>
        <v>2004</v>
      </c>
      <c r="N15" s="170" t="str">
        <f t="shared" si="11"/>
        <v>Q2</v>
      </c>
      <c r="O15" s="170" t="str">
        <f t="shared" si="2"/>
        <v>2004Q2</v>
      </c>
      <c r="P15" s="175">
        <v>116694.55807611256</v>
      </c>
      <c r="Q15" s="175">
        <v>116694.558</v>
      </c>
      <c r="R15" s="233">
        <v>1645.002</v>
      </c>
      <c r="S15" s="233">
        <v>1645.002</v>
      </c>
      <c r="T15" s="180">
        <v>36771.492378685805</v>
      </c>
      <c r="U15" s="180"/>
      <c r="V15" s="235">
        <f t="shared" si="9"/>
        <v>4146.1009999999997</v>
      </c>
      <c r="W15" s="180">
        <v>430.22899999999998</v>
      </c>
      <c r="X15" s="180">
        <v>4146.1009999999997</v>
      </c>
      <c r="Y15" s="170">
        <f t="shared" si="3"/>
        <v>0.26153706804003884</v>
      </c>
      <c r="Z15" s="170">
        <f t="shared" si="4"/>
        <v>2.5204230754734644</v>
      </c>
      <c r="AA15" s="180">
        <v>4146.1009999999997</v>
      </c>
    </row>
    <row r="16" spans="1:27" x14ac:dyDescent="0.2">
      <c r="A16" s="147">
        <v>2002</v>
      </c>
      <c r="B16" s="147">
        <v>3</v>
      </c>
      <c r="C16" s="147" t="str">
        <f t="shared" si="5"/>
        <v>20023</v>
      </c>
      <c r="D16" s="147" t="str">
        <f t="shared" si="12"/>
        <v>Q1</v>
      </c>
      <c r="E16" s="151">
        <f t="shared" si="0"/>
        <v>113421.69408897014</v>
      </c>
      <c r="F16" s="151">
        <f t="shared" si="0"/>
        <v>113421.694</v>
      </c>
      <c r="G16" s="151">
        <f t="shared" si="6"/>
        <v>4084.4279999999999</v>
      </c>
      <c r="H16" s="151">
        <f t="shared" si="7"/>
        <v>4084.4279999999999</v>
      </c>
      <c r="I16" s="151">
        <f t="shared" si="1"/>
        <v>1616.222</v>
      </c>
      <c r="J16" s="284">
        <f t="shared" si="8"/>
        <v>7.8441897422010243E-10</v>
      </c>
      <c r="M16" s="147">
        <f t="shared" si="10"/>
        <v>2004</v>
      </c>
      <c r="N16" s="170" t="str">
        <f t="shared" si="11"/>
        <v>Q3</v>
      </c>
      <c r="O16" s="170" t="str">
        <f t="shared" si="2"/>
        <v>2004Q3</v>
      </c>
      <c r="P16" s="175">
        <v>117551.33470225871</v>
      </c>
      <c r="Q16" s="175">
        <v>117551.33500000001</v>
      </c>
      <c r="R16" s="233">
        <v>1648.232</v>
      </c>
      <c r="S16" s="233">
        <v>1648.232</v>
      </c>
      <c r="T16" s="180">
        <v>36973.693354213639</v>
      </c>
      <c r="U16" s="180"/>
      <c r="V16" s="235">
        <f t="shared" si="9"/>
        <v>4155.2309999999998</v>
      </c>
      <c r="W16" s="180">
        <v>431.89625000000001</v>
      </c>
      <c r="X16" s="180">
        <v>4155.2309999999998</v>
      </c>
      <c r="Y16" s="170">
        <f t="shared" si="3"/>
        <v>0.26203607865882961</v>
      </c>
      <c r="Z16" s="170">
        <f t="shared" si="4"/>
        <v>2.5210231326657895</v>
      </c>
      <c r="AA16" s="180">
        <v>4155.2309999999998</v>
      </c>
    </row>
    <row r="17" spans="1:27" x14ac:dyDescent="0.2">
      <c r="A17" s="147">
        <v>2002</v>
      </c>
      <c r="B17" s="147">
        <v>4</v>
      </c>
      <c r="C17" s="147" t="str">
        <f t="shared" si="5"/>
        <v>20024</v>
      </c>
      <c r="D17" s="147" t="str">
        <f t="shared" si="12"/>
        <v>Q2</v>
      </c>
      <c r="E17" s="151">
        <f t="shared" si="0"/>
        <v>114074.54596497289</v>
      </c>
      <c r="F17" s="151">
        <f t="shared" si="0"/>
        <v>114074.546</v>
      </c>
      <c r="G17" s="151">
        <f t="shared" si="6"/>
        <v>4089.875</v>
      </c>
      <c r="H17" s="151">
        <f t="shared" si="7"/>
        <v>4089.875</v>
      </c>
      <c r="I17" s="151">
        <f t="shared" si="1"/>
        <v>1619.394</v>
      </c>
      <c r="J17" s="284">
        <f t="shared" si="8"/>
        <v>-3.0705460396518447E-10</v>
      </c>
      <c r="M17" s="147">
        <f t="shared" si="10"/>
        <v>2004</v>
      </c>
      <c r="N17" s="170" t="str">
        <f t="shared" si="11"/>
        <v>Q4</v>
      </c>
      <c r="O17" s="170" t="str">
        <f t="shared" si="2"/>
        <v>2004Q4</v>
      </c>
      <c r="P17" s="175">
        <v>118914.67973070695</v>
      </c>
      <c r="Q17" s="175">
        <v>118914.68</v>
      </c>
      <c r="R17" s="233">
        <v>1651.4670000000001</v>
      </c>
      <c r="S17" s="233">
        <v>1651.4670000000001</v>
      </c>
      <c r="T17" s="180">
        <v>37306.699921138053</v>
      </c>
      <c r="U17" s="180"/>
      <c r="V17" s="235">
        <f t="shared" si="9"/>
        <v>4164.3810000000003</v>
      </c>
      <c r="W17" s="180">
        <v>433.56350000000003</v>
      </c>
      <c r="X17" s="180">
        <v>4164.3810000000003</v>
      </c>
      <c r="Y17" s="170">
        <f t="shared" si="3"/>
        <v>0.26253234245673696</v>
      </c>
      <c r="Z17" s="170">
        <f t="shared" si="4"/>
        <v>2.5216253185803894</v>
      </c>
      <c r="AA17" s="180">
        <v>4164.3810000000003</v>
      </c>
    </row>
    <row r="18" spans="1:27" x14ac:dyDescent="0.2">
      <c r="A18" s="147">
        <v>2002</v>
      </c>
      <c r="B18" s="147">
        <v>5</v>
      </c>
      <c r="C18" s="147" t="str">
        <f t="shared" si="5"/>
        <v>20025</v>
      </c>
      <c r="D18" s="147" t="str">
        <f t="shared" si="12"/>
        <v>Q2</v>
      </c>
      <c r="E18" s="151">
        <f t="shared" si="0"/>
        <v>114074.54596497289</v>
      </c>
      <c r="F18" s="151">
        <f t="shared" si="0"/>
        <v>114074.546</v>
      </c>
      <c r="G18" s="151">
        <f t="shared" si="6"/>
        <v>4089.875</v>
      </c>
      <c r="H18" s="151">
        <f t="shared" si="7"/>
        <v>4089.875</v>
      </c>
      <c r="I18" s="151">
        <f t="shared" si="1"/>
        <v>1619.394</v>
      </c>
      <c r="J18" s="284">
        <f t="shared" si="8"/>
        <v>-3.0705460396518447E-10</v>
      </c>
      <c r="M18" s="147">
        <f t="shared" si="10"/>
        <v>2005</v>
      </c>
      <c r="N18" s="170" t="str">
        <f t="shared" si="11"/>
        <v>Q1</v>
      </c>
      <c r="O18" s="170" t="str">
        <f t="shared" si="2"/>
        <v>2005Q1</v>
      </c>
      <c r="P18" s="175">
        <v>118334.43021313217</v>
      </c>
      <c r="Q18" s="175">
        <v>118334.43</v>
      </c>
      <c r="R18" s="233">
        <v>1654.7090000000001</v>
      </c>
      <c r="S18" s="233">
        <v>1654.7090000000001</v>
      </c>
      <c r="T18" s="180">
        <v>36497.743140651095</v>
      </c>
      <c r="U18" s="180"/>
      <c r="V18" s="235">
        <f t="shared" si="9"/>
        <v>4173.5519999999997</v>
      </c>
      <c r="W18" s="180">
        <v>435.23075</v>
      </c>
      <c r="X18" s="180">
        <v>4173.5519999999997</v>
      </c>
      <c r="Y18" s="170">
        <f t="shared" si="3"/>
        <v>0.26302555313351167</v>
      </c>
      <c r="Z18" s="170">
        <f t="shared" si="4"/>
        <v>2.5222271710614974</v>
      </c>
      <c r="AA18" s="180">
        <v>4173.5519999999997</v>
      </c>
    </row>
    <row r="19" spans="1:27" x14ac:dyDescent="0.2">
      <c r="A19" s="147">
        <v>2002</v>
      </c>
      <c r="B19" s="147">
        <v>6</v>
      </c>
      <c r="C19" s="147" t="str">
        <f t="shared" si="5"/>
        <v>20026</v>
      </c>
      <c r="D19" s="147" t="str">
        <f t="shared" si="12"/>
        <v>Q2</v>
      </c>
      <c r="E19" s="151">
        <f t="shared" si="0"/>
        <v>114074.54596497289</v>
      </c>
      <c r="F19" s="151">
        <f t="shared" si="0"/>
        <v>114074.546</v>
      </c>
      <c r="G19" s="151">
        <f t="shared" si="6"/>
        <v>4089.875</v>
      </c>
      <c r="H19" s="151">
        <f t="shared" si="7"/>
        <v>4089.875</v>
      </c>
      <c r="I19" s="151">
        <f t="shared" si="1"/>
        <v>1619.394</v>
      </c>
      <c r="J19" s="284">
        <f t="shared" si="8"/>
        <v>-3.0705460396518447E-10</v>
      </c>
      <c r="M19" s="147">
        <f t="shared" si="10"/>
        <v>2005</v>
      </c>
      <c r="N19" s="170" t="str">
        <f t="shared" si="11"/>
        <v>Q2</v>
      </c>
      <c r="O19" s="170" t="str">
        <f t="shared" si="2"/>
        <v>2005Q2</v>
      </c>
      <c r="P19" s="175">
        <v>119333.41383890837</v>
      </c>
      <c r="Q19" s="175">
        <v>119333.414</v>
      </c>
      <c r="R19" s="233">
        <v>1657.9570000000001</v>
      </c>
      <c r="S19" s="233">
        <v>1657.9570000000001</v>
      </c>
      <c r="T19" s="180">
        <v>36925.598833112439</v>
      </c>
      <c r="U19" s="180"/>
      <c r="V19" s="235">
        <f t="shared" si="9"/>
        <v>4182.7420000000002</v>
      </c>
      <c r="W19" s="180">
        <v>436.89800000000002</v>
      </c>
      <c r="X19" s="180">
        <v>4182.7420000000002</v>
      </c>
      <c r="Y19" s="170">
        <f t="shared" si="3"/>
        <v>0.26351588129245812</v>
      </c>
      <c r="Z19" s="170">
        <f t="shared" si="4"/>
        <v>2.5228289997870874</v>
      </c>
      <c r="AA19" s="180">
        <v>4182.7420000000002</v>
      </c>
    </row>
    <row r="20" spans="1:27" x14ac:dyDescent="0.2">
      <c r="A20" s="147">
        <v>2002</v>
      </c>
      <c r="B20" s="147">
        <v>7</v>
      </c>
      <c r="C20" s="147" t="str">
        <f t="shared" si="5"/>
        <v>20027</v>
      </c>
      <c r="D20" s="147" t="str">
        <f t="shared" si="12"/>
        <v>Q3</v>
      </c>
      <c r="E20" s="151">
        <f t="shared" si="0"/>
        <v>114002.70729034615</v>
      </c>
      <c r="F20" s="151">
        <f t="shared" si="0"/>
        <v>114002.70699999999</v>
      </c>
      <c r="G20" s="151">
        <f t="shared" si="6"/>
        <v>4096.6819999999998</v>
      </c>
      <c r="H20" s="151">
        <f t="shared" si="7"/>
        <v>4096.6819999999998</v>
      </c>
      <c r="I20" s="151">
        <f t="shared" si="1"/>
        <v>1622.5740000000001</v>
      </c>
      <c r="J20" s="284">
        <f t="shared" si="8"/>
        <v>2.5468356312785545E-9</v>
      </c>
      <c r="M20" s="147">
        <f t="shared" si="10"/>
        <v>2005</v>
      </c>
      <c r="N20" s="170" t="str">
        <f t="shared" si="11"/>
        <v>Q3</v>
      </c>
      <c r="O20" s="170" t="str">
        <f t="shared" si="2"/>
        <v>2005Q3</v>
      </c>
      <c r="P20" s="175">
        <v>119379.65211161086</v>
      </c>
      <c r="Q20" s="175">
        <v>119379.652</v>
      </c>
      <c r="R20" s="233">
        <v>1657.652</v>
      </c>
      <c r="S20" s="233">
        <v>1657.652</v>
      </c>
      <c r="T20" s="180">
        <v>37050.927192459436</v>
      </c>
      <c r="U20" s="180"/>
      <c r="V20" s="235">
        <f t="shared" si="9"/>
        <v>4191.8370000000004</v>
      </c>
      <c r="W20" s="180">
        <v>439.09474999999986</v>
      </c>
      <c r="X20" s="180">
        <v>4191.8370000000004</v>
      </c>
      <c r="Y20" s="170">
        <f t="shared" si="3"/>
        <v>0.26488958478619146</v>
      </c>
      <c r="Z20" s="170">
        <f t="shared" si="4"/>
        <v>2.5287798645312769</v>
      </c>
      <c r="AA20" s="180">
        <v>4191.8370000000004</v>
      </c>
    </row>
    <row r="21" spans="1:27" x14ac:dyDescent="0.2">
      <c r="A21" s="147">
        <v>2002</v>
      </c>
      <c r="B21" s="147">
        <v>8</v>
      </c>
      <c r="C21" s="147" t="str">
        <f t="shared" si="5"/>
        <v>20028</v>
      </c>
      <c r="D21" s="147" t="str">
        <f t="shared" si="12"/>
        <v>Q3</v>
      </c>
      <c r="E21" s="151">
        <f t="shared" si="0"/>
        <v>114002.70729034615</v>
      </c>
      <c r="F21" s="151">
        <f t="shared" si="0"/>
        <v>114002.70699999999</v>
      </c>
      <c r="G21" s="151">
        <f t="shared" si="6"/>
        <v>4096.6819999999998</v>
      </c>
      <c r="H21" s="151">
        <f t="shared" si="7"/>
        <v>4096.6819999999998</v>
      </c>
      <c r="I21" s="151">
        <f t="shared" si="1"/>
        <v>1622.5740000000001</v>
      </c>
      <c r="J21" s="284">
        <f t="shared" si="8"/>
        <v>2.5468356312785545E-9</v>
      </c>
      <c r="M21" s="147">
        <f t="shared" si="10"/>
        <v>2005</v>
      </c>
      <c r="N21" s="170" t="str">
        <f t="shared" si="11"/>
        <v>Q4</v>
      </c>
      <c r="O21" s="170" t="str">
        <f t="shared" si="2"/>
        <v>2005Q4</v>
      </c>
      <c r="P21" s="175">
        <v>119542.07810912392</v>
      </c>
      <c r="Q21" s="175">
        <v>119542.07799999999</v>
      </c>
      <c r="R21" s="233">
        <v>1657.348</v>
      </c>
      <c r="S21" s="233">
        <v>1657.348</v>
      </c>
      <c r="T21" s="180">
        <v>37214.08364461326</v>
      </c>
      <c r="U21" s="180"/>
      <c r="V21" s="235">
        <f t="shared" si="9"/>
        <v>4200.951</v>
      </c>
      <c r="W21" s="180">
        <v>441.29150000000004</v>
      </c>
      <c r="X21" s="180">
        <v>4200.951</v>
      </c>
      <c r="Y21" s="170">
        <f t="shared" si="3"/>
        <v>0.26626363322609375</v>
      </c>
      <c r="Z21" s="170">
        <f t="shared" si="4"/>
        <v>2.5347428542466641</v>
      </c>
      <c r="AA21" s="180">
        <v>4200.951</v>
      </c>
    </row>
    <row r="22" spans="1:27" x14ac:dyDescent="0.2">
      <c r="A22" s="147">
        <v>2002</v>
      </c>
      <c r="B22" s="147">
        <v>9</v>
      </c>
      <c r="C22" s="147" t="str">
        <f t="shared" si="5"/>
        <v>20029</v>
      </c>
      <c r="D22" s="147" t="str">
        <f t="shared" si="12"/>
        <v>Q3</v>
      </c>
      <c r="E22" s="151">
        <f t="shared" ref="E22:F41" si="13">VLOOKUP($A22&amp;$D22,$O$1:$V$189,MATCH(E$1,$O$1:$V$1,0),0)</f>
        <v>114002.70729034615</v>
      </c>
      <c r="F22" s="151">
        <f t="shared" si="13"/>
        <v>114002.70699999999</v>
      </c>
      <c r="G22" s="151">
        <f t="shared" si="6"/>
        <v>4096.6819999999998</v>
      </c>
      <c r="H22" s="151">
        <f t="shared" si="7"/>
        <v>4096.6819999999998</v>
      </c>
      <c r="I22" s="151">
        <f t="shared" si="1"/>
        <v>1622.5740000000001</v>
      </c>
      <c r="J22" s="284">
        <f t="shared" si="8"/>
        <v>2.5468356312785545E-9</v>
      </c>
      <c r="M22" s="147">
        <f t="shared" si="10"/>
        <v>2006</v>
      </c>
      <c r="N22" s="170" t="str">
        <f t="shared" si="11"/>
        <v>Q1</v>
      </c>
      <c r="O22" s="170" t="str">
        <f t="shared" si="2"/>
        <v>2006Q1</v>
      </c>
      <c r="P22" s="175">
        <v>121891.27060534019</v>
      </c>
      <c r="Q22" s="175">
        <v>121891.27099999999</v>
      </c>
      <c r="R22" s="233">
        <v>1657.0429999999999</v>
      </c>
      <c r="S22" s="233">
        <v>1657.0429999999999</v>
      </c>
      <c r="T22" s="180">
        <v>38232.076121240505</v>
      </c>
      <c r="U22" s="180"/>
      <c r="V22" s="235">
        <f t="shared" si="9"/>
        <v>4210.085</v>
      </c>
      <c r="W22" s="180">
        <v>443.48824999999999</v>
      </c>
      <c r="X22" s="180">
        <v>4210.085</v>
      </c>
      <c r="Y22" s="170">
        <f t="shared" si="3"/>
        <v>0.26763834734524089</v>
      </c>
      <c r="Z22" s="170">
        <f t="shared" si="4"/>
        <v>2.540721634864032</v>
      </c>
      <c r="AA22" s="180">
        <v>4210.085</v>
      </c>
    </row>
    <row r="23" spans="1:27" x14ac:dyDescent="0.2">
      <c r="A23" s="147">
        <v>2002</v>
      </c>
      <c r="B23" s="147">
        <v>10</v>
      </c>
      <c r="C23" s="147" t="str">
        <f t="shared" si="5"/>
        <v>200210</v>
      </c>
      <c r="D23" s="147" t="str">
        <f t="shared" si="12"/>
        <v>Q4</v>
      </c>
      <c r="E23" s="151">
        <f t="shared" si="13"/>
        <v>114407.6133447391</v>
      </c>
      <c r="F23" s="151">
        <f t="shared" si="13"/>
        <v>114407.613</v>
      </c>
      <c r="G23" s="151">
        <f t="shared" si="6"/>
        <v>4103.5</v>
      </c>
      <c r="H23" s="151">
        <f t="shared" si="7"/>
        <v>4103.5</v>
      </c>
      <c r="I23" s="151">
        <f t="shared" si="1"/>
        <v>1625.759</v>
      </c>
      <c r="J23" s="284">
        <f t="shared" si="8"/>
        <v>3.0132532025106684E-9</v>
      </c>
      <c r="M23" s="147">
        <f t="shared" si="10"/>
        <v>2006</v>
      </c>
      <c r="N23" s="170" t="str">
        <f t="shared" si="11"/>
        <v>Q2</v>
      </c>
      <c r="O23" s="170" t="str">
        <f t="shared" si="2"/>
        <v>2006Q2</v>
      </c>
      <c r="P23" s="175">
        <v>123006.7870655693</v>
      </c>
      <c r="Q23" s="175">
        <v>123006.787</v>
      </c>
      <c r="R23" s="233">
        <v>1656.7380000000001</v>
      </c>
      <c r="S23" s="233">
        <v>1656.7380000000001</v>
      </c>
      <c r="T23" s="180">
        <v>38551.986971371545</v>
      </c>
      <c r="U23" s="180"/>
      <c r="V23" s="235">
        <f t="shared" si="9"/>
        <v>4219.2389999999996</v>
      </c>
      <c r="W23" s="180">
        <v>445.685</v>
      </c>
      <c r="X23" s="180">
        <v>4219.2389999999996</v>
      </c>
      <c r="Y23" s="170">
        <f t="shared" si="3"/>
        <v>0.26901356762505596</v>
      </c>
      <c r="Z23" s="170">
        <f t="shared" si="4"/>
        <v>2.5467146887437839</v>
      </c>
      <c r="AA23" s="180">
        <v>4219.2389999999996</v>
      </c>
    </row>
    <row r="24" spans="1:27" x14ac:dyDescent="0.2">
      <c r="A24" s="147">
        <v>2002</v>
      </c>
      <c r="B24" s="147">
        <v>11</v>
      </c>
      <c r="C24" s="147" t="str">
        <f t="shared" si="5"/>
        <v>200211</v>
      </c>
      <c r="D24" s="147" t="str">
        <f t="shared" si="12"/>
        <v>Q4</v>
      </c>
      <c r="E24" s="151">
        <f t="shared" si="13"/>
        <v>114407.6133447391</v>
      </c>
      <c r="F24" s="151">
        <f t="shared" si="13"/>
        <v>114407.613</v>
      </c>
      <c r="G24" s="151">
        <f t="shared" si="6"/>
        <v>4103.5</v>
      </c>
      <c r="H24" s="151">
        <f t="shared" si="7"/>
        <v>4103.5</v>
      </c>
      <c r="I24" s="151">
        <f t="shared" si="1"/>
        <v>1625.759</v>
      </c>
      <c r="J24" s="284">
        <f t="shared" si="8"/>
        <v>3.0132532025106684E-9</v>
      </c>
      <c r="M24" s="147">
        <f t="shared" si="10"/>
        <v>2006</v>
      </c>
      <c r="N24" s="170" t="str">
        <f t="shared" si="11"/>
        <v>Q3</v>
      </c>
      <c r="O24" s="170" t="str">
        <f t="shared" si="2"/>
        <v>2006Q3</v>
      </c>
      <c r="P24" s="175">
        <v>123530.77861472027</v>
      </c>
      <c r="Q24" s="175">
        <v>123530.77899999999</v>
      </c>
      <c r="R24" s="233">
        <v>1657.8969999999999</v>
      </c>
      <c r="S24" s="233">
        <v>1657.8969999999999</v>
      </c>
      <c r="T24" s="180">
        <v>38698.21171607422</v>
      </c>
      <c r="U24" s="180"/>
      <c r="V24" s="235">
        <f t="shared" si="9"/>
        <v>4228.5659999999998</v>
      </c>
      <c r="W24" s="180">
        <v>447.29824999999994</v>
      </c>
      <c r="X24" s="180">
        <v>4228.5659999999998</v>
      </c>
      <c r="Y24" s="170">
        <f t="shared" si="3"/>
        <v>0.26979857614797537</v>
      </c>
      <c r="Z24" s="170">
        <f t="shared" si="4"/>
        <v>2.5505601373306064</v>
      </c>
      <c r="AA24" s="180">
        <v>4228.5659999999998</v>
      </c>
    </row>
    <row r="25" spans="1:27" x14ac:dyDescent="0.2">
      <c r="A25" s="147">
        <v>2002</v>
      </c>
      <c r="B25" s="147">
        <v>12</v>
      </c>
      <c r="C25" s="147" t="str">
        <f t="shared" si="5"/>
        <v>200212</v>
      </c>
      <c r="D25" s="147" t="str">
        <f t="shared" si="12"/>
        <v>Q4</v>
      </c>
      <c r="E25" s="151">
        <f t="shared" si="13"/>
        <v>114407.6133447391</v>
      </c>
      <c r="F25" s="151">
        <f t="shared" si="13"/>
        <v>114407.613</v>
      </c>
      <c r="G25" s="151">
        <f t="shared" si="6"/>
        <v>4103.5</v>
      </c>
      <c r="H25" s="151">
        <f t="shared" si="7"/>
        <v>4103.5</v>
      </c>
      <c r="I25" s="151">
        <f t="shared" si="1"/>
        <v>1625.759</v>
      </c>
      <c r="J25" s="284">
        <f t="shared" si="8"/>
        <v>3.0132532025106684E-9</v>
      </c>
      <c r="M25" s="147">
        <f t="shared" si="10"/>
        <v>2006</v>
      </c>
      <c r="N25" s="170" t="str">
        <f t="shared" si="11"/>
        <v>Q4</v>
      </c>
      <c r="O25" s="170" t="str">
        <f t="shared" si="2"/>
        <v>2006Q4</v>
      </c>
      <c r="P25" s="175">
        <v>124988.37929965912</v>
      </c>
      <c r="Q25" s="175">
        <v>124988.379</v>
      </c>
      <c r="R25" s="233">
        <v>1659.057</v>
      </c>
      <c r="S25" s="233">
        <v>1659.057</v>
      </c>
      <c r="T25" s="180">
        <v>39120.882163460956</v>
      </c>
      <c r="U25" s="180"/>
      <c r="V25" s="235">
        <f t="shared" si="9"/>
        <v>4237.9139999999998</v>
      </c>
      <c r="W25" s="180">
        <v>448.91149999999993</v>
      </c>
      <c r="X25" s="180">
        <v>4237.9139999999998</v>
      </c>
      <c r="Y25" s="170">
        <f t="shared" si="3"/>
        <v>0.27058232477847349</v>
      </c>
      <c r="Z25" s="170">
        <f t="shared" si="4"/>
        <v>2.5544113312562495</v>
      </c>
      <c r="AA25" s="180">
        <v>4237.9139999999998</v>
      </c>
    </row>
    <row r="26" spans="1:27" x14ac:dyDescent="0.2">
      <c r="A26" s="147">
        <v>2003</v>
      </c>
      <c r="B26" s="147">
        <v>1</v>
      </c>
      <c r="C26" s="147" t="str">
        <f t="shared" si="5"/>
        <v>20031</v>
      </c>
      <c r="D26" s="147" t="str">
        <f t="shared" si="12"/>
        <v>Q1</v>
      </c>
      <c r="E26" s="151">
        <f t="shared" si="13"/>
        <v>113801.59673857653</v>
      </c>
      <c r="F26" s="151">
        <f t="shared" si="13"/>
        <v>113801.59699999999</v>
      </c>
      <c r="G26" s="151">
        <f t="shared" si="6"/>
        <v>4110.3289999999997</v>
      </c>
      <c r="H26" s="151">
        <f t="shared" si="7"/>
        <v>4110.3289999999997</v>
      </c>
      <c r="I26" s="151">
        <f t="shared" si="1"/>
        <v>1628.951</v>
      </c>
      <c r="J26" s="284">
        <f t="shared" si="8"/>
        <v>-2.2971863300469408E-9</v>
      </c>
      <c r="M26" s="147">
        <f t="shared" si="10"/>
        <v>2007</v>
      </c>
      <c r="N26" s="170" t="str">
        <f t="shared" si="11"/>
        <v>Q1</v>
      </c>
      <c r="O26" s="170" t="str">
        <f t="shared" si="2"/>
        <v>2007Q1</v>
      </c>
      <c r="P26" s="175">
        <v>125421.27422866292</v>
      </c>
      <c r="Q26" s="175">
        <v>125421.274</v>
      </c>
      <c r="R26" s="233">
        <v>1660.2180000000001</v>
      </c>
      <c r="S26" s="233">
        <v>1660.2180000000001</v>
      </c>
      <c r="T26" s="180">
        <v>39207.939116974187</v>
      </c>
      <c r="U26" s="180"/>
      <c r="V26" s="235">
        <f t="shared" si="9"/>
        <v>4247.2830000000004</v>
      </c>
      <c r="W26" s="180">
        <v>450.52474999999998</v>
      </c>
      <c r="X26" s="180">
        <v>4247.2830000000004</v>
      </c>
      <c r="Y26" s="170">
        <f t="shared" si="3"/>
        <v>0.27136481474119661</v>
      </c>
      <c r="Z26" s="170">
        <f t="shared" si="4"/>
        <v>2.5582682515187765</v>
      </c>
      <c r="AA26" s="180">
        <v>4247.2830000000004</v>
      </c>
    </row>
    <row r="27" spans="1:27" x14ac:dyDescent="0.2">
      <c r="A27" s="147">
        <v>2003</v>
      </c>
      <c r="B27" s="147">
        <v>2</v>
      </c>
      <c r="C27" s="147" t="str">
        <f t="shared" si="5"/>
        <v>20032</v>
      </c>
      <c r="D27" s="147" t="str">
        <f t="shared" si="12"/>
        <v>Q1</v>
      </c>
      <c r="E27" s="151">
        <f t="shared" si="13"/>
        <v>113801.59673857653</v>
      </c>
      <c r="F27" s="151">
        <f t="shared" si="13"/>
        <v>113801.59699999999</v>
      </c>
      <c r="G27" s="151">
        <f t="shared" si="6"/>
        <v>4110.3289999999997</v>
      </c>
      <c r="H27" s="151">
        <f t="shared" si="7"/>
        <v>4110.3289999999997</v>
      </c>
      <c r="I27" s="151">
        <f t="shared" si="1"/>
        <v>1628.951</v>
      </c>
      <c r="J27" s="284">
        <f t="shared" si="8"/>
        <v>-2.2971863300469408E-9</v>
      </c>
      <c r="M27" s="147">
        <f t="shared" si="10"/>
        <v>2007</v>
      </c>
      <c r="N27" s="170" t="str">
        <f t="shared" si="11"/>
        <v>Q2</v>
      </c>
      <c r="O27" s="170" t="str">
        <f t="shared" si="2"/>
        <v>2007Q2</v>
      </c>
      <c r="P27" s="175">
        <v>125696.57087430343</v>
      </c>
      <c r="Q27" s="175">
        <v>125696.571</v>
      </c>
      <c r="R27" s="233">
        <v>1661.3789999999999</v>
      </c>
      <c r="S27" s="233">
        <v>1661.3789999999999</v>
      </c>
      <c r="T27" s="180">
        <v>39146.160290129192</v>
      </c>
      <c r="U27" s="180"/>
      <c r="V27" s="235">
        <f t="shared" si="9"/>
        <v>4256.6719999999996</v>
      </c>
      <c r="W27" s="180">
        <v>452.13799999999998</v>
      </c>
      <c r="X27" s="180">
        <v>4256.6719999999996</v>
      </c>
      <c r="Y27" s="170">
        <f t="shared" si="3"/>
        <v>0.27214621106923825</v>
      </c>
      <c r="Z27" s="170">
        <f t="shared" si="4"/>
        <v>2.5621318194102609</v>
      </c>
      <c r="AA27" s="180">
        <v>4256.6719999999996</v>
      </c>
    </row>
    <row r="28" spans="1:27" x14ac:dyDescent="0.2">
      <c r="A28" s="147">
        <v>2003</v>
      </c>
      <c r="B28" s="147">
        <v>3</v>
      </c>
      <c r="C28" s="147" t="str">
        <f t="shared" si="5"/>
        <v>20033</v>
      </c>
      <c r="D28" s="147" t="str">
        <f t="shared" si="12"/>
        <v>Q1</v>
      </c>
      <c r="E28" s="151">
        <f t="shared" si="13"/>
        <v>113801.59673857653</v>
      </c>
      <c r="F28" s="151">
        <f t="shared" si="13"/>
        <v>113801.59699999999</v>
      </c>
      <c r="G28" s="151">
        <f t="shared" si="6"/>
        <v>4110.3289999999997</v>
      </c>
      <c r="H28" s="151">
        <f t="shared" si="7"/>
        <v>4110.3289999999997</v>
      </c>
      <c r="I28" s="151">
        <f t="shared" si="1"/>
        <v>1628.951</v>
      </c>
      <c r="J28" s="284">
        <f t="shared" si="8"/>
        <v>-2.2971863300469408E-9</v>
      </c>
      <c r="M28" s="147">
        <f t="shared" si="10"/>
        <v>2007</v>
      </c>
      <c r="N28" s="170" t="str">
        <f t="shared" si="11"/>
        <v>Q3</v>
      </c>
      <c r="O28" s="170" t="str">
        <f t="shared" si="2"/>
        <v>2007Q3</v>
      </c>
      <c r="P28" s="175">
        <v>125601.71743632907</v>
      </c>
      <c r="Q28" s="175">
        <v>125601.717</v>
      </c>
      <c r="R28" s="233">
        <v>1669.175</v>
      </c>
      <c r="S28" s="233">
        <v>1669.175</v>
      </c>
      <c r="T28" s="180">
        <v>39001.852326761655</v>
      </c>
      <c r="U28" s="180"/>
      <c r="V28" s="235">
        <f t="shared" si="9"/>
        <v>4264.9489999999996</v>
      </c>
      <c r="W28" s="180">
        <v>454.13150000000007</v>
      </c>
      <c r="X28" s="180">
        <v>4264.9489999999996</v>
      </c>
      <c r="Y28" s="170">
        <f t="shared" si="3"/>
        <v>0.27206943549957319</v>
      </c>
      <c r="Z28" s="170">
        <f t="shared" si="4"/>
        <v>2.5551239384725988</v>
      </c>
      <c r="AA28" s="180">
        <v>4264.9489999999996</v>
      </c>
    </row>
    <row r="29" spans="1:27" x14ac:dyDescent="0.2">
      <c r="A29" s="147">
        <v>2003</v>
      </c>
      <c r="B29" s="147">
        <v>4</v>
      </c>
      <c r="C29" s="147" t="str">
        <f t="shared" si="5"/>
        <v>20034</v>
      </c>
      <c r="D29" s="147" t="str">
        <f t="shared" si="12"/>
        <v>Q2</v>
      </c>
      <c r="E29" s="151">
        <f t="shared" si="13"/>
        <v>114321.78396384545</v>
      </c>
      <c r="F29" s="151">
        <f t="shared" si="13"/>
        <v>114321.784</v>
      </c>
      <c r="G29" s="151">
        <f t="shared" si="6"/>
        <v>4117.17</v>
      </c>
      <c r="H29" s="151">
        <f t="shared" si="7"/>
        <v>4117.17</v>
      </c>
      <c r="I29" s="151">
        <f t="shared" si="1"/>
        <v>1632.1479999999999</v>
      </c>
      <c r="J29" s="284">
        <f t="shared" si="8"/>
        <v>-3.1625257967959897E-10</v>
      </c>
      <c r="M29" s="147">
        <f t="shared" si="10"/>
        <v>2007</v>
      </c>
      <c r="N29" s="170" t="str">
        <f t="shared" si="11"/>
        <v>Q4</v>
      </c>
      <c r="O29" s="170" t="str">
        <f t="shared" si="2"/>
        <v>2007Q4</v>
      </c>
      <c r="P29" s="175">
        <v>126411.31485589659</v>
      </c>
      <c r="Q29" s="175">
        <v>126411.315</v>
      </c>
      <c r="R29" s="233">
        <v>1677.0070000000001</v>
      </c>
      <c r="S29" s="233">
        <v>1677.0070000000001</v>
      </c>
      <c r="T29" s="180">
        <v>39135.118262944496</v>
      </c>
      <c r="U29" s="180"/>
      <c r="V29" s="235">
        <f t="shared" si="9"/>
        <v>4273.2430000000004</v>
      </c>
      <c r="W29" s="180">
        <v>456.125</v>
      </c>
      <c r="X29" s="180">
        <v>4273.2430000000004</v>
      </c>
      <c r="Y29" s="170">
        <f t="shared" si="3"/>
        <v>0.27198753493575162</v>
      </c>
      <c r="Z29" s="170">
        <f t="shared" si="4"/>
        <v>2.548136650592395</v>
      </c>
      <c r="AA29" s="180">
        <v>4273.2430000000004</v>
      </c>
    </row>
    <row r="30" spans="1:27" x14ac:dyDescent="0.2">
      <c r="A30" s="147">
        <v>2003</v>
      </c>
      <c r="B30" s="147">
        <v>5</v>
      </c>
      <c r="C30" s="147" t="str">
        <f t="shared" si="5"/>
        <v>20035</v>
      </c>
      <c r="D30" s="147" t="str">
        <f t="shared" si="12"/>
        <v>Q2</v>
      </c>
      <c r="E30" s="151">
        <f t="shared" si="13"/>
        <v>114321.78396384545</v>
      </c>
      <c r="F30" s="151">
        <f t="shared" si="13"/>
        <v>114321.784</v>
      </c>
      <c r="G30" s="151">
        <f t="shared" si="6"/>
        <v>4117.17</v>
      </c>
      <c r="H30" s="151">
        <f t="shared" si="7"/>
        <v>4117.17</v>
      </c>
      <c r="I30" s="151">
        <f t="shared" si="1"/>
        <v>1632.1479999999999</v>
      </c>
      <c r="J30" s="284">
        <f t="shared" si="8"/>
        <v>-3.1625257967959897E-10</v>
      </c>
      <c r="M30" s="147">
        <f t="shared" si="10"/>
        <v>2008</v>
      </c>
      <c r="N30" s="170" t="str">
        <f t="shared" si="11"/>
        <v>Q1</v>
      </c>
      <c r="O30" s="170" t="str">
        <f t="shared" si="2"/>
        <v>2008Q1</v>
      </c>
      <c r="P30" s="175">
        <v>128374.99536401736</v>
      </c>
      <c r="Q30" s="175">
        <v>128364.796</v>
      </c>
      <c r="R30" s="233">
        <v>1684.875</v>
      </c>
      <c r="S30" s="233">
        <v>1684.875</v>
      </c>
      <c r="T30" s="180">
        <v>39632.680925057175</v>
      </c>
      <c r="U30" s="180"/>
      <c r="V30" s="235">
        <f t="shared" si="9"/>
        <v>4281.5519999999997</v>
      </c>
      <c r="W30" s="180">
        <v>458.11849999999993</v>
      </c>
      <c r="X30" s="180">
        <v>4281.5519999999997</v>
      </c>
      <c r="Y30" s="170">
        <f t="shared" si="3"/>
        <v>0.27190058609689144</v>
      </c>
      <c r="Z30" s="170">
        <f t="shared" si="4"/>
        <v>2.5411689294458042</v>
      </c>
      <c r="AA30" s="180">
        <v>4281.5519999999997</v>
      </c>
    </row>
    <row r="31" spans="1:27" x14ac:dyDescent="0.2">
      <c r="A31" s="147">
        <v>2003</v>
      </c>
      <c r="B31" s="147">
        <v>6</v>
      </c>
      <c r="C31" s="147" t="str">
        <f t="shared" si="5"/>
        <v>20036</v>
      </c>
      <c r="D31" s="147" t="str">
        <f t="shared" si="12"/>
        <v>Q2</v>
      </c>
      <c r="E31" s="151">
        <f t="shared" si="13"/>
        <v>114321.78396384545</v>
      </c>
      <c r="F31" s="151">
        <f t="shared" si="13"/>
        <v>114321.784</v>
      </c>
      <c r="G31" s="151">
        <f t="shared" si="6"/>
        <v>4117.17</v>
      </c>
      <c r="H31" s="151">
        <f t="shared" si="7"/>
        <v>4117.17</v>
      </c>
      <c r="I31" s="151">
        <f t="shared" si="1"/>
        <v>1632.1479999999999</v>
      </c>
      <c r="J31" s="284">
        <f t="shared" si="8"/>
        <v>-3.1625257967959897E-10</v>
      </c>
      <c r="M31" s="147">
        <f t="shared" si="10"/>
        <v>2008</v>
      </c>
      <c r="N31" s="170" t="str">
        <f t="shared" si="11"/>
        <v>Q2</v>
      </c>
      <c r="O31" s="170" t="str">
        <f t="shared" si="2"/>
        <v>2008Q2</v>
      </c>
      <c r="P31" s="175">
        <v>129347.46726332392</v>
      </c>
      <c r="Q31" s="175">
        <v>129399.736</v>
      </c>
      <c r="R31" s="233">
        <v>1692.7809999999999</v>
      </c>
      <c r="S31" s="233">
        <v>1692.7809999999999</v>
      </c>
      <c r="T31" s="180">
        <v>39855.727140851915</v>
      </c>
      <c r="U31" s="180"/>
      <c r="V31" s="235">
        <f t="shared" si="9"/>
        <v>4289.8779999999997</v>
      </c>
      <c r="W31" s="180">
        <v>460.11199999999997</v>
      </c>
      <c r="X31" s="180">
        <v>4289.8779999999997</v>
      </c>
      <c r="Y31" s="170">
        <f t="shared" si="3"/>
        <v>0.27180834378457697</v>
      </c>
      <c r="Z31" s="170">
        <f t="shared" si="4"/>
        <v>2.5342191340758196</v>
      </c>
      <c r="AA31" s="180">
        <v>4289.8779999999997</v>
      </c>
    </row>
    <row r="32" spans="1:27" x14ac:dyDescent="0.2">
      <c r="A32" s="147">
        <v>2003</v>
      </c>
      <c r="B32" s="147">
        <v>7</v>
      </c>
      <c r="C32" s="147" t="str">
        <f t="shared" si="5"/>
        <v>20037</v>
      </c>
      <c r="D32" s="147" t="str">
        <f t="shared" si="12"/>
        <v>Q3</v>
      </c>
      <c r="E32" s="151">
        <f t="shared" si="13"/>
        <v>114399.5530773366</v>
      </c>
      <c r="F32" s="151">
        <f t="shared" si="13"/>
        <v>114399.553</v>
      </c>
      <c r="G32" s="151">
        <f t="shared" si="6"/>
        <v>4124.384</v>
      </c>
      <c r="H32" s="151">
        <f t="shared" si="7"/>
        <v>4124.384</v>
      </c>
      <c r="I32" s="151">
        <f t="shared" si="1"/>
        <v>1635.3530000000001</v>
      </c>
      <c r="J32" s="284">
        <f t="shared" si="8"/>
        <v>6.7602190512161542E-10</v>
      </c>
      <c r="M32" s="147">
        <f t="shared" si="10"/>
        <v>2008</v>
      </c>
      <c r="N32" s="170" t="str">
        <f t="shared" si="11"/>
        <v>Q3</v>
      </c>
      <c r="O32" s="170" t="str">
        <f t="shared" si="2"/>
        <v>2008Q3</v>
      </c>
      <c r="P32" s="175">
        <v>126688.01829102325</v>
      </c>
      <c r="Q32" s="175">
        <v>126756.973</v>
      </c>
      <c r="R32" s="233">
        <v>1694.962</v>
      </c>
      <c r="S32" s="233">
        <v>1694.962</v>
      </c>
      <c r="T32" s="180">
        <v>38971.970554889042</v>
      </c>
      <c r="U32" s="180"/>
      <c r="V32" s="235">
        <f t="shared" si="9"/>
        <v>4296.6610000000001</v>
      </c>
      <c r="W32" s="180">
        <v>461.91600000000005</v>
      </c>
      <c r="X32" s="180">
        <v>4296.6610000000001</v>
      </c>
      <c r="Y32" s="170">
        <f t="shared" si="3"/>
        <v>0.27252292381776116</v>
      </c>
      <c r="Z32" s="170">
        <f t="shared" si="4"/>
        <v>2.5349600758011093</v>
      </c>
      <c r="AA32" s="180">
        <v>4296.6610000000001</v>
      </c>
    </row>
    <row r="33" spans="1:27" x14ac:dyDescent="0.2">
      <c r="A33" s="147">
        <v>2003</v>
      </c>
      <c r="B33" s="147">
        <v>8</v>
      </c>
      <c r="C33" s="147" t="str">
        <f t="shared" si="5"/>
        <v>20038</v>
      </c>
      <c r="D33" s="147" t="str">
        <f t="shared" si="12"/>
        <v>Q3</v>
      </c>
      <c r="E33" s="151">
        <f t="shared" si="13"/>
        <v>114399.5530773366</v>
      </c>
      <c r="F33" s="151">
        <f t="shared" si="13"/>
        <v>114399.553</v>
      </c>
      <c r="G33" s="151">
        <f t="shared" si="6"/>
        <v>4124.384</v>
      </c>
      <c r="H33" s="151">
        <f t="shared" si="7"/>
        <v>4124.384</v>
      </c>
      <c r="I33" s="151">
        <f t="shared" si="1"/>
        <v>1635.3530000000001</v>
      </c>
      <c r="J33" s="284">
        <f t="shared" si="8"/>
        <v>6.7602190512161542E-10</v>
      </c>
      <c r="M33" s="147">
        <f t="shared" si="10"/>
        <v>2008</v>
      </c>
      <c r="N33" s="170" t="str">
        <f t="shared" si="11"/>
        <v>Q4</v>
      </c>
      <c r="O33" s="170" t="str">
        <f t="shared" si="2"/>
        <v>2008Q4</v>
      </c>
      <c r="P33" s="175">
        <v>127768.98297284859</v>
      </c>
      <c r="Q33" s="175">
        <v>127793.833</v>
      </c>
      <c r="R33" s="233">
        <v>1697.1469999999999</v>
      </c>
      <c r="S33" s="233">
        <v>1697.1469999999999</v>
      </c>
      <c r="T33" s="180">
        <v>39250.753059038092</v>
      </c>
      <c r="U33" s="180"/>
      <c r="V33" s="235">
        <f t="shared" si="9"/>
        <v>4303.4549999999999</v>
      </c>
      <c r="W33" s="180">
        <v>463.72</v>
      </c>
      <c r="X33" s="180">
        <v>4303.4549999999999</v>
      </c>
      <c r="Y33" s="170">
        <f t="shared" si="3"/>
        <v>0.27323502324783888</v>
      </c>
      <c r="Z33" s="170">
        <f t="shared" si="4"/>
        <v>2.5356996182416727</v>
      </c>
      <c r="AA33" s="180">
        <v>4303.4549999999999</v>
      </c>
    </row>
    <row r="34" spans="1:27" x14ac:dyDescent="0.2">
      <c r="A34" s="147">
        <v>2003</v>
      </c>
      <c r="B34" s="147">
        <v>9</v>
      </c>
      <c r="C34" s="147" t="str">
        <f t="shared" si="5"/>
        <v>20039</v>
      </c>
      <c r="D34" s="147" t="str">
        <f t="shared" si="12"/>
        <v>Q3</v>
      </c>
      <c r="E34" s="151">
        <f t="shared" si="13"/>
        <v>114399.5530773366</v>
      </c>
      <c r="F34" s="151">
        <f t="shared" si="13"/>
        <v>114399.553</v>
      </c>
      <c r="G34" s="151">
        <f t="shared" si="6"/>
        <v>4124.384</v>
      </c>
      <c r="H34" s="151">
        <f t="shared" si="7"/>
        <v>4124.384</v>
      </c>
      <c r="I34" s="151">
        <f t="shared" si="1"/>
        <v>1635.3530000000001</v>
      </c>
      <c r="J34" s="284">
        <f t="shared" si="8"/>
        <v>6.7602190512161542E-10</v>
      </c>
      <c r="M34" s="147">
        <f t="shared" si="10"/>
        <v>2009</v>
      </c>
      <c r="N34" s="170" t="str">
        <f t="shared" si="11"/>
        <v>Q1</v>
      </c>
      <c r="O34" s="170" t="str">
        <f t="shared" si="2"/>
        <v>2009Q1</v>
      </c>
      <c r="P34" s="175">
        <v>126528.96921240388</v>
      </c>
      <c r="Q34" s="175">
        <v>126804.629</v>
      </c>
      <c r="R34" s="233">
        <v>1699.3340000000001</v>
      </c>
      <c r="S34" s="233">
        <v>1699.3340000000001</v>
      </c>
      <c r="T34" s="180">
        <v>39351.75300796557</v>
      </c>
      <c r="U34" s="180"/>
      <c r="V34" s="235">
        <f t="shared" si="9"/>
        <v>4310.259</v>
      </c>
      <c r="W34" s="180">
        <v>465.524</v>
      </c>
      <c r="X34" s="180">
        <v>4310.259</v>
      </c>
      <c r="Y34" s="170">
        <f t="shared" ref="Y34:Y65" si="14">W34/R34</f>
        <v>0.27394496902904314</v>
      </c>
      <c r="Z34" s="170">
        <f t="shared" ref="Z34:Z65" si="15">X34/S34</f>
        <v>2.5364401583208478</v>
      </c>
      <c r="AA34" s="180">
        <v>4310.259</v>
      </c>
    </row>
    <row r="35" spans="1:27" x14ac:dyDescent="0.2">
      <c r="A35" s="147">
        <v>2003</v>
      </c>
      <c r="B35" s="147">
        <v>10</v>
      </c>
      <c r="C35" s="147" t="str">
        <f t="shared" si="5"/>
        <v>200310</v>
      </c>
      <c r="D35" s="147" t="str">
        <f t="shared" si="12"/>
        <v>Q4</v>
      </c>
      <c r="E35" s="151">
        <f t="shared" si="13"/>
        <v>115855.96172409452</v>
      </c>
      <c r="F35" s="151">
        <f t="shared" si="13"/>
        <v>115855.962</v>
      </c>
      <c r="G35" s="151">
        <f t="shared" si="6"/>
        <v>4131.6099999999997</v>
      </c>
      <c r="H35" s="151">
        <f t="shared" si="7"/>
        <v>4131.6099999999997</v>
      </c>
      <c r="I35" s="151">
        <f t="shared" si="1"/>
        <v>1638.5630000000001</v>
      </c>
      <c r="J35" s="284">
        <f t="shared" si="8"/>
        <v>-2.3814525906828976E-9</v>
      </c>
      <c r="M35" s="147">
        <f t="shared" si="10"/>
        <v>2009</v>
      </c>
      <c r="N35" s="170" t="str">
        <f t="shared" si="11"/>
        <v>Q2</v>
      </c>
      <c r="O35" s="170" t="str">
        <f t="shared" si="2"/>
        <v>2009Q2</v>
      </c>
      <c r="P35" s="175">
        <v>126577.93835717444</v>
      </c>
      <c r="Q35" s="175">
        <v>127078.37</v>
      </c>
      <c r="R35" s="233">
        <v>1701.5239999999999</v>
      </c>
      <c r="S35" s="233">
        <v>1701.5239999999999</v>
      </c>
      <c r="T35" s="180">
        <v>39473.581717535344</v>
      </c>
      <c r="U35" s="180"/>
      <c r="V35" s="235">
        <f t="shared" si="9"/>
        <v>4317.0739999999996</v>
      </c>
      <c r="W35" s="180">
        <v>467.32800000000003</v>
      </c>
      <c r="X35" s="180">
        <v>4317.0739999999996</v>
      </c>
      <c r="Y35" s="170">
        <f t="shared" si="14"/>
        <v>0.27465260554655713</v>
      </c>
      <c r="Z35" s="170">
        <f t="shared" si="15"/>
        <v>2.5371807861658136</v>
      </c>
      <c r="AA35" s="180">
        <v>4317.0739999999996</v>
      </c>
    </row>
    <row r="36" spans="1:27" x14ac:dyDescent="0.2">
      <c r="A36" s="147">
        <v>2003</v>
      </c>
      <c r="B36" s="147">
        <v>11</v>
      </c>
      <c r="C36" s="147" t="str">
        <f t="shared" si="5"/>
        <v>200311</v>
      </c>
      <c r="D36" s="147" t="str">
        <f t="shared" si="12"/>
        <v>Q4</v>
      </c>
      <c r="E36" s="151">
        <f t="shared" si="13"/>
        <v>115855.96172409452</v>
      </c>
      <c r="F36" s="151">
        <f t="shared" si="13"/>
        <v>115855.962</v>
      </c>
      <c r="G36" s="151">
        <f t="shared" si="6"/>
        <v>4131.6099999999997</v>
      </c>
      <c r="H36" s="151">
        <f t="shared" si="7"/>
        <v>4131.6099999999997</v>
      </c>
      <c r="I36" s="151">
        <f t="shared" si="1"/>
        <v>1638.5630000000001</v>
      </c>
      <c r="J36" s="284">
        <f t="shared" si="8"/>
        <v>-2.3814525906828976E-9</v>
      </c>
      <c r="M36" s="147">
        <f t="shared" si="10"/>
        <v>2009</v>
      </c>
      <c r="N36" s="170" t="str">
        <f t="shared" si="11"/>
        <v>Q3</v>
      </c>
      <c r="O36" s="170" t="str">
        <f t="shared" si="2"/>
        <v>2009Q3</v>
      </c>
      <c r="P36" s="175">
        <v>125084.38915061975</v>
      </c>
      <c r="Q36" s="175">
        <v>125951.257</v>
      </c>
      <c r="R36" s="233">
        <v>1707.499</v>
      </c>
      <c r="S36" s="233">
        <v>1707.499</v>
      </c>
      <c r="T36" s="180">
        <v>39137.875476073954</v>
      </c>
      <c r="U36" s="180"/>
      <c r="V36" s="235">
        <f t="shared" si="9"/>
        <v>4324.5050000000001</v>
      </c>
      <c r="W36" s="180">
        <v>468.91833333333329</v>
      </c>
      <c r="X36" s="180">
        <v>4324.5050000000001</v>
      </c>
      <c r="Y36" s="170">
        <f t="shared" si="14"/>
        <v>0.27462290363469222</v>
      </c>
      <c r="Z36" s="170">
        <f t="shared" si="15"/>
        <v>2.5326544847171215</v>
      </c>
      <c r="AA36" s="180">
        <v>4324.5020000000004</v>
      </c>
    </row>
    <row r="37" spans="1:27" x14ac:dyDescent="0.2">
      <c r="A37" s="147">
        <v>2003</v>
      </c>
      <c r="B37" s="147">
        <v>12</v>
      </c>
      <c r="C37" s="147" t="str">
        <f t="shared" si="5"/>
        <v>200312</v>
      </c>
      <c r="D37" s="147" t="str">
        <f t="shared" si="12"/>
        <v>Q4</v>
      </c>
      <c r="E37" s="151">
        <f t="shared" si="13"/>
        <v>115855.96172409452</v>
      </c>
      <c r="F37" s="151">
        <f t="shared" si="13"/>
        <v>115855.962</v>
      </c>
      <c r="G37" s="151">
        <f t="shared" si="6"/>
        <v>4131.6099999999997</v>
      </c>
      <c r="H37" s="151">
        <f t="shared" si="7"/>
        <v>4131.6099999999997</v>
      </c>
      <c r="I37" s="151">
        <f t="shared" si="1"/>
        <v>1638.5630000000001</v>
      </c>
      <c r="J37" s="284">
        <f t="shared" si="8"/>
        <v>-2.3814525906828976E-9</v>
      </c>
      <c r="M37" s="147">
        <f t="shared" si="10"/>
        <v>2009</v>
      </c>
      <c r="N37" s="170" t="str">
        <f t="shared" si="11"/>
        <v>Q4</v>
      </c>
      <c r="O37" s="170" t="str">
        <f t="shared" si="2"/>
        <v>2009Q4</v>
      </c>
      <c r="P37" s="175">
        <v>124877.88491220424</v>
      </c>
      <c r="Q37" s="175">
        <v>125669.07</v>
      </c>
      <c r="R37" s="233">
        <v>1713.644</v>
      </c>
      <c r="S37" s="233">
        <v>1713.644</v>
      </c>
      <c r="T37" s="180">
        <v>39094.688351422847</v>
      </c>
      <c r="U37" s="180"/>
      <c r="V37" s="235">
        <f t="shared" si="9"/>
        <v>4331.9359999999997</v>
      </c>
      <c r="W37" s="180">
        <v>470.50866666666684</v>
      </c>
      <c r="X37" s="180">
        <v>4331.9359999999997</v>
      </c>
      <c r="Y37" s="170">
        <f t="shared" si="14"/>
        <v>0.27456616815783608</v>
      </c>
      <c r="Z37" s="170">
        <f t="shared" si="15"/>
        <v>2.5279089472492533</v>
      </c>
      <c r="AA37" s="180">
        <v>4331.9290000000001</v>
      </c>
    </row>
    <row r="38" spans="1:27" x14ac:dyDescent="0.2">
      <c r="A38" s="147">
        <v>2004</v>
      </c>
      <c r="B38" s="147">
        <v>1</v>
      </c>
      <c r="C38" s="147" t="str">
        <f t="shared" si="5"/>
        <v>20041</v>
      </c>
      <c r="D38" s="147" t="str">
        <f t="shared" si="12"/>
        <v>Q1</v>
      </c>
      <c r="E38" s="151">
        <f t="shared" si="13"/>
        <v>116263.07300067642</v>
      </c>
      <c r="F38" s="151">
        <f t="shared" si="13"/>
        <v>116263.073</v>
      </c>
      <c r="G38" s="151">
        <f t="shared" si="6"/>
        <v>4138.8490000000002</v>
      </c>
      <c r="H38" s="151">
        <f t="shared" si="7"/>
        <v>4138.8490000000002</v>
      </c>
      <c r="I38" s="151">
        <f t="shared" si="1"/>
        <v>1641.78</v>
      </c>
      <c r="J38" s="284">
        <f t="shared" si="8"/>
        <v>5.8180127382456703E-12</v>
      </c>
      <c r="M38" s="147">
        <f t="shared" si="10"/>
        <v>2010</v>
      </c>
      <c r="N38" s="170" t="str">
        <f t="shared" si="11"/>
        <v>Q1</v>
      </c>
      <c r="O38" s="170" t="str">
        <f t="shared" si="2"/>
        <v>2010Q1</v>
      </c>
      <c r="P38" s="175">
        <v>125922.34413694619</v>
      </c>
      <c r="Q38" s="175">
        <v>124919.205</v>
      </c>
      <c r="R38" s="233">
        <v>1719.9649999999999</v>
      </c>
      <c r="S38" s="233">
        <v>1719.9649999999999</v>
      </c>
      <c r="T38" s="180">
        <v>38849.752908087466</v>
      </c>
      <c r="U38" s="180"/>
      <c r="V38" s="235">
        <f t="shared" si="9"/>
        <v>4339.3670000000002</v>
      </c>
      <c r="W38" s="180">
        <v>472.0990000000001</v>
      </c>
      <c r="X38" s="180">
        <v>4339.3670000000002</v>
      </c>
      <c r="Y38" s="170">
        <f t="shared" si="14"/>
        <v>0.27448174817510829</v>
      </c>
      <c r="Z38" s="170">
        <f t="shared" si="15"/>
        <v>2.5229391295753114</v>
      </c>
      <c r="AA38" s="180">
        <v>4339.357</v>
      </c>
    </row>
    <row r="39" spans="1:27" x14ac:dyDescent="0.2">
      <c r="A39" s="147">
        <v>2004</v>
      </c>
      <c r="B39" s="147">
        <v>2</v>
      </c>
      <c r="C39" s="147" t="str">
        <f t="shared" si="5"/>
        <v>20042</v>
      </c>
      <c r="D39" s="147" t="str">
        <f t="shared" si="12"/>
        <v>Q1</v>
      </c>
      <c r="E39" s="151">
        <f t="shared" si="13"/>
        <v>116263.07300067642</v>
      </c>
      <c r="F39" s="151">
        <f t="shared" si="13"/>
        <v>116263.073</v>
      </c>
      <c r="G39" s="151">
        <f t="shared" si="6"/>
        <v>4138.8490000000002</v>
      </c>
      <c r="H39" s="151">
        <f t="shared" si="7"/>
        <v>4138.8490000000002</v>
      </c>
      <c r="I39" s="151">
        <f t="shared" si="1"/>
        <v>1641.78</v>
      </c>
      <c r="J39" s="284">
        <f t="shared" si="8"/>
        <v>5.8180127382456703E-12</v>
      </c>
      <c r="M39" s="147">
        <f t="shared" si="10"/>
        <v>2010</v>
      </c>
      <c r="N39" s="170" t="str">
        <f t="shared" si="11"/>
        <v>Q2</v>
      </c>
      <c r="O39" s="170" t="str">
        <f t="shared" si="2"/>
        <v>2010Q2</v>
      </c>
      <c r="P39" s="175">
        <v>127253.61010830327</v>
      </c>
      <c r="Q39" s="175">
        <v>126480.192</v>
      </c>
      <c r="R39" s="233">
        <v>1722.9169999999999</v>
      </c>
      <c r="S39" s="233">
        <v>1722.1289999999999</v>
      </c>
      <c r="T39" s="180">
        <v>39352.623912366878</v>
      </c>
      <c r="U39" s="180"/>
      <c r="V39" s="235">
        <f t="shared" si="9"/>
        <v>4347.223</v>
      </c>
      <c r="W39" s="180">
        <v>473.74394922397329</v>
      </c>
      <c r="X39" s="180">
        <v>4347.223</v>
      </c>
      <c r="Y39" s="170">
        <f t="shared" si="14"/>
        <v>0.27496620511839709</v>
      </c>
      <c r="Z39" s="170">
        <f t="shared" si="15"/>
        <v>2.5243306395746195</v>
      </c>
      <c r="AA39" s="180">
        <v>4346.6549999999997</v>
      </c>
    </row>
    <row r="40" spans="1:27" x14ac:dyDescent="0.2">
      <c r="A40" s="147">
        <v>2004</v>
      </c>
      <c r="B40" s="147">
        <v>3</v>
      </c>
      <c r="C40" s="147" t="str">
        <f t="shared" si="5"/>
        <v>20043</v>
      </c>
      <c r="D40" s="147" t="str">
        <f t="shared" si="12"/>
        <v>Q1</v>
      </c>
      <c r="E40" s="151">
        <f t="shared" si="13"/>
        <v>116263.07300067642</v>
      </c>
      <c r="F40" s="151">
        <f t="shared" si="13"/>
        <v>116263.073</v>
      </c>
      <c r="G40" s="151">
        <f t="shared" si="6"/>
        <v>4138.8490000000002</v>
      </c>
      <c r="H40" s="151">
        <f t="shared" si="7"/>
        <v>4138.8490000000002</v>
      </c>
      <c r="I40" s="151">
        <f t="shared" si="1"/>
        <v>1641.78</v>
      </c>
      <c r="J40" s="284">
        <f t="shared" si="8"/>
        <v>5.8180127382456703E-12</v>
      </c>
      <c r="M40" s="147">
        <f t="shared" si="10"/>
        <v>2010</v>
      </c>
      <c r="N40" s="170" t="str">
        <f t="shared" si="11"/>
        <v>Q3</v>
      </c>
      <c r="O40" s="170" t="str">
        <f t="shared" si="2"/>
        <v>2010Q3</v>
      </c>
      <c r="P40" s="175">
        <v>127891.93371358656</v>
      </c>
      <c r="Q40" s="175">
        <v>127650.806</v>
      </c>
      <c r="R40" s="233">
        <v>1724.191</v>
      </c>
      <c r="S40" s="233">
        <v>1719.077</v>
      </c>
      <c r="T40" s="180">
        <v>39753.15333007311</v>
      </c>
      <c r="U40" s="180"/>
      <c r="V40" s="235">
        <f t="shared" si="9"/>
        <v>4352.7560000000003</v>
      </c>
      <c r="W40" s="180">
        <v>475.14385549795145</v>
      </c>
      <c r="X40" s="180">
        <v>4352.7560000000003</v>
      </c>
      <c r="Y40" s="170">
        <f t="shared" si="14"/>
        <v>0.27557495399172799</v>
      </c>
      <c r="Z40" s="170">
        <f t="shared" si="15"/>
        <v>2.5320308514394645</v>
      </c>
      <c r="AA40" s="180">
        <v>4351.6949999999997</v>
      </c>
    </row>
    <row r="41" spans="1:27" x14ac:dyDescent="0.2">
      <c r="A41" s="147">
        <v>2004</v>
      </c>
      <c r="B41" s="147">
        <v>4</v>
      </c>
      <c r="C41" s="147" t="str">
        <f t="shared" si="5"/>
        <v>20044</v>
      </c>
      <c r="D41" s="147" t="str">
        <f t="shared" si="12"/>
        <v>Q2</v>
      </c>
      <c r="E41" s="151">
        <f t="shared" si="13"/>
        <v>116694.55807611256</v>
      </c>
      <c r="F41" s="151">
        <f t="shared" si="13"/>
        <v>116694.558</v>
      </c>
      <c r="G41" s="151">
        <f t="shared" si="6"/>
        <v>4146.1009999999997</v>
      </c>
      <c r="H41" s="151">
        <f t="shared" si="7"/>
        <v>4146.1009999999997</v>
      </c>
      <c r="I41" s="151">
        <f t="shared" si="1"/>
        <v>1645.002</v>
      </c>
      <c r="J41" s="284">
        <f t="shared" si="8"/>
        <v>6.5223737522046576E-10</v>
      </c>
      <c r="M41" s="147">
        <f t="shared" si="10"/>
        <v>2010</v>
      </c>
      <c r="N41" s="170" t="str">
        <f t="shared" si="11"/>
        <v>Q4</v>
      </c>
      <c r="O41" s="170" t="str">
        <f t="shared" si="2"/>
        <v>2010Q4</v>
      </c>
      <c r="P41" s="175">
        <v>127723.24185018479</v>
      </c>
      <c r="Q41" s="175">
        <v>127503.515</v>
      </c>
      <c r="R41" s="233">
        <v>1725.0830000000001</v>
      </c>
      <c r="S41" s="233">
        <v>1716.0239999999999</v>
      </c>
      <c r="T41" s="180">
        <v>39757.383833693879</v>
      </c>
      <c r="U41" s="180"/>
      <c r="V41" s="235">
        <f t="shared" si="9"/>
        <v>4358.29</v>
      </c>
      <c r="W41" s="180">
        <v>476.55146399433579</v>
      </c>
      <c r="X41" s="180">
        <v>4358.29</v>
      </c>
      <c r="Y41" s="170">
        <f t="shared" si="14"/>
        <v>0.27624842630432028</v>
      </c>
      <c r="Z41" s="170">
        <f t="shared" si="15"/>
        <v>2.5397605161699373</v>
      </c>
      <c r="AA41" s="180">
        <v>4356.7349999999997</v>
      </c>
    </row>
    <row r="42" spans="1:27" x14ac:dyDescent="0.2">
      <c r="A42" s="147">
        <v>2004</v>
      </c>
      <c r="B42" s="147">
        <v>5</v>
      </c>
      <c r="C42" s="147" t="str">
        <f t="shared" si="5"/>
        <v>20045</v>
      </c>
      <c r="D42" s="147" t="str">
        <f t="shared" si="12"/>
        <v>Q2</v>
      </c>
      <c r="E42" s="151">
        <f t="shared" ref="E42:F61" si="16">VLOOKUP($A42&amp;$D42,$O$1:$V$189,MATCH(E$1,$O$1:$V$1,0),0)</f>
        <v>116694.55807611256</v>
      </c>
      <c r="F42" s="151">
        <f t="shared" si="16"/>
        <v>116694.558</v>
      </c>
      <c r="G42" s="151">
        <f t="shared" si="6"/>
        <v>4146.1009999999997</v>
      </c>
      <c r="H42" s="151">
        <f t="shared" si="7"/>
        <v>4146.1009999999997</v>
      </c>
      <c r="I42" s="151">
        <f t="shared" si="1"/>
        <v>1645.002</v>
      </c>
      <c r="J42" s="284">
        <f t="shared" si="8"/>
        <v>6.5223737522046576E-10</v>
      </c>
      <c r="M42" s="147">
        <f t="shared" si="10"/>
        <v>2011</v>
      </c>
      <c r="N42" s="170" t="str">
        <f t="shared" si="11"/>
        <v>Q1</v>
      </c>
      <c r="O42" s="170" t="str">
        <f t="shared" si="2"/>
        <v>2011Q1</v>
      </c>
      <c r="P42" s="175">
        <v>130619.67329545454</v>
      </c>
      <c r="Q42" s="175">
        <v>128893.008</v>
      </c>
      <c r="R42" s="233">
        <v>1728.1579999999999</v>
      </c>
      <c r="S42" s="233">
        <v>1712.972</v>
      </c>
      <c r="T42" s="180">
        <v>39737.516530036453</v>
      </c>
      <c r="U42" s="180"/>
      <c r="V42" s="235">
        <f t="shared" si="9"/>
        <v>4363.8230000000003</v>
      </c>
      <c r="W42" s="180">
        <v>477.96681763895879</v>
      </c>
      <c r="X42" s="180">
        <v>4363.8230000000003</v>
      </c>
      <c r="Y42" s="170">
        <f t="shared" si="14"/>
        <v>0.27657587884843793</v>
      </c>
      <c r="Z42" s="170">
        <f t="shared" si="15"/>
        <v>2.5475156628362869</v>
      </c>
      <c r="AA42" s="180">
        <v>4361.7740000000003</v>
      </c>
    </row>
    <row r="43" spans="1:27" x14ac:dyDescent="0.2">
      <c r="A43" s="147">
        <v>2004</v>
      </c>
      <c r="B43" s="147">
        <v>6</v>
      </c>
      <c r="C43" s="147" t="str">
        <f t="shared" si="5"/>
        <v>20046</v>
      </c>
      <c r="D43" s="147" t="str">
        <f t="shared" si="12"/>
        <v>Q2</v>
      </c>
      <c r="E43" s="151">
        <f t="shared" si="16"/>
        <v>116694.55807611256</v>
      </c>
      <c r="F43" s="151">
        <f t="shared" si="16"/>
        <v>116694.558</v>
      </c>
      <c r="G43" s="151">
        <f t="shared" si="6"/>
        <v>4146.1009999999997</v>
      </c>
      <c r="H43" s="151">
        <f t="shared" si="7"/>
        <v>4146.1009999999997</v>
      </c>
      <c r="I43" s="151">
        <f t="shared" si="1"/>
        <v>1645.002</v>
      </c>
      <c r="J43" s="284">
        <f t="shared" si="8"/>
        <v>6.5223737522046576E-10</v>
      </c>
      <c r="M43" s="147">
        <f t="shared" si="10"/>
        <v>2011</v>
      </c>
      <c r="N43" s="170" t="str">
        <f t="shared" si="11"/>
        <v>Q2</v>
      </c>
      <c r="O43" s="170" t="str">
        <f t="shared" si="2"/>
        <v>2011Q2</v>
      </c>
      <c r="P43" s="175">
        <v>130512.26316298962</v>
      </c>
      <c r="Q43" s="175">
        <v>129036.827</v>
      </c>
      <c r="R43" s="233">
        <v>1730.3009999999999</v>
      </c>
      <c r="S43" s="233">
        <v>1709.92</v>
      </c>
      <c r="T43" s="180">
        <v>39626.695414935333</v>
      </c>
      <c r="U43" s="180"/>
      <c r="V43" s="235">
        <f t="shared" si="9"/>
        <v>4369.3559999999998</v>
      </c>
      <c r="W43" s="180">
        <v>479.38995939285263</v>
      </c>
      <c r="X43" s="180">
        <v>4369.3559999999998</v>
      </c>
      <c r="Y43" s="170">
        <f t="shared" si="14"/>
        <v>0.27705581826101505</v>
      </c>
      <c r="Z43" s="170">
        <f t="shared" si="15"/>
        <v>2.5552984934967715</v>
      </c>
      <c r="AA43" s="180">
        <v>4366.8140000000003</v>
      </c>
    </row>
    <row r="44" spans="1:27" x14ac:dyDescent="0.2">
      <c r="A44" s="147">
        <v>2004</v>
      </c>
      <c r="B44" s="147">
        <v>7</v>
      </c>
      <c r="C44" s="147" t="str">
        <f t="shared" si="5"/>
        <v>20047</v>
      </c>
      <c r="D44" s="147" t="str">
        <f t="shared" si="12"/>
        <v>Q3</v>
      </c>
      <c r="E44" s="151">
        <f t="shared" si="16"/>
        <v>117551.33470225871</v>
      </c>
      <c r="F44" s="151">
        <f t="shared" si="16"/>
        <v>117551.33500000001</v>
      </c>
      <c r="G44" s="151">
        <f t="shared" si="6"/>
        <v>4155.2309999999998</v>
      </c>
      <c r="H44" s="151">
        <f t="shared" si="7"/>
        <v>4155.2309999999998</v>
      </c>
      <c r="I44" s="151">
        <f t="shared" si="1"/>
        <v>1648.232</v>
      </c>
      <c r="J44" s="284">
        <f t="shared" si="8"/>
        <v>-2.5328619202014124E-9</v>
      </c>
      <c r="M44" s="147">
        <f t="shared" si="10"/>
        <v>2011</v>
      </c>
      <c r="N44" s="170" t="str">
        <f t="shared" si="11"/>
        <v>Q3</v>
      </c>
      <c r="O44" s="170" t="str">
        <f t="shared" si="2"/>
        <v>2011Q3</v>
      </c>
      <c r="P44" s="175">
        <v>130388.56272912602</v>
      </c>
      <c r="Q44" s="175">
        <v>128885.583</v>
      </c>
      <c r="R44" s="233">
        <v>1732.7529999999999</v>
      </c>
      <c r="S44" s="233">
        <v>1712.452</v>
      </c>
      <c r="T44" s="180">
        <v>39675.467395051506</v>
      </c>
      <c r="U44" s="180"/>
      <c r="V44" s="235">
        <f t="shared" si="9"/>
        <v>4375.2330000000002</v>
      </c>
      <c r="W44" s="180">
        <v>480.85874919674939</v>
      </c>
      <c r="X44" s="180">
        <v>4375.2330000000002</v>
      </c>
      <c r="Y44" s="170">
        <f t="shared" si="14"/>
        <v>0.27751142211079677</v>
      </c>
      <c r="Z44" s="170">
        <f t="shared" si="15"/>
        <v>2.5549521972002718</v>
      </c>
      <c r="AA44" s="180">
        <v>4370.21</v>
      </c>
    </row>
    <row r="45" spans="1:27" x14ac:dyDescent="0.2">
      <c r="A45" s="147">
        <v>2004</v>
      </c>
      <c r="B45" s="147">
        <v>8</v>
      </c>
      <c r="C45" s="147" t="str">
        <f t="shared" si="5"/>
        <v>20048</v>
      </c>
      <c r="D45" s="147" t="str">
        <f t="shared" si="12"/>
        <v>Q3</v>
      </c>
      <c r="E45" s="151">
        <f t="shared" si="16"/>
        <v>117551.33470225871</v>
      </c>
      <c r="F45" s="151">
        <f t="shared" si="16"/>
        <v>117551.33500000001</v>
      </c>
      <c r="G45" s="151">
        <f t="shared" si="6"/>
        <v>4155.2309999999998</v>
      </c>
      <c r="H45" s="151">
        <f t="shared" si="7"/>
        <v>4155.2309999999998</v>
      </c>
      <c r="I45" s="151">
        <f t="shared" si="1"/>
        <v>1648.232</v>
      </c>
      <c r="J45" s="284">
        <f t="shared" si="8"/>
        <v>-2.5328619202014124E-9</v>
      </c>
      <c r="M45" s="147">
        <f t="shared" si="10"/>
        <v>2011</v>
      </c>
      <c r="N45" s="170" t="str">
        <f t="shared" si="11"/>
        <v>Q4</v>
      </c>
      <c r="O45" s="170" t="str">
        <f t="shared" si="2"/>
        <v>2011Q4</v>
      </c>
      <c r="P45" s="175">
        <v>130530.66068608029</v>
      </c>
      <c r="Q45" s="175">
        <v>129177.128</v>
      </c>
      <c r="R45" s="233">
        <v>1735.6120000000001</v>
      </c>
      <c r="S45" s="233">
        <v>1714.989</v>
      </c>
      <c r="T45" s="180">
        <v>39786.860383818384</v>
      </c>
      <c r="U45" s="180"/>
      <c r="V45" s="235">
        <f t="shared" si="9"/>
        <v>4381.482</v>
      </c>
      <c r="W45" s="180">
        <v>481.7924771225633</v>
      </c>
      <c r="X45" s="180">
        <v>4381.482</v>
      </c>
      <c r="Y45" s="170">
        <f t="shared" si="14"/>
        <v>0.27759227126947916</v>
      </c>
      <c r="Z45" s="170">
        <f t="shared" si="15"/>
        <v>2.5548163865774067</v>
      </c>
      <c r="AA45" s="180">
        <v>4373.6090000000004</v>
      </c>
    </row>
    <row r="46" spans="1:27" x14ac:dyDescent="0.2">
      <c r="A46" s="147">
        <v>2004</v>
      </c>
      <c r="B46" s="147">
        <v>9</v>
      </c>
      <c r="C46" s="147" t="str">
        <f t="shared" si="5"/>
        <v>20049</v>
      </c>
      <c r="D46" s="147" t="str">
        <f t="shared" si="12"/>
        <v>Q3</v>
      </c>
      <c r="E46" s="151">
        <f t="shared" si="16"/>
        <v>117551.33470225871</v>
      </c>
      <c r="F46" s="151">
        <f t="shared" si="16"/>
        <v>117551.33500000001</v>
      </c>
      <c r="G46" s="151">
        <f t="shared" si="6"/>
        <v>4155.2309999999998</v>
      </c>
      <c r="H46" s="151">
        <f t="shared" si="7"/>
        <v>4155.2309999999998</v>
      </c>
      <c r="I46" s="151">
        <f t="shared" si="1"/>
        <v>1648.232</v>
      </c>
      <c r="J46" s="284">
        <f t="shared" si="8"/>
        <v>-2.5328619202014124E-9</v>
      </c>
      <c r="M46" s="147">
        <f t="shared" si="10"/>
        <v>2012</v>
      </c>
      <c r="N46" s="170" t="str">
        <f t="shared" si="11"/>
        <v>Q1</v>
      </c>
      <c r="O46" s="170" t="str">
        <f t="shared" si="2"/>
        <v>2012Q1</v>
      </c>
      <c r="P46" s="175">
        <v>131895.05637467475</v>
      </c>
      <c r="Q46" s="175">
        <v>129516.13400000001</v>
      </c>
      <c r="R46" s="233">
        <v>1738.9960000000001</v>
      </c>
      <c r="S46" s="233">
        <v>1717.53</v>
      </c>
      <c r="T46" s="180">
        <v>39800.138297807738</v>
      </c>
      <c r="U46" s="180"/>
      <c r="V46" s="235">
        <f t="shared" si="9"/>
        <v>4387.8289999999997</v>
      </c>
      <c r="W46" s="180">
        <v>483.3171549792832</v>
      </c>
      <c r="X46" s="180">
        <v>4387.8289999999997</v>
      </c>
      <c r="Y46" s="170">
        <f t="shared" si="14"/>
        <v>0.27792884801303924</v>
      </c>
      <c r="Z46" s="170">
        <f t="shared" si="15"/>
        <v>2.5547320861935452</v>
      </c>
      <c r="AA46" s="180">
        <v>4377.0110000000004</v>
      </c>
    </row>
    <row r="47" spans="1:27" x14ac:dyDescent="0.2">
      <c r="A47" s="147">
        <v>2004</v>
      </c>
      <c r="B47" s="147">
        <v>10</v>
      </c>
      <c r="C47" s="147" t="str">
        <f t="shared" si="5"/>
        <v>200410</v>
      </c>
      <c r="D47" s="147" t="str">
        <f t="shared" si="12"/>
        <v>Q4</v>
      </c>
      <c r="E47" s="151">
        <f t="shared" si="16"/>
        <v>118914.67973070695</v>
      </c>
      <c r="F47" s="151">
        <f t="shared" si="16"/>
        <v>118914.68</v>
      </c>
      <c r="G47" s="151">
        <f t="shared" si="6"/>
        <v>4164.3810000000003</v>
      </c>
      <c r="H47" s="151">
        <f t="shared" si="7"/>
        <v>4164.3810000000003</v>
      </c>
      <c r="I47" s="151">
        <f t="shared" si="1"/>
        <v>1651.4670000000001</v>
      </c>
      <c r="J47" s="284">
        <f t="shared" si="8"/>
        <v>-2.2645904040885512E-9</v>
      </c>
      <c r="M47" s="147">
        <f t="shared" si="10"/>
        <v>2012</v>
      </c>
      <c r="N47" s="170" t="str">
        <f t="shared" si="11"/>
        <v>Q2</v>
      </c>
      <c r="O47" s="170" t="str">
        <f t="shared" si="2"/>
        <v>2012Q2</v>
      </c>
      <c r="P47" s="175">
        <v>132479.04689339892</v>
      </c>
      <c r="Q47" s="175">
        <v>130403.818</v>
      </c>
      <c r="R47" s="233">
        <v>1742.2639999999999</v>
      </c>
      <c r="S47" s="233">
        <v>1720.075</v>
      </c>
      <c r="T47" s="180">
        <v>39988.352967991457</v>
      </c>
      <c r="U47" s="180"/>
      <c r="V47" s="235">
        <f t="shared" si="9"/>
        <v>4394.317</v>
      </c>
      <c r="W47" s="180">
        <v>484.85487049310797</v>
      </c>
      <c r="X47" s="180">
        <v>4394.317</v>
      </c>
      <c r="Y47" s="170">
        <f t="shared" si="14"/>
        <v>0.27829012738202019</v>
      </c>
      <c r="Z47" s="170">
        <f t="shared" si="15"/>
        <v>2.5547240672645088</v>
      </c>
      <c r="AA47" s="180">
        <v>4380.415</v>
      </c>
    </row>
    <row r="48" spans="1:27" x14ac:dyDescent="0.2">
      <c r="A48" s="147">
        <v>2004</v>
      </c>
      <c r="B48" s="147">
        <v>11</v>
      </c>
      <c r="C48" s="147" t="str">
        <f t="shared" si="5"/>
        <v>200411</v>
      </c>
      <c r="D48" s="147" t="str">
        <f t="shared" si="12"/>
        <v>Q4</v>
      </c>
      <c r="E48" s="151">
        <f t="shared" si="16"/>
        <v>118914.67973070695</v>
      </c>
      <c r="F48" s="151">
        <f t="shared" si="16"/>
        <v>118914.68</v>
      </c>
      <c r="G48" s="151">
        <f t="shared" si="6"/>
        <v>4164.3810000000003</v>
      </c>
      <c r="H48" s="151">
        <f t="shared" si="7"/>
        <v>4164.3810000000003</v>
      </c>
      <c r="I48" s="151">
        <f t="shared" si="1"/>
        <v>1651.4670000000001</v>
      </c>
      <c r="J48" s="284">
        <f t="shared" si="8"/>
        <v>-2.2645904040885512E-9</v>
      </c>
      <c r="M48" s="147">
        <f t="shared" si="10"/>
        <v>2012</v>
      </c>
      <c r="N48" s="170" t="str">
        <f t="shared" si="11"/>
        <v>Q3</v>
      </c>
      <c r="O48" s="170" t="str">
        <f t="shared" si="2"/>
        <v>2012Q3</v>
      </c>
      <c r="P48" s="175">
        <v>132178.83262039465</v>
      </c>
      <c r="Q48" s="175">
        <v>131166.87299999999</v>
      </c>
      <c r="R48" s="233">
        <v>1745.2270000000001</v>
      </c>
      <c r="S48" s="233">
        <v>1722.731</v>
      </c>
      <c r="T48" s="180">
        <v>40189.459532165798</v>
      </c>
      <c r="U48" s="180"/>
      <c r="V48" s="235">
        <f t="shared" si="9"/>
        <v>4400.95</v>
      </c>
      <c r="W48" s="180">
        <v>486.39485134618292</v>
      </c>
      <c r="X48" s="180">
        <v>4400.95</v>
      </c>
      <c r="Y48" s="170">
        <f t="shared" si="14"/>
        <v>0.27870004953291627</v>
      </c>
      <c r="Z48" s="170">
        <f t="shared" si="15"/>
        <v>2.5546356337698688</v>
      </c>
      <c r="AA48" s="180">
        <v>4384.09</v>
      </c>
    </row>
    <row r="49" spans="1:27" x14ac:dyDescent="0.2">
      <c r="A49" s="147">
        <v>2004</v>
      </c>
      <c r="B49" s="147">
        <v>12</v>
      </c>
      <c r="C49" s="147" t="str">
        <f t="shared" si="5"/>
        <v>200412</v>
      </c>
      <c r="D49" s="147" t="str">
        <f t="shared" si="12"/>
        <v>Q4</v>
      </c>
      <c r="E49" s="151">
        <f t="shared" si="16"/>
        <v>118914.67973070695</v>
      </c>
      <c r="F49" s="151">
        <f t="shared" si="16"/>
        <v>118914.68</v>
      </c>
      <c r="G49" s="151">
        <f t="shared" si="6"/>
        <v>4164.3810000000003</v>
      </c>
      <c r="H49" s="151">
        <f t="shared" si="7"/>
        <v>4164.3810000000003</v>
      </c>
      <c r="I49" s="151">
        <f t="shared" si="1"/>
        <v>1651.4670000000001</v>
      </c>
      <c r="J49" s="284">
        <f t="shared" si="8"/>
        <v>-2.2645904040885512E-9</v>
      </c>
      <c r="M49" s="147">
        <f t="shared" si="10"/>
        <v>2012</v>
      </c>
      <c r="N49" s="170" t="str">
        <f t="shared" si="11"/>
        <v>Q4</v>
      </c>
      <c r="O49" s="170" t="str">
        <f t="shared" si="2"/>
        <v>2012Q4</v>
      </c>
      <c r="P49" s="175">
        <v>133690.68480912619</v>
      </c>
      <c r="Q49" s="175">
        <v>132095.09099999999</v>
      </c>
      <c r="R49" s="233">
        <v>1748.2629999999999</v>
      </c>
      <c r="S49" s="233">
        <v>1725.0540000000001</v>
      </c>
      <c r="T49" s="180">
        <v>40421.283791564252</v>
      </c>
      <c r="U49" s="180"/>
      <c r="V49" s="235">
        <f t="shared" si="9"/>
        <v>4407.7280000000001</v>
      </c>
      <c r="W49" s="180">
        <v>487.93731470917857</v>
      </c>
      <c r="X49" s="180">
        <v>4407.7280000000001</v>
      </c>
      <c r="Y49" s="170">
        <f t="shared" si="14"/>
        <v>0.27909834773668413</v>
      </c>
      <c r="Z49" s="170">
        <f t="shared" si="15"/>
        <v>2.55512465117034</v>
      </c>
      <c r="AA49" s="180">
        <v>4388.0649999999996</v>
      </c>
    </row>
    <row r="50" spans="1:27" x14ac:dyDescent="0.2">
      <c r="A50" s="147">
        <v>2005</v>
      </c>
      <c r="B50" s="147">
        <v>1</v>
      </c>
      <c r="C50" s="147" t="str">
        <f t="shared" si="5"/>
        <v>20051</v>
      </c>
      <c r="D50" s="147" t="str">
        <f t="shared" si="12"/>
        <v>Q1</v>
      </c>
      <c r="E50" s="151">
        <f t="shared" si="16"/>
        <v>118334.43021313217</v>
      </c>
      <c r="F50" s="151">
        <f t="shared" si="16"/>
        <v>118334.43</v>
      </c>
      <c r="G50" s="151">
        <f t="shared" si="6"/>
        <v>4173.5519999999997</v>
      </c>
      <c r="H50" s="151">
        <f t="shared" si="7"/>
        <v>4173.5519999999997</v>
      </c>
      <c r="I50" s="151">
        <f t="shared" si="1"/>
        <v>1654.7090000000001</v>
      </c>
      <c r="J50" s="284">
        <f t="shared" si="8"/>
        <v>1.8011003799500713E-9</v>
      </c>
      <c r="M50" s="147">
        <f t="shared" si="10"/>
        <v>2013</v>
      </c>
      <c r="N50" s="170" t="str">
        <f t="shared" si="11"/>
        <v>Q1</v>
      </c>
      <c r="O50" s="170" t="str">
        <f>M50&amp;N50</f>
        <v>2013Q1</v>
      </c>
      <c r="P50" s="175">
        <v>132634.41351828325</v>
      </c>
      <c r="Q50" s="175">
        <v>132729.997</v>
      </c>
      <c r="R50" s="233">
        <v>1751.194</v>
      </c>
      <c r="S50" s="233">
        <v>1728.127</v>
      </c>
      <c r="T50" s="180">
        <v>40466.045989246653</v>
      </c>
      <c r="U50" s="180"/>
      <c r="V50" s="235">
        <f t="shared" si="9"/>
        <v>4414.6940000000004</v>
      </c>
      <c r="W50" s="180">
        <v>489.48665509939298</v>
      </c>
      <c r="X50" s="180">
        <v>4414.6940000000004</v>
      </c>
      <c r="Y50" s="170">
        <f t="shared" si="14"/>
        <v>0.27951595031697973</v>
      </c>
      <c r="Z50" s="170">
        <f t="shared" si="15"/>
        <v>2.5546120163622237</v>
      </c>
      <c r="AA50" s="180">
        <v>4392.3379999999997</v>
      </c>
    </row>
    <row r="51" spans="1:27" x14ac:dyDescent="0.2">
      <c r="A51" s="147">
        <v>2005</v>
      </c>
      <c r="B51" s="147">
        <v>2</v>
      </c>
      <c r="C51" s="147" t="str">
        <f t="shared" si="5"/>
        <v>20052</v>
      </c>
      <c r="D51" s="147" t="str">
        <f t="shared" si="12"/>
        <v>Q1</v>
      </c>
      <c r="E51" s="151">
        <f t="shared" si="16"/>
        <v>118334.43021313217</v>
      </c>
      <c r="F51" s="151">
        <f t="shared" si="16"/>
        <v>118334.43</v>
      </c>
      <c r="G51" s="151">
        <f t="shared" si="6"/>
        <v>4173.5519999999997</v>
      </c>
      <c r="H51" s="151">
        <f t="shared" si="7"/>
        <v>4173.5519999999997</v>
      </c>
      <c r="I51" s="151">
        <f t="shared" si="1"/>
        <v>1654.7090000000001</v>
      </c>
      <c r="J51" s="284">
        <f t="shared" si="8"/>
        <v>1.8011003799500713E-9</v>
      </c>
      <c r="M51" s="147">
        <f t="shared" si="10"/>
        <v>2013</v>
      </c>
      <c r="N51" s="170" t="str">
        <f t="shared" si="11"/>
        <v>Q2</v>
      </c>
      <c r="O51" s="170" t="str">
        <f t="shared" ref="O51:O114" si="17">M51&amp;N51</f>
        <v>2013Q2</v>
      </c>
      <c r="P51" s="175">
        <v>133793.329456562</v>
      </c>
      <c r="Q51" s="175">
        <v>133712.25599999999</v>
      </c>
      <c r="R51" s="233">
        <v>1754.297</v>
      </c>
      <c r="S51" s="233">
        <v>1731.874</v>
      </c>
      <c r="T51" s="180">
        <v>40674.221991986815</v>
      </c>
      <c r="U51" s="180"/>
      <c r="V51" s="235">
        <f t="shared" si="9"/>
        <v>4421.8450000000003</v>
      </c>
      <c r="W51" s="180">
        <v>491.06492370621629</v>
      </c>
      <c r="X51" s="180">
        <v>4421.8450000000003</v>
      </c>
      <c r="Y51" s="170">
        <f t="shared" si="14"/>
        <v>0.27992120131666204</v>
      </c>
      <c r="Z51" s="170">
        <f t="shared" si="15"/>
        <v>2.5532140328915385</v>
      </c>
      <c r="AA51" s="180">
        <v>4396.8729999999996</v>
      </c>
    </row>
    <row r="52" spans="1:27" x14ac:dyDescent="0.2">
      <c r="A52" s="147">
        <v>2005</v>
      </c>
      <c r="B52" s="147">
        <v>3</v>
      </c>
      <c r="C52" s="147" t="str">
        <f t="shared" si="5"/>
        <v>20053</v>
      </c>
      <c r="D52" s="147" t="str">
        <f t="shared" si="12"/>
        <v>Q1</v>
      </c>
      <c r="E52" s="151">
        <f t="shared" si="16"/>
        <v>118334.43021313217</v>
      </c>
      <c r="F52" s="151">
        <f t="shared" si="16"/>
        <v>118334.43</v>
      </c>
      <c r="G52" s="151">
        <f t="shared" si="6"/>
        <v>4173.5519999999997</v>
      </c>
      <c r="H52" s="151">
        <f t="shared" si="7"/>
        <v>4173.5519999999997</v>
      </c>
      <c r="I52" s="151">
        <f t="shared" si="1"/>
        <v>1654.7090000000001</v>
      </c>
      <c r="J52" s="284">
        <f t="shared" si="8"/>
        <v>1.8011003799500713E-9</v>
      </c>
      <c r="M52" s="147">
        <f t="shared" si="10"/>
        <v>2013</v>
      </c>
      <c r="N52" s="170" t="str">
        <f t="shared" si="11"/>
        <v>Q3</v>
      </c>
      <c r="O52" s="170" t="str">
        <f t="shared" si="17"/>
        <v>2013Q3</v>
      </c>
      <c r="P52" s="175">
        <v>134725.28851443794</v>
      </c>
      <c r="Q52" s="175">
        <v>134397.17499999999</v>
      </c>
      <c r="R52" s="233">
        <v>1757.2080000000001</v>
      </c>
      <c r="S52" s="233">
        <v>1735.721</v>
      </c>
      <c r="T52" s="180">
        <v>40887.017192114734</v>
      </c>
      <c r="U52" s="180"/>
      <c r="V52" s="235">
        <f t="shared" si="9"/>
        <v>4429.1769999999997</v>
      </c>
      <c r="W52" s="180">
        <v>492.64952505414612</v>
      </c>
      <c r="X52" s="180">
        <v>4429.1769999999997</v>
      </c>
      <c r="Y52" s="170">
        <f t="shared" si="14"/>
        <v>0.28035925459828664</v>
      </c>
      <c r="Z52" s="170">
        <f t="shared" si="15"/>
        <v>2.5517793470263941</v>
      </c>
      <c r="AA52" s="180">
        <v>4401.67</v>
      </c>
    </row>
    <row r="53" spans="1:27" x14ac:dyDescent="0.2">
      <c r="A53" s="147">
        <v>2005</v>
      </c>
      <c r="B53" s="147">
        <v>4</v>
      </c>
      <c r="C53" s="147" t="str">
        <f t="shared" si="5"/>
        <v>20054</v>
      </c>
      <c r="D53" s="147" t="str">
        <f t="shared" si="12"/>
        <v>Q2</v>
      </c>
      <c r="E53" s="151">
        <f t="shared" si="16"/>
        <v>119333.41383890837</v>
      </c>
      <c r="F53" s="151">
        <f t="shared" si="16"/>
        <v>119333.414</v>
      </c>
      <c r="G53" s="151">
        <f t="shared" si="6"/>
        <v>4182.7420000000002</v>
      </c>
      <c r="H53" s="151">
        <f t="shared" si="7"/>
        <v>4182.7420000000002</v>
      </c>
      <c r="I53" s="151">
        <f t="shared" si="1"/>
        <v>1657.9570000000001</v>
      </c>
      <c r="J53" s="284">
        <f t="shared" si="8"/>
        <v>-1.3499290574259248E-9</v>
      </c>
      <c r="M53" s="147">
        <f t="shared" si="10"/>
        <v>2013</v>
      </c>
      <c r="N53" s="170" t="str">
        <f t="shared" si="11"/>
        <v>Q4</v>
      </c>
      <c r="O53" s="170" t="str">
        <f t="shared" si="17"/>
        <v>2013Q4</v>
      </c>
      <c r="P53" s="175">
        <v>136078.24768430213</v>
      </c>
      <c r="Q53" s="175">
        <v>135147.93599999999</v>
      </c>
      <c r="R53" s="233">
        <v>1760.5619999999999</v>
      </c>
      <c r="S53" s="233">
        <v>1739.7670000000001</v>
      </c>
      <c r="T53" s="180">
        <v>41128.895775846191</v>
      </c>
      <c r="U53" s="180"/>
      <c r="V53" s="235">
        <f t="shared" si="9"/>
        <v>4436.7079999999996</v>
      </c>
      <c r="W53" s="180">
        <v>494.20204926318712</v>
      </c>
      <c r="X53" s="180">
        <v>4436.7079999999996</v>
      </c>
      <c r="Y53" s="170">
        <f t="shared" si="14"/>
        <v>0.28070698405576577</v>
      </c>
      <c r="Z53" s="170">
        <f t="shared" si="15"/>
        <v>2.5501736726814563</v>
      </c>
      <c r="AA53" s="180">
        <v>4406.7280000000001</v>
      </c>
    </row>
    <row r="54" spans="1:27" x14ac:dyDescent="0.2">
      <c r="A54" s="147">
        <v>2005</v>
      </c>
      <c r="B54" s="147">
        <v>5</v>
      </c>
      <c r="C54" s="147" t="str">
        <f t="shared" si="5"/>
        <v>20055</v>
      </c>
      <c r="D54" s="147" t="str">
        <f t="shared" si="12"/>
        <v>Q2</v>
      </c>
      <c r="E54" s="151">
        <f t="shared" si="16"/>
        <v>119333.41383890837</v>
      </c>
      <c r="F54" s="151">
        <f t="shared" si="16"/>
        <v>119333.414</v>
      </c>
      <c r="G54" s="151">
        <f t="shared" si="6"/>
        <v>4182.7420000000002</v>
      </c>
      <c r="H54" s="151">
        <f t="shared" si="7"/>
        <v>4182.7420000000002</v>
      </c>
      <c r="I54" s="151">
        <f t="shared" si="1"/>
        <v>1657.9570000000001</v>
      </c>
      <c r="J54" s="284">
        <f t="shared" si="8"/>
        <v>-1.3499290574259248E-9</v>
      </c>
      <c r="M54" s="147">
        <f t="shared" si="10"/>
        <v>2014</v>
      </c>
      <c r="N54" s="170" t="str">
        <f t="shared" si="11"/>
        <v>Q1</v>
      </c>
      <c r="O54" s="170" t="str">
        <f t="shared" si="17"/>
        <v>2014Q1</v>
      </c>
      <c r="P54" s="175">
        <v>137729.87198391245</v>
      </c>
      <c r="Q54" s="175">
        <v>136646.935</v>
      </c>
      <c r="R54" s="233">
        <v>1763.893</v>
      </c>
      <c r="S54" s="233">
        <v>1744.0530000000001</v>
      </c>
      <c r="T54" s="180">
        <v>41502.915812465311</v>
      </c>
      <c r="U54" s="180"/>
      <c r="V54" s="235">
        <f t="shared" si="9"/>
        <v>4444.3590000000004</v>
      </c>
      <c r="W54" s="180">
        <v>495.647401189238</v>
      </c>
      <c r="X54" s="180">
        <v>4444.3590000000004</v>
      </c>
      <c r="Y54" s="170">
        <f t="shared" si="14"/>
        <v>0.28099629693481293</v>
      </c>
      <c r="Z54" s="170">
        <f t="shared" si="15"/>
        <v>2.5482935438315235</v>
      </c>
      <c r="AA54" s="180">
        <v>4412.0460000000003</v>
      </c>
    </row>
    <row r="55" spans="1:27" x14ac:dyDescent="0.2">
      <c r="A55" s="147">
        <v>2005</v>
      </c>
      <c r="B55" s="147">
        <v>6</v>
      </c>
      <c r="C55" s="147" t="str">
        <f t="shared" si="5"/>
        <v>20056</v>
      </c>
      <c r="D55" s="147" t="str">
        <f t="shared" si="12"/>
        <v>Q2</v>
      </c>
      <c r="E55" s="151">
        <f t="shared" si="16"/>
        <v>119333.41383890837</v>
      </c>
      <c r="F55" s="151">
        <f t="shared" si="16"/>
        <v>119333.414</v>
      </c>
      <c r="G55" s="151">
        <f t="shared" si="6"/>
        <v>4182.7420000000002</v>
      </c>
      <c r="H55" s="151">
        <f t="shared" si="7"/>
        <v>4182.7420000000002</v>
      </c>
      <c r="I55" s="151">
        <f t="shared" si="1"/>
        <v>1657.9570000000001</v>
      </c>
      <c r="J55" s="284">
        <f t="shared" si="8"/>
        <v>-1.3499290574259248E-9</v>
      </c>
      <c r="M55" s="147">
        <f t="shared" si="10"/>
        <v>2014</v>
      </c>
      <c r="N55" s="170" t="str">
        <f t="shared" si="11"/>
        <v>Q2</v>
      </c>
      <c r="O55" s="170" t="str">
        <f t="shared" si="17"/>
        <v>2014Q2</v>
      </c>
      <c r="P55" s="175">
        <v>138587.15317635782</v>
      </c>
      <c r="Q55" s="175">
        <v>137566.70699999999</v>
      </c>
      <c r="R55" s="233">
        <v>1767.1759999999999</v>
      </c>
      <c r="S55" s="233">
        <v>1748.413</v>
      </c>
      <c r="T55" s="180">
        <v>41808.34126836736</v>
      </c>
      <c r="U55" s="180"/>
      <c r="V55" s="235">
        <f t="shared" si="9"/>
        <v>4452.1120000000001</v>
      </c>
      <c r="W55" s="180">
        <v>497.19351131894661</v>
      </c>
      <c r="X55" s="180">
        <v>4452.1120000000001</v>
      </c>
      <c r="Y55" s="170">
        <f t="shared" si="14"/>
        <v>0.28134917592755143</v>
      </c>
      <c r="Z55" s="170">
        <f t="shared" si="15"/>
        <v>2.5463731967218273</v>
      </c>
      <c r="AA55" s="180">
        <v>4417.6229999999996</v>
      </c>
    </row>
    <row r="56" spans="1:27" x14ac:dyDescent="0.2">
      <c r="A56" s="147">
        <v>2005</v>
      </c>
      <c r="B56" s="147">
        <v>7</v>
      </c>
      <c r="C56" s="147" t="str">
        <f t="shared" si="5"/>
        <v>20057</v>
      </c>
      <c r="D56" s="147" t="str">
        <f t="shared" si="12"/>
        <v>Q3</v>
      </c>
      <c r="E56" s="151">
        <f t="shared" si="16"/>
        <v>119379.65211161086</v>
      </c>
      <c r="F56" s="151">
        <f t="shared" si="16"/>
        <v>119379.652</v>
      </c>
      <c r="G56" s="151">
        <f t="shared" si="6"/>
        <v>4191.8370000000004</v>
      </c>
      <c r="H56" s="151">
        <f t="shared" si="7"/>
        <v>4191.8370000000004</v>
      </c>
      <c r="I56" s="151">
        <f t="shared" si="1"/>
        <v>1657.652</v>
      </c>
      <c r="J56" s="284">
        <f t="shared" si="8"/>
        <v>9.3492369401815267E-10</v>
      </c>
      <c r="M56" s="147">
        <f t="shared" si="10"/>
        <v>2014</v>
      </c>
      <c r="N56" s="170" t="str">
        <f t="shared" si="11"/>
        <v>Q3</v>
      </c>
      <c r="O56" s="170" t="str">
        <f t="shared" si="17"/>
        <v>2014Q3</v>
      </c>
      <c r="P56" s="175">
        <v>139504.7139044202</v>
      </c>
      <c r="Q56" s="175">
        <v>138505.228</v>
      </c>
      <c r="R56" s="233">
        <v>1770.816</v>
      </c>
      <c r="S56" s="233">
        <v>1752.981</v>
      </c>
      <c r="T56" s="180">
        <v>42112.64484379522</v>
      </c>
      <c r="U56" s="180"/>
      <c r="V56" s="235">
        <f t="shared" si="9"/>
        <v>4459.9639999999999</v>
      </c>
      <c r="W56" s="180">
        <v>498.84270062606771</v>
      </c>
      <c r="X56" s="180">
        <v>4459.9639999999999</v>
      </c>
      <c r="Y56" s="170">
        <f t="shared" si="14"/>
        <v>0.28170216477943938</v>
      </c>
      <c r="Z56" s="170">
        <f t="shared" si="15"/>
        <v>2.544216965272299</v>
      </c>
      <c r="AA56" s="180">
        <v>4423.4579999999996</v>
      </c>
    </row>
    <row r="57" spans="1:27" x14ac:dyDescent="0.2">
      <c r="A57" s="147">
        <v>2005</v>
      </c>
      <c r="B57" s="147">
        <v>8</v>
      </c>
      <c r="C57" s="147" t="str">
        <f t="shared" si="5"/>
        <v>20058</v>
      </c>
      <c r="D57" s="147" t="str">
        <f t="shared" si="12"/>
        <v>Q3</v>
      </c>
      <c r="E57" s="151">
        <f t="shared" si="16"/>
        <v>119379.65211161086</v>
      </c>
      <c r="F57" s="151">
        <f t="shared" si="16"/>
        <v>119379.652</v>
      </c>
      <c r="G57" s="151">
        <f t="shared" si="6"/>
        <v>4191.8370000000004</v>
      </c>
      <c r="H57" s="151">
        <f t="shared" si="7"/>
        <v>4191.8370000000004</v>
      </c>
      <c r="I57" s="151">
        <f t="shared" si="1"/>
        <v>1657.652</v>
      </c>
      <c r="J57" s="284">
        <f t="shared" si="8"/>
        <v>9.3492369401815267E-10</v>
      </c>
      <c r="M57" s="147">
        <f t="shared" si="10"/>
        <v>2014</v>
      </c>
      <c r="N57" s="170" t="str">
        <f t="shared" si="11"/>
        <v>Q4</v>
      </c>
      <c r="O57" s="170" t="str">
        <f t="shared" si="17"/>
        <v>2014Q4</v>
      </c>
      <c r="P57" s="175">
        <v>140534.52334076585</v>
      </c>
      <c r="Q57" s="175">
        <v>139445.223</v>
      </c>
      <c r="R57" s="233">
        <v>1774.326</v>
      </c>
      <c r="S57" s="233">
        <v>1757.5519999999999</v>
      </c>
      <c r="T57" s="180">
        <v>42435.52573788313</v>
      </c>
      <c r="U57" s="180"/>
      <c r="V57" s="235">
        <f t="shared" si="9"/>
        <v>4467.9120000000003</v>
      </c>
      <c r="W57" s="180">
        <v>500.43928707342133</v>
      </c>
      <c r="X57" s="180">
        <v>4467.9120000000003</v>
      </c>
      <c r="Y57" s="170">
        <f t="shared" si="14"/>
        <v>0.28204472406616443</v>
      </c>
      <c r="Z57" s="170">
        <f t="shared" si="15"/>
        <v>2.5421222245486907</v>
      </c>
      <c r="AA57" s="180">
        <v>4429.549</v>
      </c>
    </row>
    <row r="58" spans="1:27" x14ac:dyDescent="0.2">
      <c r="A58" s="147">
        <v>2005</v>
      </c>
      <c r="B58" s="147">
        <v>9</v>
      </c>
      <c r="C58" s="147" t="str">
        <f t="shared" si="5"/>
        <v>20059</v>
      </c>
      <c r="D58" s="147" t="str">
        <f t="shared" si="12"/>
        <v>Q3</v>
      </c>
      <c r="E58" s="151">
        <f t="shared" si="16"/>
        <v>119379.65211161086</v>
      </c>
      <c r="F58" s="151">
        <f t="shared" si="16"/>
        <v>119379.652</v>
      </c>
      <c r="G58" s="151">
        <f t="shared" si="6"/>
        <v>4191.8370000000004</v>
      </c>
      <c r="H58" s="151">
        <f t="shared" si="7"/>
        <v>4191.8370000000004</v>
      </c>
      <c r="I58" s="151">
        <f t="shared" si="1"/>
        <v>1657.652</v>
      </c>
      <c r="J58" s="284">
        <f t="shared" si="8"/>
        <v>9.3492369401815267E-10</v>
      </c>
      <c r="M58" s="147">
        <f t="shared" si="10"/>
        <v>2015</v>
      </c>
      <c r="N58" s="170" t="str">
        <f t="shared" si="11"/>
        <v>Q1</v>
      </c>
      <c r="O58" s="170" t="str">
        <f t="shared" si="17"/>
        <v>2015Q1</v>
      </c>
      <c r="P58" s="175">
        <v>142116.67062181202</v>
      </c>
      <c r="Q58" s="175">
        <v>140510.76300000001</v>
      </c>
      <c r="R58" s="233">
        <v>1778.097</v>
      </c>
      <c r="S58" s="233">
        <v>1762.1859999999999</v>
      </c>
      <c r="T58" s="180">
        <v>42650.097953529214</v>
      </c>
      <c r="U58" s="180"/>
      <c r="V58" s="235">
        <f t="shared" si="9"/>
        <v>4475.9679999999998</v>
      </c>
      <c r="W58" s="180">
        <v>501.8291618821915</v>
      </c>
      <c r="X58" s="180">
        <v>4475.9679999999998</v>
      </c>
      <c r="Y58" s="170">
        <f t="shared" si="14"/>
        <v>0.28222822595291003</v>
      </c>
      <c r="Z58" s="170">
        <f t="shared" si="15"/>
        <v>2.5400088299419017</v>
      </c>
      <c r="AA58" s="180">
        <v>4435.7820000000002</v>
      </c>
    </row>
    <row r="59" spans="1:27" x14ac:dyDescent="0.2">
      <c r="A59" s="147">
        <v>2005</v>
      </c>
      <c r="B59" s="147">
        <v>10</v>
      </c>
      <c r="C59" s="147" t="str">
        <f t="shared" si="5"/>
        <v>200510</v>
      </c>
      <c r="D59" s="147" t="str">
        <f t="shared" si="12"/>
        <v>Q4</v>
      </c>
      <c r="E59" s="151">
        <f t="shared" si="16"/>
        <v>119542.07810912392</v>
      </c>
      <c r="F59" s="151">
        <f t="shared" si="16"/>
        <v>119542.07799999999</v>
      </c>
      <c r="G59" s="151">
        <f t="shared" si="6"/>
        <v>4200.951</v>
      </c>
      <c r="H59" s="151">
        <f t="shared" si="7"/>
        <v>4200.951</v>
      </c>
      <c r="I59" s="151">
        <f t="shared" si="1"/>
        <v>1657.348</v>
      </c>
      <c r="J59" s="284">
        <f t="shared" si="8"/>
        <v>9.1284957370874054E-10</v>
      </c>
      <c r="M59" s="147">
        <f t="shared" si="10"/>
        <v>2015</v>
      </c>
      <c r="N59" s="170" t="str">
        <f t="shared" si="11"/>
        <v>Q2</v>
      </c>
      <c r="O59" s="170" t="str">
        <f t="shared" si="17"/>
        <v>2015Q2</v>
      </c>
      <c r="P59" s="175">
        <v>142965.68227593292</v>
      </c>
      <c r="Q59" s="175">
        <v>141224.63399999999</v>
      </c>
      <c r="R59" s="233">
        <v>1782.097</v>
      </c>
      <c r="S59" s="233">
        <v>1766.8579999999999</v>
      </c>
      <c r="T59" s="180">
        <v>42880.981284829548</v>
      </c>
      <c r="U59" s="180"/>
      <c r="V59" s="235">
        <f t="shared" si="9"/>
        <v>4484.1310000000003</v>
      </c>
      <c r="W59" s="180">
        <v>503.37931941722849</v>
      </c>
      <c r="X59" s="180">
        <v>4484.1310000000003</v>
      </c>
      <c r="Y59" s="170">
        <f t="shared" si="14"/>
        <v>0.28246460176815769</v>
      </c>
      <c r="Z59" s="170">
        <f t="shared" si="15"/>
        <v>2.5379124977785428</v>
      </c>
      <c r="AA59" s="180">
        <v>4442.1580000000004</v>
      </c>
    </row>
    <row r="60" spans="1:27" x14ac:dyDescent="0.2">
      <c r="A60" s="147">
        <v>2005</v>
      </c>
      <c r="B60" s="147">
        <v>11</v>
      </c>
      <c r="C60" s="147" t="str">
        <f t="shared" si="5"/>
        <v>200511</v>
      </c>
      <c r="D60" s="147" t="str">
        <f t="shared" si="12"/>
        <v>Q4</v>
      </c>
      <c r="E60" s="151">
        <f t="shared" si="16"/>
        <v>119542.07810912392</v>
      </c>
      <c r="F60" s="151">
        <f t="shared" si="16"/>
        <v>119542.07799999999</v>
      </c>
      <c r="G60" s="151">
        <f t="shared" si="6"/>
        <v>4200.951</v>
      </c>
      <c r="H60" s="151">
        <f t="shared" si="7"/>
        <v>4200.951</v>
      </c>
      <c r="I60" s="151">
        <f t="shared" si="1"/>
        <v>1657.348</v>
      </c>
      <c r="J60" s="284">
        <f t="shared" si="8"/>
        <v>9.1284957370874054E-10</v>
      </c>
      <c r="M60" s="147">
        <f t="shared" si="10"/>
        <v>2015</v>
      </c>
      <c r="N60" s="170" t="str">
        <f t="shared" si="11"/>
        <v>Q3</v>
      </c>
      <c r="O60" s="170" t="str">
        <f t="shared" si="17"/>
        <v>2015Q3</v>
      </c>
      <c r="P60" s="175">
        <v>143852.26078152558</v>
      </c>
      <c r="Q60" s="175">
        <v>141992.24600000001</v>
      </c>
      <c r="R60" s="233">
        <v>1785.9590000000001</v>
      </c>
      <c r="S60" s="233">
        <v>1771.377</v>
      </c>
      <c r="T60" s="180">
        <v>43176.797187660617</v>
      </c>
      <c r="U60" s="180"/>
      <c r="V60" s="235">
        <f t="shared" si="9"/>
        <v>4492.3999999999996</v>
      </c>
      <c r="W60" s="180">
        <v>504.94774529623874</v>
      </c>
      <c r="X60" s="180">
        <v>4492.3999999999996</v>
      </c>
      <c r="Y60" s="170">
        <f t="shared" si="14"/>
        <v>0.28273199177374103</v>
      </c>
      <c r="Z60" s="170">
        <f t="shared" si="15"/>
        <v>2.5361060914757276</v>
      </c>
      <c r="AA60" s="180">
        <v>4448.6779999999999</v>
      </c>
    </row>
    <row r="61" spans="1:27" x14ac:dyDescent="0.2">
      <c r="A61" s="147">
        <v>2005</v>
      </c>
      <c r="B61" s="147">
        <v>12</v>
      </c>
      <c r="C61" s="147" t="str">
        <f t="shared" si="5"/>
        <v>200512</v>
      </c>
      <c r="D61" s="147" t="str">
        <f t="shared" si="12"/>
        <v>Q4</v>
      </c>
      <c r="E61" s="151">
        <f t="shared" si="16"/>
        <v>119542.07810912392</v>
      </c>
      <c r="F61" s="151">
        <f t="shared" si="16"/>
        <v>119542.07799999999</v>
      </c>
      <c r="G61" s="151">
        <f t="shared" si="6"/>
        <v>4200.951</v>
      </c>
      <c r="H61" s="151">
        <f t="shared" si="7"/>
        <v>4200.951</v>
      </c>
      <c r="I61" s="151">
        <f t="shared" si="1"/>
        <v>1657.348</v>
      </c>
      <c r="J61" s="284">
        <f t="shared" si="8"/>
        <v>9.1284957370874054E-10</v>
      </c>
      <c r="M61" s="147">
        <f t="shared" si="10"/>
        <v>2015</v>
      </c>
      <c r="N61" s="170" t="str">
        <f t="shared" si="11"/>
        <v>Q4</v>
      </c>
      <c r="O61" s="170" t="str">
        <f t="shared" si="17"/>
        <v>2015Q4</v>
      </c>
      <c r="P61" s="175">
        <v>144607.8510273135</v>
      </c>
      <c r="Q61" s="175">
        <v>142772.34400000001</v>
      </c>
      <c r="R61" s="233">
        <v>1789.7339999999999</v>
      </c>
      <c r="S61" s="233">
        <v>1776.0530000000001</v>
      </c>
      <c r="T61" s="180">
        <v>43428.863134860279</v>
      </c>
      <c r="U61" s="180"/>
      <c r="V61" s="235">
        <f t="shared" si="9"/>
        <v>4500.777</v>
      </c>
      <c r="W61" s="180">
        <v>506.36904628060279</v>
      </c>
      <c r="X61" s="180">
        <v>4500.777</v>
      </c>
      <c r="Y61" s="170">
        <f t="shared" si="14"/>
        <v>0.28292977966591842</v>
      </c>
      <c r="Z61" s="170">
        <f t="shared" si="15"/>
        <v>2.5341456589414841</v>
      </c>
      <c r="AA61" s="180">
        <v>4455.3419999999996</v>
      </c>
    </row>
    <row r="62" spans="1:27" x14ac:dyDescent="0.2">
      <c r="A62" s="147">
        <v>2006</v>
      </c>
      <c r="B62" s="147">
        <v>1</v>
      </c>
      <c r="C62" s="147" t="str">
        <f t="shared" si="5"/>
        <v>20061</v>
      </c>
      <c r="D62" s="147" t="str">
        <f t="shared" si="12"/>
        <v>Q1</v>
      </c>
      <c r="E62" s="151">
        <f t="shared" ref="E62:F81" si="18">VLOOKUP($A62&amp;$D62,$O$1:$V$189,MATCH(E$1,$O$1:$V$1,0),0)</f>
        <v>121891.27060534019</v>
      </c>
      <c r="F62" s="151">
        <f t="shared" si="18"/>
        <v>121891.27099999999</v>
      </c>
      <c r="G62" s="151">
        <f t="shared" si="6"/>
        <v>4210.085</v>
      </c>
      <c r="H62" s="151">
        <f t="shared" si="7"/>
        <v>4210.085</v>
      </c>
      <c r="I62" s="151">
        <f t="shared" si="1"/>
        <v>1657.0429999999999</v>
      </c>
      <c r="J62" s="284">
        <f t="shared" si="8"/>
        <v>-3.2378020264900442E-9</v>
      </c>
      <c r="M62" s="147">
        <f t="shared" si="10"/>
        <v>2016</v>
      </c>
      <c r="N62" s="170" t="str">
        <f t="shared" si="11"/>
        <v>Q1</v>
      </c>
      <c r="O62" s="170" t="str">
        <f t="shared" si="17"/>
        <v>2016Q1</v>
      </c>
      <c r="P62" s="175">
        <v>146296.92551622883</v>
      </c>
      <c r="Q62" s="175">
        <v>144227.636</v>
      </c>
      <c r="R62" s="233">
        <v>1793.4010000000001</v>
      </c>
      <c r="S62" s="233">
        <v>1780.7280000000001</v>
      </c>
      <c r="T62" s="180">
        <v>43755.370741727726</v>
      </c>
      <c r="U62" s="180"/>
      <c r="V62" s="235">
        <f t="shared" si="9"/>
        <v>4509.174</v>
      </c>
      <c r="W62" s="180">
        <v>507.86793941892671</v>
      </c>
      <c r="X62" s="180">
        <v>4509.174</v>
      </c>
      <c r="Y62" s="170">
        <f t="shared" si="14"/>
        <v>0.28318705042482228</v>
      </c>
      <c r="Z62" s="170">
        <f t="shared" si="15"/>
        <v>2.5322081755327033</v>
      </c>
      <c r="AA62" s="180">
        <v>4462.1480000000001</v>
      </c>
    </row>
    <row r="63" spans="1:27" x14ac:dyDescent="0.2">
      <c r="A63" s="147">
        <v>2006</v>
      </c>
      <c r="B63" s="147">
        <v>2</v>
      </c>
      <c r="C63" s="147" t="str">
        <f t="shared" si="5"/>
        <v>20062</v>
      </c>
      <c r="D63" s="147" t="str">
        <f t="shared" si="12"/>
        <v>Q1</v>
      </c>
      <c r="E63" s="151">
        <f t="shared" si="18"/>
        <v>121891.27060534019</v>
      </c>
      <c r="F63" s="151">
        <f t="shared" si="18"/>
        <v>121891.27099999999</v>
      </c>
      <c r="G63" s="151">
        <f t="shared" si="6"/>
        <v>4210.085</v>
      </c>
      <c r="H63" s="151">
        <f t="shared" si="7"/>
        <v>4210.085</v>
      </c>
      <c r="I63" s="151">
        <f t="shared" si="1"/>
        <v>1657.0429999999999</v>
      </c>
      <c r="J63" s="284">
        <f t="shared" si="8"/>
        <v>-3.2378020264900442E-9</v>
      </c>
      <c r="M63" s="147">
        <f t="shared" si="10"/>
        <v>2016</v>
      </c>
      <c r="N63" s="170" t="str">
        <f t="shared" si="11"/>
        <v>Q2</v>
      </c>
      <c r="O63" s="170" t="str">
        <f t="shared" si="17"/>
        <v>2016Q2</v>
      </c>
      <c r="P63" s="175">
        <v>147022.06988722185</v>
      </c>
      <c r="Q63" s="175">
        <v>145000.861</v>
      </c>
      <c r="R63" s="233">
        <v>1797.0340000000001</v>
      </c>
      <c r="S63" s="233">
        <v>1785.376</v>
      </c>
      <c r="T63" s="180">
        <v>43979.682119470162</v>
      </c>
      <c r="U63" s="180"/>
      <c r="V63" s="235">
        <f t="shared" si="9"/>
        <v>4517.5919999999996</v>
      </c>
      <c r="W63" s="180">
        <v>509.12265081383066</v>
      </c>
      <c r="X63" s="180">
        <v>4517.5919999999996</v>
      </c>
      <c r="Y63" s="170">
        <f t="shared" si="14"/>
        <v>0.28331275357830216</v>
      </c>
      <c r="Z63" s="170">
        <f t="shared" si="15"/>
        <v>2.5303308658792321</v>
      </c>
      <c r="AA63" s="180">
        <v>4468.982</v>
      </c>
    </row>
    <row r="64" spans="1:27" x14ac:dyDescent="0.2">
      <c r="A64" s="147">
        <v>2006</v>
      </c>
      <c r="B64" s="147">
        <v>3</v>
      </c>
      <c r="C64" s="147" t="str">
        <f t="shared" si="5"/>
        <v>20063</v>
      </c>
      <c r="D64" s="147" t="str">
        <f t="shared" si="12"/>
        <v>Q1</v>
      </c>
      <c r="E64" s="151">
        <f t="shared" si="18"/>
        <v>121891.27060534019</v>
      </c>
      <c r="F64" s="151">
        <f t="shared" si="18"/>
        <v>121891.27099999999</v>
      </c>
      <c r="G64" s="151">
        <f t="shared" si="6"/>
        <v>4210.085</v>
      </c>
      <c r="H64" s="151">
        <f t="shared" si="7"/>
        <v>4210.085</v>
      </c>
      <c r="I64" s="151">
        <f t="shared" si="1"/>
        <v>1657.0429999999999</v>
      </c>
      <c r="J64" s="284">
        <f t="shared" si="8"/>
        <v>-3.2378020264900442E-9</v>
      </c>
      <c r="M64" s="147">
        <f t="shared" si="10"/>
        <v>2016</v>
      </c>
      <c r="N64" s="170" t="str">
        <f t="shared" si="11"/>
        <v>Q3</v>
      </c>
      <c r="O64" s="170" t="str">
        <f t="shared" si="17"/>
        <v>2016Q3</v>
      </c>
      <c r="P64" s="175">
        <v>147730.40867742006</v>
      </c>
      <c r="Q64" s="175">
        <v>145740.07199999999</v>
      </c>
      <c r="R64" s="233">
        <v>1800.662</v>
      </c>
      <c r="S64" s="233">
        <v>1790.0319999999999</v>
      </c>
      <c r="T64" s="180">
        <v>44190.115651236883</v>
      </c>
      <c r="U64" s="180"/>
      <c r="V64" s="235">
        <f t="shared" si="9"/>
        <v>4526.0309999999999</v>
      </c>
      <c r="W64" s="180">
        <v>510.37312120930113</v>
      </c>
      <c r="X64" s="180">
        <v>4526.0309999999999</v>
      </c>
      <c r="Y64" s="170">
        <f t="shared" si="14"/>
        <v>0.28343638129160337</v>
      </c>
      <c r="Z64" s="170">
        <f t="shared" si="15"/>
        <v>2.5284637369611271</v>
      </c>
      <c r="AA64" s="180">
        <v>4475.848</v>
      </c>
    </row>
    <row r="65" spans="1:27" x14ac:dyDescent="0.2">
      <c r="A65" s="147">
        <v>2006</v>
      </c>
      <c r="B65" s="147">
        <v>4</v>
      </c>
      <c r="C65" s="147" t="str">
        <f t="shared" si="5"/>
        <v>20064</v>
      </c>
      <c r="D65" s="147" t="str">
        <f t="shared" si="12"/>
        <v>Q2</v>
      </c>
      <c r="E65" s="151">
        <f t="shared" si="18"/>
        <v>123006.7870655693</v>
      </c>
      <c r="F65" s="151">
        <f t="shared" si="18"/>
        <v>123006.787</v>
      </c>
      <c r="G65" s="151">
        <f t="shared" si="6"/>
        <v>4219.2389999999996</v>
      </c>
      <c r="H65" s="151">
        <f t="shared" si="7"/>
        <v>4219.2389999999996</v>
      </c>
      <c r="I65" s="151">
        <f t="shared" si="1"/>
        <v>1656.7380000000001</v>
      </c>
      <c r="J65" s="284">
        <f t="shared" si="8"/>
        <v>5.3305426739314044E-10</v>
      </c>
      <c r="M65" s="147">
        <f t="shared" si="10"/>
        <v>2016</v>
      </c>
      <c r="N65" s="170" t="str">
        <f t="shared" si="11"/>
        <v>Q4</v>
      </c>
      <c r="O65" s="170" t="str">
        <f t="shared" si="17"/>
        <v>2016Q4</v>
      </c>
      <c r="P65" s="175">
        <v>148618.41551285889</v>
      </c>
      <c r="Q65" s="175">
        <v>146638.23699999999</v>
      </c>
      <c r="R65" s="233">
        <v>1804.307</v>
      </c>
      <c r="S65" s="233">
        <v>1794.6420000000001</v>
      </c>
      <c r="T65" s="180">
        <v>44479.131361056192</v>
      </c>
      <c r="U65" s="180"/>
      <c r="V65" s="235">
        <f t="shared" si="9"/>
        <v>4534.4889999999996</v>
      </c>
      <c r="W65" s="180">
        <v>511.92023406263525</v>
      </c>
      <c r="X65" s="180">
        <v>4534.4889999999996</v>
      </c>
      <c r="Y65" s="170">
        <f t="shared" si="14"/>
        <v>0.28372124813717137</v>
      </c>
      <c r="Z65" s="170">
        <f t="shared" si="15"/>
        <v>2.5266816445842677</v>
      </c>
      <c r="AA65" s="180">
        <v>4482.6970000000001</v>
      </c>
    </row>
    <row r="66" spans="1:27" x14ac:dyDescent="0.2">
      <c r="A66" s="147">
        <v>2006</v>
      </c>
      <c r="B66" s="147">
        <v>5</v>
      </c>
      <c r="C66" s="147" t="str">
        <f t="shared" si="5"/>
        <v>20065</v>
      </c>
      <c r="D66" s="147" t="str">
        <f t="shared" si="12"/>
        <v>Q2</v>
      </c>
      <c r="E66" s="151">
        <f t="shared" si="18"/>
        <v>123006.7870655693</v>
      </c>
      <c r="F66" s="151">
        <f t="shared" si="18"/>
        <v>123006.787</v>
      </c>
      <c r="G66" s="151">
        <f t="shared" si="6"/>
        <v>4219.2389999999996</v>
      </c>
      <c r="H66" s="151">
        <f t="shared" si="7"/>
        <v>4219.2389999999996</v>
      </c>
      <c r="I66" s="151">
        <f t="shared" ref="I66:I129" si="19">VLOOKUP($A66&amp;$D66,$O$1:$V$189,MATCH(I$1,$O$1:$V$1,0),0)</f>
        <v>1656.7380000000001</v>
      </c>
      <c r="J66" s="284">
        <f t="shared" si="8"/>
        <v>5.3305426739314044E-10</v>
      </c>
      <c r="M66" s="147">
        <f t="shared" si="10"/>
        <v>2017</v>
      </c>
      <c r="N66" s="170" t="str">
        <f t="shared" si="11"/>
        <v>Q1</v>
      </c>
      <c r="O66" s="170" t="str">
        <f t="shared" si="17"/>
        <v>2017Q1</v>
      </c>
      <c r="P66" s="175">
        <v>149938.26865747903</v>
      </c>
      <c r="Q66" s="175">
        <v>147397.973</v>
      </c>
      <c r="R66" s="233">
        <v>1806.8440000000001</v>
      </c>
      <c r="S66" s="233">
        <v>1799.248</v>
      </c>
      <c r="T66" s="180">
        <v>44591.826055215206</v>
      </c>
      <c r="U66" s="180"/>
      <c r="V66" s="235">
        <f t="shared" si="9"/>
        <v>4542.9390000000003</v>
      </c>
      <c r="W66" s="180">
        <v>513.08300928065671</v>
      </c>
      <c r="X66" s="180">
        <v>4542.9390000000003</v>
      </c>
      <c r="Y66" s="170">
        <f t="shared" ref="Y66:Y97" si="20">W66/R66</f>
        <v>0.28396641286168406</v>
      </c>
      <c r="Z66" s="170">
        <f t="shared" ref="Z66:Z97" si="21">X66/S66</f>
        <v>2.5249098512267349</v>
      </c>
      <c r="AA66" s="180">
        <v>4489.5020000000004</v>
      </c>
    </row>
    <row r="67" spans="1:27" x14ac:dyDescent="0.2">
      <c r="A67" s="147">
        <v>2006</v>
      </c>
      <c r="B67" s="147">
        <v>6</v>
      </c>
      <c r="C67" s="147" t="str">
        <f t="shared" ref="C67:C130" si="22">A67&amp;B67</f>
        <v>20066</v>
      </c>
      <c r="D67" s="147" t="str">
        <f t="shared" si="12"/>
        <v>Q2</v>
      </c>
      <c r="E67" s="151">
        <f t="shared" si="18"/>
        <v>123006.7870655693</v>
      </c>
      <c r="F67" s="151">
        <f t="shared" si="18"/>
        <v>123006.787</v>
      </c>
      <c r="G67" s="151">
        <f t="shared" ref="G67:G130" si="23">VLOOKUP($A67&amp;$D67,$O$1:$AA$189,MATCH(G$1,$O$1:$AA$1,0),0)</f>
        <v>4219.2389999999996</v>
      </c>
      <c r="H67" s="151">
        <f t="shared" ref="H67:H130" si="24">VLOOKUP($A67&amp;$D67,$O$1:$AA$189,MATCH(H$1,$O$1:$AA$1,0),0)</f>
        <v>4219.2389999999996</v>
      </c>
      <c r="I67" s="151">
        <f t="shared" si="19"/>
        <v>1656.7380000000001</v>
      </c>
      <c r="J67" s="284">
        <f t="shared" ref="J67:J130" si="25">E67/F67-1</f>
        <v>5.3305426739314044E-10</v>
      </c>
      <c r="M67" s="147">
        <f t="shared" si="10"/>
        <v>2017</v>
      </c>
      <c r="N67" s="170" t="str">
        <f t="shared" si="11"/>
        <v>Q2</v>
      </c>
      <c r="O67" s="170" t="str">
        <f t="shared" si="17"/>
        <v>2017Q2</v>
      </c>
      <c r="P67" s="175">
        <v>150944.25327886257</v>
      </c>
      <c r="Q67" s="175">
        <v>148169.18</v>
      </c>
      <c r="R67" s="233">
        <v>1809.4</v>
      </c>
      <c r="S67" s="233">
        <v>1803.86</v>
      </c>
      <c r="T67" s="180">
        <v>44904.574224823955</v>
      </c>
      <c r="U67" s="180"/>
      <c r="V67" s="235">
        <f t="shared" ref="V67:V130" si="26">X67</f>
        <v>4551.38</v>
      </c>
      <c r="W67" s="180">
        <v>514.67933105390614</v>
      </c>
      <c r="X67" s="180">
        <v>4551.38</v>
      </c>
      <c r="Y67" s="170">
        <f t="shared" si="20"/>
        <v>0.28444751357019238</v>
      </c>
      <c r="Z67" s="170">
        <f t="shared" si="21"/>
        <v>2.5231337243466792</v>
      </c>
      <c r="AA67" s="180">
        <v>4496.2669999999998</v>
      </c>
    </row>
    <row r="68" spans="1:27" x14ac:dyDescent="0.2">
      <c r="A68" s="147">
        <v>2006</v>
      </c>
      <c r="B68" s="147">
        <v>7</v>
      </c>
      <c r="C68" s="147" t="str">
        <f t="shared" si="22"/>
        <v>20067</v>
      </c>
      <c r="D68" s="147" t="str">
        <f t="shared" si="12"/>
        <v>Q3</v>
      </c>
      <c r="E68" s="151">
        <f t="shared" si="18"/>
        <v>123530.77861472027</v>
      </c>
      <c r="F68" s="151">
        <f t="shared" si="18"/>
        <v>123530.77899999999</v>
      </c>
      <c r="G68" s="151">
        <f t="shared" si="23"/>
        <v>4228.5659999999998</v>
      </c>
      <c r="H68" s="151">
        <f t="shared" si="24"/>
        <v>4228.5659999999998</v>
      </c>
      <c r="I68" s="151">
        <f t="shared" si="19"/>
        <v>1657.8969999999999</v>
      </c>
      <c r="J68" s="284">
        <f t="shared" si="25"/>
        <v>-3.1188965854411776E-9</v>
      </c>
      <c r="M68" s="147">
        <f t="shared" si="10"/>
        <v>2017</v>
      </c>
      <c r="N68" s="170" t="str">
        <f t="shared" si="11"/>
        <v>Q3</v>
      </c>
      <c r="O68" s="170" t="str">
        <f t="shared" si="17"/>
        <v>2017Q3</v>
      </c>
      <c r="P68" s="175">
        <v>151980.08033488106</v>
      </c>
      <c r="Q68" s="175">
        <v>149003.10200000001</v>
      </c>
      <c r="R68" s="233">
        <v>1811.9380000000001</v>
      </c>
      <c r="S68" s="233">
        <v>1808.479</v>
      </c>
      <c r="T68" s="180">
        <v>45194.496478629822</v>
      </c>
      <c r="U68" s="180"/>
      <c r="V68" s="235">
        <f t="shared" si="26"/>
        <v>4559.8130000000001</v>
      </c>
      <c r="W68" s="180">
        <v>515.82043868573078</v>
      </c>
      <c r="X68" s="180">
        <v>4559.8130000000001</v>
      </c>
      <c r="Y68" s="170">
        <f t="shared" si="20"/>
        <v>0.2846788569397688</v>
      </c>
      <c r="Z68" s="170">
        <f t="shared" si="21"/>
        <v>2.521352473542684</v>
      </c>
      <c r="AA68" s="180">
        <v>4502.9920000000002</v>
      </c>
    </row>
    <row r="69" spans="1:27" x14ac:dyDescent="0.2">
      <c r="A69" s="147">
        <v>2006</v>
      </c>
      <c r="B69" s="147">
        <v>8</v>
      </c>
      <c r="C69" s="147" t="str">
        <f t="shared" si="22"/>
        <v>20068</v>
      </c>
      <c r="D69" s="147" t="str">
        <f t="shared" si="12"/>
        <v>Q3</v>
      </c>
      <c r="E69" s="151">
        <f t="shared" si="18"/>
        <v>123530.77861472027</v>
      </c>
      <c r="F69" s="151">
        <f t="shared" si="18"/>
        <v>123530.77899999999</v>
      </c>
      <c r="G69" s="151">
        <f t="shared" si="23"/>
        <v>4228.5659999999998</v>
      </c>
      <c r="H69" s="151">
        <f t="shared" si="24"/>
        <v>4228.5659999999998</v>
      </c>
      <c r="I69" s="151">
        <f t="shared" si="19"/>
        <v>1657.8969999999999</v>
      </c>
      <c r="J69" s="284">
        <f t="shared" si="25"/>
        <v>-3.1188965854411776E-9</v>
      </c>
      <c r="M69" s="147">
        <f t="shared" si="10"/>
        <v>2017</v>
      </c>
      <c r="N69" s="170" t="str">
        <f t="shared" si="11"/>
        <v>Q4</v>
      </c>
      <c r="O69" s="170" t="str">
        <f t="shared" si="17"/>
        <v>2017Q4</v>
      </c>
      <c r="P69" s="175">
        <v>152964.93235419173</v>
      </c>
      <c r="Q69" s="175">
        <v>149821.88399999999</v>
      </c>
      <c r="R69" s="233">
        <v>1814.3879999999999</v>
      </c>
      <c r="S69" s="233">
        <v>1813.1289999999999</v>
      </c>
      <c r="T69" s="180">
        <v>45448.674552537363</v>
      </c>
      <c r="U69" s="180"/>
      <c r="V69" s="235">
        <f t="shared" si="26"/>
        <v>4568.2250000000004</v>
      </c>
      <c r="W69" s="180">
        <v>517.2860463041992</v>
      </c>
      <c r="X69" s="180">
        <v>4568.2250000000004</v>
      </c>
      <c r="Y69" s="170">
        <f t="shared" si="20"/>
        <v>0.28510221975905881</v>
      </c>
      <c r="Z69" s="170">
        <f t="shared" si="21"/>
        <v>2.519525637723516</v>
      </c>
      <c r="AA69" s="180">
        <v>4509.6660000000002</v>
      </c>
    </row>
    <row r="70" spans="1:27" x14ac:dyDescent="0.2">
      <c r="A70" s="147">
        <v>2006</v>
      </c>
      <c r="B70" s="147">
        <v>9</v>
      </c>
      <c r="C70" s="147" t="str">
        <f t="shared" si="22"/>
        <v>20069</v>
      </c>
      <c r="D70" s="147" t="str">
        <f t="shared" si="12"/>
        <v>Q3</v>
      </c>
      <c r="E70" s="151">
        <f t="shared" si="18"/>
        <v>123530.77861472027</v>
      </c>
      <c r="F70" s="151">
        <f t="shared" si="18"/>
        <v>123530.77899999999</v>
      </c>
      <c r="G70" s="151">
        <f t="shared" si="23"/>
        <v>4228.5659999999998</v>
      </c>
      <c r="H70" s="151">
        <f t="shared" si="24"/>
        <v>4228.5659999999998</v>
      </c>
      <c r="I70" s="151">
        <f t="shared" si="19"/>
        <v>1657.8969999999999</v>
      </c>
      <c r="J70" s="284">
        <f t="shared" si="25"/>
        <v>-3.1188965854411776E-9</v>
      </c>
      <c r="M70" s="147">
        <f t="shared" si="10"/>
        <v>2018</v>
      </c>
      <c r="N70" s="170" t="str">
        <f t="shared" si="11"/>
        <v>Q1</v>
      </c>
      <c r="O70" s="170" t="str">
        <f t="shared" si="17"/>
        <v>2018Q1</v>
      </c>
      <c r="P70" s="175">
        <v>154212.04835504587</v>
      </c>
      <c r="Q70" s="175">
        <v>151159.774</v>
      </c>
      <c r="R70" s="233">
        <v>1817.81</v>
      </c>
      <c r="S70" s="233">
        <v>1817.7750000000001</v>
      </c>
      <c r="T70" s="180">
        <v>45721.18203228699</v>
      </c>
      <c r="U70" s="180"/>
      <c r="V70" s="235">
        <f t="shared" si="26"/>
        <v>4576.63</v>
      </c>
      <c r="W70" s="180">
        <v>518.66652313964676</v>
      </c>
      <c r="X70" s="180">
        <v>4576.63</v>
      </c>
      <c r="Y70" s="170">
        <f t="shared" si="20"/>
        <v>0.28532493667635606</v>
      </c>
      <c r="Z70" s="170">
        <f t="shared" si="21"/>
        <v>2.5177098375761577</v>
      </c>
      <c r="AA70" s="180">
        <v>4516.3029999999999</v>
      </c>
    </row>
    <row r="71" spans="1:27" x14ac:dyDescent="0.2">
      <c r="A71" s="147">
        <v>2006</v>
      </c>
      <c r="B71" s="147">
        <v>10</v>
      </c>
      <c r="C71" s="147" t="str">
        <f t="shared" si="22"/>
        <v>200610</v>
      </c>
      <c r="D71" s="147" t="str">
        <f t="shared" si="12"/>
        <v>Q4</v>
      </c>
      <c r="E71" s="151">
        <f t="shared" si="18"/>
        <v>124988.37929965912</v>
      </c>
      <c r="F71" s="151">
        <f t="shared" si="18"/>
        <v>124988.379</v>
      </c>
      <c r="G71" s="151">
        <f t="shared" si="23"/>
        <v>4237.9139999999998</v>
      </c>
      <c r="H71" s="151">
        <f t="shared" si="24"/>
        <v>4237.9139999999998</v>
      </c>
      <c r="I71" s="151">
        <f t="shared" si="19"/>
        <v>1659.057</v>
      </c>
      <c r="J71" s="284">
        <f t="shared" si="25"/>
        <v>2.397495757477941E-9</v>
      </c>
      <c r="M71" s="147">
        <f t="shared" ref="M71:M134" si="27">M67+1</f>
        <v>2018</v>
      </c>
      <c r="N71" s="170" t="str">
        <f t="shared" ref="N71:N91" si="28">N67</f>
        <v>Q2</v>
      </c>
      <c r="O71" s="170" t="str">
        <f t="shared" si="17"/>
        <v>2018Q2</v>
      </c>
      <c r="P71" s="175">
        <v>155100.12846503858</v>
      </c>
      <c r="Q71" s="175">
        <v>152014.81099999999</v>
      </c>
      <c r="R71" s="233">
        <v>1821.1880000000001</v>
      </c>
      <c r="S71" s="233">
        <v>1822.423</v>
      </c>
      <c r="T71" s="180">
        <v>45952.240193290287</v>
      </c>
      <c r="U71" s="180"/>
      <c r="V71" s="235">
        <f t="shared" si="26"/>
        <v>4585.03</v>
      </c>
      <c r="W71" s="180">
        <v>519.97560455539224</v>
      </c>
      <c r="X71" s="180">
        <v>4585.03</v>
      </c>
      <c r="Y71" s="170">
        <f t="shared" si="20"/>
        <v>0.28551451280998569</v>
      </c>
      <c r="Z71" s="170">
        <f t="shared" si="21"/>
        <v>2.5158977910177822</v>
      </c>
      <c r="AA71" s="180">
        <v>4522.9030000000002</v>
      </c>
    </row>
    <row r="72" spans="1:27" x14ac:dyDescent="0.2">
      <c r="A72" s="147">
        <v>2006</v>
      </c>
      <c r="B72" s="147">
        <v>11</v>
      </c>
      <c r="C72" s="147" t="str">
        <f t="shared" si="22"/>
        <v>200611</v>
      </c>
      <c r="D72" s="147" t="str">
        <f t="shared" si="12"/>
        <v>Q4</v>
      </c>
      <c r="E72" s="151">
        <f t="shared" si="18"/>
        <v>124988.37929965912</v>
      </c>
      <c r="F72" s="151">
        <f t="shared" si="18"/>
        <v>124988.379</v>
      </c>
      <c r="G72" s="151">
        <f t="shared" si="23"/>
        <v>4237.9139999999998</v>
      </c>
      <c r="H72" s="151">
        <f t="shared" si="24"/>
        <v>4237.9139999999998</v>
      </c>
      <c r="I72" s="151">
        <f t="shared" si="19"/>
        <v>1659.057</v>
      </c>
      <c r="J72" s="284">
        <f t="shared" si="25"/>
        <v>2.397495757477941E-9</v>
      </c>
      <c r="M72" s="147">
        <f t="shared" si="27"/>
        <v>2018</v>
      </c>
      <c r="N72" s="170" t="str">
        <f t="shared" si="28"/>
        <v>Q3</v>
      </c>
      <c r="O72" s="170" t="str">
        <f t="shared" si="17"/>
        <v>2018Q3</v>
      </c>
      <c r="P72" s="175">
        <v>155927.40730593662</v>
      </c>
      <c r="Q72" s="175">
        <v>152840.09</v>
      </c>
      <c r="R72" s="233">
        <v>1824.57</v>
      </c>
      <c r="S72" s="233">
        <v>1827.0650000000001</v>
      </c>
      <c r="T72" s="180">
        <v>46269.534926018147</v>
      </c>
      <c r="U72" s="180"/>
      <c r="V72" s="235">
        <f t="shared" si="26"/>
        <v>4593.4229999999998</v>
      </c>
      <c r="W72" s="180">
        <v>521.40413123458416</v>
      </c>
      <c r="X72" s="180">
        <v>4593.4229999999998</v>
      </c>
      <c r="Y72" s="170">
        <f t="shared" si="20"/>
        <v>0.28576822551866149</v>
      </c>
      <c r="Z72" s="170">
        <f t="shared" si="21"/>
        <v>2.5140993889106298</v>
      </c>
      <c r="AA72" s="180">
        <v>4529.4660000000003</v>
      </c>
    </row>
    <row r="73" spans="1:27" x14ac:dyDescent="0.2">
      <c r="A73" s="147">
        <v>2006</v>
      </c>
      <c r="B73" s="147">
        <v>12</v>
      </c>
      <c r="C73" s="147" t="str">
        <f t="shared" si="22"/>
        <v>200612</v>
      </c>
      <c r="D73" s="147" t="str">
        <f t="shared" si="12"/>
        <v>Q4</v>
      </c>
      <c r="E73" s="151">
        <f t="shared" si="18"/>
        <v>124988.37929965912</v>
      </c>
      <c r="F73" s="151">
        <f t="shared" si="18"/>
        <v>124988.379</v>
      </c>
      <c r="G73" s="151">
        <f t="shared" si="23"/>
        <v>4237.9139999999998</v>
      </c>
      <c r="H73" s="151">
        <f t="shared" si="24"/>
        <v>4237.9139999999998</v>
      </c>
      <c r="I73" s="151">
        <f t="shared" si="19"/>
        <v>1659.057</v>
      </c>
      <c r="J73" s="284">
        <f t="shared" si="25"/>
        <v>2.397495757477941E-9</v>
      </c>
      <c r="M73" s="147">
        <f t="shared" si="27"/>
        <v>2018</v>
      </c>
      <c r="N73" s="170" t="str">
        <f t="shared" si="28"/>
        <v>Q4</v>
      </c>
      <c r="O73" s="170" t="str">
        <f t="shared" si="17"/>
        <v>2018Q4</v>
      </c>
      <c r="P73" s="175">
        <v>156771.37492461284</v>
      </c>
      <c r="Q73" s="175">
        <v>153691.45300000001</v>
      </c>
      <c r="R73" s="233">
        <v>1827.9390000000001</v>
      </c>
      <c r="S73" s="233">
        <v>1831.71</v>
      </c>
      <c r="T73" s="180">
        <v>46499.695892915195</v>
      </c>
      <c r="U73" s="180"/>
      <c r="V73" s="235">
        <f t="shared" si="26"/>
        <v>4601.8090000000002</v>
      </c>
      <c r="W73" s="180">
        <v>522.62622358863541</v>
      </c>
      <c r="X73" s="180">
        <v>4601.8090000000002</v>
      </c>
      <c r="Y73" s="170">
        <f t="shared" si="20"/>
        <v>0.28591010071377404</v>
      </c>
      <c r="Z73" s="170">
        <f t="shared" si="21"/>
        <v>2.5123021657358424</v>
      </c>
      <c r="AA73" s="180">
        <v>4535.991</v>
      </c>
    </row>
    <row r="74" spans="1:27" x14ac:dyDescent="0.2">
      <c r="A74" s="147">
        <v>2007</v>
      </c>
      <c r="B74" s="147">
        <v>1</v>
      </c>
      <c r="C74" s="147" t="str">
        <f t="shared" si="22"/>
        <v>20071</v>
      </c>
      <c r="D74" s="147" t="str">
        <f t="shared" si="12"/>
        <v>Q1</v>
      </c>
      <c r="E74" s="151">
        <f t="shared" si="18"/>
        <v>125421.27422866292</v>
      </c>
      <c r="F74" s="151">
        <f t="shared" si="18"/>
        <v>125421.274</v>
      </c>
      <c r="G74" s="151">
        <f t="shared" si="23"/>
        <v>4247.2830000000004</v>
      </c>
      <c r="H74" s="151">
        <f t="shared" si="24"/>
        <v>4247.2830000000004</v>
      </c>
      <c r="I74" s="151">
        <f t="shared" si="19"/>
        <v>1660.2180000000001</v>
      </c>
      <c r="J74" s="284">
        <f t="shared" si="25"/>
        <v>1.8231589571371387E-9</v>
      </c>
      <c r="M74" s="147">
        <f t="shared" si="27"/>
        <v>2019</v>
      </c>
      <c r="N74" s="170" t="str">
        <f t="shared" si="28"/>
        <v>Q1</v>
      </c>
      <c r="O74" s="170" t="str">
        <f t="shared" si="17"/>
        <v>2019Q1</v>
      </c>
      <c r="P74" s="175">
        <v>158291.77883579931</v>
      </c>
      <c r="Q74" s="175">
        <v>155062.20000000001</v>
      </c>
      <c r="R74" s="233">
        <v>1831.317</v>
      </c>
      <c r="S74" s="233">
        <v>1835.5609999999999</v>
      </c>
      <c r="T74" s="180">
        <v>46951.95820849367</v>
      </c>
      <c r="U74" s="180"/>
      <c r="V74" s="235">
        <f t="shared" si="26"/>
        <v>4610.1880000000001</v>
      </c>
      <c r="W74" s="180">
        <v>524.02248071463271</v>
      </c>
      <c r="X74" s="180">
        <v>4610.1880000000001</v>
      </c>
      <c r="Y74" s="170">
        <f t="shared" si="20"/>
        <v>0.28614515166660537</v>
      </c>
      <c r="Z74" s="170">
        <f t="shared" si="21"/>
        <v>2.5115961823115658</v>
      </c>
      <c r="AA74" s="180">
        <v>4542.4780000000001</v>
      </c>
    </row>
    <row r="75" spans="1:27" x14ac:dyDescent="0.2">
      <c r="A75" s="147">
        <v>2007</v>
      </c>
      <c r="B75" s="147">
        <v>2</v>
      </c>
      <c r="C75" s="147" t="str">
        <f t="shared" si="22"/>
        <v>20072</v>
      </c>
      <c r="D75" s="147" t="str">
        <f t="shared" si="12"/>
        <v>Q1</v>
      </c>
      <c r="E75" s="151">
        <f t="shared" si="18"/>
        <v>125421.27422866292</v>
      </c>
      <c r="F75" s="151">
        <f t="shared" si="18"/>
        <v>125421.274</v>
      </c>
      <c r="G75" s="151">
        <f t="shared" si="23"/>
        <v>4247.2830000000004</v>
      </c>
      <c r="H75" s="151">
        <f t="shared" si="24"/>
        <v>4247.2830000000004</v>
      </c>
      <c r="I75" s="151">
        <f t="shared" si="19"/>
        <v>1660.2180000000001</v>
      </c>
      <c r="J75" s="284">
        <f t="shared" si="25"/>
        <v>1.8231589571371387E-9</v>
      </c>
      <c r="M75" s="147">
        <f t="shared" si="27"/>
        <v>2019</v>
      </c>
      <c r="N75" s="170" t="str">
        <f t="shared" si="28"/>
        <v>Q2</v>
      </c>
      <c r="O75" s="170" t="str">
        <f t="shared" si="17"/>
        <v>2019Q2</v>
      </c>
      <c r="P75" s="175">
        <v>159230.34596708155</v>
      </c>
      <c r="Q75" s="175">
        <v>155893.33300000001</v>
      </c>
      <c r="R75" s="233">
        <v>1834.68</v>
      </c>
      <c r="S75" s="233">
        <v>1839.49</v>
      </c>
      <c r="T75" s="180">
        <v>47295.046546996404</v>
      </c>
      <c r="U75" s="180"/>
      <c r="V75" s="235">
        <f t="shared" si="26"/>
        <v>4618.558</v>
      </c>
      <c r="W75" s="180">
        <v>525.23105771001019</v>
      </c>
      <c r="X75" s="180">
        <v>4618.558</v>
      </c>
      <c r="Y75" s="170">
        <f t="shared" si="20"/>
        <v>0.28627938262258823</v>
      </c>
      <c r="Z75" s="170">
        <f t="shared" si="21"/>
        <v>2.5107817927795204</v>
      </c>
      <c r="AA75" s="180">
        <v>4548.9269999999997</v>
      </c>
    </row>
    <row r="76" spans="1:27" x14ac:dyDescent="0.2">
      <c r="A76" s="147">
        <v>2007</v>
      </c>
      <c r="B76" s="147">
        <v>3</v>
      </c>
      <c r="C76" s="147" t="str">
        <f t="shared" si="22"/>
        <v>20073</v>
      </c>
      <c r="D76" s="147" t="str">
        <f t="shared" si="12"/>
        <v>Q1</v>
      </c>
      <c r="E76" s="151">
        <f t="shared" si="18"/>
        <v>125421.27422866292</v>
      </c>
      <c r="F76" s="151">
        <f t="shared" si="18"/>
        <v>125421.274</v>
      </c>
      <c r="G76" s="151">
        <f t="shared" si="23"/>
        <v>4247.2830000000004</v>
      </c>
      <c r="H76" s="151">
        <f t="shared" si="24"/>
        <v>4247.2830000000004</v>
      </c>
      <c r="I76" s="151">
        <f t="shared" si="19"/>
        <v>1660.2180000000001</v>
      </c>
      <c r="J76" s="284">
        <f t="shared" si="25"/>
        <v>1.8231589571371387E-9</v>
      </c>
      <c r="M76" s="147">
        <f t="shared" si="27"/>
        <v>2019</v>
      </c>
      <c r="N76" s="170" t="str">
        <f t="shared" si="28"/>
        <v>Q3</v>
      </c>
      <c r="O76" s="170" t="str">
        <f t="shared" si="17"/>
        <v>2019Q3</v>
      </c>
      <c r="P76" s="175">
        <v>160108.3311445929</v>
      </c>
      <c r="Q76" s="175">
        <v>156697.22099999999</v>
      </c>
      <c r="R76" s="233">
        <v>1838.0340000000001</v>
      </c>
      <c r="S76" s="233">
        <v>1843.3230000000001</v>
      </c>
      <c r="T76" s="180">
        <v>47474.511791947109</v>
      </c>
      <c r="U76" s="180"/>
      <c r="V76" s="235">
        <f t="shared" si="26"/>
        <v>4626.9070000000002</v>
      </c>
      <c r="W76" s="180">
        <v>526.52557973637499</v>
      </c>
      <c r="X76" s="180">
        <v>4626.9070000000002</v>
      </c>
      <c r="Y76" s="170">
        <f t="shared" si="20"/>
        <v>0.28646128403303472</v>
      </c>
      <c r="Z76" s="170">
        <f t="shared" si="21"/>
        <v>2.5100902012289761</v>
      </c>
      <c r="AA76" s="180">
        <v>4555.326</v>
      </c>
    </row>
    <row r="77" spans="1:27" x14ac:dyDescent="0.2">
      <c r="A77" s="147">
        <v>2007</v>
      </c>
      <c r="B77" s="147">
        <v>4</v>
      </c>
      <c r="C77" s="147" t="str">
        <f t="shared" si="22"/>
        <v>20074</v>
      </c>
      <c r="D77" s="147" t="str">
        <f t="shared" si="12"/>
        <v>Q2</v>
      </c>
      <c r="E77" s="151">
        <f t="shared" si="18"/>
        <v>125696.57087430343</v>
      </c>
      <c r="F77" s="151">
        <f t="shared" si="18"/>
        <v>125696.571</v>
      </c>
      <c r="G77" s="151">
        <f t="shared" si="23"/>
        <v>4256.6719999999996</v>
      </c>
      <c r="H77" s="151">
        <f t="shared" si="24"/>
        <v>4256.6719999999996</v>
      </c>
      <c r="I77" s="151">
        <f t="shared" si="19"/>
        <v>1661.3789999999999</v>
      </c>
      <c r="J77" s="284">
        <f t="shared" si="25"/>
        <v>-9.9999997171806854E-10</v>
      </c>
      <c r="M77" s="147">
        <f t="shared" si="27"/>
        <v>2019</v>
      </c>
      <c r="N77" s="170" t="str">
        <f t="shared" si="28"/>
        <v>Q4</v>
      </c>
      <c r="O77" s="170" t="str">
        <f t="shared" si="17"/>
        <v>2019Q4</v>
      </c>
      <c r="P77" s="175">
        <v>160936.89801138837</v>
      </c>
      <c r="Q77" s="175">
        <v>157503.777</v>
      </c>
      <c r="R77" s="233">
        <v>1841.366</v>
      </c>
      <c r="S77" s="233">
        <v>1847.13</v>
      </c>
      <c r="T77" s="180">
        <v>47726.545621421916</v>
      </c>
      <c r="U77" s="180"/>
      <c r="V77" s="235">
        <f t="shared" si="26"/>
        <v>4635.2470000000003</v>
      </c>
      <c r="W77" s="180">
        <v>527.97489990513088</v>
      </c>
      <c r="X77" s="180">
        <v>4635.2470000000003</v>
      </c>
      <c r="Y77" s="170">
        <f t="shared" si="20"/>
        <v>0.2867300145137528</v>
      </c>
      <c r="Z77" s="170">
        <f t="shared" si="21"/>
        <v>2.5094319295339256</v>
      </c>
      <c r="AA77" s="180">
        <v>4561.6859999999997</v>
      </c>
    </row>
    <row r="78" spans="1:27" x14ac:dyDescent="0.2">
      <c r="A78" s="147">
        <v>2007</v>
      </c>
      <c r="B78" s="147">
        <v>5</v>
      </c>
      <c r="C78" s="147" t="str">
        <f t="shared" si="22"/>
        <v>20075</v>
      </c>
      <c r="D78" s="147" t="str">
        <f t="shared" si="12"/>
        <v>Q2</v>
      </c>
      <c r="E78" s="151">
        <f t="shared" si="18"/>
        <v>125696.57087430343</v>
      </c>
      <c r="F78" s="151">
        <f t="shared" si="18"/>
        <v>125696.571</v>
      </c>
      <c r="G78" s="151">
        <f t="shared" si="23"/>
        <v>4256.6719999999996</v>
      </c>
      <c r="H78" s="151">
        <f t="shared" si="24"/>
        <v>4256.6719999999996</v>
      </c>
      <c r="I78" s="151">
        <f t="shared" si="19"/>
        <v>1661.3789999999999</v>
      </c>
      <c r="J78" s="284">
        <f t="shared" si="25"/>
        <v>-9.9999997171806854E-10</v>
      </c>
      <c r="M78" s="147">
        <f t="shared" si="27"/>
        <v>2020</v>
      </c>
      <c r="N78" s="170" t="str">
        <f t="shared" si="28"/>
        <v>Q1</v>
      </c>
      <c r="O78" s="170" t="str">
        <f t="shared" si="17"/>
        <v>2020Q1</v>
      </c>
      <c r="P78" s="175">
        <v>162345.66322771218</v>
      </c>
      <c r="Q78" s="175">
        <v>158898.726</v>
      </c>
      <c r="R78" s="233">
        <v>1844.713</v>
      </c>
      <c r="S78" s="233">
        <v>1850.925</v>
      </c>
      <c r="T78" s="180">
        <v>48243.78300199988</v>
      </c>
      <c r="U78" s="180"/>
      <c r="V78" s="235">
        <f t="shared" si="26"/>
        <v>4643.5770000000002</v>
      </c>
      <c r="W78" s="180">
        <v>529.18438960096785</v>
      </c>
      <c r="X78" s="180">
        <v>4643.5770000000002</v>
      </c>
      <c r="Y78" s="170">
        <f t="shared" si="20"/>
        <v>0.28686543088326905</v>
      </c>
      <c r="Z78" s="170">
        <f t="shared" si="21"/>
        <v>2.508787228007618</v>
      </c>
      <c r="AA78" s="180">
        <v>4568.0060000000003</v>
      </c>
    </row>
    <row r="79" spans="1:27" x14ac:dyDescent="0.2">
      <c r="A79" s="147">
        <v>2007</v>
      </c>
      <c r="B79" s="147">
        <v>6</v>
      </c>
      <c r="C79" s="147" t="str">
        <f t="shared" si="22"/>
        <v>20076</v>
      </c>
      <c r="D79" s="147" t="str">
        <f t="shared" ref="D79:D142" si="29">D67</f>
        <v>Q2</v>
      </c>
      <c r="E79" s="151">
        <f t="shared" si="18"/>
        <v>125696.57087430343</v>
      </c>
      <c r="F79" s="151">
        <f t="shared" si="18"/>
        <v>125696.571</v>
      </c>
      <c r="G79" s="151">
        <f t="shared" si="23"/>
        <v>4256.6719999999996</v>
      </c>
      <c r="H79" s="151">
        <f t="shared" si="24"/>
        <v>4256.6719999999996</v>
      </c>
      <c r="I79" s="151">
        <f t="shared" si="19"/>
        <v>1661.3789999999999</v>
      </c>
      <c r="J79" s="284">
        <f t="shared" si="25"/>
        <v>-9.9999997171806854E-10</v>
      </c>
      <c r="M79" s="147">
        <f t="shared" si="27"/>
        <v>2020</v>
      </c>
      <c r="N79" s="170" t="str">
        <f t="shared" si="28"/>
        <v>Q2</v>
      </c>
      <c r="O79" s="170" t="str">
        <f t="shared" si="17"/>
        <v>2020Q2</v>
      </c>
      <c r="P79" s="175">
        <v>163364.39585983477</v>
      </c>
      <c r="Q79" s="175">
        <v>159849.41</v>
      </c>
      <c r="R79" s="233">
        <v>1847.818</v>
      </c>
      <c r="S79" s="233">
        <v>1854.6890000000001</v>
      </c>
      <c r="T79" s="180">
        <v>48481.970690693073</v>
      </c>
      <c r="U79" s="180"/>
      <c r="V79" s="235">
        <f t="shared" si="26"/>
        <v>4651.8969999999999</v>
      </c>
      <c r="W79" s="180">
        <v>530.5241401390773</v>
      </c>
      <c r="X79" s="180">
        <v>4651.8969999999999</v>
      </c>
      <c r="Y79" s="170">
        <f t="shared" si="20"/>
        <v>0.28710843824395982</v>
      </c>
      <c r="Z79" s="170">
        <f t="shared" si="21"/>
        <v>2.5081816951521252</v>
      </c>
      <c r="AA79" s="180">
        <v>4574.2870000000003</v>
      </c>
    </row>
    <row r="80" spans="1:27" x14ac:dyDescent="0.2">
      <c r="A80" s="147">
        <v>2007</v>
      </c>
      <c r="B80" s="147">
        <v>7</v>
      </c>
      <c r="C80" s="147" t="str">
        <f t="shared" si="22"/>
        <v>20077</v>
      </c>
      <c r="D80" s="147" t="str">
        <f t="shared" si="29"/>
        <v>Q3</v>
      </c>
      <c r="E80" s="151">
        <f t="shared" si="18"/>
        <v>125601.71743632907</v>
      </c>
      <c r="F80" s="151">
        <f t="shared" si="18"/>
        <v>125601.717</v>
      </c>
      <c r="G80" s="151">
        <f t="shared" si="23"/>
        <v>4264.9489999999996</v>
      </c>
      <c r="H80" s="151">
        <f t="shared" si="24"/>
        <v>4264.9489999999996</v>
      </c>
      <c r="I80" s="151">
        <f t="shared" si="19"/>
        <v>1669.175</v>
      </c>
      <c r="J80" s="284">
        <f t="shared" si="25"/>
        <v>3.4739100485126073E-9</v>
      </c>
      <c r="M80" s="147">
        <f t="shared" si="27"/>
        <v>2020</v>
      </c>
      <c r="N80" s="170" t="str">
        <f t="shared" si="28"/>
        <v>Q3</v>
      </c>
      <c r="O80" s="170" t="str">
        <f t="shared" si="17"/>
        <v>2020Q3</v>
      </c>
      <c r="P80" s="175">
        <v>164150.30890120674</v>
      </c>
      <c r="Q80" s="175">
        <v>160644.163</v>
      </c>
      <c r="R80" s="233">
        <v>1850.903</v>
      </c>
      <c r="S80" s="233">
        <v>1858.519</v>
      </c>
      <c r="T80" s="180">
        <v>48705.682421467725</v>
      </c>
      <c r="U80" s="180"/>
      <c r="V80" s="235">
        <f t="shared" si="26"/>
        <v>4660.2060000000001</v>
      </c>
      <c r="W80" s="180">
        <v>531.85916409426079</v>
      </c>
      <c r="X80" s="180">
        <v>4660.2060000000001</v>
      </c>
      <c r="Y80" s="170">
        <f t="shared" si="20"/>
        <v>0.28735118160933382</v>
      </c>
      <c r="Z80" s="170">
        <f t="shared" si="21"/>
        <v>2.5074836469253206</v>
      </c>
      <c r="AA80" s="180">
        <v>4580.5259999999998</v>
      </c>
    </row>
    <row r="81" spans="1:27" x14ac:dyDescent="0.2">
      <c r="A81" s="147">
        <v>2007</v>
      </c>
      <c r="B81" s="147">
        <v>8</v>
      </c>
      <c r="C81" s="147" t="str">
        <f t="shared" si="22"/>
        <v>20078</v>
      </c>
      <c r="D81" s="147" t="str">
        <f t="shared" si="29"/>
        <v>Q3</v>
      </c>
      <c r="E81" s="151">
        <f t="shared" si="18"/>
        <v>125601.71743632907</v>
      </c>
      <c r="F81" s="151">
        <f t="shared" si="18"/>
        <v>125601.717</v>
      </c>
      <c r="G81" s="151">
        <f t="shared" si="23"/>
        <v>4264.9489999999996</v>
      </c>
      <c r="H81" s="151">
        <f t="shared" si="24"/>
        <v>4264.9489999999996</v>
      </c>
      <c r="I81" s="151">
        <f t="shared" si="19"/>
        <v>1669.175</v>
      </c>
      <c r="J81" s="284">
        <f t="shared" si="25"/>
        <v>3.4739100485126073E-9</v>
      </c>
      <c r="M81" s="147">
        <f t="shared" si="27"/>
        <v>2020</v>
      </c>
      <c r="N81" s="170" t="str">
        <f t="shared" si="28"/>
        <v>Q4</v>
      </c>
      <c r="O81" s="170" t="str">
        <f t="shared" si="17"/>
        <v>2020Q4</v>
      </c>
      <c r="P81" s="175">
        <v>164769.80057959011</v>
      </c>
      <c r="Q81" s="175">
        <v>161348.13399999999</v>
      </c>
      <c r="R81" s="233">
        <v>1853.9760000000001</v>
      </c>
      <c r="S81" s="233">
        <v>1862.2539999999999</v>
      </c>
      <c r="T81" s="180">
        <v>48829.591308895542</v>
      </c>
      <c r="U81" s="180"/>
      <c r="V81" s="235">
        <f t="shared" si="26"/>
        <v>4668.5039999999999</v>
      </c>
      <c r="W81" s="180">
        <v>533.19423469180015</v>
      </c>
      <c r="X81" s="180">
        <v>4668.5039999999999</v>
      </c>
      <c r="Y81" s="170">
        <f t="shared" si="20"/>
        <v>0.28759500376045866</v>
      </c>
      <c r="Z81" s="170">
        <f t="shared" si="21"/>
        <v>2.5069104429363556</v>
      </c>
      <c r="AA81" s="180">
        <v>4586.7250000000004</v>
      </c>
    </row>
    <row r="82" spans="1:27" x14ac:dyDescent="0.2">
      <c r="A82" s="147">
        <v>2007</v>
      </c>
      <c r="B82" s="147">
        <v>9</v>
      </c>
      <c r="C82" s="147" t="str">
        <f t="shared" si="22"/>
        <v>20079</v>
      </c>
      <c r="D82" s="147" t="str">
        <f t="shared" si="29"/>
        <v>Q3</v>
      </c>
      <c r="E82" s="151">
        <f t="shared" ref="E82:F101" si="30">VLOOKUP($A82&amp;$D82,$O$1:$V$189,MATCH(E$1,$O$1:$V$1,0),0)</f>
        <v>125601.71743632907</v>
      </c>
      <c r="F82" s="151">
        <f t="shared" si="30"/>
        <v>125601.717</v>
      </c>
      <c r="G82" s="151">
        <f t="shared" si="23"/>
        <v>4264.9489999999996</v>
      </c>
      <c r="H82" s="151">
        <f t="shared" si="24"/>
        <v>4264.9489999999996</v>
      </c>
      <c r="I82" s="151">
        <f t="shared" si="19"/>
        <v>1669.175</v>
      </c>
      <c r="J82" s="284">
        <f t="shared" si="25"/>
        <v>3.4739100485126073E-9</v>
      </c>
      <c r="M82" s="147">
        <f t="shared" si="27"/>
        <v>2021</v>
      </c>
      <c r="N82" s="170" t="str">
        <f t="shared" si="28"/>
        <v>Q1</v>
      </c>
      <c r="O82" s="170" t="str">
        <f t="shared" si="17"/>
        <v>2021Q1</v>
      </c>
      <c r="P82" s="175">
        <v>165937.30888812992</v>
      </c>
      <c r="Q82" s="175">
        <v>162475.66899999999</v>
      </c>
      <c r="R82" s="233">
        <v>1856.8409999999999</v>
      </c>
      <c r="S82" s="233">
        <v>1865.962</v>
      </c>
      <c r="T82" s="180">
        <v>49203.757964168057</v>
      </c>
      <c r="U82" s="180"/>
      <c r="V82" s="235">
        <f t="shared" si="26"/>
        <v>4676.79</v>
      </c>
      <c r="W82" s="180">
        <v>534.67221974965719</v>
      </c>
      <c r="X82" s="180">
        <v>4676.79</v>
      </c>
      <c r="Y82" s="170">
        <f t="shared" si="20"/>
        <v>0.28794722851857385</v>
      </c>
      <c r="Z82" s="170">
        <f t="shared" si="21"/>
        <v>2.5063693687224071</v>
      </c>
      <c r="AA82" s="180">
        <v>4592.8829999999998</v>
      </c>
    </row>
    <row r="83" spans="1:27" x14ac:dyDescent="0.2">
      <c r="A83" s="147">
        <v>2007</v>
      </c>
      <c r="B83" s="147">
        <v>10</v>
      </c>
      <c r="C83" s="147" t="str">
        <f t="shared" si="22"/>
        <v>200710</v>
      </c>
      <c r="D83" s="147" t="str">
        <f t="shared" si="29"/>
        <v>Q4</v>
      </c>
      <c r="E83" s="151">
        <f t="shared" si="30"/>
        <v>126411.31485589659</v>
      </c>
      <c r="F83" s="151">
        <f t="shared" si="30"/>
        <v>126411.315</v>
      </c>
      <c r="G83" s="151">
        <f t="shared" si="23"/>
        <v>4273.2430000000004</v>
      </c>
      <c r="H83" s="151">
        <f t="shared" si="24"/>
        <v>4273.2430000000004</v>
      </c>
      <c r="I83" s="151">
        <f t="shared" si="19"/>
        <v>1677.0070000000001</v>
      </c>
      <c r="J83" s="284">
        <f t="shared" si="25"/>
        <v>-1.1399565735814576E-9</v>
      </c>
      <c r="M83" s="147">
        <f t="shared" si="27"/>
        <v>2021</v>
      </c>
      <c r="N83" s="170" t="str">
        <f t="shared" si="28"/>
        <v>Q2</v>
      </c>
      <c r="O83" s="170" t="str">
        <f t="shared" si="17"/>
        <v>2021Q2</v>
      </c>
      <c r="P83" s="175">
        <v>166704.94952080987</v>
      </c>
      <c r="Q83" s="175">
        <v>163161.704</v>
      </c>
      <c r="R83" s="233">
        <v>1859.7909999999999</v>
      </c>
      <c r="S83" s="233">
        <v>1869.652</v>
      </c>
      <c r="T83" s="180">
        <v>49409.045195684346</v>
      </c>
      <c r="U83" s="180"/>
      <c r="V83" s="235">
        <f t="shared" si="26"/>
        <v>4685.0510000000004</v>
      </c>
      <c r="W83" s="180">
        <v>536.05011678668382</v>
      </c>
      <c r="X83" s="180">
        <v>4685.0510000000004</v>
      </c>
      <c r="Y83" s="170">
        <f t="shared" si="20"/>
        <v>0.28823137480861227</v>
      </c>
      <c r="Z83" s="170">
        <f t="shared" si="21"/>
        <v>2.5058411939762055</v>
      </c>
      <c r="AA83" s="180">
        <v>4598.9870000000001</v>
      </c>
    </row>
    <row r="84" spans="1:27" x14ac:dyDescent="0.2">
      <c r="A84" s="147">
        <v>2007</v>
      </c>
      <c r="B84" s="147">
        <v>11</v>
      </c>
      <c r="C84" s="147" t="str">
        <f t="shared" si="22"/>
        <v>200711</v>
      </c>
      <c r="D84" s="147" t="str">
        <f t="shared" si="29"/>
        <v>Q4</v>
      </c>
      <c r="E84" s="151">
        <f t="shared" si="30"/>
        <v>126411.31485589659</v>
      </c>
      <c r="F84" s="151">
        <f t="shared" si="30"/>
        <v>126411.315</v>
      </c>
      <c r="G84" s="151">
        <f t="shared" si="23"/>
        <v>4273.2430000000004</v>
      </c>
      <c r="H84" s="151">
        <f t="shared" si="24"/>
        <v>4273.2430000000004</v>
      </c>
      <c r="I84" s="151">
        <f t="shared" si="19"/>
        <v>1677.0070000000001</v>
      </c>
      <c r="J84" s="284">
        <f t="shared" si="25"/>
        <v>-1.1399565735814576E-9</v>
      </c>
      <c r="M84" s="147">
        <f t="shared" si="27"/>
        <v>2021</v>
      </c>
      <c r="N84" s="170" t="str">
        <f t="shared" si="28"/>
        <v>Q3</v>
      </c>
      <c r="O84" s="170" t="str">
        <f t="shared" si="17"/>
        <v>2021Q3</v>
      </c>
      <c r="P84" s="175">
        <v>167495.73989521823</v>
      </c>
      <c r="Q84" s="175">
        <v>163854.01199999999</v>
      </c>
      <c r="R84" s="233">
        <v>1862.693</v>
      </c>
      <c r="S84" s="233">
        <v>1873.307</v>
      </c>
      <c r="T84" s="180">
        <v>49571.67892035051</v>
      </c>
      <c r="U84" s="180"/>
      <c r="V84" s="235">
        <f t="shared" si="26"/>
        <v>4693.299</v>
      </c>
      <c r="W84" s="180">
        <v>537.54613568352875</v>
      </c>
      <c r="X84" s="180">
        <v>4693.299</v>
      </c>
      <c r="Y84" s="170">
        <f t="shared" si="20"/>
        <v>0.28858547043636751</v>
      </c>
      <c r="Z84" s="170">
        <f t="shared" si="21"/>
        <v>2.5053549685129024</v>
      </c>
      <c r="AA84" s="180">
        <v>4605.05</v>
      </c>
    </row>
    <row r="85" spans="1:27" x14ac:dyDescent="0.2">
      <c r="A85" s="147">
        <v>2007</v>
      </c>
      <c r="B85" s="147">
        <v>12</v>
      </c>
      <c r="C85" s="147" t="str">
        <f t="shared" si="22"/>
        <v>200712</v>
      </c>
      <c r="D85" s="147" t="str">
        <f t="shared" si="29"/>
        <v>Q4</v>
      </c>
      <c r="E85" s="151">
        <f t="shared" si="30"/>
        <v>126411.31485589659</v>
      </c>
      <c r="F85" s="151">
        <f t="shared" si="30"/>
        <v>126411.315</v>
      </c>
      <c r="G85" s="151">
        <f t="shared" si="23"/>
        <v>4273.2430000000004</v>
      </c>
      <c r="H85" s="151">
        <f t="shared" si="24"/>
        <v>4273.2430000000004</v>
      </c>
      <c r="I85" s="151">
        <f t="shared" si="19"/>
        <v>1677.0070000000001</v>
      </c>
      <c r="J85" s="284">
        <f t="shared" si="25"/>
        <v>-1.1399565735814576E-9</v>
      </c>
      <c r="M85" s="147">
        <f t="shared" si="27"/>
        <v>2021</v>
      </c>
      <c r="N85" s="170" t="str">
        <f t="shared" si="28"/>
        <v>Q4</v>
      </c>
      <c r="O85" s="170" t="str">
        <f t="shared" si="17"/>
        <v>2021Q4</v>
      </c>
      <c r="P85" s="175">
        <v>168282.95005042473</v>
      </c>
      <c r="Q85" s="175">
        <v>164597.87899999999</v>
      </c>
      <c r="R85" s="233">
        <v>1866.915</v>
      </c>
      <c r="S85" s="233">
        <v>1877.029</v>
      </c>
      <c r="T85" s="180">
        <v>49908.568796165404</v>
      </c>
      <c r="U85" s="180"/>
      <c r="V85" s="235">
        <f t="shared" si="26"/>
        <v>4701.5330000000004</v>
      </c>
      <c r="W85" s="180">
        <v>538.9246517565972</v>
      </c>
      <c r="X85" s="180">
        <v>4701.5330000000004</v>
      </c>
      <c r="Y85" s="170">
        <f t="shared" si="20"/>
        <v>0.28867123128615774</v>
      </c>
      <c r="Z85" s="170">
        <f t="shared" si="21"/>
        <v>2.5047737674804176</v>
      </c>
      <c r="AA85" s="180">
        <v>4611.0690000000004</v>
      </c>
    </row>
    <row r="86" spans="1:27" x14ac:dyDescent="0.2">
      <c r="A86" s="147">
        <v>2008</v>
      </c>
      <c r="B86" s="147">
        <v>1</v>
      </c>
      <c r="C86" s="147" t="str">
        <f t="shared" si="22"/>
        <v>20081</v>
      </c>
      <c r="D86" s="147" t="str">
        <f t="shared" si="29"/>
        <v>Q1</v>
      </c>
      <c r="E86" s="151">
        <f t="shared" si="30"/>
        <v>128374.99536401736</v>
      </c>
      <c r="F86" s="151">
        <f t="shared" si="30"/>
        <v>128364.796</v>
      </c>
      <c r="G86" s="151">
        <f t="shared" si="23"/>
        <v>4281.5519999999997</v>
      </c>
      <c r="H86" s="151">
        <f t="shared" si="24"/>
        <v>4281.5519999999997</v>
      </c>
      <c r="I86" s="151">
        <f t="shared" si="19"/>
        <v>1684.875</v>
      </c>
      <c r="J86" s="284">
        <f t="shared" si="25"/>
        <v>7.9456084029150276E-5</v>
      </c>
      <c r="M86" s="147">
        <f t="shared" si="27"/>
        <v>2022</v>
      </c>
      <c r="N86" s="170" t="str">
        <f t="shared" si="28"/>
        <v>Q1</v>
      </c>
      <c r="O86" s="170" t="str">
        <f t="shared" si="17"/>
        <v>2022Q1</v>
      </c>
      <c r="P86" s="175">
        <v>169537.54043155216</v>
      </c>
      <c r="Q86" s="175">
        <v>165857.508</v>
      </c>
      <c r="R86" s="233">
        <v>1869.009</v>
      </c>
      <c r="S86" s="233">
        <v>1880.136</v>
      </c>
      <c r="T86" s="180">
        <v>50229.384400300703</v>
      </c>
      <c r="U86" s="180"/>
      <c r="V86" s="235">
        <f t="shared" si="26"/>
        <v>4709.7529999999997</v>
      </c>
      <c r="W86" s="180">
        <v>540.22864364519683</v>
      </c>
      <c r="X86" s="180">
        <v>4709.7529999999997</v>
      </c>
      <c r="Y86" s="170">
        <f t="shared" si="20"/>
        <v>0.28904550146371516</v>
      </c>
      <c r="Z86" s="170">
        <f t="shared" si="21"/>
        <v>2.5050065527174628</v>
      </c>
      <c r="AA86" s="180">
        <v>4617.0460000000003</v>
      </c>
    </row>
    <row r="87" spans="1:27" x14ac:dyDescent="0.2">
      <c r="A87" s="147">
        <v>2008</v>
      </c>
      <c r="B87" s="147">
        <v>2</v>
      </c>
      <c r="C87" s="147" t="str">
        <f t="shared" si="22"/>
        <v>20082</v>
      </c>
      <c r="D87" s="147" t="str">
        <f t="shared" si="29"/>
        <v>Q1</v>
      </c>
      <c r="E87" s="151">
        <f t="shared" si="30"/>
        <v>128374.99536401736</v>
      </c>
      <c r="F87" s="151">
        <f t="shared" si="30"/>
        <v>128364.796</v>
      </c>
      <c r="G87" s="151">
        <f t="shared" si="23"/>
        <v>4281.5519999999997</v>
      </c>
      <c r="H87" s="151">
        <f t="shared" si="24"/>
        <v>4281.5519999999997</v>
      </c>
      <c r="I87" s="151">
        <f t="shared" si="19"/>
        <v>1684.875</v>
      </c>
      <c r="J87" s="284">
        <f t="shared" si="25"/>
        <v>7.9456084029150276E-5</v>
      </c>
      <c r="M87" s="147">
        <f t="shared" si="27"/>
        <v>2022</v>
      </c>
      <c r="N87" s="170" t="str">
        <f t="shared" si="28"/>
        <v>Q2</v>
      </c>
      <c r="O87" s="170" t="str">
        <f t="shared" si="17"/>
        <v>2022Q2</v>
      </c>
      <c r="P87" s="175">
        <v>170340.13867575288</v>
      </c>
      <c r="Q87" s="175">
        <v>166796.47399999999</v>
      </c>
      <c r="R87" s="233">
        <v>1872.117</v>
      </c>
      <c r="S87" s="233">
        <v>1883.181</v>
      </c>
      <c r="T87" s="180">
        <v>50462.244962799821</v>
      </c>
      <c r="U87" s="180"/>
      <c r="V87" s="235">
        <f t="shared" si="26"/>
        <v>4717.9579999999996</v>
      </c>
      <c r="W87" s="180">
        <v>541.6057162006723</v>
      </c>
      <c r="X87" s="180">
        <v>4717.9579999999996</v>
      </c>
      <c r="Y87" s="170">
        <f t="shared" si="20"/>
        <v>0.28930121151651972</v>
      </c>
      <c r="Z87" s="170">
        <f t="shared" si="21"/>
        <v>2.5053130846158704</v>
      </c>
      <c r="AA87" s="180">
        <v>4622.9769999999999</v>
      </c>
    </row>
    <row r="88" spans="1:27" x14ac:dyDescent="0.2">
      <c r="A88" s="147">
        <v>2008</v>
      </c>
      <c r="B88" s="147">
        <v>3</v>
      </c>
      <c r="C88" s="147" t="str">
        <f t="shared" si="22"/>
        <v>20083</v>
      </c>
      <c r="D88" s="147" t="str">
        <f t="shared" si="29"/>
        <v>Q1</v>
      </c>
      <c r="E88" s="151">
        <f t="shared" si="30"/>
        <v>128374.99536401736</v>
      </c>
      <c r="F88" s="151">
        <f t="shared" si="30"/>
        <v>128364.796</v>
      </c>
      <c r="G88" s="151">
        <f t="shared" si="23"/>
        <v>4281.5519999999997</v>
      </c>
      <c r="H88" s="151">
        <f t="shared" si="24"/>
        <v>4281.5519999999997</v>
      </c>
      <c r="I88" s="151">
        <f t="shared" si="19"/>
        <v>1684.875</v>
      </c>
      <c r="J88" s="284">
        <f t="shared" si="25"/>
        <v>7.9456084029150276E-5</v>
      </c>
      <c r="M88" s="147">
        <f t="shared" si="27"/>
        <v>2022</v>
      </c>
      <c r="N88" s="170" t="str">
        <f t="shared" si="28"/>
        <v>Q3</v>
      </c>
      <c r="O88" s="170" t="str">
        <f t="shared" si="17"/>
        <v>2022Q3</v>
      </c>
      <c r="P88" s="175">
        <v>171251.59311398395</v>
      </c>
      <c r="Q88" s="175">
        <v>167787.24299999999</v>
      </c>
      <c r="R88" s="233">
        <v>1875.1959999999999</v>
      </c>
      <c r="S88" s="233">
        <v>1886.1790000000001</v>
      </c>
      <c r="T88" s="180">
        <v>50848.241817321788</v>
      </c>
      <c r="U88" s="180"/>
      <c r="V88" s="235">
        <f t="shared" si="26"/>
        <v>4726.1329999999998</v>
      </c>
      <c r="W88" s="180">
        <v>542.8681305385121</v>
      </c>
      <c r="X88" s="180">
        <v>4726.1329999999998</v>
      </c>
      <c r="Y88" s="170">
        <f t="shared" si="20"/>
        <v>0.28949940728249857</v>
      </c>
      <c r="Z88" s="170">
        <f t="shared" si="21"/>
        <v>2.5056651569124666</v>
      </c>
      <c r="AA88" s="180">
        <v>4628.8519999999999</v>
      </c>
    </row>
    <row r="89" spans="1:27" x14ac:dyDescent="0.2">
      <c r="A89" s="152">
        <v>2008</v>
      </c>
      <c r="B89" s="152">
        <v>4</v>
      </c>
      <c r="C89" s="147" t="str">
        <f t="shared" si="22"/>
        <v>20084</v>
      </c>
      <c r="D89" s="147" t="str">
        <f t="shared" si="29"/>
        <v>Q2</v>
      </c>
      <c r="E89" s="151">
        <f t="shared" si="30"/>
        <v>129347.46726332392</v>
      </c>
      <c r="F89" s="151">
        <f t="shared" si="30"/>
        <v>129399.736</v>
      </c>
      <c r="G89" s="151">
        <f t="shared" si="23"/>
        <v>4289.8779999999997</v>
      </c>
      <c r="H89" s="151">
        <f t="shared" si="24"/>
        <v>4289.8779999999997</v>
      </c>
      <c r="I89" s="151">
        <f t="shared" si="19"/>
        <v>1692.7809999999999</v>
      </c>
      <c r="J89" s="284">
        <f t="shared" si="25"/>
        <v>-4.0393232854885053E-4</v>
      </c>
      <c r="K89" s="152"/>
      <c r="L89" s="152"/>
      <c r="M89" s="147">
        <f t="shared" si="27"/>
        <v>2022</v>
      </c>
      <c r="N89" s="170" t="str">
        <f t="shared" si="28"/>
        <v>Q4</v>
      </c>
      <c r="O89" s="170" t="str">
        <f t="shared" si="17"/>
        <v>2022Q4</v>
      </c>
      <c r="P89" s="175">
        <v>172124.28850790611</v>
      </c>
      <c r="Q89" s="175">
        <v>168781.15</v>
      </c>
      <c r="R89" s="233">
        <v>1878.357</v>
      </c>
      <c r="S89" s="233">
        <v>1889.0119999999999</v>
      </c>
      <c r="T89" s="180">
        <v>51088.93854491684</v>
      </c>
      <c r="U89" s="180"/>
      <c r="V89" s="235">
        <f t="shared" si="26"/>
        <v>4734.2920000000004</v>
      </c>
      <c r="W89" s="180">
        <v>544.45445662214399</v>
      </c>
      <c r="X89" s="180">
        <v>4734.2920000000004</v>
      </c>
      <c r="Y89" s="170">
        <f t="shared" si="20"/>
        <v>0.2898567506720735</v>
      </c>
      <c r="Z89" s="170">
        <f t="shared" si="21"/>
        <v>2.5062265353528725</v>
      </c>
      <c r="AA89" s="180">
        <v>4634.6809999999996</v>
      </c>
    </row>
    <row r="90" spans="1:27" x14ac:dyDescent="0.2">
      <c r="A90" s="147">
        <v>2008</v>
      </c>
      <c r="B90" s="147">
        <v>5</v>
      </c>
      <c r="C90" s="147" t="str">
        <f t="shared" si="22"/>
        <v>20085</v>
      </c>
      <c r="D90" s="147" t="str">
        <f t="shared" si="29"/>
        <v>Q2</v>
      </c>
      <c r="E90" s="151">
        <f t="shared" si="30"/>
        <v>129347.46726332392</v>
      </c>
      <c r="F90" s="151">
        <f t="shared" si="30"/>
        <v>129399.736</v>
      </c>
      <c r="G90" s="151">
        <f t="shared" si="23"/>
        <v>4289.8779999999997</v>
      </c>
      <c r="H90" s="151">
        <f t="shared" si="24"/>
        <v>4289.8779999999997</v>
      </c>
      <c r="I90" s="151">
        <f t="shared" si="19"/>
        <v>1692.7809999999999</v>
      </c>
      <c r="J90" s="284">
        <f t="shared" si="25"/>
        <v>-4.0393232854885053E-4</v>
      </c>
      <c r="M90" s="147">
        <f t="shared" si="27"/>
        <v>2023</v>
      </c>
      <c r="N90" s="170" t="str">
        <f t="shared" si="28"/>
        <v>Q1</v>
      </c>
      <c r="O90" s="170" t="str">
        <f t="shared" si="17"/>
        <v>2023Q1</v>
      </c>
      <c r="P90" s="175">
        <v>173475.42312358608</v>
      </c>
      <c r="Q90" s="175">
        <v>170138.21400000001</v>
      </c>
      <c r="R90" s="233">
        <v>1881.624</v>
      </c>
      <c r="S90" s="233">
        <v>1892.0160000000001</v>
      </c>
      <c r="T90" s="180">
        <v>51474.30535634797</v>
      </c>
      <c r="U90" s="180"/>
      <c r="V90" s="235">
        <f t="shared" si="26"/>
        <v>4742.4340000000002</v>
      </c>
      <c r="W90" s="180">
        <v>545.9473307236226</v>
      </c>
      <c r="X90" s="180">
        <v>4742.4340000000002</v>
      </c>
      <c r="Y90" s="170">
        <f t="shared" si="20"/>
        <v>0.2901468788257498</v>
      </c>
      <c r="Z90" s="170">
        <f t="shared" si="21"/>
        <v>2.506550684560807</v>
      </c>
      <c r="AA90" s="180">
        <v>4640.4660000000003</v>
      </c>
    </row>
    <row r="91" spans="1:27" x14ac:dyDescent="0.2">
      <c r="A91" s="147">
        <v>2008</v>
      </c>
      <c r="B91" s="147">
        <v>6</v>
      </c>
      <c r="C91" s="147" t="str">
        <f t="shared" si="22"/>
        <v>20086</v>
      </c>
      <c r="D91" s="147" t="str">
        <f t="shared" si="29"/>
        <v>Q2</v>
      </c>
      <c r="E91" s="151">
        <f t="shared" si="30"/>
        <v>129347.46726332392</v>
      </c>
      <c r="F91" s="151">
        <f t="shared" si="30"/>
        <v>129399.736</v>
      </c>
      <c r="G91" s="151">
        <f t="shared" si="23"/>
        <v>4289.8779999999997</v>
      </c>
      <c r="H91" s="151">
        <f t="shared" si="24"/>
        <v>4289.8779999999997</v>
      </c>
      <c r="I91" s="151">
        <f t="shared" si="19"/>
        <v>1692.7809999999999</v>
      </c>
      <c r="J91" s="284">
        <f t="shared" si="25"/>
        <v>-4.0393232854885053E-4</v>
      </c>
      <c r="M91" s="147">
        <f t="shared" si="27"/>
        <v>2023</v>
      </c>
      <c r="N91" s="170" t="str">
        <f t="shared" si="28"/>
        <v>Q2</v>
      </c>
      <c r="O91" s="170" t="str">
        <f t="shared" si="17"/>
        <v>2023Q2</v>
      </c>
      <c r="P91" s="175">
        <v>174492.75194418832</v>
      </c>
      <c r="Q91" s="175">
        <v>171101.02100000001</v>
      </c>
      <c r="R91" s="233">
        <v>1884.9670000000001</v>
      </c>
      <c r="S91" s="233">
        <v>1894.9739999999999</v>
      </c>
      <c r="T91" s="180">
        <v>51828.21608039493</v>
      </c>
      <c r="U91" s="180"/>
      <c r="V91" s="235">
        <f t="shared" si="26"/>
        <v>4750.558</v>
      </c>
      <c r="W91" s="180">
        <v>547.24893214982171</v>
      </c>
      <c r="X91" s="180">
        <v>4750.558</v>
      </c>
      <c r="Y91" s="170">
        <f t="shared" si="20"/>
        <v>0.29032281846304031</v>
      </c>
      <c r="Z91" s="170">
        <f t="shared" si="21"/>
        <v>2.506925160978462</v>
      </c>
      <c r="AA91" s="180">
        <v>4646.2020000000002</v>
      </c>
    </row>
    <row r="92" spans="1:27" x14ac:dyDescent="0.2">
      <c r="A92" s="147">
        <v>2008</v>
      </c>
      <c r="B92" s="147">
        <v>7</v>
      </c>
      <c r="C92" s="147" t="str">
        <f t="shared" si="22"/>
        <v>20087</v>
      </c>
      <c r="D92" s="147" t="str">
        <f t="shared" si="29"/>
        <v>Q3</v>
      </c>
      <c r="E92" s="151">
        <f t="shared" si="30"/>
        <v>126688.01829102325</v>
      </c>
      <c r="F92" s="151">
        <f t="shared" si="30"/>
        <v>126756.973</v>
      </c>
      <c r="G92" s="151">
        <f t="shared" si="23"/>
        <v>4296.6610000000001</v>
      </c>
      <c r="H92" s="151">
        <f t="shared" si="24"/>
        <v>4296.6610000000001</v>
      </c>
      <c r="I92" s="151">
        <f t="shared" si="19"/>
        <v>1694.962</v>
      </c>
      <c r="J92" s="284">
        <f t="shared" si="25"/>
        <v>-5.4399144555739021E-4</v>
      </c>
      <c r="M92" s="147">
        <f t="shared" si="27"/>
        <v>2023</v>
      </c>
      <c r="N92" s="170" t="str">
        <f t="shared" ref="N92:N118" si="31">N88</f>
        <v>Q3</v>
      </c>
      <c r="O92" s="170" t="str">
        <f t="shared" si="17"/>
        <v>2023Q3</v>
      </c>
      <c r="P92" s="175">
        <v>175470.4051019061</v>
      </c>
      <c r="Q92" s="175">
        <v>172007.791</v>
      </c>
      <c r="R92" s="233">
        <v>1888.2650000000001</v>
      </c>
      <c r="S92" s="233">
        <v>1897.896</v>
      </c>
      <c r="T92" s="180">
        <v>52161.614922601206</v>
      </c>
      <c r="U92" s="180"/>
      <c r="V92" s="235">
        <f t="shared" si="26"/>
        <v>4758.6490000000003</v>
      </c>
      <c r="W92" s="180">
        <v>548.62078192226488</v>
      </c>
      <c r="X92" s="180">
        <v>4758.6490000000003</v>
      </c>
      <c r="Y92" s="170">
        <f t="shared" si="20"/>
        <v>0.29054226071142814</v>
      </c>
      <c r="Z92" s="170">
        <f t="shared" si="21"/>
        <v>2.5073286418223129</v>
      </c>
      <c r="AA92" s="180">
        <v>4651.88</v>
      </c>
    </row>
    <row r="93" spans="1:27" x14ac:dyDescent="0.2">
      <c r="A93" s="147">
        <v>2008</v>
      </c>
      <c r="B93" s="147">
        <v>8</v>
      </c>
      <c r="C93" s="147" t="str">
        <f t="shared" si="22"/>
        <v>20088</v>
      </c>
      <c r="D93" s="147" t="str">
        <f t="shared" si="29"/>
        <v>Q3</v>
      </c>
      <c r="E93" s="151">
        <f t="shared" si="30"/>
        <v>126688.01829102325</v>
      </c>
      <c r="F93" s="151">
        <f t="shared" si="30"/>
        <v>126756.973</v>
      </c>
      <c r="G93" s="151">
        <f t="shared" si="23"/>
        <v>4296.6610000000001</v>
      </c>
      <c r="H93" s="151">
        <f t="shared" si="24"/>
        <v>4296.6610000000001</v>
      </c>
      <c r="I93" s="151">
        <f t="shared" si="19"/>
        <v>1694.962</v>
      </c>
      <c r="J93" s="284">
        <f t="shared" si="25"/>
        <v>-5.4399144555739021E-4</v>
      </c>
      <c r="M93" s="147">
        <f t="shared" si="27"/>
        <v>2023</v>
      </c>
      <c r="N93" s="170" t="str">
        <f t="shared" si="31"/>
        <v>Q4</v>
      </c>
      <c r="O93" s="170" t="str">
        <f t="shared" si="17"/>
        <v>2023Q4</v>
      </c>
      <c r="P93" s="175">
        <v>176432.43907674521</v>
      </c>
      <c r="Q93" s="175">
        <v>172918.79399999999</v>
      </c>
      <c r="R93" s="233">
        <v>1893.3720000000001</v>
      </c>
      <c r="S93" s="233">
        <v>1900.654</v>
      </c>
      <c r="T93" s="180">
        <v>52372.236748881944</v>
      </c>
      <c r="U93" s="180"/>
      <c r="V93" s="235">
        <f t="shared" si="26"/>
        <v>4766.7089999999998</v>
      </c>
      <c r="W93" s="180">
        <v>550.02989993152096</v>
      </c>
      <c r="X93" s="180">
        <v>4766.7089999999998</v>
      </c>
      <c r="Y93" s="170">
        <f t="shared" si="20"/>
        <v>0.29050281715981907</v>
      </c>
      <c r="Z93" s="170">
        <f t="shared" si="21"/>
        <v>2.5079309542925752</v>
      </c>
      <c r="AA93" s="180">
        <v>4657.4979999999996</v>
      </c>
    </row>
    <row r="94" spans="1:27" x14ac:dyDescent="0.2">
      <c r="A94" s="147">
        <v>2008</v>
      </c>
      <c r="B94" s="147">
        <v>9</v>
      </c>
      <c r="C94" s="147" t="str">
        <f t="shared" si="22"/>
        <v>20089</v>
      </c>
      <c r="D94" s="147" t="str">
        <f t="shared" si="29"/>
        <v>Q3</v>
      </c>
      <c r="E94" s="151">
        <f t="shared" si="30"/>
        <v>126688.01829102325</v>
      </c>
      <c r="F94" s="151">
        <f t="shared" si="30"/>
        <v>126756.973</v>
      </c>
      <c r="G94" s="151">
        <f t="shared" si="23"/>
        <v>4296.6610000000001</v>
      </c>
      <c r="H94" s="151">
        <f t="shared" si="24"/>
        <v>4296.6610000000001</v>
      </c>
      <c r="I94" s="151">
        <f t="shared" si="19"/>
        <v>1694.962</v>
      </c>
      <c r="J94" s="284">
        <f t="shared" si="25"/>
        <v>-5.4399144555739021E-4</v>
      </c>
      <c r="M94" s="147">
        <f t="shared" si="27"/>
        <v>2024</v>
      </c>
      <c r="N94" s="170" t="str">
        <f t="shared" si="31"/>
        <v>Q1</v>
      </c>
      <c r="O94" s="170" t="str">
        <f t="shared" si="17"/>
        <v>2024Q1</v>
      </c>
      <c r="P94" s="175">
        <v>178033.21975543263</v>
      </c>
      <c r="Q94" s="175">
        <v>174458.15100000001</v>
      </c>
      <c r="R94" s="233">
        <v>1895.836</v>
      </c>
      <c r="S94" s="233">
        <v>1904.0350000000001</v>
      </c>
      <c r="T94" s="180">
        <v>52955.358119127079</v>
      </c>
      <c r="U94" s="180"/>
      <c r="V94" s="235">
        <f t="shared" si="26"/>
        <v>4774.7489999999998</v>
      </c>
      <c r="W94" s="180">
        <v>551.36102397652587</v>
      </c>
      <c r="X94" s="180">
        <v>4774.7489999999998</v>
      </c>
      <c r="Y94" s="170">
        <f t="shared" si="20"/>
        <v>0.29082738379085843</v>
      </c>
      <c r="Z94" s="170">
        <f t="shared" si="21"/>
        <v>2.5077002260987848</v>
      </c>
      <c r="AA94" s="180">
        <v>4663.0690000000004</v>
      </c>
    </row>
    <row r="95" spans="1:27" x14ac:dyDescent="0.2">
      <c r="A95" s="147">
        <v>2008</v>
      </c>
      <c r="B95" s="147">
        <v>10</v>
      </c>
      <c r="C95" s="147" t="str">
        <f t="shared" si="22"/>
        <v>200810</v>
      </c>
      <c r="D95" s="147" t="str">
        <f t="shared" si="29"/>
        <v>Q4</v>
      </c>
      <c r="E95" s="151">
        <f t="shared" si="30"/>
        <v>127768.98297284859</v>
      </c>
      <c r="F95" s="151">
        <f t="shared" si="30"/>
        <v>127793.833</v>
      </c>
      <c r="G95" s="151">
        <f t="shared" si="23"/>
        <v>4303.4549999999999</v>
      </c>
      <c r="H95" s="151">
        <f t="shared" si="24"/>
        <v>4303.4549999999999</v>
      </c>
      <c r="I95" s="151">
        <f t="shared" si="19"/>
        <v>1697.1469999999999</v>
      </c>
      <c r="J95" s="284">
        <f t="shared" si="25"/>
        <v>-1.9445404029316826E-4</v>
      </c>
      <c r="M95" s="147">
        <f t="shared" si="27"/>
        <v>2024</v>
      </c>
      <c r="N95" s="170" t="str">
        <f t="shared" si="31"/>
        <v>Q2</v>
      </c>
      <c r="O95" s="170" t="str">
        <f t="shared" si="17"/>
        <v>2024Q2</v>
      </c>
      <c r="P95" s="175">
        <v>179011.21783820438</v>
      </c>
      <c r="Q95" s="175">
        <v>175426.49799999999</v>
      </c>
      <c r="R95" s="233">
        <v>1898.4659999999999</v>
      </c>
      <c r="S95" s="233">
        <v>1907.376</v>
      </c>
      <c r="T95" s="180">
        <v>53167.209134536846</v>
      </c>
      <c r="U95" s="180"/>
      <c r="V95" s="235">
        <f t="shared" si="26"/>
        <v>4782.7700000000004</v>
      </c>
      <c r="W95" s="180">
        <v>552.72758362695288</v>
      </c>
      <c r="X95" s="180">
        <v>4782.7700000000004</v>
      </c>
      <c r="Y95" s="170">
        <f t="shared" si="20"/>
        <v>0.29114431526661677</v>
      </c>
      <c r="Z95" s="170">
        <f t="shared" si="21"/>
        <v>2.5075129392421842</v>
      </c>
      <c r="AA95" s="180">
        <v>4668.5910000000003</v>
      </c>
    </row>
    <row r="96" spans="1:27" x14ac:dyDescent="0.2">
      <c r="A96" s="147">
        <v>2008</v>
      </c>
      <c r="B96" s="147">
        <v>11</v>
      </c>
      <c r="C96" s="147" t="str">
        <f t="shared" si="22"/>
        <v>200811</v>
      </c>
      <c r="D96" s="147" t="str">
        <f t="shared" si="29"/>
        <v>Q4</v>
      </c>
      <c r="E96" s="151">
        <f t="shared" si="30"/>
        <v>127768.98297284859</v>
      </c>
      <c r="F96" s="151">
        <f t="shared" si="30"/>
        <v>127793.833</v>
      </c>
      <c r="G96" s="151">
        <f t="shared" si="23"/>
        <v>4303.4549999999999</v>
      </c>
      <c r="H96" s="151">
        <f t="shared" si="24"/>
        <v>4303.4549999999999</v>
      </c>
      <c r="I96" s="151">
        <f t="shared" si="19"/>
        <v>1697.1469999999999</v>
      </c>
      <c r="J96" s="284">
        <f t="shared" si="25"/>
        <v>-1.9445404029316826E-4</v>
      </c>
      <c r="M96" s="147">
        <f t="shared" si="27"/>
        <v>2024</v>
      </c>
      <c r="N96" s="170" t="str">
        <f t="shared" si="31"/>
        <v>Q3</v>
      </c>
      <c r="O96" s="170" t="str">
        <f t="shared" si="17"/>
        <v>2024Q3</v>
      </c>
      <c r="P96" s="175">
        <v>179957.81109507804</v>
      </c>
      <c r="Q96" s="175">
        <v>176369.43100000001</v>
      </c>
      <c r="R96" s="233">
        <v>1901.0250000000001</v>
      </c>
      <c r="S96" s="233">
        <v>1910.7170000000001</v>
      </c>
      <c r="T96" s="180">
        <v>53462.846369802268</v>
      </c>
      <c r="U96" s="180"/>
      <c r="V96" s="235">
        <f t="shared" si="26"/>
        <v>4790.7579999999998</v>
      </c>
      <c r="W96" s="180">
        <v>554.09834181426595</v>
      </c>
      <c r="X96" s="180">
        <v>4790.7579999999998</v>
      </c>
      <c r="Y96" s="170">
        <f t="shared" si="20"/>
        <v>0.29147346395458551</v>
      </c>
      <c r="Z96" s="170">
        <f t="shared" si="21"/>
        <v>2.5073090363460415</v>
      </c>
      <c r="AA96" s="180">
        <v>4674.0529999999999</v>
      </c>
    </row>
    <row r="97" spans="1:27" x14ac:dyDescent="0.2">
      <c r="A97" s="147">
        <v>2008</v>
      </c>
      <c r="B97" s="147">
        <v>12</v>
      </c>
      <c r="C97" s="147" t="str">
        <f t="shared" si="22"/>
        <v>200812</v>
      </c>
      <c r="D97" s="147" t="str">
        <f t="shared" si="29"/>
        <v>Q4</v>
      </c>
      <c r="E97" s="151">
        <f t="shared" si="30"/>
        <v>127768.98297284859</v>
      </c>
      <c r="F97" s="151">
        <f t="shared" si="30"/>
        <v>127793.833</v>
      </c>
      <c r="G97" s="151">
        <f t="shared" si="23"/>
        <v>4303.4549999999999</v>
      </c>
      <c r="H97" s="151">
        <f t="shared" si="24"/>
        <v>4303.4549999999999</v>
      </c>
      <c r="I97" s="151">
        <f t="shared" si="19"/>
        <v>1697.1469999999999</v>
      </c>
      <c r="J97" s="284">
        <f t="shared" si="25"/>
        <v>-1.9445404029316826E-4</v>
      </c>
      <c r="M97" s="147">
        <f t="shared" si="27"/>
        <v>2024</v>
      </c>
      <c r="N97" s="170" t="str">
        <f t="shared" si="31"/>
        <v>Q4</v>
      </c>
      <c r="O97" s="170" t="str">
        <f t="shared" si="17"/>
        <v>2024Q4</v>
      </c>
      <c r="P97" s="175">
        <v>180913.45966094849</v>
      </c>
      <c r="Q97" s="175">
        <v>177331.9</v>
      </c>
      <c r="R97" s="233">
        <v>1903.5609999999999</v>
      </c>
      <c r="S97" s="233">
        <v>1913.933</v>
      </c>
      <c r="T97" s="180">
        <v>53789.882915045469</v>
      </c>
      <c r="U97" s="180"/>
      <c r="V97" s="235">
        <f t="shared" si="26"/>
        <v>4798.7250000000004</v>
      </c>
      <c r="W97" s="180">
        <v>555.46391912793047</v>
      </c>
      <c r="X97" s="180">
        <v>4798.7250000000004</v>
      </c>
      <c r="Y97" s="170">
        <f t="shared" si="20"/>
        <v>0.2918025317433644</v>
      </c>
      <c r="Z97" s="170">
        <f t="shared" si="21"/>
        <v>2.5072586135460333</v>
      </c>
      <c r="AA97" s="180">
        <v>4679.4669999999996</v>
      </c>
    </row>
    <row r="98" spans="1:27" x14ac:dyDescent="0.2">
      <c r="A98" s="147">
        <v>2009</v>
      </c>
      <c r="B98" s="147">
        <v>1</v>
      </c>
      <c r="C98" s="147" t="str">
        <f t="shared" si="22"/>
        <v>20091</v>
      </c>
      <c r="D98" s="147" t="str">
        <f t="shared" si="29"/>
        <v>Q1</v>
      </c>
      <c r="E98" s="151">
        <f t="shared" si="30"/>
        <v>126528.96921240388</v>
      </c>
      <c r="F98" s="151">
        <f t="shared" si="30"/>
        <v>126804.629</v>
      </c>
      <c r="G98" s="151">
        <f t="shared" si="23"/>
        <v>4310.259</v>
      </c>
      <c r="H98" s="151">
        <f t="shared" si="24"/>
        <v>4310.259</v>
      </c>
      <c r="I98" s="151">
        <f t="shared" si="19"/>
        <v>1699.3340000000001</v>
      </c>
      <c r="J98" s="284">
        <f t="shared" si="25"/>
        <v>-2.1738937274610182E-3</v>
      </c>
      <c r="M98" s="147">
        <f t="shared" si="27"/>
        <v>2025</v>
      </c>
      <c r="N98" s="170" t="str">
        <f t="shared" si="31"/>
        <v>Q1</v>
      </c>
      <c r="O98" s="170" t="str">
        <f t="shared" si="17"/>
        <v>2025Q1</v>
      </c>
      <c r="P98" s="175">
        <v>182514.28815460778</v>
      </c>
      <c r="Q98" s="175">
        <v>178892.09099999999</v>
      </c>
      <c r="R98" s="233">
        <v>1907.3309999999999</v>
      </c>
      <c r="S98" s="233">
        <v>1917.356</v>
      </c>
      <c r="T98" s="180">
        <v>54223.677742674183</v>
      </c>
      <c r="U98" s="180"/>
      <c r="V98" s="235">
        <f t="shared" si="26"/>
        <v>4806.6729999999998</v>
      </c>
      <c r="W98" s="180">
        <v>556.94168069036982</v>
      </c>
      <c r="X98" s="180">
        <v>4806.6729999999998</v>
      </c>
      <c r="Y98" s="170">
        <f t="shared" ref="Y98:Y129" si="32">W98/R98</f>
        <v>0.29200053933500258</v>
      </c>
      <c r="Z98" s="170">
        <f t="shared" ref="Z98:Z129" si="33">X98/S98</f>
        <v>2.5069277692822824</v>
      </c>
      <c r="AA98" s="180">
        <v>4684.8329999999996</v>
      </c>
    </row>
    <row r="99" spans="1:27" x14ac:dyDescent="0.2">
      <c r="A99" s="147">
        <v>2009</v>
      </c>
      <c r="B99" s="147">
        <v>2</v>
      </c>
      <c r="C99" s="147" t="str">
        <f t="shared" si="22"/>
        <v>20092</v>
      </c>
      <c r="D99" s="147" t="str">
        <f t="shared" si="29"/>
        <v>Q1</v>
      </c>
      <c r="E99" s="151">
        <f t="shared" si="30"/>
        <v>126528.96921240388</v>
      </c>
      <c r="F99" s="151">
        <f t="shared" si="30"/>
        <v>126804.629</v>
      </c>
      <c r="G99" s="151">
        <f t="shared" si="23"/>
        <v>4310.259</v>
      </c>
      <c r="H99" s="151">
        <f t="shared" si="24"/>
        <v>4310.259</v>
      </c>
      <c r="I99" s="151">
        <f t="shared" si="19"/>
        <v>1699.3340000000001</v>
      </c>
      <c r="J99" s="284">
        <f t="shared" si="25"/>
        <v>-2.1738937274610182E-3</v>
      </c>
      <c r="M99" s="147">
        <f t="shared" si="27"/>
        <v>2025</v>
      </c>
      <c r="N99" s="170" t="str">
        <f t="shared" si="31"/>
        <v>Q2</v>
      </c>
      <c r="O99" s="170" t="str">
        <f t="shared" si="17"/>
        <v>2025Q2</v>
      </c>
      <c r="P99" s="175">
        <v>183531.89977430113</v>
      </c>
      <c r="Q99" s="175">
        <v>179884.057</v>
      </c>
      <c r="R99" s="233">
        <v>1911.173</v>
      </c>
      <c r="S99" s="233">
        <v>1920.7639999999999</v>
      </c>
      <c r="T99" s="180">
        <v>54510.190519624688</v>
      </c>
      <c r="U99" s="180"/>
      <c r="V99" s="235">
        <f t="shared" si="26"/>
        <v>4814.6009999999997</v>
      </c>
      <c r="W99" s="180">
        <v>558.30530320823425</v>
      </c>
      <c r="X99" s="180">
        <v>4814.6009999999997</v>
      </c>
      <c r="Y99" s="170">
        <f t="shared" si="32"/>
        <v>0.29212703570437332</v>
      </c>
      <c r="Z99" s="170">
        <f t="shared" si="33"/>
        <v>2.5066072666917956</v>
      </c>
      <c r="AA99" s="180">
        <v>4690.1750000000002</v>
      </c>
    </row>
    <row r="100" spans="1:27" x14ac:dyDescent="0.2">
      <c r="A100" s="152">
        <v>2009</v>
      </c>
      <c r="B100" s="152">
        <v>3</v>
      </c>
      <c r="C100" s="147" t="str">
        <f t="shared" si="22"/>
        <v>20093</v>
      </c>
      <c r="D100" s="147" t="str">
        <f t="shared" si="29"/>
        <v>Q1</v>
      </c>
      <c r="E100" s="151">
        <f t="shared" si="30"/>
        <v>126528.96921240388</v>
      </c>
      <c r="F100" s="151">
        <f t="shared" si="30"/>
        <v>126804.629</v>
      </c>
      <c r="G100" s="151">
        <f t="shared" si="23"/>
        <v>4310.259</v>
      </c>
      <c r="H100" s="151">
        <f t="shared" si="24"/>
        <v>4310.259</v>
      </c>
      <c r="I100" s="151">
        <f t="shared" si="19"/>
        <v>1699.3340000000001</v>
      </c>
      <c r="J100" s="284">
        <f t="shared" si="25"/>
        <v>-2.1738937274610182E-3</v>
      </c>
      <c r="K100" s="152"/>
      <c r="L100" s="152"/>
      <c r="M100" s="147">
        <f t="shared" si="27"/>
        <v>2025</v>
      </c>
      <c r="N100" s="170" t="str">
        <f t="shared" si="31"/>
        <v>Q3</v>
      </c>
      <c r="O100" s="170" t="str">
        <f t="shared" si="17"/>
        <v>2025Q3</v>
      </c>
      <c r="P100" s="175">
        <v>184449.74067686254</v>
      </c>
      <c r="Q100" s="175">
        <v>180786.26300000001</v>
      </c>
      <c r="R100" s="233">
        <v>1914.9459999999999</v>
      </c>
      <c r="S100" s="233">
        <v>1924.183</v>
      </c>
      <c r="T100" s="180">
        <v>54815.658019537463</v>
      </c>
      <c r="U100" s="180"/>
      <c r="V100" s="235">
        <f t="shared" si="26"/>
        <v>4822.4949999999999</v>
      </c>
      <c r="W100" s="180">
        <v>559.67020193041674</v>
      </c>
      <c r="X100" s="180">
        <v>4822.4949999999999</v>
      </c>
      <c r="Y100" s="170">
        <f t="shared" si="32"/>
        <v>0.29226422151351356</v>
      </c>
      <c r="Z100" s="170">
        <f t="shared" si="33"/>
        <v>2.5062559018554889</v>
      </c>
      <c r="AA100" s="180">
        <v>4695.482</v>
      </c>
    </row>
    <row r="101" spans="1:27" x14ac:dyDescent="0.2">
      <c r="A101" s="147">
        <v>2009</v>
      </c>
      <c r="B101" s="147">
        <v>4</v>
      </c>
      <c r="C101" s="147" t="str">
        <f t="shared" si="22"/>
        <v>20094</v>
      </c>
      <c r="D101" s="147" t="str">
        <f t="shared" si="29"/>
        <v>Q2</v>
      </c>
      <c r="E101" s="151">
        <f t="shared" si="30"/>
        <v>126577.93835717444</v>
      </c>
      <c r="F101" s="151">
        <f t="shared" si="30"/>
        <v>127078.37</v>
      </c>
      <c r="G101" s="151">
        <f t="shared" si="23"/>
        <v>4317.0739999999996</v>
      </c>
      <c r="H101" s="151">
        <f t="shared" si="24"/>
        <v>4317.0739999999996</v>
      </c>
      <c r="I101" s="151">
        <f t="shared" si="19"/>
        <v>1701.5239999999999</v>
      </c>
      <c r="J101" s="284">
        <f t="shared" si="25"/>
        <v>-3.9379765637972408E-3</v>
      </c>
      <c r="M101" s="147">
        <f t="shared" si="27"/>
        <v>2025</v>
      </c>
      <c r="N101" s="170" t="str">
        <f t="shared" si="31"/>
        <v>Q4</v>
      </c>
      <c r="O101" s="170" t="str">
        <f t="shared" si="17"/>
        <v>2025Q4</v>
      </c>
      <c r="P101" s="175">
        <v>185371.51588601226</v>
      </c>
      <c r="Q101" s="175">
        <v>181695.31</v>
      </c>
      <c r="R101" s="233">
        <v>1918.75</v>
      </c>
      <c r="S101" s="233">
        <v>1927.49</v>
      </c>
      <c r="T101" s="180">
        <v>55097.083363484009</v>
      </c>
      <c r="U101" s="180"/>
      <c r="V101" s="235">
        <f t="shared" si="26"/>
        <v>4830.3680000000004</v>
      </c>
      <c r="W101" s="180">
        <v>561.21625254453284</v>
      </c>
      <c r="X101" s="180">
        <v>4830.3680000000004</v>
      </c>
      <c r="Y101" s="170">
        <f t="shared" si="32"/>
        <v>0.29249055507206922</v>
      </c>
      <c r="Z101" s="170">
        <f t="shared" si="33"/>
        <v>2.5060404982645825</v>
      </c>
      <c r="AA101" s="180">
        <v>4700.7749999999996</v>
      </c>
    </row>
    <row r="102" spans="1:27" x14ac:dyDescent="0.2">
      <c r="A102" s="147">
        <v>2009</v>
      </c>
      <c r="B102" s="147">
        <v>5</v>
      </c>
      <c r="C102" s="147" t="str">
        <f t="shared" si="22"/>
        <v>20095</v>
      </c>
      <c r="D102" s="147" t="str">
        <f t="shared" si="29"/>
        <v>Q2</v>
      </c>
      <c r="E102" s="151">
        <f t="shared" ref="E102:F121" si="34">VLOOKUP($A102&amp;$D102,$O$1:$V$189,MATCH(E$1,$O$1:$V$1,0),0)</f>
        <v>126577.93835717444</v>
      </c>
      <c r="F102" s="151">
        <f t="shared" si="34"/>
        <v>127078.37</v>
      </c>
      <c r="G102" s="151">
        <f t="shared" si="23"/>
        <v>4317.0739999999996</v>
      </c>
      <c r="H102" s="151">
        <f t="shared" si="24"/>
        <v>4317.0739999999996</v>
      </c>
      <c r="I102" s="151">
        <f t="shared" si="19"/>
        <v>1701.5239999999999</v>
      </c>
      <c r="J102" s="284">
        <f t="shared" si="25"/>
        <v>-3.9379765637972408E-3</v>
      </c>
      <c r="M102" s="147">
        <f t="shared" si="27"/>
        <v>2026</v>
      </c>
      <c r="N102" s="170" t="str">
        <f t="shared" si="31"/>
        <v>Q1</v>
      </c>
      <c r="O102" s="170" t="str">
        <f t="shared" si="17"/>
        <v>2026Q1</v>
      </c>
      <c r="P102" s="175">
        <v>186895.25767533827</v>
      </c>
      <c r="Q102" s="175">
        <v>183193.88699999999</v>
      </c>
      <c r="R102" s="233">
        <v>1922.499</v>
      </c>
      <c r="S102" s="233">
        <v>1931.021</v>
      </c>
      <c r="T102" s="180">
        <v>55569.291010852481</v>
      </c>
      <c r="U102" s="180"/>
      <c r="V102" s="235">
        <f t="shared" si="26"/>
        <v>4838.2219999999998</v>
      </c>
      <c r="W102" s="180">
        <v>562.17454112653661</v>
      </c>
      <c r="X102" s="180">
        <v>4838.2219999999998</v>
      </c>
      <c r="Y102" s="170">
        <f t="shared" si="32"/>
        <v>0.29241863903520188</v>
      </c>
      <c r="Z102" s="170">
        <f t="shared" si="33"/>
        <v>2.5055253153642556</v>
      </c>
      <c r="AA102" s="180">
        <v>4706.0460000000003</v>
      </c>
    </row>
    <row r="103" spans="1:27" x14ac:dyDescent="0.2">
      <c r="A103" s="147">
        <v>2009</v>
      </c>
      <c r="B103" s="147">
        <v>6</v>
      </c>
      <c r="C103" s="147" t="str">
        <f t="shared" si="22"/>
        <v>20096</v>
      </c>
      <c r="D103" s="147" t="str">
        <f t="shared" si="29"/>
        <v>Q2</v>
      </c>
      <c r="E103" s="151">
        <f t="shared" si="34"/>
        <v>126577.93835717444</v>
      </c>
      <c r="F103" s="151">
        <f t="shared" si="34"/>
        <v>127078.37</v>
      </c>
      <c r="G103" s="151">
        <f t="shared" si="23"/>
        <v>4317.0739999999996</v>
      </c>
      <c r="H103" s="151">
        <f t="shared" si="24"/>
        <v>4317.0739999999996</v>
      </c>
      <c r="I103" s="151">
        <f t="shared" si="19"/>
        <v>1701.5239999999999</v>
      </c>
      <c r="J103" s="284">
        <f t="shared" si="25"/>
        <v>-3.9379765637972408E-3</v>
      </c>
      <c r="M103" s="147">
        <f t="shared" si="27"/>
        <v>2026</v>
      </c>
      <c r="N103" s="170" t="str">
        <f t="shared" si="31"/>
        <v>Q2</v>
      </c>
      <c r="O103" s="170" t="str">
        <f t="shared" si="17"/>
        <v>2026Q2</v>
      </c>
      <c r="P103" s="175">
        <v>187882.63416620754</v>
      </c>
      <c r="Q103" s="175">
        <v>184162.48300000001</v>
      </c>
      <c r="R103" s="233">
        <v>1926.31</v>
      </c>
      <c r="S103" s="233">
        <v>1934.539</v>
      </c>
      <c r="T103" s="180">
        <v>55793.331632268848</v>
      </c>
      <c r="U103" s="180"/>
      <c r="V103" s="235">
        <f t="shared" si="26"/>
        <v>4846.0540000000001</v>
      </c>
      <c r="W103" s="180">
        <v>563.53532508921921</v>
      </c>
      <c r="X103" s="180">
        <v>4846.0540000000001</v>
      </c>
      <c r="Y103" s="170">
        <f t="shared" si="32"/>
        <v>0.29254653980367606</v>
      </c>
      <c r="Z103" s="170">
        <f t="shared" si="33"/>
        <v>2.5050174744474005</v>
      </c>
      <c r="AA103" s="180">
        <v>4711.2950000000001</v>
      </c>
    </row>
    <row r="104" spans="1:27" x14ac:dyDescent="0.2">
      <c r="A104" s="147">
        <v>2009</v>
      </c>
      <c r="B104" s="147">
        <v>7</v>
      </c>
      <c r="C104" s="147" t="str">
        <f t="shared" si="22"/>
        <v>20097</v>
      </c>
      <c r="D104" s="147" t="str">
        <f t="shared" si="29"/>
        <v>Q3</v>
      </c>
      <c r="E104" s="151">
        <f t="shared" si="34"/>
        <v>125084.38915061975</v>
      </c>
      <c r="F104" s="151">
        <f t="shared" si="34"/>
        <v>125951.257</v>
      </c>
      <c r="G104" s="151">
        <f t="shared" si="23"/>
        <v>4324.5020000000004</v>
      </c>
      <c r="H104" s="151">
        <f t="shared" si="24"/>
        <v>4324.5050000000001</v>
      </c>
      <c r="I104" s="151">
        <f t="shared" si="19"/>
        <v>1707.499</v>
      </c>
      <c r="J104" s="284">
        <f t="shared" si="25"/>
        <v>-6.8825660817362078E-3</v>
      </c>
      <c r="M104" s="147">
        <f t="shared" si="27"/>
        <v>2026</v>
      </c>
      <c r="N104" s="170" t="str">
        <f t="shared" si="31"/>
        <v>Q3</v>
      </c>
      <c r="O104" s="170" t="str">
        <f t="shared" si="17"/>
        <v>2026Q3</v>
      </c>
      <c r="P104" s="175">
        <v>188752.79950890908</v>
      </c>
      <c r="Q104" s="175">
        <v>185034.74600000001</v>
      </c>
      <c r="R104" s="233">
        <v>1930.05</v>
      </c>
      <c r="S104" s="233">
        <v>1938.0730000000001</v>
      </c>
      <c r="T104" s="180">
        <v>56112.35191472694</v>
      </c>
      <c r="U104" s="180"/>
      <c r="V104" s="235">
        <f t="shared" si="26"/>
        <v>4853.84</v>
      </c>
      <c r="W104" s="180">
        <v>565.0105374107394</v>
      </c>
      <c r="X104" s="180">
        <v>4853.84</v>
      </c>
      <c r="Y104" s="170">
        <f t="shared" si="32"/>
        <v>0.29274398974676274</v>
      </c>
      <c r="Z104" s="170">
        <f t="shared" si="33"/>
        <v>2.5044670659980302</v>
      </c>
      <c r="AA104" s="180">
        <v>4716.4970000000003</v>
      </c>
    </row>
    <row r="105" spans="1:27" x14ac:dyDescent="0.2">
      <c r="A105" s="147">
        <v>2009</v>
      </c>
      <c r="B105" s="147">
        <v>8</v>
      </c>
      <c r="C105" s="147" t="str">
        <f t="shared" si="22"/>
        <v>20098</v>
      </c>
      <c r="D105" s="147" t="str">
        <f t="shared" si="29"/>
        <v>Q3</v>
      </c>
      <c r="E105" s="151">
        <f t="shared" si="34"/>
        <v>125084.38915061975</v>
      </c>
      <c r="F105" s="151">
        <f t="shared" si="34"/>
        <v>125951.257</v>
      </c>
      <c r="G105" s="151">
        <f t="shared" si="23"/>
        <v>4324.5020000000004</v>
      </c>
      <c r="H105" s="151">
        <f t="shared" si="24"/>
        <v>4324.5050000000001</v>
      </c>
      <c r="I105" s="151">
        <f t="shared" si="19"/>
        <v>1707.499</v>
      </c>
      <c r="J105" s="284">
        <f t="shared" si="25"/>
        <v>-6.8825660817362078E-3</v>
      </c>
      <c r="M105" s="147">
        <f t="shared" si="27"/>
        <v>2026</v>
      </c>
      <c r="N105" s="170" t="str">
        <f t="shared" si="31"/>
        <v>Q4</v>
      </c>
      <c r="O105" s="170" t="str">
        <f t="shared" si="17"/>
        <v>2026Q4</v>
      </c>
      <c r="P105" s="175">
        <v>189619.49178872365</v>
      </c>
      <c r="Q105" s="175">
        <v>185915.33600000001</v>
      </c>
      <c r="R105" s="233">
        <v>1933.8019999999999</v>
      </c>
      <c r="S105" s="233">
        <v>1941.453</v>
      </c>
      <c r="T105" s="180">
        <v>56458.331396926224</v>
      </c>
      <c r="U105" s="180"/>
      <c r="V105" s="235">
        <f t="shared" si="26"/>
        <v>4861.6040000000003</v>
      </c>
      <c r="W105" s="180">
        <v>566.36817001628992</v>
      </c>
      <c r="X105" s="180">
        <v>4861.6040000000003</v>
      </c>
      <c r="Y105" s="170">
        <f t="shared" si="32"/>
        <v>0.29287805577628423</v>
      </c>
      <c r="Z105" s="170">
        <f t="shared" si="33"/>
        <v>2.5041059453924461</v>
      </c>
      <c r="AA105" s="180">
        <v>4721.6760000000004</v>
      </c>
    </row>
    <row r="106" spans="1:27" x14ac:dyDescent="0.2">
      <c r="A106" s="147">
        <v>2009</v>
      </c>
      <c r="B106" s="147">
        <v>9</v>
      </c>
      <c r="C106" s="147" t="str">
        <f t="shared" si="22"/>
        <v>20099</v>
      </c>
      <c r="D106" s="147" t="str">
        <f t="shared" si="29"/>
        <v>Q3</v>
      </c>
      <c r="E106" s="151">
        <f t="shared" si="34"/>
        <v>125084.38915061975</v>
      </c>
      <c r="F106" s="151">
        <f t="shared" si="34"/>
        <v>125951.257</v>
      </c>
      <c r="G106" s="151">
        <f t="shared" si="23"/>
        <v>4324.5020000000004</v>
      </c>
      <c r="H106" s="151">
        <f t="shared" si="24"/>
        <v>4324.5050000000001</v>
      </c>
      <c r="I106" s="151">
        <f t="shared" si="19"/>
        <v>1707.499</v>
      </c>
      <c r="J106" s="284">
        <f t="shared" si="25"/>
        <v>-6.8825660817362078E-3</v>
      </c>
      <c r="M106" s="147">
        <f t="shared" si="27"/>
        <v>2027</v>
      </c>
      <c r="N106" s="170" t="str">
        <f t="shared" si="31"/>
        <v>Q1</v>
      </c>
      <c r="O106" s="170" t="str">
        <f t="shared" si="17"/>
        <v>2027Q1</v>
      </c>
      <c r="P106" s="175">
        <v>191175.42449455697</v>
      </c>
      <c r="Q106" s="175">
        <v>187484.08600000001</v>
      </c>
      <c r="R106" s="233">
        <v>1937.5239999999999</v>
      </c>
      <c r="S106" s="233">
        <v>1945.152</v>
      </c>
      <c r="T106" s="180">
        <v>56964.713161103646</v>
      </c>
      <c r="U106" s="180"/>
      <c r="V106" s="235">
        <f t="shared" si="26"/>
        <v>4869.3490000000002</v>
      </c>
      <c r="W106" s="180">
        <v>567.66960221909108</v>
      </c>
      <c r="X106" s="180">
        <v>4869.3490000000002</v>
      </c>
      <c r="Y106" s="170">
        <f t="shared" si="32"/>
        <v>0.2929871331756877</v>
      </c>
      <c r="Z106" s="170">
        <f t="shared" si="33"/>
        <v>2.503325704109499</v>
      </c>
      <c r="AA106" s="180">
        <v>4726.8329999999996</v>
      </c>
    </row>
    <row r="107" spans="1:27" x14ac:dyDescent="0.2">
      <c r="A107" s="147">
        <v>2009</v>
      </c>
      <c r="B107" s="147">
        <v>10</v>
      </c>
      <c r="C107" s="147" t="str">
        <f t="shared" si="22"/>
        <v>200910</v>
      </c>
      <c r="D107" s="147" t="str">
        <f t="shared" si="29"/>
        <v>Q4</v>
      </c>
      <c r="E107" s="151">
        <f t="shared" si="34"/>
        <v>124877.88491220424</v>
      </c>
      <c r="F107" s="151">
        <f t="shared" si="34"/>
        <v>125669.07</v>
      </c>
      <c r="G107" s="151">
        <f t="shared" si="23"/>
        <v>4331.9290000000001</v>
      </c>
      <c r="H107" s="151">
        <f t="shared" si="24"/>
        <v>4331.9359999999997</v>
      </c>
      <c r="I107" s="151">
        <f t="shared" si="19"/>
        <v>1713.644</v>
      </c>
      <c r="J107" s="284">
        <f t="shared" si="25"/>
        <v>-6.2957821506577361E-3</v>
      </c>
      <c r="M107" s="147">
        <f t="shared" si="27"/>
        <v>2027</v>
      </c>
      <c r="N107" s="170" t="str">
        <f t="shared" si="31"/>
        <v>Q2</v>
      </c>
      <c r="O107" s="170" t="str">
        <f t="shared" si="17"/>
        <v>2027Q2</v>
      </c>
      <c r="P107" s="175">
        <v>192138.18473751959</v>
      </c>
      <c r="Q107" s="175">
        <v>188450.351</v>
      </c>
      <c r="R107" s="233">
        <v>1941.306</v>
      </c>
      <c r="S107" s="233">
        <v>1948.8119999999999</v>
      </c>
      <c r="T107" s="180">
        <v>57254.533685953822</v>
      </c>
      <c r="U107" s="180"/>
      <c r="V107" s="235">
        <f t="shared" si="26"/>
        <v>4877.0720000000001</v>
      </c>
      <c r="W107" s="180">
        <v>568.92392273691587</v>
      </c>
      <c r="X107" s="180">
        <v>4877.0720000000001</v>
      </c>
      <c r="Y107" s="170">
        <f t="shared" si="32"/>
        <v>0.2930624655448012</v>
      </c>
      <c r="Z107" s="170">
        <f t="shared" si="33"/>
        <v>2.5025872172379895</v>
      </c>
      <c r="AA107" s="180">
        <v>4731.9660000000003</v>
      </c>
    </row>
    <row r="108" spans="1:27" x14ac:dyDescent="0.2">
      <c r="A108" s="147">
        <v>2009</v>
      </c>
      <c r="B108" s="147">
        <v>11</v>
      </c>
      <c r="C108" s="147" t="str">
        <f t="shared" si="22"/>
        <v>200911</v>
      </c>
      <c r="D108" s="147" t="str">
        <f t="shared" si="29"/>
        <v>Q4</v>
      </c>
      <c r="E108" s="151">
        <f t="shared" si="34"/>
        <v>124877.88491220424</v>
      </c>
      <c r="F108" s="151">
        <f t="shared" si="34"/>
        <v>125669.07</v>
      </c>
      <c r="G108" s="151">
        <f t="shared" si="23"/>
        <v>4331.9290000000001</v>
      </c>
      <c r="H108" s="151">
        <f t="shared" si="24"/>
        <v>4331.9359999999997</v>
      </c>
      <c r="I108" s="151">
        <f t="shared" si="19"/>
        <v>1713.644</v>
      </c>
      <c r="J108" s="284">
        <f t="shared" si="25"/>
        <v>-6.2957821506577361E-3</v>
      </c>
      <c r="M108" s="147">
        <f t="shared" si="27"/>
        <v>2027</v>
      </c>
      <c r="N108" s="170" t="str">
        <f t="shared" si="31"/>
        <v>Q3</v>
      </c>
      <c r="O108" s="170" t="str">
        <f t="shared" si="17"/>
        <v>2027Q3</v>
      </c>
      <c r="P108" s="175">
        <v>193022.21135572455</v>
      </c>
      <c r="Q108" s="175">
        <v>189344.48499999999</v>
      </c>
      <c r="R108" s="233">
        <v>1947.4949999999999</v>
      </c>
      <c r="S108" s="233">
        <v>1952.454</v>
      </c>
      <c r="T108" s="180">
        <v>57588.191423894845</v>
      </c>
      <c r="U108" s="180"/>
      <c r="V108" s="235">
        <f t="shared" si="26"/>
        <v>4884.7619999999997</v>
      </c>
      <c r="W108" s="180">
        <v>570.26405454610756</v>
      </c>
      <c r="X108" s="180">
        <v>4884.7619999999997</v>
      </c>
      <c r="Y108" s="170">
        <f t="shared" si="32"/>
        <v>0.29281926502820682</v>
      </c>
      <c r="Z108" s="170">
        <f t="shared" si="33"/>
        <v>2.5018576622035651</v>
      </c>
      <c r="AA108" s="180">
        <v>4737.0640000000003</v>
      </c>
    </row>
    <row r="109" spans="1:27" x14ac:dyDescent="0.2">
      <c r="A109" s="147">
        <v>2009</v>
      </c>
      <c r="B109" s="147">
        <v>12</v>
      </c>
      <c r="C109" s="147" t="str">
        <f t="shared" si="22"/>
        <v>200912</v>
      </c>
      <c r="D109" s="147" t="str">
        <f t="shared" si="29"/>
        <v>Q4</v>
      </c>
      <c r="E109" s="151">
        <f t="shared" si="34"/>
        <v>124877.88491220424</v>
      </c>
      <c r="F109" s="151">
        <f t="shared" si="34"/>
        <v>125669.07</v>
      </c>
      <c r="G109" s="151">
        <f t="shared" si="23"/>
        <v>4331.9290000000001</v>
      </c>
      <c r="H109" s="151">
        <f t="shared" si="24"/>
        <v>4331.9359999999997</v>
      </c>
      <c r="I109" s="151">
        <f t="shared" si="19"/>
        <v>1713.644</v>
      </c>
      <c r="J109" s="284">
        <f t="shared" si="25"/>
        <v>-6.2957821506577361E-3</v>
      </c>
      <c r="M109" s="147">
        <f t="shared" si="27"/>
        <v>2027</v>
      </c>
      <c r="N109" s="170" t="str">
        <f t="shared" si="31"/>
        <v>Q4</v>
      </c>
      <c r="O109" s="170" t="str">
        <f t="shared" si="17"/>
        <v>2027Q4</v>
      </c>
      <c r="P109" s="175">
        <v>193888.56063320147</v>
      </c>
      <c r="Q109" s="175">
        <v>190254.26500000001</v>
      </c>
      <c r="R109" s="233">
        <v>1950.02</v>
      </c>
      <c r="S109" s="233">
        <v>1955.9590000000001</v>
      </c>
      <c r="T109" s="180">
        <v>57876.059941927051</v>
      </c>
      <c r="U109" s="180"/>
      <c r="V109" s="235">
        <f t="shared" si="26"/>
        <v>4892.43</v>
      </c>
      <c r="W109" s="180">
        <v>571.67727103748598</v>
      </c>
      <c r="X109" s="180">
        <v>4892.43</v>
      </c>
      <c r="Y109" s="170">
        <f t="shared" si="32"/>
        <v>0.2931648244825622</v>
      </c>
      <c r="Z109" s="170">
        <f t="shared" si="33"/>
        <v>2.5012947612910086</v>
      </c>
      <c r="AA109" s="180">
        <v>4742.1390000000001</v>
      </c>
    </row>
    <row r="110" spans="1:27" x14ac:dyDescent="0.2">
      <c r="A110" s="147">
        <v>2010</v>
      </c>
      <c r="B110" s="147">
        <v>1</v>
      </c>
      <c r="C110" s="147" t="str">
        <f t="shared" si="22"/>
        <v>20101</v>
      </c>
      <c r="D110" s="147" t="str">
        <f t="shared" si="29"/>
        <v>Q1</v>
      </c>
      <c r="E110" s="151">
        <f t="shared" si="34"/>
        <v>125922.34413694619</v>
      </c>
      <c r="F110" s="151">
        <f t="shared" si="34"/>
        <v>124919.205</v>
      </c>
      <c r="G110" s="151">
        <f t="shared" si="23"/>
        <v>4339.357</v>
      </c>
      <c r="H110" s="151">
        <f t="shared" si="24"/>
        <v>4339.3670000000002</v>
      </c>
      <c r="I110" s="151">
        <f t="shared" si="19"/>
        <v>1719.9649999999999</v>
      </c>
      <c r="J110" s="284">
        <f t="shared" si="25"/>
        <v>8.0303035625801655E-3</v>
      </c>
      <c r="M110" s="147">
        <f t="shared" si="27"/>
        <v>2028</v>
      </c>
      <c r="N110" s="170" t="str">
        <f t="shared" si="31"/>
        <v>Q1</v>
      </c>
      <c r="O110" s="170" t="str">
        <f t="shared" si="17"/>
        <v>2028Q1</v>
      </c>
      <c r="P110" s="175">
        <v>195475.00888551428</v>
      </c>
      <c r="Q110" s="175">
        <v>191884.976</v>
      </c>
      <c r="R110" s="233">
        <v>1952.6130000000001</v>
      </c>
      <c r="S110" s="233">
        <v>1959.6690000000001</v>
      </c>
      <c r="T110" s="180">
        <v>58418.654423987813</v>
      </c>
      <c r="U110" s="180"/>
      <c r="V110" s="235">
        <f t="shared" si="26"/>
        <v>4900.0990000000002</v>
      </c>
      <c r="W110" s="180">
        <v>572.9886755770907</v>
      </c>
      <c r="X110" s="180">
        <v>4900.0990000000002</v>
      </c>
      <c r="Y110" s="170">
        <f t="shared" si="32"/>
        <v>0.29344712729920913</v>
      </c>
      <c r="Z110" s="170">
        <f t="shared" si="33"/>
        <v>2.500472783924224</v>
      </c>
      <c r="AA110" s="180">
        <v>4747.2110000000002</v>
      </c>
    </row>
    <row r="111" spans="1:27" x14ac:dyDescent="0.2">
      <c r="A111" s="147">
        <v>2010</v>
      </c>
      <c r="B111" s="147">
        <v>2</v>
      </c>
      <c r="C111" s="147" t="str">
        <f t="shared" si="22"/>
        <v>20102</v>
      </c>
      <c r="D111" s="147" t="str">
        <f t="shared" si="29"/>
        <v>Q1</v>
      </c>
      <c r="E111" s="151">
        <f t="shared" si="34"/>
        <v>125922.34413694619</v>
      </c>
      <c r="F111" s="151">
        <f t="shared" si="34"/>
        <v>124919.205</v>
      </c>
      <c r="G111" s="151">
        <f t="shared" si="23"/>
        <v>4339.357</v>
      </c>
      <c r="H111" s="151">
        <f t="shared" si="24"/>
        <v>4339.3670000000002</v>
      </c>
      <c r="I111" s="151">
        <f t="shared" si="19"/>
        <v>1719.9649999999999</v>
      </c>
      <c r="J111" s="284">
        <f t="shared" si="25"/>
        <v>8.0303035625801655E-3</v>
      </c>
      <c r="M111" s="147">
        <f t="shared" si="27"/>
        <v>2028</v>
      </c>
      <c r="N111" s="170" t="str">
        <f t="shared" si="31"/>
        <v>Q2</v>
      </c>
      <c r="O111" s="170" t="str">
        <f t="shared" si="17"/>
        <v>2028Q2</v>
      </c>
      <c r="P111" s="175">
        <v>196440.61636787187</v>
      </c>
      <c r="Q111" s="175">
        <v>192867.91899999999</v>
      </c>
      <c r="R111" s="233">
        <v>1955.2370000000001</v>
      </c>
      <c r="S111" s="233">
        <v>1963.346</v>
      </c>
      <c r="T111" s="180">
        <v>58713.8376022312</v>
      </c>
      <c r="U111" s="180"/>
      <c r="V111" s="235">
        <f t="shared" si="26"/>
        <v>4907.7340000000004</v>
      </c>
      <c r="W111" s="180">
        <v>574.28786535250674</v>
      </c>
      <c r="X111" s="180">
        <v>4907.7340000000004</v>
      </c>
      <c r="Y111" s="170">
        <f t="shared" si="32"/>
        <v>0.29371777710451813</v>
      </c>
      <c r="Z111" s="170">
        <f t="shared" si="33"/>
        <v>2.4996786098833321</v>
      </c>
      <c r="AA111" s="180">
        <v>4752.2449999999999</v>
      </c>
    </row>
    <row r="112" spans="1:27" x14ac:dyDescent="0.2">
      <c r="A112" s="147">
        <v>2010</v>
      </c>
      <c r="B112" s="147">
        <v>3</v>
      </c>
      <c r="C112" s="147" t="str">
        <f t="shared" si="22"/>
        <v>20103</v>
      </c>
      <c r="D112" s="147" t="str">
        <f t="shared" si="29"/>
        <v>Q1</v>
      </c>
      <c r="E112" s="151">
        <f t="shared" si="34"/>
        <v>125922.34413694619</v>
      </c>
      <c r="F112" s="151">
        <f t="shared" si="34"/>
        <v>124919.205</v>
      </c>
      <c r="G112" s="151">
        <f t="shared" si="23"/>
        <v>4339.357</v>
      </c>
      <c r="H112" s="151">
        <f t="shared" si="24"/>
        <v>4339.3670000000002</v>
      </c>
      <c r="I112" s="151">
        <f t="shared" si="19"/>
        <v>1719.9649999999999</v>
      </c>
      <c r="J112" s="284">
        <f t="shared" si="25"/>
        <v>8.0303035625801655E-3</v>
      </c>
      <c r="M112" s="147">
        <f t="shared" si="27"/>
        <v>2028</v>
      </c>
      <c r="N112" s="170" t="str">
        <f t="shared" si="31"/>
        <v>Q3</v>
      </c>
      <c r="O112" s="170" t="str">
        <f t="shared" si="17"/>
        <v>2028Q3</v>
      </c>
      <c r="P112" s="175">
        <v>197345.13943870092</v>
      </c>
      <c r="Q112" s="175">
        <v>193808.63</v>
      </c>
      <c r="R112" s="233">
        <v>1957.7329999999999</v>
      </c>
      <c r="S112" s="233">
        <v>1966.865</v>
      </c>
      <c r="T112" s="180">
        <v>59006.505698010005</v>
      </c>
      <c r="U112" s="180"/>
      <c r="V112" s="235">
        <f t="shared" si="26"/>
        <v>4915.3220000000001</v>
      </c>
      <c r="W112" s="180">
        <v>575.58621584333025</v>
      </c>
      <c r="X112" s="180">
        <v>4915.3220000000001</v>
      </c>
      <c r="Y112" s="170">
        <f t="shared" si="32"/>
        <v>0.29400649416612495</v>
      </c>
      <c r="Z112" s="170">
        <f t="shared" si="33"/>
        <v>2.499064246910693</v>
      </c>
      <c r="AA112" s="180">
        <v>4757.232</v>
      </c>
    </row>
    <row r="113" spans="1:27" x14ac:dyDescent="0.2">
      <c r="A113" s="147">
        <v>2010</v>
      </c>
      <c r="B113" s="147">
        <v>4</v>
      </c>
      <c r="C113" s="147" t="str">
        <f t="shared" si="22"/>
        <v>20104</v>
      </c>
      <c r="D113" s="147" t="str">
        <f t="shared" si="29"/>
        <v>Q2</v>
      </c>
      <c r="E113" s="151">
        <f t="shared" si="34"/>
        <v>127253.61010830327</v>
      </c>
      <c r="F113" s="151">
        <f t="shared" si="34"/>
        <v>126480.192</v>
      </c>
      <c r="G113" s="151">
        <f t="shared" si="23"/>
        <v>4346.6549999999997</v>
      </c>
      <c r="H113" s="151">
        <f t="shared" si="24"/>
        <v>4347.223</v>
      </c>
      <c r="I113" s="151">
        <f t="shared" si="19"/>
        <v>1722.1289999999999</v>
      </c>
      <c r="J113" s="284">
        <f t="shared" si="25"/>
        <v>6.1149346476583322E-3</v>
      </c>
      <c r="M113" s="147">
        <f t="shared" si="27"/>
        <v>2028</v>
      </c>
      <c r="N113" s="170" t="str">
        <f t="shared" si="31"/>
        <v>Q4</v>
      </c>
      <c r="O113" s="170" t="str">
        <f t="shared" si="17"/>
        <v>2028Q4</v>
      </c>
      <c r="P113" s="175">
        <v>198269.78198241198</v>
      </c>
      <c r="Q113" s="175">
        <v>194786.40400000001</v>
      </c>
      <c r="R113" s="233">
        <v>1961.22</v>
      </c>
      <c r="S113" s="233">
        <v>1970.585</v>
      </c>
      <c r="T113" s="180">
        <v>59266.994694104913</v>
      </c>
      <c r="U113" s="180"/>
      <c r="V113" s="235">
        <f t="shared" si="26"/>
        <v>4922.8760000000002</v>
      </c>
      <c r="W113" s="180">
        <v>576.89448991787128</v>
      </c>
      <c r="X113" s="180">
        <v>4922.8760000000002</v>
      </c>
      <c r="Y113" s="170">
        <f t="shared" si="32"/>
        <v>0.29415082954378974</v>
      </c>
      <c r="Z113" s="170">
        <f t="shared" si="33"/>
        <v>2.4981799820865378</v>
      </c>
      <c r="AA113" s="180">
        <v>4762.1819999999998</v>
      </c>
    </row>
    <row r="114" spans="1:27" x14ac:dyDescent="0.2">
      <c r="A114" s="147">
        <v>2010</v>
      </c>
      <c r="B114" s="147">
        <v>5</v>
      </c>
      <c r="C114" s="147" t="str">
        <f t="shared" si="22"/>
        <v>20105</v>
      </c>
      <c r="D114" s="147" t="str">
        <f t="shared" si="29"/>
        <v>Q2</v>
      </c>
      <c r="E114" s="151">
        <f t="shared" si="34"/>
        <v>127253.61010830327</v>
      </c>
      <c r="F114" s="151">
        <f t="shared" si="34"/>
        <v>126480.192</v>
      </c>
      <c r="G114" s="151">
        <f t="shared" si="23"/>
        <v>4346.6549999999997</v>
      </c>
      <c r="H114" s="151">
        <f t="shared" si="24"/>
        <v>4347.223</v>
      </c>
      <c r="I114" s="151">
        <f t="shared" si="19"/>
        <v>1722.1289999999999</v>
      </c>
      <c r="J114" s="284">
        <f t="shared" si="25"/>
        <v>6.1149346476583322E-3</v>
      </c>
      <c r="M114" s="147">
        <f t="shared" si="27"/>
        <v>2029</v>
      </c>
      <c r="N114" s="170" t="str">
        <f t="shared" si="31"/>
        <v>Q1</v>
      </c>
      <c r="O114" s="170" t="str">
        <f t="shared" si="17"/>
        <v>2029Q1</v>
      </c>
      <c r="P114" s="175">
        <v>199927.886460448</v>
      </c>
      <c r="Q114" s="175">
        <v>196497.82699999999</v>
      </c>
      <c r="R114" s="233">
        <v>1964.691</v>
      </c>
      <c r="S114" s="233">
        <v>1974.136</v>
      </c>
      <c r="T114" s="180">
        <v>59877.087698330462</v>
      </c>
      <c r="U114" s="180"/>
      <c r="V114" s="235">
        <f t="shared" si="26"/>
        <v>4930.3969999999999</v>
      </c>
      <c r="W114" s="180">
        <v>578.28422555075372</v>
      </c>
      <c r="X114" s="180">
        <v>4930.3969999999999</v>
      </c>
      <c r="Y114" s="170">
        <f t="shared" si="32"/>
        <v>0.29433851203611849</v>
      </c>
      <c r="Z114" s="170">
        <f t="shared" si="33"/>
        <v>2.4974961198215322</v>
      </c>
      <c r="AA114" s="180">
        <v>4767.0959999999995</v>
      </c>
    </row>
    <row r="115" spans="1:27" x14ac:dyDescent="0.2">
      <c r="A115" s="147">
        <v>2010</v>
      </c>
      <c r="B115" s="147">
        <v>6</v>
      </c>
      <c r="C115" s="147" t="str">
        <f t="shared" si="22"/>
        <v>20106</v>
      </c>
      <c r="D115" s="147" t="str">
        <f t="shared" si="29"/>
        <v>Q2</v>
      </c>
      <c r="E115" s="151">
        <f t="shared" si="34"/>
        <v>127253.61010830327</v>
      </c>
      <c r="F115" s="151">
        <f t="shared" si="34"/>
        <v>126480.192</v>
      </c>
      <c r="G115" s="151">
        <f t="shared" si="23"/>
        <v>4346.6549999999997</v>
      </c>
      <c r="H115" s="151">
        <f t="shared" si="24"/>
        <v>4347.223</v>
      </c>
      <c r="I115" s="151">
        <f t="shared" si="19"/>
        <v>1722.1289999999999</v>
      </c>
      <c r="J115" s="284">
        <f t="shared" si="25"/>
        <v>6.1149346476583322E-3</v>
      </c>
      <c r="M115" s="147">
        <f t="shared" si="27"/>
        <v>2029</v>
      </c>
      <c r="N115" s="170" t="str">
        <f t="shared" si="31"/>
        <v>Q2</v>
      </c>
      <c r="O115" s="170" t="str">
        <f t="shared" ref="O115:O145" si="35">M115&amp;N115</f>
        <v>2029Q2</v>
      </c>
      <c r="P115" s="175">
        <v>200956.51136853037</v>
      </c>
      <c r="Q115" s="175">
        <v>197549.33600000001</v>
      </c>
      <c r="R115" s="233">
        <v>1968.1590000000001</v>
      </c>
      <c r="S115" s="233">
        <v>1977.6769999999999</v>
      </c>
      <c r="T115" s="180">
        <v>60277.737576157888</v>
      </c>
      <c r="U115" s="180"/>
      <c r="V115" s="235">
        <f t="shared" si="26"/>
        <v>4937.8850000000002</v>
      </c>
      <c r="W115" s="180">
        <v>579.57909725160312</v>
      </c>
      <c r="X115" s="180">
        <v>4937.8850000000002</v>
      </c>
      <c r="Y115" s="170">
        <f t="shared" si="32"/>
        <v>0.29447778215662612</v>
      </c>
      <c r="Z115" s="170">
        <f t="shared" si="33"/>
        <v>2.4968106520933402</v>
      </c>
      <c r="AA115" s="180">
        <v>4771.973</v>
      </c>
    </row>
    <row r="116" spans="1:27" x14ac:dyDescent="0.2">
      <c r="A116" s="147">
        <v>2010</v>
      </c>
      <c r="B116" s="147">
        <v>7</v>
      </c>
      <c r="C116" s="147" t="str">
        <f t="shared" si="22"/>
        <v>20107</v>
      </c>
      <c r="D116" s="147" t="str">
        <f t="shared" si="29"/>
        <v>Q3</v>
      </c>
      <c r="E116" s="151">
        <f t="shared" si="34"/>
        <v>127891.93371358656</v>
      </c>
      <c r="F116" s="151">
        <f t="shared" si="34"/>
        <v>127650.806</v>
      </c>
      <c r="G116" s="151">
        <f t="shared" si="23"/>
        <v>4351.6949999999997</v>
      </c>
      <c r="H116" s="151">
        <f t="shared" si="24"/>
        <v>4352.7560000000003</v>
      </c>
      <c r="I116" s="151">
        <f t="shared" si="19"/>
        <v>1719.077</v>
      </c>
      <c r="J116" s="284">
        <f t="shared" si="25"/>
        <v>1.8889635024048612E-3</v>
      </c>
      <c r="M116" s="147">
        <f t="shared" si="27"/>
        <v>2029</v>
      </c>
      <c r="N116" s="170" t="str">
        <f t="shared" si="31"/>
        <v>Q3</v>
      </c>
      <c r="O116" s="170" t="str">
        <f t="shared" si="35"/>
        <v>2029Q3</v>
      </c>
      <c r="P116" s="175">
        <v>201885.88888616659</v>
      </c>
      <c r="Q116" s="175">
        <v>198516.981</v>
      </c>
      <c r="R116" s="233">
        <v>1971.586</v>
      </c>
      <c r="S116" s="233">
        <v>1981.048</v>
      </c>
      <c r="T116" s="180">
        <v>60511.781745148182</v>
      </c>
      <c r="U116" s="180"/>
      <c r="V116" s="235">
        <f t="shared" si="26"/>
        <v>4945.34</v>
      </c>
      <c r="W116" s="180">
        <v>580.87075309303168</v>
      </c>
      <c r="X116" s="180">
        <v>4945.34</v>
      </c>
      <c r="Y116" s="170">
        <f t="shared" si="32"/>
        <v>0.2946210579163332</v>
      </c>
      <c r="Z116" s="170">
        <f t="shared" si="33"/>
        <v>2.4963251773808612</v>
      </c>
      <c r="AA116" s="180">
        <v>4776.8149999999996</v>
      </c>
    </row>
    <row r="117" spans="1:27" x14ac:dyDescent="0.2">
      <c r="A117" s="147">
        <v>2010</v>
      </c>
      <c r="B117" s="147">
        <v>8</v>
      </c>
      <c r="C117" s="147" t="str">
        <f t="shared" si="22"/>
        <v>20108</v>
      </c>
      <c r="D117" s="147" t="str">
        <f t="shared" si="29"/>
        <v>Q3</v>
      </c>
      <c r="E117" s="151">
        <f t="shared" si="34"/>
        <v>127891.93371358656</v>
      </c>
      <c r="F117" s="151">
        <f t="shared" si="34"/>
        <v>127650.806</v>
      </c>
      <c r="G117" s="151">
        <f t="shared" si="23"/>
        <v>4351.6949999999997</v>
      </c>
      <c r="H117" s="151">
        <f t="shared" si="24"/>
        <v>4352.7560000000003</v>
      </c>
      <c r="I117" s="151">
        <f t="shared" si="19"/>
        <v>1719.077</v>
      </c>
      <c r="J117" s="284">
        <f t="shared" si="25"/>
        <v>1.8889635024048612E-3</v>
      </c>
      <c r="M117" s="147">
        <f t="shared" si="27"/>
        <v>2029</v>
      </c>
      <c r="N117" s="170" t="str">
        <f t="shared" si="31"/>
        <v>Q4</v>
      </c>
      <c r="O117" s="170" t="str">
        <f t="shared" si="35"/>
        <v>2029Q4</v>
      </c>
      <c r="P117" s="175">
        <v>202812.58824760609</v>
      </c>
      <c r="Q117" s="175">
        <v>199480.13399999999</v>
      </c>
      <c r="R117" s="233">
        <v>1975.02</v>
      </c>
      <c r="S117" s="233">
        <v>1984.5840000000001</v>
      </c>
      <c r="T117" s="180">
        <v>60805.872480766535</v>
      </c>
      <c r="U117" s="180"/>
      <c r="V117" s="235">
        <f t="shared" si="26"/>
        <v>4952.7489999999998</v>
      </c>
      <c r="W117" s="180">
        <v>582.16021898732583</v>
      </c>
      <c r="X117" s="180">
        <v>4952.7489999999998</v>
      </c>
      <c r="Y117" s="170">
        <f t="shared" si="32"/>
        <v>0.29476168291324939</v>
      </c>
      <c r="Z117" s="170">
        <f t="shared" si="33"/>
        <v>2.4956106670214009</v>
      </c>
      <c r="AA117" s="180">
        <v>4781.6080000000002</v>
      </c>
    </row>
    <row r="118" spans="1:27" x14ac:dyDescent="0.2">
      <c r="A118" s="147">
        <v>2010</v>
      </c>
      <c r="B118" s="147">
        <v>9</v>
      </c>
      <c r="C118" s="147" t="str">
        <f t="shared" si="22"/>
        <v>20109</v>
      </c>
      <c r="D118" s="147" t="str">
        <f t="shared" si="29"/>
        <v>Q3</v>
      </c>
      <c r="E118" s="151">
        <f t="shared" si="34"/>
        <v>127891.93371358656</v>
      </c>
      <c r="F118" s="151">
        <f t="shared" si="34"/>
        <v>127650.806</v>
      </c>
      <c r="G118" s="151">
        <f t="shared" si="23"/>
        <v>4351.6949999999997</v>
      </c>
      <c r="H118" s="151">
        <f t="shared" si="24"/>
        <v>4352.7560000000003</v>
      </c>
      <c r="I118" s="151">
        <f t="shared" si="19"/>
        <v>1719.077</v>
      </c>
      <c r="J118" s="284">
        <f t="shared" si="25"/>
        <v>1.8889635024048612E-3</v>
      </c>
      <c r="M118" s="147">
        <f t="shared" si="27"/>
        <v>2030</v>
      </c>
      <c r="N118" s="170" t="str">
        <f t="shared" si="31"/>
        <v>Q1</v>
      </c>
      <c r="O118" s="170" t="str">
        <f t="shared" si="35"/>
        <v>2030Q1</v>
      </c>
      <c r="P118" s="175">
        <v>204499.34153231149</v>
      </c>
      <c r="Q118" s="175">
        <v>201210.11900000001</v>
      </c>
      <c r="R118" s="233">
        <v>1978.5</v>
      </c>
      <c r="S118" s="233">
        <v>1987.894</v>
      </c>
      <c r="T118" s="180">
        <v>61466.666126746961</v>
      </c>
      <c r="U118" s="180"/>
      <c r="V118" s="235">
        <f t="shared" si="26"/>
        <v>4960.1260000000002</v>
      </c>
      <c r="W118" s="180">
        <v>583.44801513823779</v>
      </c>
      <c r="X118" s="180">
        <v>4960.1260000000002</v>
      </c>
      <c r="Y118" s="170">
        <f t="shared" si="32"/>
        <v>0.29489411935215454</v>
      </c>
      <c r="Z118" s="170">
        <f t="shared" si="33"/>
        <v>2.4951662412583366</v>
      </c>
      <c r="AA118" s="180">
        <v>4786.366</v>
      </c>
    </row>
    <row r="119" spans="1:27" x14ac:dyDescent="0.2">
      <c r="A119" s="147">
        <v>2010</v>
      </c>
      <c r="B119" s="147">
        <v>10</v>
      </c>
      <c r="C119" s="147" t="str">
        <f t="shared" si="22"/>
        <v>201010</v>
      </c>
      <c r="D119" s="147" t="str">
        <f t="shared" si="29"/>
        <v>Q4</v>
      </c>
      <c r="E119" s="151">
        <f t="shared" si="34"/>
        <v>127723.24185018479</v>
      </c>
      <c r="F119" s="151">
        <f t="shared" si="34"/>
        <v>127503.515</v>
      </c>
      <c r="G119" s="151">
        <f t="shared" si="23"/>
        <v>4356.7349999999997</v>
      </c>
      <c r="H119" s="151">
        <f t="shared" si="24"/>
        <v>4358.29</v>
      </c>
      <c r="I119" s="151">
        <f t="shared" si="19"/>
        <v>1716.0239999999999</v>
      </c>
      <c r="J119" s="284">
        <f t="shared" si="25"/>
        <v>1.7233003355616727E-3</v>
      </c>
      <c r="M119" s="147">
        <f t="shared" si="27"/>
        <v>2030</v>
      </c>
      <c r="N119" s="170" t="str">
        <f t="shared" ref="N119:N163" si="36">N115</f>
        <v>Q2</v>
      </c>
      <c r="O119" s="170" t="str">
        <f t="shared" si="35"/>
        <v>2030Q2</v>
      </c>
      <c r="P119" s="175">
        <v>205741.98846032468</v>
      </c>
      <c r="Q119" s="175">
        <v>202357.96400000001</v>
      </c>
      <c r="R119" s="233">
        <v>1982.0429999999999</v>
      </c>
      <c r="S119" s="233">
        <v>1991.1020000000001</v>
      </c>
      <c r="T119" s="180">
        <v>61814.830377760452</v>
      </c>
      <c r="U119" s="180"/>
      <c r="V119" s="235">
        <f t="shared" si="26"/>
        <v>4967.4709999999995</v>
      </c>
      <c r="W119" s="180">
        <v>584.8193205792528</v>
      </c>
      <c r="X119" s="180">
        <v>4967.4709999999995</v>
      </c>
      <c r="Y119" s="170">
        <f t="shared" si="32"/>
        <v>0.29505884613969163</v>
      </c>
      <c r="Z119" s="170">
        <f t="shared" si="33"/>
        <v>2.4948350210084662</v>
      </c>
      <c r="AA119" s="180">
        <v>4791.0889999999999</v>
      </c>
    </row>
    <row r="120" spans="1:27" x14ac:dyDescent="0.2">
      <c r="A120" s="147">
        <v>2010</v>
      </c>
      <c r="B120" s="147">
        <v>11</v>
      </c>
      <c r="C120" s="147" t="str">
        <f t="shared" si="22"/>
        <v>201011</v>
      </c>
      <c r="D120" s="147" t="str">
        <f t="shared" si="29"/>
        <v>Q4</v>
      </c>
      <c r="E120" s="151">
        <f t="shared" si="34"/>
        <v>127723.24185018479</v>
      </c>
      <c r="F120" s="151">
        <f t="shared" si="34"/>
        <v>127503.515</v>
      </c>
      <c r="G120" s="151">
        <f t="shared" si="23"/>
        <v>4356.7349999999997</v>
      </c>
      <c r="H120" s="151">
        <f t="shared" si="24"/>
        <v>4358.29</v>
      </c>
      <c r="I120" s="151">
        <f t="shared" si="19"/>
        <v>1716.0239999999999</v>
      </c>
      <c r="J120" s="284">
        <f t="shared" si="25"/>
        <v>1.7233003355616727E-3</v>
      </c>
      <c r="M120" s="147">
        <f t="shared" si="27"/>
        <v>2030</v>
      </c>
      <c r="N120" s="170" t="str">
        <f t="shared" si="36"/>
        <v>Q3</v>
      </c>
      <c r="O120" s="170" t="str">
        <f t="shared" si="35"/>
        <v>2030Q3</v>
      </c>
      <c r="P120" s="175">
        <v>206672.53609009832</v>
      </c>
      <c r="Q120" s="175">
        <v>203321.337</v>
      </c>
      <c r="R120" s="233">
        <v>1985.5609999999999</v>
      </c>
      <c r="S120" s="233">
        <v>1994.0640000000001</v>
      </c>
      <c r="T120" s="180">
        <v>62118.659604022723</v>
      </c>
      <c r="U120" s="180"/>
      <c r="V120" s="235">
        <f t="shared" si="26"/>
        <v>4974.7839999999997</v>
      </c>
      <c r="W120" s="180">
        <v>586.10120198955076</v>
      </c>
      <c r="X120" s="180">
        <v>4974.7839999999997</v>
      </c>
      <c r="Y120" s="170">
        <f t="shared" si="32"/>
        <v>0.29518166502542648</v>
      </c>
      <c r="Z120" s="170">
        <f t="shared" si="33"/>
        <v>2.4947965561787382</v>
      </c>
      <c r="AA120" s="180">
        <v>4795.7759999999998</v>
      </c>
    </row>
    <row r="121" spans="1:27" x14ac:dyDescent="0.2">
      <c r="A121" s="147">
        <v>2010</v>
      </c>
      <c r="B121" s="147">
        <v>12</v>
      </c>
      <c r="C121" s="147" t="str">
        <f t="shared" si="22"/>
        <v>201012</v>
      </c>
      <c r="D121" s="147" t="str">
        <f t="shared" si="29"/>
        <v>Q4</v>
      </c>
      <c r="E121" s="151">
        <f t="shared" si="34"/>
        <v>127723.24185018479</v>
      </c>
      <c r="F121" s="151">
        <f t="shared" si="34"/>
        <v>127503.515</v>
      </c>
      <c r="G121" s="151">
        <f t="shared" si="23"/>
        <v>4356.7349999999997</v>
      </c>
      <c r="H121" s="151">
        <f t="shared" si="24"/>
        <v>4358.29</v>
      </c>
      <c r="I121" s="151">
        <f t="shared" si="19"/>
        <v>1716.0239999999999</v>
      </c>
      <c r="J121" s="284">
        <f t="shared" si="25"/>
        <v>1.7233003355616727E-3</v>
      </c>
      <c r="M121" s="147">
        <f t="shared" si="27"/>
        <v>2030</v>
      </c>
      <c r="N121" s="170" t="str">
        <f t="shared" si="36"/>
        <v>Q4</v>
      </c>
      <c r="O121" s="170" t="str">
        <f t="shared" si="35"/>
        <v>2030Q4</v>
      </c>
      <c r="P121" s="175">
        <v>207462.50934658892</v>
      </c>
      <c r="Q121" s="175">
        <v>204205.139</v>
      </c>
      <c r="R121" s="233">
        <v>1989.038</v>
      </c>
      <c r="S121" s="233">
        <v>1997.1389999999999</v>
      </c>
      <c r="T121" s="180">
        <v>62422.456993532964</v>
      </c>
      <c r="U121" s="180"/>
      <c r="V121" s="235">
        <f t="shared" si="26"/>
        <v>4982.0529999999999</v>
      </c>
      <c r="W121" s="180">
        <v>587.37919894773302</v>
      </c>
      <c r="X121" s="180">
        <v>4982.0529999999999</v>
      </c>
      <c r="Y121" s="170">
        <f t="shared" si="32"/>
        <v>0.29530818362833339</v>
      </c>
      <c r="Z121" s="170">
        <f t="shared" si="33"/>
        <v>2.4945950181734973</v>
      </c>
      <c r="AA121" s="180">
        <v>4800.4160000000002</v>
      </c>
    </row>
    <row r="122" spans="1:27" x14ac:dyDescent="0.2">
      <c r="A122" s="147">
        <v>2011</v>
      </c>
      <c r="B122" s="147">
        <v>1</v>
      </c>
      <c r="C122" s="147" t="str">
        <f t="shared" si="22"/>
        <v>20111</v>
      </c>
      <c r="D122" s="147" t="str">
        <f t="shared" si="29"/>
        <v>Q1</v>
      </c>
      <c r="E122" s="151">
        <f t="shared" ref="E122:F141" si="37">VLOOKUP($A122&amp;$D122,$O$1:$V$189,MATCH(E$1,$O$1:$V$1,0),0)</f>
        <v>130619.67329545454</v>
      </c>
      <c r="F122" s="151">
        <f t="shared" si="37"/>
        <v>128893.008</v>
      </c>
      <c r="G122" s="151">
        <f t="shared" si="23"/>
        <v>4361.7740000000003</v>
      </c>
      <c r="H122" s="151">
        <f t="shared" si="24"/>
        <v>4363.8230000000003</v>
      </c>
      <c r="I122" s="151">
        <f t="shared" si="19"/>
        <v>1712.972</v>
      </c>
      <c r="J122" s="284">
        <f t="shared" si="25"/>
        <v>1.3396112964130236E-2</v>
      </c>
      <c r="K122" s="170"/>
      <c r="L122" s="170"/>
      <c r="M122" s="147">
        <f t="shared" si="27"/>
        <v>2031</v>
      </c>
      <c r="N122" s="170" t="str">
        <f t="shared" si="36"/>
        <v>Q1</v>
      </c>
      <c r="O122" s="170" t="str">
        <f t="shared" si="35"/>
        <v>2031Q1</v>
      </c>
      <c r="P122" s="175">
        <v>209009.6160817015</v>
      </c>
      <c r="Q122" s="175">
        <v>205835.74900000001</v>
      </c>
      <c r="R122" s="233">
        <v>1992.472</v>
      </c>
      <c r="S122" s="233">
        <v>2000.124</v>
      </c>
      <c r="T122" s="180">
        <v>63011.686044511735</v>
      </c>
      <c r="U122" s="180"/>
      <c r="V122" s="235">
        <f t="shared" si="26"/>
        <v>4989.29</v>
      </c>
      <c r="W122" s="180">
        <v>588.65516986065256</v>
      </c>
      <c r="X122" s="180">
        <v>4989.29</v>
      </c>
      <c r="Y122" s="170">
        <f t="shared" si="32"/>
        <v>0.29543961965872173</v>
      </c>
      <c r="Z122" s="170">
        <f t="shared" si="33"/>
        <v>2.4944903415988207</v>
      </c>
      <c r="AA122" s="180">
        <v>4805.0209999999997</v>
      </c>
    </row>
    <row r="123" spans="1:27" x14ac:dyDescent="0.2">
      <c r="A123" s="147">
        <v>2011</v>
      </c>
      <c r="B123" s="147">
        <v>2</v>
      </c>
      <c r="C123" s="147" t="str">
        <f t="shared" si="22"/>
        <v>20112</v>
      </c>
      <c r="D123" s="147" t="str">
        <f t="shared" si="29"/>
        <v>Q1</v>
      </c>
      <c r="E123" s="151">
        <f t="shared" si="37"/>
        <v>130619.67329545454</v>
      </c>
      <c r="F123" s="151">
        <f t="shared" si="37"/>
        <v>128893.008</v>
      </c>
      <c r="G123" s="151">
        <f t="shared" si="23"/>
        <v>4361.7740000000003</v>
      </c>
      <c r="H123" s="151">
        <f t="shared" si="24"/>
        <v>4363.8230000000003</v>
      </c>
      <c r="I123" s="151">
        <f t="shared" si="19"/>
        <v>1712.972</v>
      </c>
      <c r="J123" s="284">
        <f t="shared" si="25"/>
        <v>1.3396112964130236E-2</v>
      </c>
      <c r="K123" s="170"/>
      <c r="L123" s="170"/>
      <c r="M123" s="147">
        <f t="shared" si="27"/>
        <v>2031</v>
      </c>
      <c r="N123" s="170" t="str">
        <f t="shared" si="36"/>
        <v>Q2</v>
      </c>
      <c r="O123" s="170" t="str">
        <f t="shared" si="35"/>
        <v>2031Q2</v>
      </c>
      <c r="P123" s="175">
        <v>209936.64567950155</v>
      </c>
      <c r="Q123" s="175">
        <v>206821.26699999999</v>
      </c>
      <c r="R123" s="233">
        <v>1995.8920000000001</v>
      </c>
      <c r="S123" s="233">
        <v>2002.932</v>
      </c>
      <c r="T123" s="180">
        <v>63354.072173494787</v>
      </c>
      <c r="U123" s="180"/>
      <c r="V123" s="235">
        <f t="shared" si="26"/>
        <v>4996.4970000000003</v>
      </c>
      <c r="W123" s="180">
        <v>589.92872577657442</v>
      </c>
      <c r="X123" s="180">
        <v>4996.4970000000003</v>
      </c>
      <c r="Y123" s="170">
        <f t="shared" si="32"/>
        <v>0.29557146668084966</v>
      </c>
      <c r="Z123" s="170">
        <f t="shared" si="33"/>
        <v>2.4945914289651374</v>
      </c>
      <c r="AA123" s="180">
        <v>4809.5910000000003</v>
      </c>
    </row>
    <row r="124" spans="1:27" x14ac:dyDescent="0.2">
      <c r="A124" s="147">
        <v>2011</v>
      </c>
      <c r="B124" s="147">
        <v>3</v>
      </c>
      <c r="C124" s="147" t="str">
        <f t="shared" si="22"/>
        <v>20113</v>
      </c>
      <c r="D124" s="147" t="str">
        <f t="shared" si="29"/>
        <v>Q1</v>
      </c>
      <c r="E124" s="151">
        <f t="shared" si="37"/>
        <v>130619.67329545454</v>
      </c>
      <c r="F124" s="151">
        <f t="shared" si="37"/>
        <v>128893.008</v>
      </c>
      <c r="G124" s="151">
        <f t="shared" si="23"/>
        <v>4361.7740000000003</v>
      </c>
      <c r="H124" s="151">
        <f t="shared" si="24"/>
        <v>4363.8230000000003</v>
      </c>
      <c r="I124" s="151">
        <f t="shared" si="19"/>
        <v>1712.972</v>
      </c>
      <c r="J124" s="284">
        <f t="shared" si="25"/>
        <v>1.3396112964130236E-2</v>
      </c>
      <c r="K124" s="170"/>
      <c r="L124" s="170"/>
      <c r="M124" s="147">
        <f t="shared" si="27"/>
        <v>2031</v>
      </c>
      <c r="N124" s="170" t="str">
        <f t="shared" si="36"/>
        <v>Q3</v>
      </c>
      <c r="O124" s="170" t="str">
        <f t="shared" si="35"/>
        <v>2031Q3</v>
      </c>
      <c r="P124" s="175">
        <v>210749.84113046917</v>
      </c>
      <c r="Q124" s="175">
        <v>207691.48499999999</v>
      </c>
      <c r="R124" s="233">
        <v>1999.29</v>
      </c>
      <c r="S124" s="233">
        <v>2005.9649999999999</v>
      </c>
      <c r="T124" s="180">
        <v>63686.068810866331</v>
      </c>
      <c r="U124" s="180"/>
      <c r="V124" s="235">
        <f t="shared" si="26"/>
        <v>5003.6859999999997</v>
      </c>
      <c r="W124" s="180">
        <v>591.28432577788192</v>
      </c>
      <c r="X124" s="180">
        <v>5003.6859999999997</v>
      </c>
      <c r="Y124" s="170">
        <f t="shared" si="32"/>
        <v>0.29574715312830152</v>
      </c>
      <c r="Z124" s="170">
        <f t="shared" si="33"/>
        <v>2.4944034417350252</v>
      </c>
      <c r="AA124" s="180">
        <v>4814.1390000000001</v>
      </c>
    </row>
    <row r="125" spans="1:27" x14ac:dyDescent="0.2">
      <c r="A125" s="147">
        <v>2011</v>
      </c>
      <c r="B125" s="147">
        <v>4</v>
      </c>
      <c r="C125" s="147" t="str">
        <f t="shared" si="22"/>
        <v>20114</v>
      </c>
      <c r="D125" s="147" t="str">
        <f t="shared" si="29"/>
        <v>Q2</v>
      </c>
      <c r="E125" s="151">
        <f t="shared" si="37"/>
        <v>130512.26316298962</v>
      </c>
      <c r="F125" s="151">
        <f t="shared" si="37"/>
        <v>129036.827</v>
      </c>
      <c r="G125" s="151">
        <f t="shared" si="23"/>
        <v>4366.8140000000003</v>
      </c>
      <c r="H125" s="151">
        <f t="shared" si="24"/>
        <v>4369.3559999999998</v>
      </c>
      <c r="I125" s="151">
        <f t="shared" si="19"/>
        <v>1709.92</v>
      </c>
      <c r="J125" s="284">
        <f t="shared" si="25"/>
        <v>1.143422538582417E-2</v>
      </c>
      <c r="K125" s="170"/>
      <c r="L125" s="170"/>
      <c r="M125" s="147">
        <f t="shared" si="27"/>
        <v>2031</v>
      </c>
      <c r="N125" s="170" t="str">
        <f t="shared" si="36"/>
        <v>Q4</v>
      </c>
      <c r="O125" s="170" t="str">
        <f t="shared" si="35"/>
        <v>2031Q4</v>
      </c>
      <c r="P125" s="175">
        <v>211523.95326625914</v>
      </c>
      <c r="Q125" s="175">
        <v>208506.54</v>
      </c>
      <c r="R125" s="233">
        <v>2002.6890000000001</v>
      </c>
      <c r="S125" s="233">
        <v>2008.96</v>
      </c>
      <c r="T125" s="180">
        <v>63983.702106726494</v>
      </c>
      <c r="U125" s="180"/>
      <c r="V125" s="235">
        <f t="shared" si="26"/>
        <v>5010.8329999999996</v>
      </c>
      <c r="W125" s="180">
        <v>592.55352794567204</v>
      </c>
      <c r="X125" s="180">
        <v>5010.8329999999996</v>
      </c>
      <c r="Y125" s="170">
        <f t="shared" si="32"/>
        <v>0.29587895471821735</v>
      </c>
      <c r="Z125" s="170">
        <f t="shared" si="33"/>
        <v>2.4942422945205478</v>
      </c>
      <c r="AA125" s="180">
        <v>4818.6409999999996</v>
      </c>
    </row>
    <row r="126" spans="1:27" x14ac:dyDescent="0.2">
      <c r="A126" s="147">
        <v>2011</v>
      </c>
      <c r="B126" s="147">
        <v>5</v>
      </c>
      <c r="C126" s="147" t="str">
        <f t="shared" si="22"/>
        <v>20115</v>
      </c>
      <c r="D126" s="147" t="str">
        <f t="shared" si="29"/>
        <v>Q2</v>
      </c>
      <c r="E126" s="151">
        <f t="shared" si="37"/>
        <v>130512.26316298962</v>
      </c>
      <c r="F126" s="151">
        <f t="shared" si="37"/>
        <v>129036.827</v>
      </c>
      <c r="G126" s="151">
        <f t="shared" si="23"/>
        <v>4366.8140000000003</v>
      </c>
      <c r="H126" s="151">
        <f t="shared" si="24"/>
        <v>4369.3559999999998</v>
      </c>
      <c r="I126" s="151">
        <f t="shared" si="19"/>
        <v>1709.92</v>
      </c>
      <c r="J126" s="284">
        <f t="shared" si="25"/>
        <v>1.143422538582417E-2</v>
      </c>
      <c r="K126" s="170"/>
      <c r="L126" s="170"/>
      <c r="M126" s="147">
        <f t="shared" si="27"/>
        <v>2032</v>
      </c>
      <c r="N126" s="170" t="str">
        <f t="shared" si="36"/>
        <v>Q1</v>
      </c>
      <c r="O126" s="170" t="str">
        <f t="shared" si="35"/>
        <v>2032Q1</v>
      </c>
      <c r="P126" s="175">
        <v>213155.65241113378</v>
      </c>
      <c r="Q126" s="175">
        <v>210181.51699999999</v>
      </c>
      <c r="R126" s="233">
        <v>2006.07</v>
      </c>
      <c r="S126" s="233">
        <v>2012.056</v>
      </c>
      <c r="T126" s="180">
        <v>64517.895684862429</v>
      </c>
      <c r="U126" s="180"/>
      <c r="V126" s="235">
        <f t="shared" si="26"/>
        <v>5017.95</v>
      </c>
      <c r="W126" s="180">
        <v>593.8205289329336</v>
      </c>
      <c r="X126" s="180">
        <v>5017.95</v>
      </c>
      <c r="Y126" s="170">
        <f t="shared" si="32"/>
        <v>0.29601186844573402</v>
      </c>
      <c r="Z126" s="170">
        <f t="shared" si="33"/>
        <v>2.4939415205143396</v>
      </c>
      <c r="AA126" s="180">
        <v>4823.1090000000004</v>
      </c>
    </row>
    <row r="127" spans="1:27" x14ac:dyDescent="0.2">
      <c r="A127" s="147">
        <v>2011</v>
      </c>
      <c r="B127" s="147">
        <v>6</v>
      </c>
      <c r="C127" s="147" t="str">
        <f t="shared" si="22"/>
        <v>20116</v>
      </c>
      <c r="D127" s="147" t="str">
        <f t="shared" si="29"/>
        <v>Q2</v>
      </c>
      <c r="E127" s="151">
        <f t="shared" si="37"/>
        <v>130512.26316298962</v>
      </c>
      <c r="F127" s="151">
        <f t="shared" si="37"/>
        <v>129036.827</v>
      </c>
      <c r="G127" s="151">
        <f t="shared" si="23"/>
        <v>4366.8140000000003</v>
      </c>
      <c r="H127" s="151">
        <f t="shared" si="24"/>
        <v>4369.3559999999998</v>
      </c>
      <c r="I127" s="151">
        <f t="shared" si="19"/>
        <v>1709.92</v>
      </c>
      <c r="J127" s="284">
        <f t="shared" si="25"/>
        <v>1.143422538582417E-2</v>
      </c>
      <c r="K127" s="170"/>
      <c r="L127" s="170"/>
      <c r="M127" s="147">
        <f t="shared" si="27"/>
        <v>2032</v>
      </c>
      <c r="N127" s="170" t="str">
        <f t="shared" si="36"/>
        <v>Q2</v>
      </c>
      <c r="O127" s="170" t="str">
        <f t="shared" si="35"/>
        <v>2032Q2</v>
      </c>
      <c r="P127" s="175">
        <v>214086.18553219383</v>
      </c>
      <c r="Q127" s="175">
        <v>211132.98300000001</v>
      </c>
      <c r="R127" s="233">
        <v>2009.4970000000001</v>
      </c>
      <c r="S127" s="233">
        <v>2014.9739999999999</v>
      </c>
      <c r="T127" s="180">
        <v>64852.902436758101</v>
      </c>
      <c r="U127" s="180"/>
      <c r="V127" s="235">
        <f t="shared" si="26"/>
        <v>5025.0370000000003</v>
      </c>
      <c r="W127" s="180">
        <v>595.08542470246152</v>
      </c>
      <c r="X127" s="180">
        <v>5025.0370000000003</v>
      </c>
      <c r="Y127" s="170">
        <f t="shared" si="32"/>
        <v>0.29613650814231696</v>
      </c>
      <c r="Z127" s="170">
        <f t="shared" si="33"/>
        <v>2.4938470670093014</v>
      </c>
      <c r="AA127" s="180">
        <v>4827.5429999999997</v>
      </c>
    </row>
    <row r="128" spans="1:27" x14ac:dyDescent="0.2">
      <c r="A128" s="147">
        <v>2011</v>
      </c>
      <c r="B128" s="147">
        <v>7</v>
      </c>
      <c r="C128" s="147" t="str">
        <f t="shared" si="22"/>
        <v>20117</v>
      </c>
      <c r="D128" s="147" t="str">
        <f t="shared" si="29"/>
        <v>Q3</v>
      </c>
      <c r="E128" s="151">
        <f t="shared" si="37"/>
        <v>130388.56272912602</v>
      </c>
      <c r="F128" s="151">
        <f t="shared" si="37"/>
        <v>128885.583</v>
      </c>
      <c r="G128" s="151">
        <f t="shared" si="23"/>
        <v>4370.21</v>
      </c>
      <c r="H128" s="151">
        <f t="shared" si="24"/>
        <v>4375.2330000000002</v>
      </c>
      <c r="I128" s="151">
        <f t="shared" si="19"/>
        <v>1712.452</v>
      </c>
      <c r="J128" s="284">
        <f t="shared" si="25"/>
        <v>1.1661348726071497E-2</v>
      </c>
      <c r="K128" s="170"/>
      <c r="L128" s="170"/>
      <c r="M128" s="147">
        <f t="shared" si="27"/>
        <v>2032</v>
      </c>
      <c r="N128" s="170" t="str">
        <f t="shared" si="36"/>
        <v>Q3</v>
      </c>
      <c r="O128" s="170" t="str">
        <f t="shared" si="35"/>
        <v>2032Q3</v>
      </c>
      <c r="P128" s="175">
        <v>214869.38531819571</v>
      </c>
      <c r="Q128" s="175">
        <v>211990.587</v>
      </c>
      <c r="R128" s="233">
        <v>2014.751</v>
      </c>
      <c r="S128" s="233">
        <v>2018.0830000000001</v>
      </c>
      <c r="T128" s="180">
        <v>65092.663837385568</v>
      </c>
      <c r="U128" s="180"/>
      <c r="V128" s="235">
        <f t="shared" si="26"/>
        <v>5032.0959999999995</v>
      </c>
      <c r="W128" s="180">
        <v>596.34815171082005</v>
      </c>
      <c r="X128" s="180">
        <v>5032.0959999999995</v>
      </c>
      <c r="Y128" s="170">
        <f t="shared" si="32"/>
        <v>0.29599099427711911</v>
      </c>
      <c r="Z128" s="170">
        <f t="shared" si="33"/>
        <v>2.4935029926915786</v>
      </c>
      <c r="AA128" s="180">
        <v>4831.9440000000004</v>
      </c>
    </row>
    <row r="129" spans="1:27" x14ac:dyDescent="0.2">
      <c r="A129" s="147">
        <v>2011</v>
      </c>
      <c r="B129" s="147">
        <v>8</v>
      </c>
      <c r="C129" s="147" t="str">
        <f t="shared" si="22"/>
        <v>20118</v>
      </c>
      <c r="D129" s="147" t="str">
        <f t="shared" si="29"/>
        <v>Q3</v>
      </c>
      <c r="E129" s="151">
        <f t="shared" si="37"/>
        <v>130388.56272912602</v>
      </c>
      <c r="F129" s="151">
        <f t="shared" si="37"/>
        <v>128885.583</v>
      </c>
      <c r="G129" s="151">
        <f t="shared" si="23"/>
        <v>4370.21</v>
      </c>
      <c r="H129" s="151">
        <f t="shared" si="24"/>
        <v>4375.2330000000002</v>
      </c>
      <c r="I129" s="151">
        <f t="shared" si="19"/>
        <v>1712.452</v>
      </c>
      <c r="J129" s="284">
        <f t="shared" si="25"/>
        <v>1.1661348726071497E-2</v>
      </c>
      <c r="K129" s="170"/>
      <c r="L129" s="170"/>
      <c r="M129" s="147">
        <f t="shared" si="27"/>
        <v>2032</v>
      </c>
      <c r="N129" s="170" t="str">
        <f t="shared" si="36"/>
        <v>Q4</v>
      </c>
      <c r="O129" s="170" t="str">
        <f t="shared" si="35"/>
        <v>2032Q4</v>
      </c>
      <c r="P129" s="175">
        <v>215638.64605623233</v>
      </c>
      <c r="Q129" s="175">
        <v>212819.59099999999</v>
      </c>
      <c r="R129" s="233">
        <v>2017.2260000000001</v>
      </c>
      <c r="S129" s="233">
        <v>2021.1469999999999</v>
      </c>
      <c r="T129" s="180">
        <v>65379.712563198897</v>
      </c>
      <c r="U129" s="180"/>
      <c r="V129" s="235">
        <f t="shared" si="26"/>
        <v>5039.1130000000003</v>
      </c>
      <c r="W129" s="180">
        <v>597.60723946148869</v>
      </c>
      <c r="X129" s="180">
        <v>5039.1130000000003</v>
      </c>
      <c r="Y129" s="170">
        <f t="shared" si="32"/>
        <v>0.29625200124402951</v>
      </c>
      <c r="Z129" s="170">
        <f t="shared" si="33"/>
        <v>2.4931947057784516</v>
      </c>
      <c r="AA129" s="180">
        <v>4836.3</v>
      </c>
    </row>
    <row r="130" spans="1:27" x14ac:dyDescent="0.2">
      <c r="A130" s="147">
        <v>2011</v>
      </c>
      <c r="B130" s="147">
        <v>9</v>
      </c>
      <c r="C130" s="147" t="str">
        <f t="shared" si="22"/>
        <v>20119</v>
      </c>
      <c r="D130" s="147" t="str">
        <f t="shared" si="29"/>
        <v>Q3</v>
      </c>
      <c r="E130" s="151">
        <f t="shared" si="37"/>
        <v>130388.56272912602</v>
      </c>
      <c r="F130" s="151">
        <f t="shared" si="37"/>
        <v>128885.583</v>
      </c>
      <c r="G130" s="151">
        <f t="shared" si="23"/>
        <v>4370.21</v>
      </c>
      <c r="H130" s="151">
        <f t="shared" si="24"/>
        <v>4375.2330000000002</v>
      </c>
      <c r="I130" s="151">
        <f t="shared" ref="I130:I193" si="38">VLOOKUP($A130&amp;$D130,$O$1:$V$189,MATCH(I$1,$O$1:$V$1,0),0)</f>
        <v>1712.452</v>
      </c>
      <c r="J130" s="284">
        <f t="shared" si="25"/>
        <v>1.1661348726071497E-2</v>
      </c>
      <c r="K130" s="170"/>
      <c r="L130" s="170"/>
      <c r="M130" s="147">
        <f t="shared" si="27"/>
        <v>2033</v>
      </c>
      <c r="N130" s="170" t="str">
        <f t="shared" si="36"/>
        <v>Q1</v>
      </c>
      <c r="O130" s="170" t="str">
        <f t="shared" si="35"/>
        <v>2033Q1</v>
      </c>
      <c r="P130" s="175">
        <v>217240.60032855472</v>
      </c>
      <c r="Q130" s="175">
        <v>214486.36799999999</v>
      </c>
      <c r="R130" s="233">
        <v>2020.7070000000001</v>
      </c>
      <c r="S130" s="233">
        <v>2024.24</v>
      </c>
      <c r="T130" s="180">
        <v>65915.343848067831</v>
      </c>
      <c r="U130" s="180"/>
      <c r="V130" s="235">
        <f t="shared" si="26"/>
        <v>5046.1030000000001</v>
      </c>
      <c r="W130" s="180">
        <v>598.94114556781176</v>
      </c>
      <c r="X130" s="180">
        <v>5046.1030000000001</v>
      </c>
      <c r="Y130" s="170">
        <f t="shared" ref="Y130:Y165" si="39">W130/R130</f>
        <v>0.29640177698588255</v>
      </c>
      <c r="Z130" s="170">
        <f t="shared" ref="Z130:Z165" si="40">X130/S130</f>
        <v>2.4928382998063472</v>
      </c>
      <c r="AA130" s="180">
        <v>4840.6229999999996</v>
      </c>
    </row>
    <row r="131" spans="1:27" x14ac:dyDescent="0.2">
      <c r="A131" s="147">
        <v>2011</v>
      </c>
      <c r="B131" s="147">
        <v>10</v>
      </c>
      <c r="C131" s="147" t="str">
        <f t="shared" ref="C131:C194" si="41">A131&amp;B131</f>
        <v>201110</v>
      </c>
      <c r="D131" s="147" t="str">
        <f t="shared" si="29"/>
        <v>Q4</v>
      </c>
      <c r="E131" s="151">
        <f t="shared" si="37"/>
        <v>130530.66068608029</v>
      </c>
      <c r="F131" s="151">
        <f t="shared" si="37"/>
        <v>129177.128</v>
      </c>
      <c r="G131" s="151">
        <f t="shared" ref="G131:G194" si="42">VLOOKUP($A131&amp;$D131,$O$1:$AA$189,MATCH(G$1,$O$1:$AA$1,0),0)</f>
        <v>4373.6090000000004</v>
      </c>
      <c r="H131" s="151">
        <f t="shared" ref="H131:H194" si="43">VLOOKUP($A131&amp;$D131,$O$1:$AA$189,MATCH(H$1,$O$1:$AA$1,0),0)</f>
        <v>4381.482</v>
      </c>
      <c r="I131" s="151">
        <f t="shared" si="38"/>
        <v>1714.989</v>
      </c>
      <c r="J131" s="284">
        <f t="shared" ref="J131:J194" si="44">E131/F131-1</f>
        <v>1.0478114098343205E-2</v>
      </c>
      <c r="K131" s="170"/>
      <c r="L131" s="170"/>
      <c r="M131" s="147">
        <f t="shared" si="27"/>
        <v>2033</v>
      </c>
      <c r="N131" s="170" t="str">
        <f t="shared" si="36"/>
        <v>Q2</v>
      </c>
      <c r="O131" s="170" t="str">
        <f t="shared" si="35"/>
        <v>2033Q2</v>
      </c>
      <c r="P131" s="175">
        <v>218100.32282001979</v>
      </c>
      <c r="Q131" s="175">
        <v>215382.42600000001</v>
      </c>
      <c r="R131" s="233">
        <v>2024.18</v>
      </c>
      <c r="S131" s="233">
        <v>2027.2639999999999</v>
      </c>
      <c r="T131" s="180">
        <v>66272.860998632343</v>
      </c>
      <c r="U131" s="180"/>
      <c r="V131" s="235">
        <f t="shared" ref="V131:V165" si="45">X131</f>
        <v>5053.0649999999996</v>
      </c>
      <c r="W131" s="180">
        <v>600.1964782787893</v>
      </c>
      <c r="X131" s="180">
        <v>5053.0649999999996</v>
      </c>
      <c r="Y131" s="170">
        <f t="shared" si="39"/>
        <v>0.29651339222736578</v>
      </c>
      <c r="Z131" s="170">
        <f t="shared" si="40"/>
        <v>2.4925540038199268</v>
      </c>
      <c r="AA131" s="180">
        <v>4844.915</v>
      </c>
    </row>
    <row r="132" spans="1:27" x14ac:dyDescent="0.2">
      <c r="A132" s="147">
        <v>2011</v>
      </c>
      <c r="B132" s="147">
        <v>11</v>
      </c>
      <c r="C132" s="147" t="str">
        <f t="shared" si="41"/>
        <v>201111</v>
      </c>
      <c r="D132" s="147" t="str">
        <f t="shared" si="29"/>
        <v>Q4</v>
      </c>
      <c r="E132" s="151">
        <f t="shared" si="37"/>
        <v>130530.66068608029</v>
      </c>
      <c r="F132" s="151">
        <f t="shared" si="37"/>
        <v>129177.128</v>
      </c>
      <c r="G132" s="151">
        <f t="shared" si="42"/>
        <v>4373.6090000000004</v>
      </c>
      <c r="H132" s="151">
        <f t="shared" si="43"/>
        <v>4381.482</v>
      </c>
      <c r="I132" s="151">
        <f t="shared" si="38"/>
        <v>1714.989</v>
      </c>
      <c r="J132" s="284">
        <f t="shared" si="44"/>
        <v>1.0478114098343205E-2</v>
      </c>
      <c r="K132" s="170"/>
      <c r="L132" s="170"/>
      <c r="M132" s="147">
        <f t="shared" si="27"/>
        <v>2033</v>
      </c>
      <c r="N132" s="170" t="str">
        <f t="shared" si="36"/>
        <v>Q3</v>
      </c>
      <c r="O132" s="170" t="str">
        <f t="shared" si="35"/>
        <v>2033Q3</v>
      </c>
      <c r="P132" s="175">
        <v>218857.93449476099</v>
      </c>
      <c r="Q132" s="175">
        <v>216207.60200000001</v>
      </c>
      <c r="R132" s="233">
        <v>2027.626</v>
      </c>
      <c r="S132" s="233">
        <v>2030.61</v>
      </c>
      <c r="T132" s="180">
        <v>66575.69117880259</v>
      </c>
      <c r="U132" s="180"/>
      <c r="V132" s="235">
        <f t="shared" si="45"/>
        <v>5060</v>
      </c>
      <c r="W132" s="180">
        <v>601.44988615916668</v>
      </c>
      <c r="X132" s="180">
        <v>5060</v>
      </c>
      <c r="Y132" s="170">
        <f t="shared" si="39"/>
        <v>0.29662762568598289</v>
      </c>
      <c r="Z132" s="170">
        <f t="shared" si="40"/>
        <v>2.4918620513047807</v>
      </c>
      <c r="AA132" s="180">
        <v>4849.174</v>
      </c>
    </row>
    <row r="133" spans="1:27" x14ac:dyDescent="0.2">
      <c r="A133" s="147">
        <v>2011</v>
      </c>
      <c r="B133" s="147">
        <v>12</v>
      </c>
      <c r="C133" s="147" t="str">
        <f t="shared" si="41"/>
        <v>201112</v>
      </c>
      <c r="D133" s="147" t="str">
        <f t="shared" si="29"/>
        <v>Q4</v>
      </c>
      <c r="E133" s="151">
        <f t="shared" si="37"/>
        <v>130530.66068608029</v>
      </c>
      <c r="F133" s="151">
        <f t="shared" si="37"/>
        <v>129177.128</v>
      </c>
      <c r="G133" s="151">
        <f t="shared" si="42"/>
        <v>4373.6090000000004</v>
      </c>
      <c r="H133" s="151">
        <f t="shared" si="43"/>
        <v>4381.482</v>
      </c>
      <c r="I133" s="151">
        <f t="shared" si="38"/>
        <v>1714.989</v>
      </c>
      <c r="J133" s="284">
        <f t="shared" si="44"/>
        <v>1.0478114098343205E-2</v>
      </c>
      <c r="K133" s="170"/>
      <c r="L133" s="170"/>
      <c r="M133" s="147">
        <f t="shared" si="27"/>
        <v>2033</v>
      </c>
      <c r="N133" s="170" t="str">
        <f t="shared" si="36"/>
        <v>Q4</v>
      </c>
      <c r="O133" s="170" t="str">
        <f t="shared" si="35"/>
        <v>2033Q4</v>
      </c>
      <c r="P133" s="175">
        <v>219617.17998724207</v>
      </c>
      <c r="Q133" s="175">
        <v>217023.29399999999</v>
      </c>
      <c r="R133" s="233">
        <v>2031.1179999999999</v>
      </c>
      <c r="S133" s="233">
        <v>2034.0029999999999</v>
      </c>
      <c r="T133" s="180">
        <v>66846.031778371878</v>
      </c>
      <c r="U133" s="180"/>
      <c r="V133" s="235">
        <f t="shared" si="45"/>
        <v>5066.8959999999997</v>
      </c>
      <c r="W133" s="180">
        <v>602.69985845966437</v>
      </c>
      <c r="X133" s="180">
        <v>5066.8959999999997</v>
      </c>
      <c r="Y133" s="170">
        <f t="shared" si="39"/>
        <v>0.29673305955619733</v>
      </c>
      <c r="Z133" s="170">
        <f t="shared" si="40"/>
        <v>2.4910956375187254</v>
      </c>
      <c r="AA133" s="180">
        <v>4853.3900000000003</v>
      </c>
    </row>
    <row r="134" spans="1:27" x14ac:dyDescent="0.2">
      <c r="A134" s="147">
        <v>2012</v>
      </c>
      <c r="B134" s="147">
        <v>1</v>
      </c>
      <c r="C134" s="147" t="str">
        <f t="shared" si="41"/>
        <v>20121</v>
      </c>
      <c r="D134" s="147" t="str">
        <f t="shared" si="29"/>
        <v>Q1</v>
      </c>
      <c r="E134" s="151">
        <f t="shared" si="37"/>
        <v>131895.05637467475</v>
      </c>
      <c r="F134" s="151">
        <f t="shared" si="37"/>
        <v>129516.13400000001</v>
      </c>
      <c r="G134" s="151">
        <f t="shared" si="42"/>
        <v>4377.0110000000004</v>
      </c>
      <c r="H134" s="151">
        <f t="shared" si="43"/>
        <v>4387.8289999999997</v>
      </c>
      <c r="I134" s="151">
        <f t="shared" si="38"/>
        <v>1717.53</v>
      </c>
      <c r="J134" s="284">
        <f t="shared" si="44"/>
        <v>1.8367768564453435E-2</v>
      </c>
      <c r="M134" s="147">
        <f t="shared" si="27"/>
        <v>2034</v>
      </c>
      <c r="N134" s="170" t="str">
        <f t="shared" si="36"/>
        <v>Q1</v>
      </c>
      <c r="O134" s="170" t="str">
        <f t="shared" si="35"/>
        <v>2034Q1</v>
      </c>
      <c r="P134" s="175">
        <v>221265.80377058705</v>
      </c>
      <c r="Q134" s="175">
        <v>218712.25599999999</v>
      </c>
      <c r="R134" s="233">
        <v>2034.5630000000001</v>
      </c>
      <c r="S134" s="233">
        <v>2037.278</v>
      </c>
      <c r="T134" s="180">
        <v>67408.698459790423</v>
      </c>
      <c r="U134" s="180"/>
      <c r="V134" s="235">
        <f t="shared" si="45"/>
        <v>5073.7650000000003</v>
      </c>
      <c r="W134" s="180">
        <v>604.02085840225141</v>
      </c>
      <c r="X134" s="180">
        <v>5073.7650000000003</v>
      </c>
      <c r="Y134" s="170">
        <f t="shared" si="39"/>
        <v>0.29687989922270847</v>
      </c>
      <c r="Z134" s="170">
        <f t="shared" si="40"/>
        <v>2.4904627645318902</v>
      </c>
      <c r="AA134" s="180">
        <v>4857.5749999999998</v>
      </c>
    </row>
    <row r="135" spans="1:27" x14ac:dyDescent="0.2">
      <c r="A135" s="147">
        <v>2012</v>
      </c>
      <c r="B135" s="147">
        <v>2</v>
      </c>
      <c r="C135" s="147" t="str">
        <f t="shared" si="41"/>
        <v>20122</v>
      </c>
      <c r="D135" s="147" t="str">
        <f t="shared" si="29"/>
        <v>Q1</v>
      </c>
      <c r="E135" s="151">
        <f t="shared" si="37"/>
        <v>131895.05637467475</v>
      </c>
      <c r="F135" s="151">
        <f t="shared" si="37"/>
        <v>129516.13400000001</v>
      </c>
      <c r="G135" s="151">
        <f t="shared" si="42"/>
        <v>4377.0110000000004</v>
      </c>
      <c r="H135" s="151">
        <f t="shared" si="43"/>
        <v>4387.8289999999997</v>
      </c>
      <c r="I135" s="151">
        <f t="shared" si="38"/>
        <v>1717.53</v>
      </c>
      <c r="J135" s="284">
        <f t="shared" si="44"/>
        <v>1.8367768564453435E-2</v>
      </c>
      <c r="M135" s="147">
        <f t="shared" ref="M135:M173" si="46">M131+1</f>
        <v>2034</v>
      </c>
      <c r="N135" s="170" t="str">
        <f t="shared" si="36"/>
        <v>Q2</v>
      </c>
      <c r="O135" s="170" t="str">
        <f t="shared" si="35"/>
        <v>2034Q2</v>
      </c>
      <c r="P135" s="175">
        <v>222192.47658107537</v>
      </c>
      <c r="Q135" s="175">
        <v>219678.68900000001</v>
      </c>
      <c r="R135" s="233">
        <v>2038.0329999999999</v>
      </c>
      <c r="S135" s="233">
        <v>2040.769</v>
      </c>
      <c r="T135" s="180">
        <v>67784.731090709829</v>
      </c>
      <c r="U135" s="180"/>
      <c r="V135" s="235">
        <f t="shared" si="45"/>
        <v>5080.6090000000004</v>
      </c>
      <c r="W135" s="180">
        <v>605.26743767300002</v>
      </c>
      <c r="X135" s="180">
        <v>5080.6090000000004</v>
      </c>
      <c r="Y135" s="170">
        <f t="shared" si="39"/>
        <v>0.29698608298933338</v>
      </c>
      <c r="Z135" s="170">
        <f t="shared" si="40"/>
        <v>2.4895561428069519</v>
      </c>
      <c r="AA135" s="180">
        <v>4861.7299999999996</v>
      </c>
    </row>
    <row r="136" spans="1:27" x14ac:dyDescent="0.2">
      <c r="A136" s="147">
        <v>2012</v>
      </c>
      <c r="B136" s="147">
        <v>3</v>
      </c>
      <c r="C136" s="147" t="str">
        <f t="shared" si="41"/>
        <v>20123</v>
      </c>
      <c r="D136" s="147" t="str">
        <f t="shared" si="29"/>
        <v>Q1</v>
      </c>
      <c r="E136" s="151">
        <f t="shared" si="37"/>
        <v>131895.05637467475</v>
      </c>
      <c r="F136" s="151">
        <f t="shared" si="37"/>
        <v>129516.13400000001</v>
      </c>
      <c r="G136" s="151">
        <f t="shared" si="42"/>
        <v>4377.0110000000004</v>
      </c>
      <c r="H136" s="151">
        <f t="shared" si="43"/>
        <v>4387.8289999999997</v>
      </c>
      <c r="I136" s="151">
        <f t="shared" si="38"/>
        <v>1717.53</v>
      </c>
      <c r="J136" s="284">
        <f t="shared" si="44"/>
        <v>1.8367768564453435E-2</v>
      </c>
      <c r="M136" s="147">
        <f t="shared" si="46"/>
        <v>2034</v>
      </c>
      <c r="N136" s="170" t="str">
        <f t="shared" si="36"/>
        <v>Q3</v>
      </c>
      <c r="O136" s="170" t="str">
        <f t="shared" si="35"/>
        <v>2034Q3</v>
      </c>
      <c r="P136" s="175">
        <v>223003.41070905284</v>
      </c>
      <c r="Q136" s="175">
        <v>220588.57</v>
      </c>
      <c r="R136" s="233">
        <v>2043.357</v>
      </c>
      <c r="S136" s="233">
        <v>2044.1780000000001</v>
      </c>
      <c r="T136" s="180">
        <v>68112.672404732177</v>
      </c>
      <c r="U136" s="180"/>
      <c r="V136" s="235">
        <f t="shared" si="45"/>
        <v>5087.4409999999998</v>
      </c>
      <c r="W136" s="180">
        <v>606.51387488154319</v>
      </c>
      <c r="X136" s="180">
        <v>5087.4409999999998</v>
      </c>
      <c r="Y136" s="170">
        <f t="shared" si="39"/>
        <v>0.29682227573622388</v>
      </c>
      <c r="Z136" s="170">
        <f t="shared" si="40"/>
        <v>2.4887465768636585</v>
      </c>
      <c r="AA136" s="180">
        <v>4865.8649999999998</v>
      </c>
    </row>
    <row r="137" spans="1:27" x14ac:dyDescent="0.2">
      <c r="A137" s="147">
        <v>2012</v>
      </c>
      <c r="B137" s="147">
        <v>4</v>
      </c>
      <c r="C137" s="147" t="str">
        <f t="shared" si="41"/>
        <v>20124</v>
      </c>
      <c r="D137" s="147" t="str">
        <f t="shared" si="29"/>
        <v>Q2</v>
      </c>
      <c r="E137" s="151">
        <f t="shared" si="37"/>
        <v>132479.04689339892</v>
      </c>
      <c r="F137" s="151">
        <f t="shared" si="37"/>
        <v>130403.818</v>
      </c>
      <c r="G137" s="151">
        <f t="shared" si="42"/>
        <v>4380.415</v>
      </c>
      <c r="H137" s="151">
        <f t="shared" si="43"/>
        <v>4394.317</v>
      </c>
      <c r="I137" s="151">
        <f t="shared" si="38"/>
        <v>1720.075</v>
      </c>
      <c r="J137" s="284">
        <f t="shared" si="44"/>
        <v>1.5913866060263127E-2</v>
      </c>
      <c r="M137" s="147">
        <f t="shared" si="46"/>
        <v>2034</v>
      </c>
      <c r="N137" s="170" t="str">
        <f t="shared" si="36"/>
        <v>Q4</v>
      </c>
      <c r="O137" s="170" t="str">
        <f t="shared" si="35"/>
        <v>2034Q4</v>
      </c>
      <c r="P137" s="175">
        <v>223817.31951943206</v>
      </c>
      <c r="Q137" s="175">
        <v>221480.42499999999</v>
      </c>
      <c r="R137" s="233">
        <v>2045.7919999999999</v>
      </c>
      <c r="S137" s="233">
        <v>2047.549</v>
      </c>
      <c r="T137" s="180">
        <v>68426.110254572006</v>
      </c>
      <c r="U137" s="180"/>
      <c r="V137" s="235">
        <f t="shared" si="45"/>
        <v>5094.2359999999999</v>
      </c>
      <c r="W137" s="180">
        <v>607.75708718438602</v>
      </c>
      <c r="X137" s="180">
        <v>5094.2359999999999</v>
      </c>
      <c r="Y137" s="170">
        <f t="shared" si="39"/>
        <v>0.29707667601808302</v>
      </c>
      <c r="Z137" s="170">
        <f t="shared" si="40"/>
        <v>2.487967809317384</v>
      </c>
      <c r="AA137" s="180">
        <v>4869.96</v>
      </c>
    </row>
    <row r="138" spans="1:27" x14ac:dyDescent="0.2">
      <c r="A138" s="147">
        <v>2012</v>
      </c>
      <c r="B138" s="147">
        <v>5</v>
      </c>
      <c r="C138" s="147" t="str">
        <f t="shared" si="41"/>
        <v>20125</v>
      </c>
      <c r="D138" s="147" t="str">
        <f t="shared" si="29"/>
        <v>Q2</v>
      </c>
      <c r="E138" s="151">
        <f t="shared" si="37"/>
        <v>132479.04689339892</v>
      </c>
      <c r="F138" s="151">
        <f t="shared" si="37"/>
        <v>130403.818</v>
      </c>
      <c r="G138" s="151">
        <f t="shared" si="42"/>
        <v>4380.415</v>
      </c>
      <c r="H138" s="151">
        <f t="shared" si="43"/>
        <v>4394.317</v>
      </c>
      <c r="I138" s="151">
        <f t="shared" si="38"/>
        <v>1720.075</v>
      </c>
      <c r="J138" s="284">
        <f t="shared" si="44"/>
        <v>1.5913866060263127E-2</v>
      </c>
      <c r="M138" s="147">
        <f t="shared" si="46"/>
        <v>2035</v>
      </c>
      <c r="N138" s="170" t="str">
        <f t="shared" si="36"/>
        <v>Q1</v>
      </c>
      <c r="O138" s="170" t="str">
        <f t="shared" si="35"/>
        <v>2035Q1</v>
      </c>
      <c r="P138" s="175">
        <v>225527.41153885462</v>
      </c>
      <c r="Q138" s="175">
        <v>223274.90299999999</v>
      </c>
      <c r="R138" s="233">
        <v>2049.09</v>
      </c>
      <c r="S138" s="233">
        <v>2050.752</v>
      </c>
      <c r="T138" s="180">
        <v>69089.969321900251</v>
      </c>
      <c r="U138" s="180"/>
      <c r="V138" s="235">
        <f t="shared" si="45"/>
        <v>5101.0060000000003</v>
      </c>
      <c r="W138" s="180">
        <v>608.99857391944693</v>
      </c>
      <c r="X138" s="180">
        <v>5101.0060000000003</v>
      </c>
      <c r="Y138" s="170">
        <f t="shared" si="39"/>
        <v>0.29720440484285554</v>
      </c>
      <c r="Z138" s="170">
        <f t="shared" si="40"/>
        <v>2.4873831648097871</v>
      </c>
      <c r="AA138" s="180">
        <v>4874.0230000000001</v>
      </c>
    </row>
    <row r="139" spans="1:27" x14ac:dyDescent="0.2">
      <c r="A139" s="147">
        <v>2012</v>
      </c>
      <c r="B139" s="147">
        <v>6</v>
      </c>
      <c r="C139" s="147" t="str">
        <f t="shared" si="41"/>
        <v>20126</v>
      </c>
      <c r="D139" s="147" t="str">
        <f t="shared" si="29"/>
        <v>Q2</v>
      </c>
      <c r="E139" s="151">
        <f t="shared" si="37"/>
        <v>132479.04689339892</v>
      </c>
      <c r="F139" s="151">
        <f t="shared" si="37"/>
        <v>130403.818</v>
      </c>
      <c r="G139" s="151">
        <f t="shared" si="42"/>
        <v>4380.415</v>
      </c>
      <c r="H139" s="151">
        <f t="shared" si="43"/>
        <v>4394.317</v>
      </c>
      <c r="I139" s="151">
        <f t="shared" si="38"/>
        <v>1720.075</v>
      </c>
      <c r="J139" s="284">
        <f t="shared" si="44"/>
        <v>1.5913866060263127E-2</v>
      </c>
      <c r="M139" s="147">
        <f t="shared" si="46"/>
        <v>2035</v>
      </c>
      <c r="N139" s="170" t="str">
        <f t="shared" si="36"/>
        <v>Q2</v>
      </c>
      <c r="O139" s="170" t="str">
        <f t="shared" si="35"/>
        <v>2035Q2</v>
      </c>
      <c r="P139" s="175">
        <v>226461.76289008776</v>
      </c>
      <c r="Q139" s="175">
        <v>224274.87700000001</v>
      </c>
      <c r="R139" s="233">
        <v>2052.3820000000001</v>
      </c>
      <c r="S139" s="233">
        <v>2054.154</v>
      </c>
      <c r="T139" s="180">
        <v>69470.238709459431</v>
      </c>
      <c r="U139" s="180"/>
      <c r="V139" s="235">
        <f t="shared" si="45"/>
        <v>5107.7510000000002</v>
      </c>
      <c r="W139" s="180">
        <v>610.30681877623215</v>
      </c>
      <c r="X139" s="180">
        <v>5107.7510000000002</v>
      </c>
      <c r="Y139" s="170">
        <f t="shared" si="39"/>
        <v>0.29736511954218664</v>
      </c>
      <c r="Z139" s="170">
        <f t="shared" si="40"/>
        <v>2.4865472598451723</v>
      </c>
      <c r="AA139" s="180">
        <v>4878.0569999999998</v>
      </c>
    </row>
    <row r="140" spans="1:27" x14ac:dyDescent="0.2">
      <c r="A140" s="147">
        <v>2012</v>
      </c>
      <c r="B140" s="147">
        <v>7</v>
      </c>
      <c r="C140" s="147" t="str">
        <f t="shared" si="41"/>
        <v>20127</v>
      </c>
      <c r="D140" s="147" t="str">
        <f t="shared" si="29"/>
        <v>Q3</v>
      </c>
      <c r="E140" s="151">
        <f t="shared" si="37"/>
        <v>132178.83262039465</v>
      </c>
      <c r="F140" s="151">
        <f t="shared" si="37"/>
        <v>131166.87299999999</v>
      </c>
      <c r="G140" s="151">
        <f t="shared" si="42"/>
        <v>4384.09</v>
      </c>
      <c r="H140" s="151">
        <f t="shared" si="43"/>
        <v>4400.95</v>
      </c>
      <c r="I140" s="151">
        <f t="shared" si="38"/>
        <v>1722.731</v>
      </c>
      <c r="J140" s="284">
        <f t="shared" si="44"/>
        <v>7.7150548553113207E-3</v>
      </c>
      <c r="M140" s="147">
        <f t="shared" si="46"/>
        <v>2035</v>
      </c>
      <c r="N140" s="170" t="str">
        <f t="shared" si="36"/>
        <v>Q3</v>
      </c>
      <c r="O140" s="170" t="str">
        <f t="shared" si="35"/>
        <v>2035Q3</v>
      </c>
      <c r="P140" s="175">
        <v>227297.86248107164</v>
      </c>
      <c r="Q140" s="175">
        <v>225199.902</v>
      </c>
      <c r="R140" s="233">
        <v>2055.6619999999998</v>
      </c>
      <c r="S140" s="233">
        <v>2057.52</v>
      </c>
      <c r="T140" s="180">
        <v>69817.684773173722</v>
      </c>
      <c r="U140" s="180"/>
      <c r="V140" s="235">
        <f t="shared" si="45"/>
        <v>5114.4719999999998</v>
      </c>
      <c r="W140" s="180">
        <v>611.54517106665378</v>
      </c>
      <c r="X140" s="180">
        <v>5114.4719999999998</v>
      </c>
      <c r="Y140" s="170">
        <f t="shared" si="39"/>
        <v>0.29749305628389</v>
      </c>
      <c r="Z140" s="170">
        <f t="shared" si="40"/>
        <v>2.4857459465764609</v>
      </c>
      <c r="AA140" s="180">
        <v>4882.0609999999997</v>
      </c>
    </row>
    <row r="141" spans="1:27" x14ac:dyDescent="0.2">
      <c r="A141" s="147">
        <v>2012</v>
      </c>
      <c r="B141" s="147">
        <v>8</v>
      </c>
      <c r="C141" s="147" t="str">
        <f t="shared" si="41"/>
        <v>20128</v>
      </c>
      <c r="D141" s="147" t="str">
        <f t="shared" si="29"/>
        <v>Q3</v>
      </c>
      <c r="E141" s="151">
        <f t="shared" si="37"/>
        <v>132178.83262039465</v>
      </c>
      <c r="F141" s="151">
        <f t="shared" si="37"/>
        <v>131166.87299999999</v>
      </c>
      <c r="G141" s="151">
        <f t="shared" si="42"/>
        <v>4384.09</v>
      </c>
      <c r="H141" s="151">
        <f t="shared" si="43"/>
        <v>4400.95</v>
      </c>
      <c r="I141" s="151">
        <f t="shared" si="38"/>
        <v>1722.731</v>
      </c>
      <c r="J141" s="284">
        <f t="shared" si="44"/>
        <v>7.7150548553113207E-3</v>
      </c>
      <c r="M141" s="147">
        <f t="shared" si="46"/>
        <v>2035</v>
      </c>
      <c r="N141" s="170" t="str">
        <f t="shared" si="36"/>
        <v>Q4</v>
      </c>
      <c r="O141" s="170" t="str">
        <f t="shared" si="35"/>
        <v>2035Q4</v>
      </c>
      <c r="P141" s="175">
        <v>228101.47806925458</v>
      </c>
      <c r="Q141" s="175">
        <v>226081.57399999999</v>
      </c>
      <c r="R141" s="233">
        <v>2058.951</v>
      </c>
      <c r="S141" s="233">
        <v>2060.8620000000001</v>
      </c>
      <c r="T141" s="180">
        <v>70167.400418664678</v>
      </c>
      <c r="U141" s="180"/>
      <c r="V141" s="235">
        <f t="shared" si="45"/>
        <v>5121.1570000000002</v>
      </c>
      <c r="W141" s="180">
        <v>612.78041304382668</v>
      </c>
      <c r="X141" s="180">
        <v>5121.1570000000002</v>
      </c>
      <c r="Y141" s="170">
        <f t="shared" si="39"/>
        <v>0.29761777382940474</v>
      </c>
      <c r="Z141" s="170">
        <f t="shared" si="40"/>
        <v>2.4849587211564867</v>
      </c>
      <c r="AA141" s="180">
        <v>4886.0249999999996</v>
      </c>
    </row>
    <row r="142" spans="1:27" x14ac:dyDescent="0.2">
      <c r="A142" s="147">
        <v>2012</v>
      </c>
      <c r="B142" s="147">
        <v>9</v>
      </c>
      <c r="C142" s="147" t="str">
        <f t="shared" si="41"/>
        <v>20129</v>
      </c>
      <c r="D142" s="147" t="str">
        <f t="shared" si="29"/>
        <v>Q3</v>
      </c>
      <c r="E142" s="151">
        <f t="shared" ref="E142:F161" si="47">VLOOKUP($A142&amp;$D142,$O$1:$V$189,MATCH(E$1,$O$1:$V$1,0),0)</f>
        <v>132178.83262039465</v>
      </c>
      <c r="F142" s="151">
        <f t="shared" si="47"/>
        <v>131166.87299999999</v>
      </c>
      <c r="G142" s="151">
        <f t="shared" si="42"/>
        <v>4384.09</v>
      </c>
      <c r="H142" s="151">
        <f t="shared" si="43"/>
        <v>4400.95</v>
      </c>
      <c r="I142" s="151">
        <f t="shared" si="38"/>
        <v>1722.731</v>
      </c>
      <c r="J142" s="284">
        <f t="shared" si="44"/>
        <v>7.7150548553113207E-3</v>
      </c>
      <c r="M142" s="147">
        <f t="shared" si="46"/>
        <v>2036</v>
      </c>
      <c r="N142" s="170" t="str">
        <f t="shared" si="36"/>
        <v>Q1</v>
      </c>
      <c r="O142" s="170" t="str">
        <f t="shared" si="35"/>
        <v>2036Q1</v>
      </c>
      <c r="P142" s="175">
        <v>229844.3734857724</v>
      </c>
      <c r="Q142" s="175">
        <v>227897.829</v>
      </c>
      <c r="R142" s="233">
        <v>2062.277</v>
      </c>
      <c r="S142" s="233">
        <v>2064.0509999999999</v>
      </c>
      <c r="T142" s="180">
        <v>70857.293052576584</v>
      </c>
      <c r="U142" s="180"/>
      <c r="V142" s="235">
        <f t="shared" si="45"/>
        <v>5127.8339999999998</v>
      </c>
      <c r="W142" s="180">
        <v>614.08197123421837</v>
      </c>
      <c r="X142" s="180">
        <v>5127.8339999999998</v>
      </c>
      <c r="Y142" s="170">
        <f t="shared" si="39"/>
        <v>0.29776890846099646</v>
      </c>
      <c r="Z142" s="170">
        <f t="shared" si="40"/>
        <v>2.4843543110126638</v>
      </c>
      <c r="AA142" s="180">
        <v>4889.9740000000002</v>
      </c>
    </row>
    <row r="143" spans="1:27" x14ac:dyDescent="0.2">
      <c r="A143" s="147">
        <v>2012</v>
      </c>
      <c r="B143" s="147">
        <v>10</v>
      </c>
      <c r="C143" s="147" t="str">
        <f t="shared" si="41"/>
        <v>201210</v>
      </c>
      <c r="D143" s="147" t="str">
        <f t="shared" ref="D143:D206" si="48">D131</f>
        <v>Q4</v>
      </c>
      <c r="E143" s="151">
        <f t="shared" si="47"/>
        <v>133690.68480912619</v>
      </c>
      <c r="F143" s="151">
        <f t="shared" si="47"/>
        <v>132095.09099999999</v>
      </c>
      <c r="G143" s="151">
        <f t="shared" si="42"/>
        <v>4388.0649999999996</v>
      </c>
      <c r="H143" s="151">
        <f t="shared" si="43"/>
        <v>4407.7280000000001</v>
      </c>
      <c r="I143" s="151">
        <f t="shared" si="38"/>
        <v>1725.0540000000001</v>
      </c>
      <c r="J143" s="284">
        <f t="shared" si="44"/>
        <v>1.2079130246605452E-2</v>
      </c>
      <c r="M143" s="147">
        <f t="shared" si="46"/>
        <v>2036</v>
      </c>
      <c r="N143" s="170" t="str">
        <f t="shared" si="36"/>
        <v>Q2</v>
      </c>
      <c r="O143" s="170" t="str">
        <f t="shared" si="35"/>
        <v>2036Q2</v>
      </c>
      <c r="P143" s="175">
        <v>230765.78295090122</v>
      </c>
      <c r="Q143" s="175">
        <v>228888.74400000001</v>
      </c>
      <c r="R143" s="233">
        <v>2065.558</v>
      </c>
      <c r="S143" s="233">
        <v>2067.4560000000001</v>
      </c>
      <c r="T143" s="180">
        <v>71135.634899548866</v>
      </c>
      <c r="U143" s="180"/>
      <c r="V143" s="235">
        <f t="shared" si="45"/>
        <v>5134.5159999999996</v>
      </c>
      <c r="W143" s="180">
        <v>615.31963809007061</v>
      </c>
      <c r="X143" s="180">
        <v>5134.5159999999996</v>
      </c>
      <c r="Y143" s="170">
        <f t="shared" si="39"/>
        <v>0.29789511506821431</v>
      </c>
      <c r="Z143" s="170">
        <f t="shared" si="40"/>
        <v>2.4834946910599305</v>
      </c>
      <c r="AA143" s="180">
        <v>4893.9210000000003</v>
      </c>
    </row>
    <row r="144" spans="1:27" x14ac:dyDescent="0.2">
      <c r="A144" s="147">
        <v>2012</v>
      </c>
      <c r="B144" s="147">
        <v>11</v>
      </c>
      <c r="C144" s="147" t="str">
        <f t="shared" si="41"/>
        <v>201211</v>
      </c>
      <c r="D144" s="147" t="str">
        <f t="shared" si="48"/>
        <v>Q4</v>
      </c>
      <c r="E144" s="151">
        <f t="shared" si="47"/>
        <v>133690.68480912619</v>
      </c>
      <c r="F144" s="151">
        <f t="shared" si="47"/>
        <v>132095.09099999999</v>
      </c>
      <c r="G144" s="151">
        <f t="shared" si="42"/>
        <v>4388.0649999999996</v>
      </c>
      <c r="H144" s="151">
        <f t="shared" si="43"/>
        <v>4407.7280000000001</v>
      </c>
      <c r="I144" s="151">
        <f t="shared" si="38"/>
        <v>1725.0540000000001</v>
      </c>
      <c r="J144" s="284">
        <f t="shared" si="44"/>
        <v>1.2079130246605452E-2</v>
      </c>
      <c r="M144" s="147">
        <f t="shared" si="46"/>
        <v>2036</v>
      </c>
      <c r="N144" s="170" t="str">
        <f t="shared" si="36"/>
        <v>Q3</v>
      </c>
      <c r="O144" s="170" t="str">
        <f t="shared" si="35"/>
        <v>2036Q3</v>
      </c>
      <c r="P144" s="175">
        <v>231582.87755786235</v>
      </c>
      <c r="Q144" s="175">
        <v>229812.7</v>
      </c>
      <c r="R144" s="233">
        <v>2068.8319999999999</v>
      </c>
      <c r="S144" s="233">
        <v>2070.819</v>
      </c>
      <c r="T144" s="180">
        <v>71458.151592626236</v>
      </c>
      <c r="U144" s="180"/>
      <c r="V144" s="235">
        <f t="shared" si="45"/>
        <v>5141.1930000000002</v>
      </c>
      <c r="W144" s="180">
        <v>616.55778084099461</v>
      </c>
      <c r="X144" s="180">
        <v>5141.1930000000002</v>
      </c>
      <c r="Y144" s="170">
        <f t="shared" si="39"/>
        <v>0.29802215976985791</v>
      </c>
      <c r="Z144" s="170">
        <f t="shared" si="40"/>
        <v>2.4826858358939146</v>
      </c>
      <c r="AA144" s="180">
        <v>4897.8549999999996</v>
      </c>
    </row>
    <row r="145" spans="1:27" x14ac:dyDescent="0.2">
      <c r="A145" s="147">
        <v>2012</v>
      </c>
      <c r="B145" s="147">
        <v>12</v>
      </c>
      <c r="C145" s="147" t="str">
        <f t="shared" si="41"/>
        <v>201212</v>
      </c>
      <c r="D145" s="147" t="str">
        <f t="shared" si="48"/>
        <v>Q4</v>
      </c>
      <c r="E145" s="151">
        <f t="shared" si="47"/>
        <v>133690.68480912619</v>
      </c>
      <c r="F145" s="151">
        <f t="shared" si="47"/>
        <v>132095.09099999999</v>
      </c>
      <c r="G145" s="151">
        <f t="shared" si="42"/>
        <v>4388.0649999999996</v>
      </c>
      <c r="H145" s="151">
        <f t="shared" si="43"/>
        <v>4407.7280000000001</v>
      </c>
      <c r="I145" s="151">
        <f t="shared" si="38"/>
        <v>1725.0540000000001</v>
      </c>
      <c r="J145" s="284">
        <f t="shared" si="44"/>
        <v>1.2079130246605452E-2</v>
      </c>
      <c r="M145" s="147">
        <f t="shared" si="46"/>
        <v>2036</v>
      </c>
      <c r="N145" s="170" t="str">
        <f t="shared" si="36"/>
        <v>Q4</v>
      </c>
      <c r="O145" s="170" t="str">
        <f t="shared" si="35"/>
        <v>2036Q4</v>
      </c>
      <c r="P145" s="175">
        <v>232376.24896003361</v>
      </c>
      <c r="Q145" s="175">
        <v>230688.69399999999</v>
      </c>
      <c r="R145" s="233">
        <v>2072.0839999999998</v>
      </c>
      <c r="S145" s="233">
        <v>2074.0059999999999</v>
      </c>
      <c r="T145" s="180">
        <v>71824.680357699355</v>
      </c>
      <c r="U145" s="180"/>
      <c r="V145" s="235">
        <f t="shared" si="45"/>
        <v>5147.8509999999997</v>
      </c>
      <c r="W145" s="180">
        <v>617.79489039157602</v>
      </c>
      <c r="X145" s="180">
        <v>5147.8509999999997</v>
      </c>
      <c r="Y145" s="170">
        <f t="shared" si="39"/>
        <v>0.29815146991703817</v>
      </c>
      <c r="Z145" s="170">
        <f t="shared" si="40"/>
        <v>2.4820810547317609</v>
      </c>
      <c r="AA145" s="180">
        <v>4901.7659999999996</v>
      </c>
    </row>
    <row r="146" spans="1:27" x14ac:dyDescent="0.2">
      <c r="A146" s="147">
        <v>2013</v>
      </c>
      <c r="B146" s="147">
        <v>1</v>
      </c>
      <c r="C146" s="147" t="str">
        <f t="shared" si="41"/>
        <v>20131</v>
      </c>
      <c r="D146" s="147" t="str">
        <f t="shared" si="48"/>
        <v>Q1</v>
      </c>
      <c r="E146" s="151">
        <f t="shared" si="47"/>
        <v>132634.41351828325</v>
      </c>
      <c r="F146" s="151">
        <f t="shared" si="47"/>
        <v>132729.997</v>
      </c>
      <c r="G146" s="151">
        <f t="shared" si="42"/>
        <v>4392.3379999999997</v>
      </c>
      <c r="H146" s="151">
        <f t="shared" si="43"/>
        <v>4414.6940000000004</v>
      </c>
      <c r="I146" s="151">
        <f t="shared" si="38"/>
        <v>1728.127</v>
      </c>
      <c r="J146" s="284">
        <f t="shared" si="44"/>
        <v>-7.2013473877163836E-4</v>
      </c>
      <c r="M146" s="147">
        <f t="shared" si="46"/>
        <v>2037</v>
      </c>
      <c r="N146" s="170" t="str">
        <f t="shared" si="36"/>
        <v>Q1</v>
      </c>
      <c r="O146" s="170" t="str">
        <f t="shared" ref="O146:O169" si="49">M146&amp;N146</f>
        <v>2037Q1</v>
      </c>
      <c r="P146" s="175">
        <v>234041.8878051943</v>
      </c>
      <c r="Q146" s="175">
        <v>232435.19899999999</v>
      </c>
      <c r="R146" s="233">
        <v>2076.9920000000002</v>
      </c>
      <c r="S146" s="233">
        <v>2077.4059999999999</v>
      </c>
      <c r="T146" s="180">
        <v>72447.763150773302</v>
      </c>
      <c r="U146" s="180"/>
      <c r="V146" s="235">
        <f t="shared" si="45"/>
        <v>5154.5029999999997</v>
      </c>
      <c r="W146" s="180">
        <v>619.09722489805438</v>
      </c>
      <c r="X146" s="180">
        <v>5154.5029999999997</v>
      </c>
      <c r="Y146" s="170">
        <f t="shared" si="39"/>
        <v>0.2980739573855144</v>
      </c>
      <c r="Z146" s="170">
        <f t="shared" si="40"/>
        <v>2.4812208109536602</v>
      </c>
      <c r="AA146" s="180">
        <v>4905.6639999999998</v>
      </c>
    </row>
    <row r="147" spans="1:27" x14ac:dyDescent="0.2">
      <c r="A147" s="147">
        <v>2013</v>
      </c>
      <c r="B147" s="147">
        <v>2</v>
      </c>
      <c r="C147" s="147" t="str">
        <f t="shared" si="41"/>
        <v>20132</v>
      </c>
      <c r="D147" s="147" t="str">
        <f t="shared" si="48"/>
        <v>Q1</v>
      </c>
      <c r="E147" s="151">
        <f t="shared" si="47"/>
        <v>132634.41351828325</v>
      </c>
      <c r="F147" s="151">
        <f t="shared" si="47"/>
        <v>132729.997</v>
      </c>
      <c r="G147" s="151">
        <f t="shared" si="42"/>
        <v>4392.3379999999997</v>
      </c>
      <c r="H147" s="151">
        <f t="shared" si="43"/>
        <v>4414.6940000000004</v>
      </c>
      <c r="I147" s="151">
        <f t="shared" si="38"/>
        <v>1728.127</v>
      </c>
      <c r="J147" s="284">
        <f t="shared" si="44"/>
        <v>-7.2013473877163836E-4</v>
      </c>
      <c r="M147" s="147">
        <f t="shared" si="46"/>
        <v>2037</v>
      </c>
      <c r="N147" s="170" t="str">
        <f t="shared" si="36"/>
        <v>Q2</v>
      </c>
      <c r="O147" s="170" t="str">
        <f t="shared" si="49"/>
        <v>2037Q2</v>
      </c>
      <c r="P147" s="175">
        <v>235014.92108753874</v>
      </c>
      <c r="Q147" s="175">
        <v>233443.413</v>
      </c>
      <c r="R147" s="233">
        <v>2079.442</v>
      </c>
      <c r="S147" s="233">
        <v>2080.7649999999999</v>
      </c>
      <c r="T147" s="180">
        <v>72741.245498345263</v>
      </c>
      <c r="U147" s="180"/>
      <c r="V147" s="235">
        <f t="shared" si="45"/>
        <v>5161.152</v>
      </c>
      <c r="W147" s="180">
        <v>620.33591978819868</v>
      </c>
      <c r="X147" s="180">
        <v>5161.152</v>
      </c>
      <c r="Y147" s="170">
        <f t="shared" si="39"/>
        <v>0.2983184526369087</v>
      </c>
      <c r="Z147" s="170">
        <f t="shared" si="40"/>
        <v>2.4804108104471192</v>
      </c>
      <c r="AA147" s="180">
        <v>4909.5519999999997</v>
      </c>
    </row>
    <row r="148" spans="1:27" x14ac:dyDescent="0.2">
      <c r="A148" s="147">
        <v>2013</v>
      </c>
      <c r="B148" s="147">
        <v>3</v>
      </c>
      <c r="C148" s="147" t="str">
        <f t="shared" si="41"/>
        <v>20133</v>
      </c>
      <c r="D148" s="147" t="str">
        <f t="shared" si="48"/>
        <v>Q1</v>
      </c>
      <c r="E148" s="151">
        <f t="shared" si="47"/>
        <v>132634.41351828325</v>
      </c>
      <c r="F148" s="151">
        <f t="shared" si="47"/>
        <v>132729.997</v>
      </c>
      <c r="G148" s="151">
        <f t="shared" si="42"/>
        <v>4392.3379999999997</v>
      </c>
      <c r="H148" s="151">
        <f t="shared" si="43"/>
        <v>4414.6940000000004</v>
      </c>
      <c r="I148" s="151">
        <f t="shared" si="38"/>
        <v>1728.127</v>
      </c>
      <c r="J148" s="284">
        <f t="shared" si="44"/>
        <v>-7.2013473877163836E-4</v>
      </c>
      <c r="M148" s="147">
        <f t="shared" si="46"/>
        <v>2037</v>
      </c>
      <c r="N148" s="170" t="str">
        <f t="shared" si="36"/>
        <v>Q3</v>
      </c>
      <c r="O148" s="170" t="str">
        <f t="shared" si="49"/>
        <v>2037Q3</v>
      </c>
      <c r="P148" s="175">
        <v>235880.41418362912</v>
      </c>
      <c r="Q148" s="175">
        <v>234353.842</v>
      </c>
      <c r="R148" s="233">
        <v>2082.4160000000002</v>
      </c>
      <c r="S148" s="233">
        <v>2084.1149999999998</v>
      </c>
      <c r="T148" s="180">
        <v>73102.722593319864</v>
      </c>
      <c r="U148" s="180"/>
      <c r="V148" s="235">
        <f t="shared" si="45"/>
        <v>5167.8109999999997</v>
      </c>
      <c r="W148" s="180">
        <v>621.57704803638842</v>
      </c>
      <c r="X148" s="180">
        <v>5167.8109999999997</v>
      </c>
      <c r="Y148" s="170">
        <f t="shared" si="39"/>
        <v>0.29848841347568805</v>
      </c>
      <c r="Z148" s="170">
        <f t="shared" si="40"/>
        <v>2.4796189269785978</v>
      </c>
      <c r="AA148" s="180">
        <v>4913.4409999999998</v>
      </c>
    </row>
    <row r="149" spans="1:27" x14ac:dyDescent="0.2">
      <c r="A149" s="147">
        <v>2013</v>
      </c>
      <c r="B149" s="147">
        <v>4</v>
      </c>
      <c r="C149" s="147" t="str">
        <f t="shared" si="41"/>
        <v>20134</v>
      </c>
      <c r="D149" s="147" t="str">
        <f t="shared" si="48"/>
        <v>Q2</v>
      </c>
      <c r="E149" s="151">
        <f t="shared" si="47"/>
        <v>133793.329456562</v>
      </c>
      <c r="F149" s="151">
        <f t="shared" si="47"/>
        <v>133712.25599999999</v>
      </c>
      <c r="G149" s="151">
        <f t="shared" si="42"/>
        <v>4396.8729999999996</v>
      </c>
      <c r="H149" s="151">
        <f t="shared" si="43"/>
        <v>4421.8450000000003</v>
      </c>
      <c r="I149" s="151">
        <f t="shared" si="38"/>
        <v>1731.874</v>
      </c>
      <c r="J149" s="284">
        <f t="shared" si="44"/>
        <v>6.0632778914460062E-4</v>
      </c>
      <c r="M149" s="147">
        <f t="shared" si="46"/>
        <v>2037</v>
      </c>
      <c r="N149" s="170" t="str">
        <f t="shared" si="36"/>
        <v>Q4</v>
      </c>
      <c r="O149" s="170" t="str">
        <f t="shared" si="49"/>
        <v>2037Q4</v>
      </c>
      <c r="P149" s="175">
        <v>236746.10323013621</v>
      </c>
      <c r="Q149" s="175">
        <v>235229.45199999999</v>
      </c>
      <c r="R149" s="233">
        <v>2085.3620000000001</v>
      </c>
      <c r="S149" s="233">
        <v>2087.3009999999999</v>
      </c>
      <c r="T149" s="180">
        <v>73402.360419798119</v>
      </c>
      <c r="U149" s="180"/>
      <c r="V149" s="235">
        <f t="shared" si="45"/>
        <v>5174.4539999999997</v>
      </c>
      <c r="W149" s="180">
        <v>622.81751671910899</v>
      </c>
      <c r="X149" s="180">
        <v>5174.4539999999997</v>
      </c>
      <c r="Y149" s="170">
        <f t="shared" si="39"/>
        <v>0.29866158332179688</v>
      </c>
      <c r="Z149" s="170">
        <f t="shared" si="40"/>
        <v>2.4790166823088762</v>
      </c>
      <c r="AA149" s="180">
        <v>4917.3090000000002</v>
      </c>
    </row>
    <row r="150" spans="1:27" x14ac:dyDescent="0.2">
      <c r="A150" s="147">
        <v>2013</v>
      </c>
      <c r="B150" s="147">
        <v>5</v>
      </c>
      <c r="C150" s="147" t="str">
        <f t="shared" si="41"/>
        <v>20135</v>
      </c>
      <c r="D150" s="147" t="str">
        <f t="shared" si="48"/>
        <v>Q2</v>
      </c>
      <c r="E150" s="151">
        <f t="shared" si="47"/>
        <v>133793.329456562</v>
      </c>
      <c r="F150" s="151">
        <f t="shared" si="47"/>
        <v>133712.25599999999</v>
      </c>
      <c r="G150" s="151">
        <f t="shared" si="42"/>
        <v>4396.8729999999996</v>
      </c>
      <c r="H150" s="151">
        <f t="shared" si="43"/>
        <v>4421.8450000000003</v>
      </c>
      <c r="I150" s="151">
        <f t="shared" si="38"/>
        <v>1731.874</v>
      </c>
      <c r="J150" s="284">
        <f t="shared" si="44"/>
        <v>6.0632778914460062E-4</v>
      </c>
      <c r="M150" s="147">
        <f t="shared" si="46"/>
        <v>2038</v>
      </c>
      <c r="N150" s="170" t="str">
        <f t="shared" si="36"/>
        <v>Q1</v>
      </c>
      <c r="O150" s="170" t="str">
        <f t="shared" si="49"/>
        <v>2038Q1</v>
      </c>
      <c r="P150" s="175">
        <v>238591.12916266956</v>
      </c>
      <c r="Q150" s="175">
        <v>237001.329</v>
      </c>
      <c r="R150" s="233">
        <v>2088.3440000000001</v>
      </c>
      <c r="S150" s="233">
        <v>2090.703</v>
      </c>
      <c r="T150" s="180">
        <v>74168.296997856392</v>
      </c>
      <c r="U150" s="180"/>
      <c r="V150" s="235">
        <f t="shared" si="45"/>
        <v>5181.1000000000004</v>
      </c>
      <c r="W150" s="180">
        <v>624.12307531534395</v>
      </c>
      <c r="X150" s="180">
        <v>5181.1000000000004</v>
      </c>
      <c r="Y150" s="170">
        <f t="shared" si="39"/>
        <v>0.29886028131157699</v>
      </c>
      <c r="Z150" s="170">
        <f t="shared" si="40"/>
        <v>2.478161651846293</v>
      </c>
      <c r="AA150" s="180">
        <v>4921.1719999999996</v>
      </c>
    </row>
    <row r="151" spans="1:27" x14ac:dyDescent="0.2">
      <c r="A151" s="147">
        <v>2013</v>
      </c>
      <c r="B151" s="147">
        <v>6</v>
      </c>
      <c r="C151" s="147" t="str">
        <f t="shared" si="41"/>
        <v>20136</v>
      </c>
      <c r="D151" s="147" t="str">
        <f t="shared" si="48"/>
        <v>Q2</v>
      </c>
      <c r="E151" s="151">
        <f t="shared" si="47"/>
        <v>133793.329456562</v>
      </c>
      <c r="F151" s="151">
        <f t="shared" si="47"/>
        <v>133712.25599999999</v>
      </c>
      <c r="G151" s="151">
        <f t="shared" si="42"/>
        <v>4396.8729999999996</v>
      </c>
      <c r="H151" s="151">
        <f t="shared" si="43"/>
        <v>4421.8450000000003</v>
      </c>
      <c r="I151" s="151">
        <f t="shared" si="38"/>
        <v>1731.874</v>
      </c>
      <c r="J151" s="284">
        <f t="shared" si="44"/>
        <v>6.0632778914460062E-4</v>
      </c>
      <c r="M151" s="147">
        <f t="shared" si="46"/>
        <v>2038</v>
      </c>
      <c r="N151" s="170" t="str">
        <f t="shared" si="36"/>
        <v>Q2</v>
      </c>
      <c r="O151" s="170" t="str">
        <f t="shared" si="49"/>
        <v>2038Q2</v>
      </c>
      <c r="P151" s="175">
        <v>239529.22045199905</v>
      </c>
      <c r="Q151" s="175">
        <v>237918.01</v>
      </c>
      <c r="R151" s="233">
        <v>2091.375</v>
      </c>
      <c r="S151" s="233">
        <v>2094.067</v>
      </c>
      <c r="T151" s="180">
        <v>74450.486243109015</v>
      </c>
      <c r="U151" s="180"/>
      <c r="V151" s="235">
        <f t="shared" si="45"/>
        <v>5187.7489999999998</v>
      </c>
      <c r="W151" s="180">
        <v>625.36688214467949</v>
      </c>
      <c r="X151" s="180">
        <v>5187.7489999999998</v>
      </c>
      <c r="Y151" s="170">
        <f t="shared" si="39"/>
        <v>0.29902187897659649</v>
      </c>
      <c r="Z151" s="170">
        <f t="shared" si="40"/>
        <v>2.477355786610457</v>
      </c>
      <c r="AA151" s="180">
        <v>4925.0309999999999</v>
      </c>
    </row>
    <row r="152" spans="1:27" x14ac:dyDescent="0.2">
      <c r="A152" s="147">
        <v>2013</v>
      </c>
      <c r="B152" s="147">
        <v>7</v>
      </c>
      <c r="C152" s="147" t="str">
        <f t="shared" si="41"/>
        <v>20137</v>
      </c>
      <c r="D152" s="147" t="str">
        <f t="shared" si="48"/>
        <v>Q3</v>
      </c>
      <c r="E152" s="151">
        <f t="shared" si="47"/>
        <v>134725.28851443794</v>
      </c>
      <c r="F152" s="151">
        <f t="shared" si="47"/>
        <v>134397.17499999999</v>
      </c>
      <c r="G152" s="151">
        <f t="shared" si="42"/>
        <v>4401.67</v>
      </c>
      <c r="H152" s="151">
        <f t="shared" si="43"/>
        <v>4429.1769999999997</v>
      </c>
      <c r="I152" s="151">
        <f t="shared" si="38"/>
        <v>1735.721</v>
      </c>
      <c r="J152" s="284">
        <f t="shared" si="44"/>
        <v>2.4413721079923345E-3</v>
      </c>
      <c r="M152" s="147">
        <f t="shared" si="46"/>
        <v>2038</v>
      </c>
      <c r="N152" s="170" t="str">
        <f t="shared" si="36"/>
        <v>Q3</v>
      </c>
      <c r="O152" s="170" t="str">
        <f t="shared" si="49"/>
        <v>2038Q3</v>
      </c>
      <c r="P152" s="175">
        <v>240356.41755635547</v>
      </c>
      <c r="Q152" s="175">
        <v>238774.076</v>
      </c>
      <c r="R152" s="233">
        <v>2094.3809999999999</v>
      </c>
      <c r="S152" s="233">
        <v>2097.4160000000002</v>
      </c>
      <c r="T152" s="180">
        <v>74816.632055130074</v>
      </c>
      <c r="U152" s="180"/>
      <c r="V152" s="235">
        <f t="shared" si="45"/>
        <v>5194.402</v>
      </c>
      <c r="W152" s="180">
        <v>626.6757622102748</v>
      </c>
      <c r="X152" s="180">
        <v>5194.402</v>
      </c>
      <c r="Y152" s="170">
        <f t="shared" si="39"/>
        <v>0.29921765056609795</v>
      </c>
      <c r="Z152" s="170">
        <f t="shared" si="40"/>
        <v>2.4765721249384955</v>
      </c>
      <c r="AA152" s="180">
        <v>4928.8869999999997</v>
      </c>
    </row>
    <row r="153" spans="1:27" x14ac:dyDescent="0.2">
      <c r="A153" s="147">
        <v>2013</v>
      </c>
      <c r="B153" s="147">
        <v>8</v>
      </c>
      <c r="C153" s="147" t="str">
        <f t="shared" si="41"/>
        <v>20138</v>
      </c>
      <c r="D153" s="147" t="str">
        <f t="shared" si="48"/>
        <v>Q3</v>
      </c>
      <c r="E153" s="151">
        <f t="shared" si="47"/>
        <v>134725.28851443794</v>
      </c>
      <c r="F153" s="151">
        <f t="shared" si="47"/>
        <v>134397.17499999999</v>
      </c>
      <c r="G153" s="151">
        <f t="shared" si="42"/>
        <v>4401.67</v>
      </c>
      <c r="H153" s="151">
        <f t="shared" si="43"/>
        <v>4429.1769999999997</v>
      </c>
      <c r="I153" s="151">
        <f t="shared" si="38"/>
        <v>1735.721</v>
      </c>
      <c r="J153" s="284">
        <f t="shared" si="44"/>
        <v>2.4413721079923345E-3</v>
      </c>
      <c r="M153" s="147">
        <f t="shared" si="46"/>
        <v>2038</v>
      </c>
      <c r="N153" s="170" t="str">
        <f t="shared" si="36"/>
        <v>Q4</v>
      </c>
      <c r="O153" s="170" t="str">
        <f t="shared" si="49"/>
        <v>2038Q4</v>
      </c>
      <c r="P153" s="175">
        <v>241150.97720374091</v>
      </c>
      <c r="Q153" s="175">
        <v>239533.158</v>
      </c>
      <c r="R153" s="233">
        <v>2097.3989999999999</v>
      </c>
      <c r="S153" s="233">
        <v>2100.62</v>
      </c>
      <c r="T153" s="180">
        <v>75064.067244100908</v>
      </c>
      <c r="U153" s="180"/>
      <c r="V153" s="235">
        <f t="shared" si="45"/>
        <v>5201.0860000000002</v>
      </c>
      <c r="W153" s="180">
        <v>627.92641844128025</v>
      </c>
      <c r="X153" s="180">
        <v>5201.0860000000002</v>
      </c>
      <c r="Y153" s="170">
        <f t="shared" si="39"/>
        <v>0.29938338792060082</v>
      </c>
      <c r="Z153" s="170">
        <f t="shared" si="40"/>
        <v>2.475976616427531</v>
      </c>
      <c r="AA153" s="180">
        <v>4932.7629999999999</v>
      </c>
    </row>
    <row r="154" spans="1:27" x14ac:dyDescent="0.2">
      <c r="A154" s="147">
        <v>2013</v>
      </c>
      <c r="B154" s="147">
        <v>9</v>
      </c>
      <c r="C154" s="147" t="str">
        <f t="shared" si="41"/>
        <v>20139</v>
      </c>
      <c r="D154" s="147" t="str">
        <f t="shared" si="48"/>
        <v>Q3</v>
      </c>
      <c r="E154" s="151">
        <f t="shared" si="47"/>
        <v>134725.28851443794</v>
      </c>
      <c r="F154" s="151">
        <f t="shared" si="47"/>
        <v>134397.17499999999</v>
      </c>
      <c r="G154" s="151">
        <f t="shared" si="42"/>
        <v>4401.67</v>
      </c>
      <c r="H154" s="151">
        <f t="shared" si="43"/>
        <v>4429.1769999999997</v>
      </c>
      <c r="I154" s="151">
        <f t="shared" si="38"/>
        <v>1735.721</v>
      </c>
      <c r="J154" s="284">
        <f t="shared" si="44"/>
        <v>2.4413721079923345E-3</v>
      </c>
      <c r="M154" s="147">
        <f t="shared" si="46"/>
        <v>2039</v>
      </c>
      <c r="N154" s="170" t="str">
        <f t="shared" si="36"/>
        <v>Q1</v>
      </c>
      <c r="O154" s="170" t="str">
        <f t="shared" si="49"/>
        <v>2039Q1</v>
      </c>
      <c r="P154" s="175">
        <v>242958.74818235112</v>
      </c>
      <c r="Q154" s="175">
        <v>241255.864</v>
      </c>
      <c r="R154" s="233">
        <v>2100.3829999999998</v>
      </c>
      <c r="S154" s="233">
        <v>2104.0360000000001</v>
      </c>
      <c r="T154" s="180">
        <v>75840.568404815305</v>
      </c>
      <c r="U154" s="180"/>
      <c r="V154" s="235">
        <f t="shared" si="45"/>
        <v>5207.7619999999997</v>
      </c>
      <c r="W154" s="180">
        <v>629.17800150538812</v>
      </c>
      <c r="X154" s="180">
        <v>5207.7619999999997</v>
      </c>
      <c r="Y154" s="170">
        <f t="shared" si="39"/>
        <v>0.29955393921269985</v>
      </c>
      <c r="Z154" s="170">
        <f t="shared" si="40"/>
        <v>2.475129703103939</v>
      </c>
      <c r="AA154" s="180">
        <v>4936.625</v>
      </c>
    </row>
    <row r="155" spans="1:27" x14ac:dyDescent="0.2">
      <c r="A155" s="147">
        <v>2013</v>
      </c>
      <c r="B155" s="147">
        <v>10</v>
      </c>
      <c r="C155" s="147" t="str">
        <f t="shared" si="41"/>
        <v>201310</v>
      </c>
      <c r="D155" s="147" t="str">
        <f t="shared" si="48"/>
        <v>Q4</v>
      </c>
      <c r="E155" s="151">
        <f t="shared" si="47"/>
        <v>136078.24768430213</v>
      </c>
      <c r="F155" s="151">
        <f t="shared" si="47"/>
        <v>135147.93599999999</v>
      </c>
      <c r="G155" s="151">
        <f t="shared" si="42"/>
        <v>4406.7280000000001</v>
      </c>
      <c r="H155" s="151">
        <f t="shared" si="43"/>
        <v>4436.7079999999996</v>
      </c>
      <c r="I155" s="151">
        <f t="shared" si="38"/>
        <v>1739.7670000000001</v>
      </c>
      <c r="J155" s="284">
        <f t="shared" si="44"/>
        <v>6.8836544000356881E-3</v>
      </c>
      <c r="M155" s="147">
        <f t="shared" si="46"/>
        <v>2039</v>
      </c>
      <c r="N155" s="170" t="str">
        <f t="shared" si="36"/>
        <v>Q2</v>
      </c>
      <c r="O155" s="170" t="str">
        <f t="shared" si="49"/>
        <v>2039Q2</v>
      </c>
      <c r="P155" s="175">
        <v>243840.69925294744</v>
      </c>
      <c r="Q155" s="175">
        <v>242089.55</v>
      </c>
      <c r="R155" s="233">
        <v>2103.498</v>
      </c>
      <c r="S155" s="233">
        <v>2107.4079999999999</v>
      </c>
      <c r="T155" s="180">
        <v>76141.322355622717</v>
      </c>
      <c r="U155" s="180"/>
      <c r="V155" s="235">
        <f t="shared" si="45"/>
        <v>5214.4319999999998</v>
      </c>
      <c r="W155" s="180">
        <v>630.42944147805736</v>
      </c>
      <c r="X155" s="180">
        <v>5214.4319999999998</v>
      </c>
      <c r="Y155" s="170">
        <f t="shared" si="39"/>
        <v>0.29970527258787855</v>
      </c>
      <c r="Z155" s="170">
        <f t="shared" si="40"/>
        <v>2.4743343481660882</v>
      </c>
      <c r="AA155" s="180">
        <v>4940.4740000000002</v>
      </c>
    </row>
    <row r="156" spans="1:27" x14ac:dyDescent="0.2">
      <c r="A156" s="147">
        <v>2013</v>
      </c>
      <c r="B156" s="147">
        <v>11</v>
      </c>
      <c r="C156" s="147" t="str">
        <f t="shared" si="41"/>
        <v>201311</v>
      </c>
      <c r="D156" s="147" t="str">
        <f t="shared" si="48"/>
        <v>Q4</v>
      </c>
      <c r="E156" s="151">
        <f t="shared" si="47"/>
        <v>136078.24768430213</v>
      </c>
      <c r="F156" s="151">
        <f t="shared" si="47"/>
        <v>135147.93599999999</v>
      </c>
      <c r="G156" s="151">
        <f t="shared" si="42"/>
        <v>4406.7280000000001</v>
      </c>
      <c r="H156" s="151">
        <f t="shared" si="43"/>
        <v>4436.7079999999996</v>
      </c>
      <c r="I156" s="151">
        <f t="shared" si="38"/>
        <v>1739.7670000000001</v>
      </c>
      <c r="J156" s="284">
        <f t="shared" si="44"/>
        <v>6.8836544000356881E-3</v>
      </c>
      <c r="M156" s="147">
        <f t="shared" si="46"/>
        <v>2039</v>
      </c>
      <c r="N156" s="170" t="str">
        <f t="shared" si="36"/>
        <v>Q3</v>
      </c>
      <c r="O156" s="170" t="str">
        <f t="shared" si="49"/>
        <v>2039Q3</v>
      </c>
      <c r="P156" s="175">
        <v>244717.98632580542</v>
      </c>
      <c r="Q156" s="175">
        <v>242952.587</v>
      </c>
      <c r="R156" s="233">
        <v>2106.587</v>
      </c>
      <c r="S156" s="233">
        <v>2110.6</v>
      </c>
      <c r="T156" s="180">
        <v>76492.965770602008</v>
      </c>
      <c r="U156" s="180"/>
      <c r="V156" s="235">
        <f t="shared" si="45"/>
        <v>5221.0969999999998</v>
      </c>
      <c r="W156" s="180">
        <v>631.80927700202119</v>
      </c>
      <c r="X156" s="180">
        <v>5221.0969999999998</v>
      </c>
      <c r="Y156" s="170">
        <f t="shared" si="39"/>
        <v>0.29992080887332029</v>
      </c>
      <c r="Z156" s="170">
        <f t="shared" si="40"/>
        <v>2.4737501184497299</v>
      </c>
      <c r="AA156" s="180">
        <v>4944.3090000000002</v>
      </c>
    </row>
    <row r="157" spans="1:27" x14ac:dyDescent="0.2">
      <c r="A157" s="147">
        <v>2013</v>
      </c>
      <c r="B157" s="147">
        <v>12</v>
      </c>
      <c r="C157" s="147" t="str">
        <f t="shared" si="41"/>
        <v>201312</v>
      </c>
      <c r="D157" s="147" t="str">
        <f t="shared" si="48"/>
        <v>Q4</v>
      </c>
      <c r="E157" s="151">
        <f t="shared" si="47"/>
        <v>136078.24768430213</v>
      </c>
      <c r="F157" s="151">
        <f t="shared" si="47"/>
        <v>135147.93599999999</v>
      </c>
      <c r="G157" s="151">
        <f t="shared" si="42"/>
        <v>4406.7280000000001</v>
      </c>
      <c r="H157" s="151">
        <f t="shared" si="43"/>
        <v>4436.7079999999996</v>
      </c>
      <c r="I157" s="151">
        <f t="shared" si="38"/>
        <v>1739.7670000000001</v>
      </c>
      <c r="J157" s="284">
        <f t="shared" si="44"/>
        <v>6.8836544000356881E-3</v>
      </c>
      <c r="M157" s="147">
        <f t="shared" si="46"/>
        <v>2039</v>
      </c>
      <c r="N157" s="170" t="str">
        <f t="shared" si="36"/>
        <v>Q4</v>
      </c>
      <c r="O157" s="170" t="str">
        <f t="shared" si="49"/>
        <v>2039Q4</v>
      </c>
      <c r="P157" s="175">
        <v>245497.37409786243</v>
      </c>
      <c r="Q157" s="175">
        <v>243706.79399999999</v>
      </c>
      <c r="R157" s="233">
        <v>2109.66</v>
      </c>
      <c r="S157" s="233">
        <v>2114.0059999999999</v>
      </c>
      <c r="T157" s="180">
        <v>76695.004703515413</v>
      </c>
      <c r="U157" s="180"/>
      <c r="V157" s="235">
        <f t="shared" si="45"/>
        <v>5227.7560000000003</v>
      </c>
      <c r="W157" s="180">
        <v>633.06216126926881</v>
      </c>
      <c r="X157" s="180">
        <v>5227.7560000000003</v>
      </c>
      <c r="Y157" s="170">
        <f t="shared" si="39"/>
        <v>0.30007781408817952</v>
      </c>
      <c r="Z157" s="170">
        <f t="shared" si="40"/>
        <v>2.4729144571964321</v>
      </c>
      <c r="AA157" s="180">
        <v>4948.1319999999996</v>
      </c>
    </row>
    <row r="158" spans="1:27" x14ac:dyDescent="0.2">
      <c r="A158" s="147">
        <v>2014</v>
      </c>
      <c r="B158" s="147">
        <v>1</v>
      </c>
      <c r="C158" s="147" t="str">
        <f t="shared" si="41"/>
        <v>20141</v>
      </c>
      <c r="D158" s="147" t="str">
        <f t="shared" si="48"/>
        <v>Q1</v>
      </c>
      <c r="E158" s="151">
        <f t="shared" si="47"/>
        <v>137729.87198391245</v>
      </c>
      <c r="F158" s="151">
        <f t="shared" si="47"/>
        <v>136646.935</v>
      </c>
      <c r="G158" s="151">
        <f t="shared" si="42"/>
        <v>4412.0460000000003</v>
      </c>
      <c r="H158" s="151">
        <f t="shared" si="43"/>
        <v>4444.3590000000004</v>
      </c>
      <c r="I158" s="151">
        <f t="shared" si="38"/>
        <v>1744.0530000000001</v>
      </c>
      <c r="J158" s="284">
        <f t="shared" si="44"/>
        <v>7.9250733572067134E-3</v>
      </c>
      <c r="M158" s="147">
        <f t="shared" si="46"/>
        <v>2040</v>
      </c>
      <c r="N158" s="170" t="str">
        <f t="shared" si="36"/>
        <v>Q1</v>
      </c>
      <c r="O158" s="170" t="str">
        <f t="shared" si="49"/>
        <v>2040Q1</v>
      </c>
      <c r="P158" s="175">
        <v>247247.37505257796</v>
      </c>
      <c r="Q158" s="175">
        <v>245424.038</v>
      </c>
      <c r="R158" s="233">
        <v>2112.6480000000001</v>
      </c>
      <c r="S158" s="233">
        <v>2117.37</v>
      </c>
      <c r="T158" s="180">
        <v>77513.638711835636</v>
      </c>
      <c r="U158" s="180"/>
      <c r="V158" s="235">
        <f t="shared" si="45"/>
        <v>5234.41</v>
      </c>
      <c r="W158" s="180">
        <v>634.25135022203006</v>
      </c>
      <c r="X158" s="180">
        <v>5234.41</v>
      </c>
      <c r="Y158" s="170">
        <f t="shared" si="39"/>
        <v>0.30021629264412719</v>
      </c>
      <c r="Z158" s="170">
        <f t="shared" si="40"/>
        <v>2.47212815898969</v>
      </c>
      <c r="AA158" s="180">
        <v>4951.9440000000004</v>
      </c>
    </row>
    <row r="159" spans="1:27" x14ac:dyDescent="0.2">
      <c r="A159" s="147">
        <v>2014</v>
      </c>
      <c r="B159" s="147">
        <v>2</v>
      </c>
      <c r="C159" s="147" t="str">
        <f t="shared" si="41"/>
        <v>20142</v>
      </c>
      <c r="D159" s="147" t="str">
        <f t="shared" si="48"/>
        <v>Q1</v>
      </c>
      <c r="E159" s="151">
        <f t="shared" si="47"/>
        <v>137729.87198391245</v>
      </c>
      <c r="F159" s="151">
        <f t="shared" si="47"/>
        <v>136646.935</v>
      </c>
      <c r="G159" s="151">
        <f t="shared" si="42"/>
        <v>4412.0460000000003</v>
      </c>
      <c r="H159" s="151">
        <f t="shared" si="43"/>
        <v>4444.3590000000004</v>
      </c>
      <c r="I159" s="151">
        <f t="shared" si="38"/>
        <v>1744.0530000000001</v>
      </c>
      <c r="J159" s="284">
        <f t="shared" si="44"/>
        <v>7.9250733572067134E-3</v>
      </c>
      <c r="M159" s="147">
        <f t="shared" si="46"/>
        <v>2040</v>
      </c>
      <c r="N159" s="170" t="str">
        <f t="shared" si="36"/>
        <v>Q2</v>
      </c>
      <c r="O159" s="170" t="str">
        <f t="shared" si="49"/>
        <v>2040Q2</v>
      </c>
      <c r="P159" s="175">
        <v>248338.9887301742</v>
      </c>
      <c r="Q159" s="175">
        <v>246375.226</v>
      </c>
      <c r="R159" s="233">
        <v>2115.703</v>
      </c>
      <c r="S159" s="233">
        <v>2120.7190000000001</v>
      </c>
      <c r="T159" s="180">
        <v>77841.976074505961</v>
      </c>
      <c r="U159" s="180"/>
      <c r="V159" s="235">
        <f t="shared" si="45"/>
        <v>5241.0609999999997</v>
      </c>
      <c r="W159" s="180">
        <v>635.50431009664203</v>
      </c>
      <c r="X159" s="180">
        <v>5241.0609999999997</v>
      </c>
      <c r="Y159" s="170">
        <f t="shared" si="39"/>
        <v>0.30037501014870333</v>
      </c>
      <c r="Z159" s="170">
        <f t="shared" si="40"/>
        <v>2.4713604206875117</v>
      </c>
      <c r="AA159" s="180">
        <v>4955.7439999999997</v>
      </c>
    </row>
    <row r="160" spans="1:27" x14ac:dyDescent="0.2">
      <c r="A160" s="147">
        <v>2014</v>
      </c>
      <c r="B160" s="147">
        <v>3</v>
      </c>
      <c r="C160" s="147" t="str">
        <f t="shared" si="41"/>
        <v>20143</v>
      </c>
      <c r="D160" s="147" t="str">
        <f t="shared" si="48"/>
        <v>Q1</v>
      </c>
      <c r="E160" s="151">
        <f t="shared" si="47"/>
        <v>137729.87198391245</v>
      </c>
      <c r="F160" s="151">
        <f t="shared" si="47"/>
        <v>136646.935</v>
      </c>
      <c r="G160" s="151">
        <f t="shared" si="42"/>
        <v>4412.0460000000003</v>
      </c>
      <c r="H160" s="151">
        <f t="shared" si="43"/>
        <v>4444.3590000000004</v>
      </c>
      <c r="I160" s="151">
        <f t="shared" si="38"/>
        <v>1744.0530000000001</v>
      </c>
      <c r="J160" s="284">
        <f t="shared" si="44"/>
        <v>7.9250733572067134E-3</v>
      </c>
      <c r="M160" s="147">
        <f t="shared" si="46"/>
        <v>2040</v>
      </c>
      <c r="N160" s="170" t="str">
        <f t="shared" si="36"/>
        <v>Q3</v>
      </c>
      <c r="O160" s="170" t="str">
        <f t="shared" si="49"/>
        <v>2040Q3</v>
      </c>
      <c r="P160" s="175">
        <v>249314.18166869634</v>
      </c>
      <c r="Q160" s="175">
        <v>247249.16699999999</v>
      </c>
      <c r="R160" s="233">
        <v>2118.7440000000001</v>
      </c>
      <c r="S160" s="233">
        <v>2123.8980000000001</v>
      </c>
      <c r="T160" s="180">
        <v>78204.146715535113</v>
      </c>
      <c r="U160" s="180"/>
      <c r="V160" s="235">
        <f t="shared" si="45"/>
        <v>5247.7089999999998</v>
      </c>
      <c r="W160" s="180">
        <v>636.950438588221</v>
      </c>
      <c r="X160" s="180">
        <v>5247.7089999999998</v>
      </c>
      <c r="Y160" s="170">
        <f t="shared" si="39"/>
        <v>0.30062642706632842</v>
      </c>
      <c r="Z160" s="170">
        <f t="shared" si="40"/>
        <v>2.470791441020237</v>
      </c>
      <c r="AA160" s="180">
        <v>4959.5339999999997</v>
      </c>
    </row>
    <row r="161" spans="1:28" x14ac:dyDescent="0.2">
      <c r="A161" s="147">
        <v>2014</v>
      </c>
      <c r="B161" s="147">
        <v>4</v>
      </c>
      <c r="C161" s="147" t="str">
        <f t="shared" si="41"/>
        <v>20144</v>
      </c>
      <c r="D161" s="147" t="str">
        <f t="shared" si="48"/>
        <v>Q2</v>
      </c>
      <c r="E161" s="151">
        <f t="shared" si="47"/>
        <v>138587.15317635782</v>
      </c>
      <c r="F161" s="151">
        <f t="shared" si="47"/>
        <v>137566.70699999999</v>
      </c>
      <c r="G161" s="151">
        <f t="shared" si="42"/>
        <v>4417.6229999999996</v>
      </c>
      <c r="H161" s="151">
        <f t="shared" si="43"/>
        <v>4452.1120000000001</v>
      </c>
      <c r="I161" s="151">
        <f t="shared" si="38"/>
        <v>1748.413</v>
      </c>
      <c r="J161" s="284">
        <f t="shared" si="44"/>
        <v>7.4178280385661655E-3</v>
      </c>
      <c r="M161" s="147">
        <f t="shared" si="46"/>
        <v>2040</v>
      </c>
      <c r="N161" s="170" t="str">
        <f t="shared" si="36"/>
        <v>Q4</v>
      </c>
      <c r="O161" s="170" t="str">
        <f t="shared" si="49"/>
        <v>2040Q4</v>
      </c>
      <c r="P161" s="175">
        <v>250091.94680333562</v>
      </c>
      <c r="Q161" s="175">
        <v>247944.00599999999</v>
      </c>
      <c r="R161" s="233">
        <v>2121.819</v>
      </c>
      <c r="S161" s="233">
        <v>2127.299</v>
      </c>
      <c r="T161" s="180">
        <v>78353.210632927832</v>
      </c>
      <c r="U161" s="180"/>
      <c r="V161" s="235">
        <f t="shared" si="45"/>
        <v>5254.3540000000003</v>
      </c>
      <c r="W161" s="180">
        <v>638.20565882033202</v>
      </c>
      <c r="X161" s="180">
        <v>5254.3540000000003</v>
      </c>
      <c r="Y161" s="170">
        <f t="shared" si="39"/>
        <v>0.30078232819120387</v>
      </c>
      <c r="Z161" s="170">
        <f t="shared" si="40"/>
        <v>2.4699649649626125</v>
      </c>
      <c r="AA161" s="180">
        <v>4963.3140000000003</v>
      </c>
    </row>
    <row r="162" spans="1:28" x14ac:dyDescent="0.2">
      <c r="A162" s="147">
        <v>2014</v>
      </c>
      <c r="B162" s="147">
        <v>5</v>
      </c>
      <c r="C162" s="147" t="str">
        <f t="shared" si="41"/>
        <v>20145</v>
      </c>
      <c r="D162" s="147" t="str">
        <f t="shared" si="48"/>
        <v>Q2</v>
      </c>
      <c r="E162" s="151">
        <f t="shared" ref="E162:F181" si="50">VLOOKUP($A162&amp;$D162,$O$1:$V$189,MATCH(E$1,$O$1:$V$1,0),0)</f>
        <v>138587.15317635782</v>
      </c>
      <c r="F162" s="151">
        <f t="shared" si="50"/>
        <v>137566.70699999999</v>
      </c>
      <c r="G162" s="151">
        <f t="shared" si="42"/>
        <v>4417.6229999999996</v>
      </c>
      <c r="H162" s="151">
        <f t="shared" si="43"/>
        <v>4452.1120000000001</v>
      </c>
      <c r="I162" s="151">
        <f t="shared" si="38"/>
        <v>1748.413</v>
      </c>
      <c r="J162" s="284">
        <f t="shared" si="44"/>
        <v>7.4178280385661655E-3</v>
      </c>
      <c r="M162" s="147">
        <f t="shared" si="46"/>
        <v>2041</v>
      </c>
      <c r="N162" s="170" t="str">
        <f t="shared" si="36"/>
        <v>Q1</v>
      </c>
      <c r="O162" s="170" t="str">
        <f t="shared" si="49"/>
        <v>2041Q1</v>
      </c>
      <c r="P162" s="179">
        <v>251445.55394935544</v>
      </c>
      <c r="Q162" s="175">
        <v>249612.27900000001</v>
      </c>
      <c r="R162" s="234">
        <v>2125.2959999999998</v>
      </c>
      <c r="S162" s="234">
        <v>2130.652</v>
      </c>
      <c r="T162" s="180">
        <v>79359.287038077135</v>
      </c>
      <c r="U162" s="180"/>
      <c r="V162" s="235">
        <f t="shared" si="45"/>
        <v>5261</v>
      </c>
      <c r="W162" s="180">
        <v>639.33871660719103</v>
      </c>
      <c r="X162" s="180">
        <v>5261</v>
      </c>
      <c r="Y162" s="170">
        <f t="shared" si="39"/>
        <v>0.30082337547672938</v>
      </c>
      <c r="Z162" s="170">
        <f t="shared" si="40"/>
        <v>2.4691972222587264</v>
      </c>
      <c r="AA162" s="180">
        <v>4967.0870000000004</v>
      </c>
    </row>
    <row r="163" spans="1:28" x14ac:dyDescent="0.2">
      <c r="A163" s="147">
        <v>2014</v>
      </c>
      <c r="B163" s="147">
        <v>6</v>
      </c>
      <c r="C163" s="147" t="str">
        <f t="shared" si="41"/>
        <v>20146</v>
      </c>
      <c r="D163" s="147" t="str">
        <f t="shared" si="48"/>
        <v>Q2</v>
      </c>
      <c r="E163" s="151">
        <f t="shared" si="50"/>
        <v>138587.15317635782</v>
      </c>
      <c r="F163" s="151">
        <f t="shared" si="50"/>
        <v>137566.70699999999</v>
      </c>
      <c r="G163" s="151">
        <f t="shared" si="42"/>
        <v>4417.6229999999996</v>
      </c>
      <c r="H163" s="151">
        <f t="shared" si="43"/>
        <v>4452.1120000000001</v>
      </c>
      <c r="I163" s="151">
        <f t="shared" si="38"/>
        <v>1748.413</v>
      </c>
      <c r="J163" s="284">
        <f t="shared" si="44"/>
        <v>7.4178280385661655E-3</v>
      </c>
      <c r="M163" s="147">
        <f t="shared" si="46"/>
        <v>2041</v>
      </c>
      <c r="N163" s="170" t="str">
        <f t="shared" si="36"/>
        <v>Q2</v>
      </c>
      <c r="O163" s="170" t="str">
        <f t="shared" si="49"/>
        <v>2041Q2</v>
      </c>
      <c r="P163" s="179">
        <v>252430.87276282423</v>
      </c>
      <c r="Q163" s="175">
        <v>250429.492</v>
      </c>
      <c r="R163" s="234">
        <v>2128.549</v>
      </c>
      <c r="S163" s="234">
        <v>2133.9929999999999</v>
      </c>
      <c r="T163" s="180">
        <v>79663.055240366433</v>
      </c>
      <c r="U163" s="180"/>
      <c r="V163" s="235">
        <f t="shared" si="45"/>
        <v>5267.6459999999997</v>
      </c>
      <c r="W163" s="180">
        <v>640.59501436949245</v>
      </c>
      <c r="X163" s="180">
        <v>5267.6459999999997</v>
      </c>
      <c r="Y163" s="170">
        <f t="shared" si="39"/>
        <v>0.30095384901615724</v>
      </c>
      <c r="Z163" s="170">
        <f t="shared" si="40"/>
        <v>2.468445772783697</v>
      </c>
      <c r="AA163" s="180">
        <v>4970.8530000000001</v>
      </c>
    </row>
    <row r="164" spans="1:28" x14ac:dyDescent="0.2">
      <c r="A164" s="147">
        <v>2014</v>
      </c>
      <c r="B164" s="147">
        <v>7</v>
      </c>
      <c r="C164" s="147" t="str">
        <f t="shared" si="41"/>
        <v>20147</v>
      </c>
      <c r="D164" s="147" t="str">
        <f t="shared" si="48"/>
        <v>Q3</v>
      </c>
      <c r="E164" s="151">
        <f t="shared" si="50"/>
        <v>139504.7139044202</v>
      </c>
      <c r="F164" s="151">
        <f t="shared" si="50"/>
        <v>138505.228</v>
      </c>
      <c r="G164" s="151">
        <f t="shared" si="42"/>
        <v>4423.4579999999996</v>
      </c>
      <c r="H164" s="151">
        <f t="shared" si="43"/>
        <v>4459.9639999999999</v>
      </c>
      <c r="I164" s="151">
        <f t="shared" si="38"/>
        <v>1752.981</v>
      </c>
      <c r="J164" s="284">
        <f t="shared" si="44"/>
        <v>7.2162323318236687E-3</v>
      </c>
      <c r="M164" s="147">
        <f t="shared" si="46"/>
        <v>2041</v>
      </c>
      <c r="N164" s="170" t="str">
        <f t="shared" ref="N164:N173" si="51">N160</f>
        <v>Q3</v>
      </c>
      <c r="O164" s="170" t="str">
        <f t="shared" si="49"/>
        <v>2041Q3</v>
      </c>
      <c r="P164" s="179">
        <v>253350.96349015992</v>
      </c>
      <c r="Q164" s="175">
        <v>251394.72700000001</v>
      </c>
      <c r="R164" s="234">
        <v>2131.8040000000001</v>
      </c>
      <c r="S164" s="234">
        <v>2137.165</v>
      </c>
      <c r="T164" s="180">
        <v>80091.173605845252</v>
      </c>
      <c r="U164" s="180"/>
      <c r="V164" s="235">
        <f t="shared" si="45"/>
        <v>5274.2950000000001</v>
      </c>
      <c r="W164" s="180">
        <v>642.11068526836198</v>
      </c>
      <c r="X164" s="180">
        <v>5274.2950000000001</v>
      </c>
      <c r="Y164" s="170">
        <f t="shared" si="39"/>
        <v>0.301205310276349</v>
      </c>
      <c r="Z164" s="170">
        <f t="shared" si="40"/>
        <v>2.4678932136732543</v>
      </c>
      <c r="AA164" s="180">
        <v>4974.6130000000003</v>
      </c>
    </row>
    <row r="165" spans="1:28" x14ac:dyDescent="0.2">
      <c r="A165" s="147">
        <v>2014</v>
      </c>
      <c r="B165" s="147">
        <v>8</v>
      </c>
      <c r="C165" s="147" t="str">
        <f t="shared" si="41"/>
        <v>20148</v>
      </c>
      <c r="D165" s="147" t="str">
        <f t="shared" si="48"/>
        <v>Q3</v>
      </c>
      <c r="E165" s="151">
        <f t="shared" si="50"/>
        <v>139504.7139044202</v>
      </c>
      <c r="F165" s="151">
        <f t="shared" si="50"/>
        <v>138505.228</v>
      </c>
      <c r="G165" s="151">
        <f t="shared" si="42"/>
        <v>4423.4579999999996</v>
      </c>
      <c r="H165" s="151">
        <f t="shared" si="43"/>
        <v>4459.9639999999999</v>
      </c>
      <c r="I165" s="151">
        <f t="shared" si="38"/>
        <v>1752.981</v>
      </c>
      <c r="J165" s="284">
        <f t="shared" si="44"/>
        <v>7.2162323318236687E-3</v>
      </c>
      <c r="M165" s="147">
        <f t="shared" si="46"/>
        <v>2041</v>
      </c>
      <c r="N165" s="170" t="str">
        <f t="shared" si="51"/>
        <v>Q4</v>
      </c>
      <c r="O165" s="170" t="str">
        <f t="shared" si="49"/>
        <v>2041Q4</v>
      </c>
      <c r="P165" s="179">
        <v>254215.79508224427</v>
      </c>
      <c r="Q165" s="175">
        <v>252359.43400000001</v>
      </c>
      <c r="R165" s="234">
        <v>2135.0920000000001</v>
      </c>
      <c r="S165" s="234">
        <v>2140.556</v>
      </c>
      <c r="T165" s="180">
        <v>80240.833138693764</v>
      </c>
      <c r="U165" s="180"/>
      <c r="V165" s="235">
        <f t="shared" si="45"/>
        <v>5280.9449999999997</v>
      </c>
      <c r="W165" s="180">
        <v>643.37052213524282</v>
      </c>
      <c r="X165" s="180">
        <v>5280.9449999999997</v>
      </c>
      <c r="Y165" s="170">
        <f t="shared" si="39"/>
        <v>0.30133152207738251</v>
      </c>
      <c r="Z165" s="170">
        <f t="shared" si="40"/>
        <v>2.4670903260648167</v>
      </c>
      <c r="AA165" s="180">
        <v>4978.3670000000002</v>
      </c>
    </row>
    <row r="166" spans="1:28" x14ac:dyDescent="0.2">
      <c r="A166" s="147">
        <v>2014</v>
      </c>
      <c r="B166" s="147">
        <v>9</v>
      </c>
      <c r="C166" s="147" t="str">
        <f t="shared" si="41"/>
        <v>20149</v>
      </c>
      <c r="D166" s="147" t="str">
        <f t="shared" si="48"/>
        <v>Q3</v>
      </c>
      <c r="E166" s="151">
        <f t="shared" si="50"/>
        <v>139504.7139044202</v>
      </c>
      <c r="F166" s="151">
        <f t="shared" si="50"/>
        <v>138505.228</v>
      </c>
      <c r="G166" s="151">
        <f t="shared" si="42"/>
        <v>4423.4579999999996</v>
      </c>
      <c r="H166" s="151">
        <f t="shared" si="43"/>
        <v>4459.9639999999999</v>
      </c>
      <c r="I166" s="151">
        <f t="shared" si="38"/>
        <v>1752.981</v>
      </c>
      <c r="J166" s="284">
        <f t="shared" si="44"/>
        <v>7.2162323318236687E-3</v>
      </c>
      <c r="M166" s="147">
        <f t="shared" si="46"/>
        <v>2042</v>
      </c>
      <c r="N166" s="170" t="str">
        <f t="shared" si="51"/>
        <v>Q1</v>
      </c>
      <c r="O166" s="170" t="str">
        <f t="shared" si="49"/>
        <v>2042Q1</v>
      </c>
      <c r="P166" s="179">
        <v>255614.41437076326</v>
      </c>
      <c r="Q166" s="175">
        <v>253356.46318499997</v>
      </c>
      <c r="R166" s="178">
        <f>R161*(1.0075)</f>
        <v>2137.7326425000001</v>
      </c>
      <c r="S166" s="234">
        <v>2143.9070000000002</v>
      </c>
      <c r="T166" s="178">
        <f>T162*(1.015)</f>
        <v>80549.676343648287</v>
      </c>
      <c r="U166" s="180"/>
      <c r="V166" s="178">
        <f>V165+8</f>
        <v>5288.9449999999997</v>
      </c>
      <c r="AA166" s="180">
        <v>4982.116</v>
      </c>
      <c r="AB166" s="170">
        <f>AA166/AA162-1</f>
        <v>3.0257170852854287E-3</v>
      </c>
    </row>
    <row r="167" spans="1:28" x14ac:dyDescent="0.2">
      <c r="A167" s="147">
        <v>2014</v>
      </c>
      <c r="B167" s="147">
        <v>10</v>
      </c>
      <c r="C167" s="147" t="str">
        <f t="shared" si="41"/>
        <v>201410</v>
      </c>
      <c r="D167" s="147" t="str">
        <f t="shared" si="48"/>
        <v>Q4</v>
      </c>
      <c r="E167" s="151">
        <f t="shared" si="50"/>
        <v>140534.52334076585</v>
      </c>
      <c r="F167" s="151">
        <f t="shared" si="50"/>
        <v>139445.223</v>
      </c>
      <c r="G167" s="151">
        <f t="shared" si="42"/>
        <v>4429.549</v>
      </c>
      <c r="H167" s="151">
        <f t="shared" si="43"/>
        <v>4467.9120000000003</v>
      </c>
      <c r="I167" s="151">
        <f t="shared" si="38"/>
        <v>1757.5519999999999</v>
      </c>
      <c r="J167" s="284">
        <f t="shared" si="44"/>
        <v>7.8116719764997899E-3</v>
      </c>
      <c r="M167" s="147">
        <f t="shared" si="46"/>
        <v>2042</v>
      </c>
      <c r="N167" s="170" t="str">
        <f t="shared" si="51"/>
        <v>Q2</v>
      </c>
      <c r="O167" s="170" t="str">
        <f t="shared" si="49"/>
        <v>2042Q2</v>
      </c>
      <c r="P167" s="179">
        <v>256544.43847503333</v>
      </c>
      <c r="Q167" s="175">
        <v>254185.93437999996</v>
      </c>
      <c r="R167" s="178">
        <f>R162*(1.0075)</f>
        <v>2141.2357200000001</v>
      </c>
      <c r="S167" s="234">
        <v>2147.0749999999998</v>
      </c>
      <c r="T167" s="178">
        <f>T163*(1.015)</f>
        <v>80858.00106897192</v>
      </c>
      <c r="U167" s="180"/>
      <c r="V167" s="178">
        <f>V166+8</f>
        <v>5296.9449999999997</v>
      </c>
      <c r="AA167" s="180">
        <v>4985.8609999999999</v>
      </c>
      <c r="AB167" s="170">
        <f t="shared" ref="AB167:AB169" si="52">AA167/AA163-1</f>
        <v>3.0192001252098422E-3</v>
      </c>
    </row>
    <row r="168" spans="1:28" x14ac:dyDescent="0.2">
      <c r="A168" s="147">
        <v>2014</v>
      </c>
      <c r="B168" s="147">
        <v>11</v>
      </c>
      <c r="C168" s="147" t="str">
        <f t="shared" si="41"/>
        <v>201411</v>
      </c>
      <c r="D168" s="147" t="str">
        <f t="shared" si="48"/>
        <v>Q4</v>
      </c>
      <c r="E168" s="151">
        <f t="shared" si="50"/>
        <v>140534.52334076585</v>
      </c>
      <c r="F168" s="151">
        <f t="shared" si="50"/>
        <v>139445.223</v>
      </c>
      <c r="G168" s="151">
        <f t="shared" si="42"/>
        <v>4429.549</v>
      </c>
      <c r="H168" s="151">
        <f t="shared" si="43"/>
        <v>4467.9120000000003</v>
      </c>
      <c r="I168" s="151">
        <f t="shared" si="38"/>
        <v>1757.5519999999999</v>
      </c>
      <c r="J168" s="284">
        <f t="shared" si="44"/>
        <v>7.8116719764997899E-3</v>
      </c>
      <c r="M168" s="147">
        <f t="shared" si="46"/>
        <v>2042</v>
      </c>
      <c r="N168" s="170" t="str">
        <f t="shared" si="51"/>
        <v>Q3</v>
      </c>
      <c r="O168" s="170" t="str">
        <f t="shared" si="49"/>
        <v>2042Q3</v>
      </c>
      <c r="P168" s="179">
        <v>257421.6140649906</v>
      </c>
      <c r="Q168" s="175">
        <v>255165.64790499999</v>
      </c>
      <c r="R168" s="178">
        <f>R163*(1.0075)</f>
        <v>2144.5131175000001</v>
      </c>
      <c r="S168" s="234">
        <v>2150.2379999999998</v>
      </c>
      <c r="T168" s="178">
        <f>T164*(1.015)</f>
        <v>81292.541209932926</v>
      </c>
      <c r="U168" s="180"/>
      <c r="V168" s="178">
        <f>V167+8</f>
        <v>5304.9449999999997</v>
      </c>
      <c r="AA168" s="180">
        <v>4989.6009999999997</v>
      </c>
      <c r="AB168" s="170">
        <f t="shared" si="52"/>
        <v>3.0128976867143109E-3</v>
      </c>
    </row>
    <row r="169" spans="1:28" x14ac:dyDescent="0.2">
      <c r="A169" s="147">
        <v>2014</v>
      </c>
      <c r="B169" s="147">
        <v>12</v>
      </c>
      <c r="C169" s="147" t="str">
        <f t="shared" si="41"/>
        <v>201412</v>
      </c>
      <c r="D169" s="147" t="str">
        <f t="shared" si="48"/>
        <v>Q4</v>
      </c>
      <c r="E169" s="151">
        <f t="shared" si="50"/>
        <v>140534.52334076585</v>
      </c>
      <c r="F169" s="151">
        <f t="shared" si="50"/>
        <v>139445.223</v>
      </c>
      <c r="G169" s="151">
        <f t="shared" si="42"/>
        <v>4429.549</v>
      </c>
      <c r="H169" s="151">
        <f t="shared" si="43"/>
        <v>4467.9120000000003</v>
      </c>
      <c r="I169" s="151">
        <f t="shared" si="38"/>
        <v>1757.5519999999999</v>
      </c>
      <c r="J169" s="284">
        <f t="shared" si="44"/>
        <v>7.8116719764997899E-3</v>
      </c>
      <c r="M169" s="147">
        <f t="shared" si="46"/>
        <v>2042</v>
      </c>
      <c r="N169" s="170" t="str">
        <f t="shared" si="51"/>
        <v>Q4</v>
      </c>
      <c r="O169" s="170" t="str">
        <f t="shared" si="49"/>
        <v>2042Q4</v>
      </c>
      <c r="P169" s="179">
        <v>258320.39435679643</v>
      </c>
      <c r="Q169" s="175">
        <v>256144.82551</v>
      </c>
      <c r="R169" s="178">
        <f>R164*(1.0075)</f>
        <v>2147.7925300000002</v>
      </c>
      <c r="S169" s="234">
        <v>2153.4</v>
      </c>
      <c r="T169" s="178">
        <f>T165*(1.015)</f>
        <v>81444.445635774158</v>
      </c>
      <c r="U169" s="180"/>
      <c r="V169" s="178">
        <f>V168+8</f>
        <v>5312.9449999999997</v>
      </c>
      <c r="AA169" s="180">
        <v>4993.3379999999997</v>
      </c>
      <c r="AB169" s="170">
        <f t="shared" si="52"/>
        <v>3.0072109991086116E-3</v>
      </c>
    </row>
    <row r="170" spans="1:28" x14ac:dyDescent="0.2">
      <c r="A170" s="147">
        <v>2015</v>
      </c>
      <c r="B170" s="147">
        <v>1</v>
      </c>
      <c r="C170" s="147" t="str">
        <f t="shared" si="41"/>
        <v>20151</v>
      </c>
      <c r="D170" s="147" t="str">
        <f t="shared" si="48"/>
        <v>Q1</v>
      </c>
      <c r="E170" s="151">
        <f t="shared" si="50"/>
        <v>142116.67062181202</v>
      </c>
      <c r="F170" s="151">
        <f t="shared" si="50"/>
        <v>140510.76300000001</v>
      </c>
      <c r="G170" s="151">
        <f t="shared" si="42"/>
        <v>4435.7820000000002</v>
      </c>
      <c r="H170" s="151">
        <f t="shared" si="43"/>
        <v>4475.9679999999998</v>
      </c>
      <c r="I170" s="151">
        <f t="shared" si="38"/>
        <v>1762.1859999999999</v>
      </c>
      <c r="J170" s="284">
        <f t="shared" si="44"/>
        <v>1.1429071962352211E-2</v>
      </c>
      <c r="M170" s="147">
        <f t="shared" si="46"/>
        <v>2043</v>
      </c>
      <c r="N170" s="170" t="str">
        <f t="shared" si="51"/>
        <v>Q1</v>
      </c>
      <c r="O170" s="170" t="str">
        <f t="shared" ref="O170:O173" si="53">M170&amp;N170</f>
        <v>2043Q1</v>
      </c>
      <c r="P170" s="178">
        <f t="shared" ref="P170:P173" si="54">P166*(1.015)</f>
        <v>259448.6305863247</v>
      </c>
      <c r="Q170" s="175">
        <v>257156.81013277493</v>
      </c>
      <c r="R170" s="178">
        <f t="shared" ref="R170:R173" si="55">R165*(1.0075)</f>
        <v>2151.1051900000002</v>
      </c>
      <c r="S170" s="178">
        <f>S165*(1.006)</f>
        <v>2153.3993359999999</v>
      </c>
      <c r="T170" s="178">
        <f t="shared" ref="T170:T173" si="56">T166*(1.015)</f>
        <v>81757.921488802996</v>
      </c>
      <c r="U170" s="180"/>
      <c r="V170" s="178">
        <f t="shared" ref="V170:V173" si="57">V169+8</f>
        <v>5320.9449999999997</v>
      </c>
      <c r="AA170" s="235">
        <f>AA166*(1+AB166)</f>
        <v>4997.1904735020735</v>
      </c>
    </row>
    <row r="171" spans="1:28" x14ac:dyDescent="0.2">
      <c r="A171" s="147">
        <v>2015</v>
      </c>
      <c r="B171" s="147">
        <v>2</v>
      </c>
      <c r="C171" s="147" t="str">
        <f t="shared" si="41"/>
        <v>20152</v>
      </c>
      <c r="D171" s="147" t="str">
        <f t="shared" si="48"/>
        <v>Q1</v>
      </c>
      <c r="E171" s="151">
        <f t="shared" si="50"/>
        <v>142116.67062181202</v>
      </c>
      <c r="F171" s="151">
        <f t="shared" si="50"/>
        <v>140510.76300000001</v>
      </c>
      <c r="G171" s="151">
        <f t="shared" si="42"/>
        <v>4435.7820000000002</v>
      </c>
      <c r="H171" s="151">
        <f t="shared" si="43"/>
        <v>4475.9679999999998</v>
      </c>
      <c r="I171" s="151">
        <f t="shared" si="38"/>
        <v>1762.1859999999999</v>
      </c>
      <c r="J171" s="284">
        <f t="shared" si="44"/>
        <v>1.1429071962352211E-2</v>
      </c>
      <c r="M171" s="147">
        <f t="shared" si="46"/>
        <v>2043</v>
      </c>
      <c r="N171" s="170" t="str">
        <f t="shared" si="51"/>
        <v>Q2</v>
      </c>
      <c r="O171" s="170" t="str">
        <f t="shared" si="53"/>
        <v>2043Q2</v>
      </c>
      <c r="P171" s="178">
        <f t="shared" si="54"/>
        <v>260392.60505215879</v>
      </c>
      <c r="Q171" s="175">
        <v>257998.72339569993</v>
      </c>
      <c r="R171" s="178">
        <f t="shared" si="55"/>
        <v>2153.7656373187501</v>
      </c>
      <c r="S171" s="178">
        <f t="shared" ref="S171:S173" si="58">S166*(1.006)</f>
        <v>2156.770442</v>
      </c>
      <c r="T171" s="178">
        <f t="shared" si="56"/>
        <v>82070.871085006496</v>
      </c>
      <c r="U171" s="180"/>
      <c r="V171" s="178">
        <f t="shared" si="57"/>
        <v>5328.9449999999997</v>
      </c>
      <c r="AA171" s="235">
        <f t="shared" ref="AA171:AA173" si="59">AA167*(1+AB167)</f>
        <v>5000.9143121554789</v>
      </c>
    </row>
    <row r="172" spans="1:28" x14ac:dyDescent="0.2">
      <c r="A172" s="147">
        <v>2015</v>
      </c>
      <c r="B172" s="147">
        <v>3</v>
      </c>
      <c r="C172" s="147" t="str">
        <f t="shared" si="41"/>
        <v>20153</v>
      </c>
      <c r="D172" s="147" t="str">
        <f t="shared" si="48"/>
        <v>Q1</v>
      </c>
      <c r="E172" s="151">
        <f t="shared" si="50"/>
        <v>142116.67062181202</v>
      </c>
      <c r="F172" s="151">
        <f t="shared" si="50"/>
        <v>140510.76300000001</v>
      </c>
      <c r="G172" s="151">
        <f t="shared" si="42"/>
        <v>4435.7820000000002</v>
      </c>
      <c r="H172" s="151">
        <f t="shared" si="43"/>
        <v>4475.9679999999998</v>
      </c>
      <c r="I172" s="151">
        <f t="shared" si="38"/>
        <v>1762.1859999999999</v>
      </c>
      <c r="J172" s="284">
        <f t="shared" si="44"/>
        <v>1.1429071962352211E-2</v>
      </c>
      <c r="M172" s="147">
        <f t="shared" si="46"/>
        <v>2043</v>
      </c>
      <c r="N172" s="170" t="str">
        <f t="shared" si="51"/>
        <v>Q3</v>
      </c>
      <c r="O172" s="170" t="str">
        <f t="shared" si="53"/>
        <v>2043Q3</v>
      </c>
      <c r="P172" s="178">
        <f t="shared" si="54"/>
        <v>261282.93827596543</v>
      </c>
      <c r="Q172" s="175">
        <v>258993.13262357496</v>
      </c>
      <c r="R172" s="178">
        <f t="shared" si="55"/>
        <v>2157.2949879000003</v>
      </c>
      <c r="S172" s="178">
        <f t="shared" si="58"/>
        <v>2159.9574499999999</v>
      </c>
      <c r="T172" s="178">
        <f t="shared" si="56"/>
        <v>82511.929328081911</v>
      </c>
      <c r="U172" s="180"/>
      <c r="V172" s="178">
        <f t="shared" si="57"/>
        <v>5336.9449999999997</v>
      </c>
      <c r="AA172" s="235">
        <f t="shared" si="59"/>
        <v>5004.6341573105274</v>
      </c>
    </row>
    <row r="173" spans="1:28" x14ac:dyDescent="0.2">
      <c r="A173" s="147">
        <v>2015</v>
      </c>
      <c r="B173" s="147">
        <v>4</v>
      </c>
      <c r="C173" s="147" t="str">
        <f t="shared" si="41"/>
        <v>20154</v>
      </c>
      <c r="D173" s="147" t="str">
        <f t="shared" si="48"/>
        <v>Q2</v>
      </c>
      <c r="E173" s="151">
        <f t="shared" si="50"/>
        <v>142965.68227593292</v>
      </c>
      <c r="F173" s="151">
        <f t="shared" si="50"/>
        <v>141224.63399999999</v>
      </c>
      <c r="G173" s="151">
        <f t="shared" si="42"/>
        <v>4442.1580000000004</v>
      </c>
      <c r="H173" s="151">
        <f t="shared" si="43"/>
        <v>4484.1310000000003</v>
      </c>
      <c r="I173" s="151">
        <f t="shared" si="38"/>
        <v>1766.8579999999999</v>
      </c>
      <c r="J173" s="284">
        <f t="shared" si="44"/>
        <v>1.2328219423340281E-2</v>
      </c>
      <c r="M173" s="147">
        <f t="shared" si="46"/>
        <v>2043</v>
      </c>
      <c r="N173" s="170" t="str">
        <f t="shared" si="51"/>
        <v>Q4</v>
      </c>
      <c r="O173" s="170" t="str">
        <f t="shared" si="53"/>
        <v>2043Q4</v>
      </c>
      <c r="P173" s="178">
        <f t="shared" si="54"/>
        <v>262195.20027214836</v>
      </c>
      <c r="Q173" s="175">
        <v>259986.99789264996</v>
      </c>
      <c r="R173" s="178">
        <f t="shared" si="55"/>
        <v>2160.5969658812501</v>
      </c>
      <c r="S173" s="178">
        <f t="shared" si="58"/>
        <v>2163.139428</v>
      </c>
      <c r="T173" s="178">
        <f t="shared" si="56"/>
        <v>82666.112320310756</v>
      </c>
      <c r="U173" s="180"/>
      <c r="V173" s="178">
        <f t="shared" si="57"/>
        <v>5344.9449999999997</v>
      </c>
      <c r="AA173" s="235">
        <f t="shared" si="59"/>
        <v>5008.3540209558669</v>
      </c>
    </row>
    <row r="174" spans="1:28" x14ac:dyDescent="0.2">
      <c r="A174" s="147">
        <v>2015</v>
      </c>
      <c r="B174" s="147">
        <v>5</v>
      </c>
      <c r="C174" s="147" t="str">
        <f t="shared" si="41"/>
        <v>20155</v>
      </c>
      <c r="D174" s="147" t="str">
        <f t="shared" si="48"/>
        <v>Q2</v>
      </c>
      <c r="E174" s="151">
        <f t="shared" si="50"/>
        <v>142965.68227593292</v>
      </c>
      <c r="F174" s="151">
        <f t="shared" si="50"/>
        <v>141224.63399999999</v>
      </c>
      <c r="G174" s="151">
        <f t="shared" si="42"/>
        <v>4442.1580000000004</v>
      </c>
      <c r="H174" s="151">
        <f t="shared" si="43"/>
        <v>4484.1310000000003</v>
      </c>
      <c r="I174" s="151">
        <f t="shared" si="38"/>
        <v>1766.8579999999999</v>
      </c>
      <c r="J174" s="284">
        <f t="shared" si="44"/>
        <v>1.2328219423340281E-2</v>
      </c>
      <c r="Q174" s="149"/>
      <c r="R174" s="176"/>
      <c r="S174" s="176"/>
      <c r="T174" s="174"/>
      <c r="U174" s="180"/>
    </row>
    <row r="175" spans="1:28" x14ac:dyDescent="0.2">
      <c r="A175" s="147">
        <v>2015</v>
      </c>
      <c r="B175" s="147">
        <v>6</v>
      </c>
      <c r="C175" s="147" t="str">
        <f t="shared" si="41"/>
        <v>20156</v>
      </c>
      <c r="D175" s="147" t="str">
        <f t="shared" si="48"/>
        <v>Q2</v>
      </c>
      <c r="E175" s="151">
        <f t="shared" si="50"/>
        <v>142965.68227593292</v>
      </c>
      <c r="F175" s="151">
        <f t="shared" si="50"/>
        <v>141224.63399999999</v>
      </c>
      <c r="G175" s="151">
        <f t="shared" si="42"/>
        <v>4442.1580000000004</v>
      </c>
      <c r="H175" s="151">
        <f t="shared" si="43"/>
        <v>4484.1310000000003</v>
      </c>
      <c r="I175" s="151">
        <f t="shared" si="38"/>
        <v>1766.8579999999999</v>
      </c>
      <c r="J175" s="284">
        <f t="shared" si="44"/>
        <v>1.2328219423340281E-2</v>
      </c>
      <c r="P175" s="177"/>
      <c r="Q175" s="177"/>
      <c r="R175" s="177"/>
      <c r="S175" s="177"/>
      <c r="T175" s="174"/>
      <c r="U175" s="180"/>
    </row>
    <row r="176" spans="1:28" x14ac:dyDescent="0.2">
      <c r="A176" s="147">
        <v>2015</v>
      </c>
      <c r="B176" s="147">
        <v>7</v>
      </c>
      <c r="C176" s="147" t="str">
        <f t="shared" si="41"/>
        <v>20157</v>
      </c>
      <c r="D176" s="147" t="str">
        <f t="shared" si="48"/>
        <v>Q3</v>
      </c>
      <c r="E176" s="151">
        <f t="shared" si="50"/>
        <v>143852.26078152558</v>
      </c>
      <c r="F176" s="151">
        <f t="shared" si="50"/>
        <v>141992.24600000001</v>
      </c>
      <c r="G176" s="151">
        <f t="shared" si="42"/>
        <v>4448.6779999999999</v>
      </c>
      <c r="H176" s="151">
        <f t="shared" si="43"/>
        <v>4492.3999999999996</v>
      </c>
      <c r="I176" s="151">
        <f t="shared" si="38"/>
        <v>1771.377</v>
      </c>
      <c r="J176" s="284">
        <f t="shared" si="44"/>
        <v>1.3099410946183276E-2</v>
      </c>
      <c r="P176" s="177"/>
      <c r="Q176" s="177"/>
      <c r="R176" s="177"/>
      <c r="S176" s="191">
        <f>S166/S162-1</f>
        <v>6.2211003955596755E-3</v>
      </c>
      <c r="T176" s="174"/>
      <c r="U176" s="180"/>
    </row>
    <row r="177" spans="1:21" x14ac:dyDescent="0.2">
      <c r="A177" s="147">
        <v>2015</v>
      </c>
      <c r="B177" s="147">
        <v>8</v>
      </c>
      <c r="C177" s="147" t="str">
        <f t="shared" si="41"/>
        <v>20158</v>
      </c>
      <c r="D177" s="147" t="str">
        <f t="shared" si="48"/>
        <v>Q3</v>
      </c>
      <c r="E177" s="151">
        <f t="shared" si="50"/>
        <v>143852.26078152558</v>
      </c>
      <c r="F177" s="151">
        <f t="shared" si="50"/>
        <v>141992.24600000001</v>
      </c>
      <c r="G177" s="151">
        <f t="shared" si="42"/>
        <v>4448.6779999999999</v>
      </c>
      <c r="H177" s="151">
        <f t="shared" si="43"/>
        <v>4492.3999999999996</v>
      </c>
      <c r="I177" s="151">
        <f t="shared" si="38"/>
        <v>1771.377</v>
      </c>
      <c r="J177" s="284">
        <f t="shared" si="44"/>
        <v>1.3099410946183276E-2</v>
      </c>
      <c r="P177" s="177"/>
      <c r="Q177" s="177"/>
      <c r="R177" s="177"/>
      <c r="S177" s="191">
        <f t="shared" ref="S177:S178" si="60">S167/S163-1</f>
        <v>6.1302918988017652E-3</v>
      </c>
      <c r="T177" s="174"/>
      <c r="U177" s="180"/>
    </row>
    <row r="178" spans="1:21" x14ac:dyDescent="0.2">
      <c r="A178" s="147">
        <v>2015</v>
      </c>
      <c r="B178" s="147">
        <v>9</v>
      </c>
      <c r="C178" s="147" t="str">
        <f t="shared" si="41"/>
        <v>20159</v>
      </c>
      <c r="D178" s="147" t="str">
        <f t="shared" si="48"/>
        <v>Q3</v>
      </c>
      <c r="E178" s="151">
        <f t="shared" si="50"/>
        <v>143852.26078152558</v>
      </c>
      <c r="F178" s="151">
        <f t="shared" si="50"/>
        <v>141992.24600000001</v>
      </c>
      <c r="G178" s="151">
        <f t="shared" si="42"/>
        <v>4448.6779999999999</v>
      </c>
      <c r="H178" s="151">
        <f t="shared" si="43"/>
        <v>4492.3999999999996</v>
      </c>
      <c r="I178" s="151">
        <f t="shared" si="38"/>
        <v>1771.377</v>
      </c>
      <c r="J178" s="284">
        <f t="shared" si="44"/>
        <v>1.3099410946183276E-2</v>
      </c>
      <c r="P178" s="149">
        <f>P167-P165</f>
        <v>2328.6433927890612</v>
      </c>
      <c r="Q178" s="149"/>
      <c r="R178" s="149"/>
      <c r="S178" s="191">
        <f t="shared" si="60"/>
        <v>6.1169820767230654E-3</v>
      </c>
      <c r="T178" s="174"/>
      <c r="U178" s="180"/>
    </row>
    <row r="179" spans="1:21" x14ac:dyDescent="0.2">
      <c r="A179" s="147">
        <v>2015</v>
      </c>
      <c r="B179" s="147">
        <v>10</v>
      </c>
      <c r="C179" s="147" t="str">
        <f t="shared" si="41"/>
        <v>201510</v>
      </c>
      <c r="D179" s="147" t="str">
        <f t="shared" si="48"/>
        <v>Q4</v>
      </c>
      <c r="E179" s="151">
        <f t="shared" si="50"/>
        <v>144607.8510273135</v>
      </c>
      <c r="F179" s="151">
        <f t="shared" si="50"/>
        <v>142772.34400000001</v>
      </c>
      <c r="G179" s="151">
        <f t="shared" si="42"/>
        <v>4455.3419999999996</v>
      </c>
      <c r="H179" s="151">
        <f t="shared" si="43"/>
        <v>4500.777</v>
      </c>
      <c r="I179" s="151">
        <f t="shared" si="38"/>
        <v>1776.0530000000001</v>
      </c>
      <c r="J179" s="284">
        <f t="shared" si="44"/>
        <v>1.2856180517099913E-2</v>
      </c>
      <c r="P179" s="149">
        <f>P178/2</f>
        <v>1164.3216963945306</v>
      </c>
      <c r="Q179" s="149"/>
      <c r="R179" s="149"/>
      <c r="S179" s="191">
        <f>S169/S165-1</f>
        <v>6.000310199779868E-3</v>
      </c>
      <c r="T179" s="174"/>
      <c r="U179" s="180"/>
    </row>
    <row r="180" spans="1:21" x14ac:dyDescent="0.2">
      <c r="A180" s="147">
        <v>2015</v>
      </c>
      <c r="B180" s="147">
        <v>11</v>
      </c>
      <c r="C180" s="147" t="str">
        <f t="shared" si="41"/>
        <v>201511</v>
      </c>
      <c r="D180" s="147" t="str">
        <f t="shared" si="48"/>
        <v>Q4</v>
      </c>
      <c r="E180" s="151">
        <f t="shared" si="50"/>
        <v>144607.8510273135</v>
      </c>
      <c r="F180" s="151">
        <f t="shared" si="50"/>
        <v>142772.34400000001</v>
      </c>
      <c r="G180" s="151">
        <f t="shared" si="42"/>
        <v>4455.3419999999996</v>
      </c>
      <c r="H180" s="151">
        <f t="shared" si="43"/>
        <v>4500.777</v>
      </c>
      <c r="I180" s="151">
        <f t="shared" si="38"/>
        <v>1776.0530000000001</v>
      </c>
      <c r="J180" s="284">
        <f t="shared" si="44"/>
        <v>1.2856180517099913E-2</v>
      </c>
      <c r="P180" s="149"/>
      <c r="Q180" s="149"/>
      <c r="R180" s="149"/>
      <c r="S180" s="149"/>
      <c r="T180" s="174"/>
      <c r="U180" s="180"/>
    </row>
    <row r="181" spans="1:21" x14ac:dyDescent="0.2">
      <c r="A181" s="147">
        <v>2015</v>
      </c>
      <c r="B181" s="147">
        <v>12</v>
      </c>
      <c r="C181" s="147" t="str">
        <f t="shared" si="41"/>
        <v>201512</v>
      </c>
      <c r="D181" s="147" t="str">
        <f t="shared" si="48"/>
        <v>Q4</v>
      </c>
      <c r="E181" s="151">
        <f t="shared" si="50"/>
        <v>144607.8510273135</v>
      </c>
      <c r="F181" s="151">
        <f t="shared" si="50"/>
        <v>142772.34400000001</v>
      </c>
      <c r="G181" s="151">
        <f t="shared" si="42"/>
        <v>4455.3419999999996</v>
      </c>
      <c r="H181" s="151">
        <f t="shared" si="43"/>
        <v>4500.777</v>
      </c>
      <c r="I181" s="151">
        <f t="shared" si="38"/>
        <v>1776.0530000000001</v>
      </c>
      <c r="J181" s="284">
        <f t="shared" si="44"/>
        <v>1.2856180517099913E-2</v>
      </c>
      <c r="P181" s="149"/>
      <c r="Q181" s="149"/>
      <c r="R181" s="149"/>
      <c r="S181" s="149"/>
      <c r="T181" s="174"/>
      <c r="U181" s="180"/>
    </row>
    <row r="182" spans="1:21" x14ac:dyDescent="0.2">
      <c r="A182" s="147">
        <v>2016</v>
      </c>
      <c r="B182" s="147">
        <v>1</v>
      </c>
      <c r="C182" s="147" t="str">
        <f t="shared" si="41"/>
        <v>20161</v>
      </c>
      <c r="D182" s="147" t="str">
        <f t="shared" si="48"/>
        <v>Q1</v>
      </c>
      <c r="E182" s="151">
        <f t="shared" ref="E182:F201" si="61">VLOOKUP($A182&amp;$D182,$O$1:$V$189,MATCH(E$1,$O$1:$V$1,0),0)</f>
        <v>146296.92551622883</v>
      </c>
      <c r="F182" s="151">
        <f t="shared" si="61"/>
        <v>144227.636</v>
      </c>
      <c r="G182" s="151">
        <f t="shared" si="42"/>
        <v>4462.1480000000001</v>
      </c>
      <c r="H182" s="151">
        <f t="shared" si="43"/>
        <v>4509.174</v>
      </c>
      <c r="I182" s="151">
        <f t="shared" si="38"/>
        <v>1780.7280000000001</v>
      </c>
      <c r="J182" s="284">
        <f t="shared" si="44"/>
        <v>1.434738565796656E-2</v>
      </c>
      <c r="P182" s="149"/>
      <c r="Q182" s="149"/>
      <c r="R182" s="149"/>
      <c r="S182" s="149"/>
      <c r="T182" s="174"/>
      <c r="U182" s="180"/>
    </row>
    <row r="183" spans="1:21" x14ac:dyDescent="0.2">
      <c r="A183" s="147">
        <v>2016</v>
      </c>
      <c r="B183" s="147">
        <v>2</v>
      </c>
      <c r="C183" s="147" t="str">
        <f t="shared" si="41"/>
        <v>20162</v>
      </c>
      <c r="D183" s="147" t="str">
        <f t="shared" si="48"/>
        <v>Q1</v>
      </c>
      <c r="E183" s="151">
        <f t="shared" si="61"/>
        <v>146296.92551622883</v>
      </c>
      <c r="F183" s="151">
        <f t="shared" si="61"/>
        <v>144227.636</v>
      </c>
      <c r="G183" s="151">
        <f t="shared" si="42"/>
        <v>4462.1480000000001</v>
      </c>
      <c r="H183" s="151">
        <f t="shared" si="43"/>
        <v>4509.174</v>
      </c>
      <c r="I183" s="151">
        <f t="shared" si="38"/>
        <v>1780.7280000000001</v>
      </c>
      <c r="J183" s="284">
        <f t="shared" si="44"/>
        <v>1.434738565796656E-2</v>
      </c>
      <c r="P183" s="149"/>
      <c r="Q183" s="149"/>
      <c r="R183" s="149"/>
      <c r="S183" s="149"/>
      <c r="T183" s="174"/>
      <c r="U183" s="180"/>
    </row>
    <row r="184" spans="1:21" x14ac:dyDescent="0.2">
      <c r="A184" s="147">
        <v>2016</v>
      </c>
      <c r="B184" s="147">
        <v>3</v>
      </c>
      <c r="C184" s="147" t="str">
        <f t="shared" si="41"/>
        <v>20163</v>
      </c>
      <c r="D184" s="147" t="str">
        <f t="shared" si="48"/>
        <v>Q1</v>
      </c>
      <c r="E184" s="151">
        <f t="shared" si="61"/>
        <v>146296.92551622883</v>
      </c>
      <c r="F184" s="151">
        <f t="shared" si="61"/>
        <v>144227.636</v>
      </c>
      <c r="G184" s="151">
        <f t="shared" si="42"/>
        <v>4462.1480000000001</v>
      </c>
      <c r="H184" s="151">
        <f t="shared" si="43"/>
        <v>4509.174</v>
      </c>
      <c r="I184" s="151">
        <f t="shared" si="38"/>
        <v>1780.7280000000001</v>
      </c>
      <c r="J184" s="284">
        <f t="shared" si="44"/>
        <v>1.434738565796656E-2</v>
      </c>
      <c r="P184" s="149"/>
      <c r="Q184" s="149"/>
      <c r="R184" s="149"/>
      <c r="S184" s="149"/>
      <c r="T184" s="174"/>
      <c r="U184" s="180"/>
    </row>
    <row r="185" spans="1:21" x14ac:dyDescent="0.2">
      <c r="A185" s="147">
        <v>2016</v>
      </c>
      <c r="B185" s="147">
        <v>4</v>
      </c>
      <c r="C185" s="147" t="str">
        <f t="shared" si="41"/>
        <v>20164</v>
      </c>
      <c r="D185" s="147" t="str">
        <f t="shared" si="48"/>
        <v>Q2</v>
      </c>
      <c r="E185" s="151">
        <f t="shared" si="61"/>
        <v>147022.06988722185</v>
      </c>
      <c r="F185" s="151">
        <f t="shared" si="61"/>
        <v>145000.861</v>
      </c>
      <c r="G185" s="151">
        <f t="shared" si="42"/>
        <v>4468.982</v>
      </c>
      <c r="H185" s="151">
        <f t="shared" si="43"/>
        <v>4517.5919999999996</v>
      </c>
      <c r="I185" s="151">
        <f t="shared" si="38"/>
        <v>1785.376</v>
      </c>
      <c r="J185" s="284">
        <f t="shared" si="44"/>
        <v>1.3939288865476795E-2</v>
      </c>
      <c r="P185" s="149"/>
      <c r="Q185" s="149"/>
      <c r="R185" s="149"/>
      <c r="S185" s="149"/>
      <c r="T185" s="174"/>
      <c r="U185" s="180"/>
    </row>
    <row r="186" spans="1:21" x14ac:dyDescent="0.2">
      <c r="A186" s="147">
        <v>2016</v>
      </c>
      <c r="B186" s="147">
        <v>5</v>
      </c>
      <c r="C186" s="147" t="str">
        <f t="shared" si="41"/>
        <v>20165</v>
      </c>
      <c r="D186" s="147" t="str">
        <f t="shared" si="48"/>
        <v>Q2</v>
      </c>
      <c r="E186" s="151">
        <f t="shared" si="61"/>
        <v>147022.06988722185</v>
      </c>
      <c r="F186" s="151">
        <f t="shared" si="61"/>
        <v>145000.861</v>
      </c>
      <c r="G186" s="151">
        <f t="shared" si="42"/>
        <v>4468.982</v>
      </c>
      <c r="H186" s="151">
        <f t="shared" si="43"/>
        <v>4517.5919999999996</v>
      </c>
      <c r="I186" s="151">
        <f t="shared" si="38"/>
        <v>1785.376</v>
      </c>
      <c r="J186" s="284">
        <f t="shared" si="44"/>
        <v>1.3939288865476795E-2</v>
      </c>
      <c r="P186" s="149"/>
      <c r="Q186" s="149"/>
      <c r="R186" s="149"/>
      <c r="S186" s="149"/>
      <c r="T186" s="174"/>
      <c r="U186" s="180"/>
    </row>
    <row r="187" spans="1:21" x14ac:dyDescent="0.2">
      <c r="A187" s="147">
        <v>2016</v>
      </c>
      <c r="B187" s="147">
        <v>6</v>
      </c>
      <c r="C187" s="147" t="str">
        <f t="shared" si="41"/>
        <v>20166</v>
      </c>
      <c r="D187" s="147" t="str">
        <f t="shared" si="48"/>
        <v>Q2</v>
      </c>
      <c r="E187" s="151">
        <f t="shared" si="61"/>
        <v>147022.06988722185</v>
      </c>
      <c r="F187" s="151">
        <f t="shared" si="61"/>
        <v>145000.861</v>
      </c>
      <c r="G187" s="151">
        <f t="shared" si="42"/>
        <v>4468.982</v>
      </c>
      <c r="H187" s="151">
        <f t="shared" si="43"/>
        <v>4517.5919999999996</v>
      </c>
      <c r="I187" s="151">
        <f t="shared" si="38"/>
        <v>1785.376</v>
      </c>
      <c r="J187" s="284">
        <f t="shared" si="44"/>
        <v>1.3939288865476795E-2</v>
      </c>
      <c r="P187" s="149"/>
      <c r="Q187" s="149"/>
      <c r="R187" s="149"/>
      <c r="S187" s="149"/>
      <c r="T187" s="174"/>
      <c r="U187" s="180"/>
    </row>
    <row r="188" spans="1:21" x14ac:dyDescent="0.2">
      <c r="A188" s="147">
        <v>2016</v>
      </c>
      <c r="B188" s="147">
        <v>7</v>
      </c>
      <c r="C188" s="147" t="str">
        <f t="shared" si="41"/>
        <v>20167</v>
      </c>
      <c r="D188" s="147" t="str">
        <f t="shared" si="48"/>
        <v>Q3</v>
      </c>
      <c r="E188" s="151">
        <f t="shared" si="61"/>
        <v>147730.40867742006</v>
      </c>
      <c r="F188" s="151">
        <f t="shared" si="61"/>
        <v>145740.07199999999</v>
      </c>
      <c r="G188" s="151">
        <f t="shared" si="42"/>
        <v>4475.848</v>
      </c>
      <c r="H188" s="151">
        <f t="shared" si="43"/>
        <v>4526.0309999999999</v>
      </c>
      <c r="I188" s="151">
        <f t="shared" si="38"/>
        <v>1790.0319999999999</v>
      </c>
      <c r="J188" s="284">
        <f t="shared" si="44"/>
        <v>1.3656756512512747E-2</v>
      </c>
      <c r="P188" s="149"/>
      <c r="Q188" s="149"/>
      <c r="R188" s="149"/>
      <c r="S188" s="149"/>
      <c r="T188" s="174"/>
      <c r="U188" s="180"/>
    </row>
    <row r="189" spans="1:21" x14ac:dyDescent="0.2">
      <c r="A189" s="147">
        <v>2016</v>
      </c>
      <c r="B189" s="147">
        <v>8</v>
      </c>
      <c r="C189" s="147" t="str">
        <f t="shared" si="41"/>
        <v>20168</v>
      </c>
      <c r="D189" s="147" t="str">
        <f t="shared" si="48"/>
        <v>Q3</v>
      </c>
      <c r="E189" s="151">
        <f t="shared" si="61"/>
        <v>147730.40867742006</v>
      </c>
      <c r="F189" s="151">
        <f t="shared" si="61"/>
        <v>145740.07199999999</v>
      </c>
      <c r="G189" s="151">
        <f t="shared" si="42"/>
        <v>4475.848</v>
      </c>
      <c r="H189" s="151">
        <f t="shared" si="43"/>
        <v>4526.0309999999999</v>
      </c>
      <c r="I189" s="151">
        <f t="shared" si="38"/>
        <v>1790.0319999999999</v>
      </c>
      <c r="J189" s="284">
        <f t="shared" si="44"/>
        <v>1.3656756512512747E-2</v>
      </c>
      <c r="P189" s="149"/>
      <c r="Q189" s="149"/>
      <c r="R189" s="149"/>
      <c r="S189" s="149"/>
      <c r="T189" s="174"/>
      <c r="U189" s="180"/>
    </row>
    <row r="190" spans="1:21" x14ac:dyDescent="0.2">
      <c r="A190" s="147">
        <v>2016</v>
      </c>
      <c r="B190" s="147">
        <v>9</v>
      </c>
      <c r="C190" s="147" t="str">
        <f t="shared" si="41"/>
        <v>20169</v>
      </c>
      <c r="D190" s="147" t="str">
        <f t="shared" si="48"/>
        <v>Q3</v>
      </c>
      <c r="E190" s="151">
        <f t="shared" si="61"/>
        <v>147730.40867742006</v>
      </c>
      <c r="F190" s="151">
        <f t="shared" si="61"/>
        <v>145740.07199999999</v>
      </c>
      <c r="G190" s="151">
        <f t="shared" si="42"/>
        <v>4475.848</v>
      </c>
      <c r="H190" s="151">
        <f t="shared" si="43"/>
        <v>4526.0309999999999</v>
      </c>
      <c r="I190" s="151">
        <f t="shared" si="38"/>
        <v>1790.0319999999999</v>
      </c>
      <c r="J190" s="284">
        <f t="shared" si="44"/>
        <v>1.3656756512512747E-2</v>
      </c>
      <c r="P190" s="149"/>
      <c r="Q190" s="149"/>
      <c r="R190" s="149"/>
      <c r="S190" s="149"/>
      <c r="T190" s="174"/>
      <c r="U190" s="180"/>
    </row>
    <row r="191" spans="1:21" x14ac:dyDescent="0.2">
      <c r="A191" s="147">
        <v>2016</v>
      </c>
      <c r="B191" s="147">
        <v>10</v>
      </c>
      <c r="C191" s="147" t="str">
        <f t="shared" si="41"/>
        <v>201610</v>
      </c>
      <c r="D191" s="147" t="str">
        <f t="shared" si="48"/>
        <v>Q4</v>
      </c>
      <c r="E191" s="151">
        <f t="shared" si="61"/>
        <v>148618.41551285889</v>
      </c>
      <c r="F191" s="151">
        <f t="shared" si="61"/>
        <v>146638.23699999999</v>
      </c>
      <c r="G191" s="151">
        <f t="shared" si="42"/>
        <v>4482.6970000000001</v>
      </c>
      <c r="H191" s="151">
        <f t="shared" si="43"/>
        <v>4534.4889999999996</v>
      </c>
      <c r="I191" s="151">
        <f t="shared" si="38"/>
        <v>1794.6420000000001</v>
      </c>
      <c r="J191" s="284">
        <f t="shared" si="44"/>
        <v>1.3503834698032291E-2</v>
      </c>
      <c r="P191" s="149"/>
      <c r="Q191" s="149"/>
      <c r="R191" s="149"/>
      <c r="S191" s="149"/>
      <c r="T191" s="174"/>
      <c r="U191" s="180"/>
    </row>
    <row r="192" spans="1:21" x14ac:dyDescent="0.2">
      <c r="A192" s="147">
        <v>2016</v>
      </c>
      <c r="B192" s="147">
        <v>11</v>
      </c>
      <c r="C192" s="147" t="str">
        <f t="shared" si="41"/>
        <v>201611</v>
      </c>
      <c r="D192" s="147" t="str">
        <f t="shared" si="48"/>
        <v>Q4</v>
      </c>
      <c r="E192" s="151">
        <f t="shared" si="61"/>
        <v>148618.41551285889</v>
      </c>
      <c r="F192" s="151">
        <f t="shared" si="61"/>
        <v>146638.23699999999</v>
      </c>
      <c r="G192" s="151">
        <f t="shared" si="42"/>
        <v>4482.6970000000001</v>
      </c>
      <c r="H192" s="151">
        <f t="shared" si="43"/>
        <v>4534.4889999999996</v>
      </c>
      <c r="I192" s="151">
        <f t="shared" si="38"/>
        <v>1794.6420000000001</v>
      </c>
      <c r="J192" s="284">
        <f t="shared" si="44"/>
        <v>1.3503834698032291E-2</v>
      </c>
      <c r="P192" s="149"/>
      <c r="Q192" s="149"/>
      <c r="R192" s="149"/>
      <c r="S192" s="149"/>
      <c r="T192" s="174"/>
      <c r="U192" s="180"/>
    </row>
    <row r="193" spans="1:21" x14ac:dyDescent="0.2">
      <c r="A193" s="147">
        <v>2016</v>
      </c>
      <c r="B193" s="147">
        <v>12</v>
      </c>
      <c r="C193" s="147" t="str">
        <f t="shared" si="41"/>
        <v>201612</v>
      </c>
      <c r="D193" s="147" t="str">
        <f t="shared" si="48"/>
        <v>Q4</v>
      </c>
      <c r="E193" s="151">
        <f t="shared" si="61"/>
        <v>148618.41551285889</v>
      </c>
      <c r="F193" s="151">
        <f t="shared" si="61"/>
        <v>146638.23699999999</v>
      </c>
      <c r="G193" s="151">
        <f t="shared" si="42"/>
        <v>4482.6970000000001</v>
      </c>
      <c r="H193" s="151">
        <f t="shared" si="43"/>
        <v>4534.4889999999996</v>
      </c>
      <c r="I193" s="151">
        <f t="shared" si="38"/>
        <v>1794.6420000000001</v>
      </c>
      <c r="J193" s="284">
        <f t="shared" si="44"/>
        <v>1.3503834698032291E-2</v>
      </c>
      <c r="P193" s="149"/>
      <c r="Q193" s="149"/>
      <c r="R193" s="149"/>
      <c r="S193" s="149"/>
      <c r="T193" s="174"/>
      <c r="U193" s="180"/>
    </row>
    <row r="194" spans="1:21" x14ac:dyDescent="0.2">
      <c r="A194" s="147">
        <v>2017</v>
      </c>
      <c r="B194" s="147">
        <v>1</v>
      </c>
      <c r="C194" s="147" t="str">
        <f t="shared" si="41"/>
        <v>20171</v>
      </c>
      <c r="D194" s="147" t="str">
        <f t="shared" si="48"/>
        <v>Q1</v>
      </c>
      <c r="E194" s="151">
        <f t="shared" si="61"/>
        <v>149938.26865747903</v>
      </c>
      <c r="F194" s="151">
        <f t="shared" si="61"/>
        <v>147397.973</v>
      </c>
      <c r="G194" s="151">
        <f t="shared" si="42"/>
        <v>4489.5020000000004</v>
      </c>
      <c r="H194" s="151">
        <f t="shared" si="43"/>
        <v>4542.9390000000003</v>
      </c>
      <c r="I194" s="151">
        <f t="shared" ref="I194:I257" si="62">VLOOKUP($A194&amp;$D194,$O$1:$V$189,MATCH(I$1,$O$1:$V$1,0),0)</f>
        <v>1799.248</v>
      </c>
      <c r="J194" s="284">
        <f t="shared" si="44"/>
        <v>1.7234264527362431E-2</v>
      </c>
      <c r="P194" s="149"/>
      <c r="Q194" s="149"/>
      <c r="R194" s="149"/>
      <c r="S194" s="149"/>
      <c r="T194" s="174"/>
      <c r="U194" s="180"/>
    </row>
    <row r="195" spans="1:21" x14ac:dyDescent="0.2">
      <c r="A195" s="147">
        <v>2017</v>
      </c>
      <c r="B195" s="147">
        <v>2</v>
      </c>
      <c r="C195" s="147" t="str">
        <f t="shared" ref="C195:C258" si="63">A195&amp;B195</f>
        <v>20172</v>
      </c>
      <c r="D195" s="147" t="str">
        <f t="shared" si="48"/>
        <v>Q1</v>
      </c>
      <c r="E195" s="151">
        <f t="shared" si="61"/>
        <v>149938.26865747903</v>
      </c>
      <c r="F195" s="151">
        <f t="shared" si="61"/>
        <v>147397.973</v>
      </c>
      <c r="G195" s="151">
        <f t="shared" ref="G195:G258" si="64">VLOOKUP($A195&amp;$D195,$O$1:$AA$189,MATCH(G$1,$O$1:$AA$1,0),0)</f>
        <v>4489.5020000000004</v>
      </c>
      <c r="H195" s="151">
        <f t="shared" ref="H195:H258" si="65">VLOOKUP($A195&amp;$D195,$O$1:$AA$189,MATCH(H$1,$O$1:$AA$1,0),0)</f>
        <v>4542.9390000000003</v>
      </c>
      <c r="I195" s="151">
        <f t="shared" si="62"/>
        <v>1799.248</v>
      </c>
      <c r="J195" s="284">
        <f t="shared" ref="J195:J258" si="66">E195/F195-1</f>
        <v>1.7234264527362431E-2</v>
      </c>
      <c r="P195" s="149"/>
      <c r="Q195" s="149"/>
      <c r="R195" s="149"/>
      <c r="S195" s="149"/>
      <c r="T195" s="174"/>
      <c r="U195" s="180"/>
    </row>
    <row r="196" spans="1:21" x14ac:dyDescent="0.2">
      <c r="A196" s="147">
        <v>2017</v>
      </c>
      <c r="B196" s="147">
        <v>3</v>
      </c>
      <c r="C196" s="147" t="str">
        <f t="shared" si="63"/>
        <v>20173</v>
      </c>
      <c r="D196" s="147" t="str">
        <f t="shared" si="48"/>
        <v>Q1</v>
      </c>
      <c r="E196" s="151">
        <f t="shared" si="61"/>
        <v>149938.26865747903</v>
      </c>
      <c r="F196" s="151">
        <f t="shared" si="61"/>
        <v>147397.973</v>
      </c>
      <c r="G196" s="151">
        <f t="shared" si="64"/>
        <v>4489.5020000000004</v>
      </c>
      <c r="H196" s="151">
        <f t="shared" si="65"/>
        <v>4542.9390000000003</v>
      </c>
      <c r="I196" s="151">
        <f t="shared" si="62"/>
        <v>1799.248</v>
      </c>
      <c r="J196" s="284">
        <f t="shared" si="66"/>
        <v>1.7234264527362431E-2</v>
      </c>
      <c r="P196" s="149"/>
      <c r="Q196" s="149"/>
      <c r="R196" s="149"/>
      <c r="S196" s="149"/>
      <c r="T196" s="174"/>
      <c r="U196" s="180"/>
    </row>
    <row r="197" spans="1:21" x14ac:dyDescent="0.2">
      <c r="A197" s="147">
        <v>2017</v>
      </c>
      <c r="B197" s="147">
        <v>4</v>
      </c>
      <c r="C197" s="147" t="str">
        <f t="shared" si="63"/>
        <v>20174</v>
      </c>
      <c r="D197" s="147" t="str">
        <f t="shared" si="48"/>
        <v>Q2</v>
      </c>
      <c r="E197" s="151">
        <f t="shared" si="61"/>
        <v>150944.25327886257</v>
      </c>
      <c r="F197" s="151">
        <f t="shared" si="61"/>
        <v>148169.18</v>
      </c>
      <c r="G197" s="151">
        <f t="shared" si="64"/>
        <v>4496.2669999999998</v>
      </c>
      <c r="H197" s="151">
        <f t="shared" si="65"/>
        <v>4551.38</v>
      </c>
      <c r="I197" s="151">
        <f t="shared" si="62"/>
        <v>1803.86</v>
      </c>
      <c r="J197" s="284">
        <f t="shared" si="66"/>
        <v>1.8729085757662745E-2</v>
      </c>
      <c r="P197" s="149"/>
      <c r="Q197" s="149"/>
      <c r="R197" s="149"/>
      <c r="S197" s="149"/>
      <c r="T197" s="174"/>
      <c r="U197" s="180"/>
    </row>
    <row r="198" spans="1:21" x14ac:dyDescent="0.2">
      <c r="A198" s="147">
        <v>2017</v>
      </c>
      <c r="B198" s="147">
        <v>5</v>
      </c>
      <c r="C198" s="147" t="str">
        <f t="shared" si="63"/>
        <v>20175</v>
      </c>
      <c r="D198" s="147" t="str">
        <f t="shared" si="48"/>
        <v>Q2</v>
      </c>
      <c r="E198" s="151">
        <f t="shared" si="61"/>
        <v>150944.25327886257</v>
      </c>
      <c r="F198" s="151">
        <f t="shared" si="61"/>
        <v>148169.18</v>
      </c>
      <c r="G198" s="151">
        <f t="shared" si="64"/>
        <v>4496.2669999999998</v>
      </c>
      <c r="H198" s="151">
        <f t="shared" si="65"/>
        <v>4551.38</v>
      </c>
      <c r="I198" s="151">
        <f t="shared" si="62"/>
        <v>1803.86</v>
      </c>
      <c r="J198" s="284">
        <f t="shared" si="66"/>
        <v>1.8729085757662745E-2</v>
      </c>
      <c r="P198" s="149"/>
      <c r="Q198" s="149"/>
      <c r="R198" s="149"/>
      <c r="S198" s="149"/>
      <c r="T198" s="174"/>
      <c r="U198" s="180"/>
    </row>
    <row r="199" spans="1:21" x14ac:dyDescent="0.2">
      <c r="A199" s="147">
        <v>2017</v>
      </c>
      <c r="B199" s="147">
        <v>6</v>
      </c>
      <c r="C199" s="147" t="str">
        <f t="shared" si="63"/>
        <v>20176</v>
      </c>
      <c r="D199" s="147" t="str">
        <f t="shared" si="48"/>
        <v>Q2</v>
      </c>
      <c r="E199" s="151">
        <f t="shared" si="61"/>
        <v>150944.25327886257</v>
      </c>
      <c r="F199" s="151">
        <f t="shared" si="61"/>
        <v>148169.18</v>
      </c>
      <c r="G199" s="151">
        <f t="shared" si="64"/>
        <v>4496.2669999999998</v>
      </c>
      <c r="H199" s="151">
        <f t="shared" si="65"/>
        <v>4551.38</v>
      </c>
      <c r="I199" s="151">
        <f t="shared" si="62"/>
        <v>1803.86</v>
      </c>
      <c r="J199" s="284">
        <f t="shared" si="66"/>
        <v>1.8729085757662745E-2</v>
      </c>
      <c r="P199" s="149"/>
      <c r="Q199" s="149"/>
      <c r="R199" s="149"/>
      <c r="S199" s="149"/>
      <c r="T199" s="174"/>
      <c r="U199" s="180"/>
    </row>
    <row r="200" spans="1:21" x14ac:dyDescent="0.2">
      <c r="A200" s="147">
        <v>2017</v>
      </c>
      <c r="B200" s="147">
        <v>7</v>
      </c>
      <c r="C200" s="147" t="str">
        <f t="shared" si="63"/>
        <v>20177</v>
      </c>
      <c r="D200" s="147" t="str">
        <f t="shared" si="48"/>
        <v>Q3</v>
      </c>
      <c r="E200" s="151">
        <f t="shared" si="61"/>
        <v>151980.08033488106</v>
      </c>
      <c r="F200" s="151">
        <f t="shared" si="61"/>
        <v>149003.10200000001</v>
      </c>
      <c r="G200" s="151">
        <f t="shared" si="64"/>
        <v>4502.9920000000002</v>
      </c>
      <c r="H200" s="151">
        <f t="shared" si="65"/>
        <v>4559.8130000000001</v>
      </c>
      <c r="I200" s="151">
        <f t="shared" si="62"/>
        <v>1808.479</v>
      </c>
      <c r="J200" s="284">
        <f t="shared" si="66"/>
        <v>1.9979304423347166E-2</v>
      </c>
      <c r="P200" s="149"/>
      <c r="Q200" s="149"/>
      <c r="R200" s="149"/>
      <c r="S200" s="149"/>
      <c r="T200" s="174"/>
      <c r="U200" s="180"/>
    </row>
    <row r="201" spans="1:21" x14ac:dyDescent="0.2">
      <c r="A201" s="147">
        <v>2017</v>
      </c>
      <c r="B201" s="147">
        <v>8</v>
      </c>
      <c r="C201" s="147" t="str">
        <f t="shared" si="63"/>
        <v>20178</v>
      </c>
      <c r="D201" s="147" t="str">
        <f t="shared" si="48"/>
        <v>Q3</v>
      </c>
      <c r="E201" s="151">
        <f t="shared" si="61"/>
        <v>151980.08033488106</v>
      </c>
      <c r="F201" s="151">
        <f t="shared" si="61"/>
        <v>149003.10200000001</v>
      </c>
      <c r="G201" s="151">
        <f t="shared" si="64"/>
        <v>4502.9920000000002</v>
      </c>
      <c r="H201" s="151">
        <f t="shared" si="65"/>
        <v>4559.8130000000001</v>
      </c>
      <c r="I201" s="151">
        <f t="shared" si="62"/>
        <v>1808.479</v>
      </c>
      <c r="J201" s="284">
        <f t="shared" si="66"/>
        <v>1.9979304423347166E-2</v>
      </c>
      <c r="P201" s="149"/>
      <c r="Q201" s="149"/>
      <c r="R201" s="149"/>
      <c r="S201" s="149"/>
      <c r="T201" s="174"/>
      <c r="U201" s="180"/>
    </row>
    <row r="202" spans="1:21" x14ac:dyDescent="0.2">
      <c r="A202" s="147">
        <v>2017</v>
      </c>
      <c r="B202" s="147">
        <v>9</v>
      </c>
      <c r="C202" s="147" t="str">
        <f t="shared" si="63"/>
        <v>20179</v>
      </c>
      <c r="D202" s="147" t="str">
        <f t="shared" si="48"/>
        <v>Q3</v>
      </c>
      <c r="E202" s="151">
        <f t="shared" ref="E202:F221" si="67">VLOOKUP($A202&amp;$D202,$O$1:$V$189,MATCH(E$1,$O$1:$V$1,0),0)</f>
        <v>151980.08033488106</v>
      </c>
      <c r="F202" s="151">
        <f t="shared" si="67"/>
        <v>149003.10200000001</v>
      </c>
      <c r="G202" s="151">
        <f t="shared" si="64"/>
        <v>4502.9920000000002</v>
      </c>
      <c r="H202" s="151">
        <f t="shared" si="65"/>
        <v>4559.8130000000001</v>
      </c>
      <c r="I202" s="151">
        <f t="shared" si="62"/>
        <v>1808.479</v>
      </c>
      <c r="J202" s="284">
        <f t="shared" si="66"/>
        <v>1.9979304423347166E-2</v>
      </c>
      <c r="P202" s="149"/>
      <c r="Q202" s="149"/>
      <c r="R202" s="149"/>
      <c r="S202" s="149"/>
      <c r="T202" s="174"/>
      <c r="U202" s="180"/>
    </row>
    <row r="203" spans="1:21" x14ac:dyDescent="0.2">
      <c r="A203" s="147">
        <v>2017</v>
      </c>
      <c r="B203" s="147">
        <v>10</v>
      </c>
      <c r="C203" s="147" t="str">
        <f t="shared" si="63"/>
        <v>201710</v>
      </c>
      <c r="D203" s="147" t="str">
        <f t="shared" si="48"/>
        <v>Q4</v>
      </c>
      <c r="E203" s="151">
        <f t="shared" si="67"/>
        <v>152964.93235419173</v>
      </c>
      <c r="F203" s="151">
        <f t="shared" si="67"/>
        <v>149821.88399999999</v>
      </c>
      <c r="G203" s="151">
        <f t="shared" si="64"/>
        <v>4509.6660000000002</v>
      </c>
      <c r="H203" s="151">
        <f t="shared" si="65"/>
        <v>4568.2250000000004</v>
      </c>
      <c r="I203" s="151">
        <f t="shared" si="62"/>
        <v>1813.1289999999999</v>
      </c>
      <c r="J203" s="284">
        <f t="shared" si="66"/>
        <v>2.0978566483596861E-2</v>
      </c>
      <c r="P203" s="149"/>
      <c r="Q203" s="149"/>
      <c r="R203" s="149"/>
      <c r="S203" s="149"/>
      <c r="T203" s="174"/>
      <c r="U203" s="180"/>
    </row>
    <row r="204" spans="1:21" x14ac:dyDescent="0.2">
      <c r="A204" s="147">
        <v>2017</v>
      </c>
      <c r="B204" s="147">
        <v>11</v>
      </c>
      <c r="C204" s="147" t="str">
        <f t="shared" si="63"/>
        <v>201711</v>
      </c>
      <c r="D204" s="147" t="str">
        <f t="shared" si="48"/>
        <v>Q4</v>
      </c>
      <c r="E204" s="151">
        <f t="shared" si="67"/>
        <v>152964.93235419173</v>
      </c>
      <c r="F204" s="151">
        <f t="shared" si="67"/>
        <v>149821.88399999999</v>
      </c>
      <c r="G204" s="151">
        <f t="shared" si="64"/>
        <v>4509.6660000000002</v>
      </c>
      <c r="H204" s="151">
        <f t="shared" si="65"/>
        <v>4568.2250000000004</v>
      </c>
      <c r="I204" s="151">
        <f t="shared" si="62"/>
        <v>1813.1289999999999</v>
      </c>
      <c r="J204" s="284">
        <f t="shared" si="66"/>
        <v>2.0978566483596861E-2</v>
      </c>
      <c r="P204" s="149"/>
      <c r="Q204" s="149"/>
      <c r="R204" s="149"/>
      <c r="S204" s="149"/>
      <c r="T204" s="174"/>
      <c r="U204" s="180"/>
    </row>
    <row r="205" spans="1:21" x14ac:dyDescent="0.2">
      <c r="A205" s="147">
        <v>2017</v>
      </c>
      <c r="B205" s="147">
        <v>12</v>
      </c>
      <c r="C205" s="147" t="str">
        <f t="shared" si="63"/>
        <v>201712</v>
      </c>
      <c r="D205" s="147" t="str">
        <f t="shared" si="48"/>
        <v>Q4</v>
      </c>
      <c r="E205" s="151">
        <f t="shared" si="67"/>
        <v>152964.93235419173</v>
      </c>
      <c r="F205" s="151">
        <f t="shared" si="67"/>
        <v>149821.88399999999</v>
      </c>
      <c r="G205" s="151">
        <f t="shared" si="64"/>
        <v>4509.6660000000002</v>
      </c>
      <c r="H205" s="151">
        <f t="shared" si="65"/>
        <v>4568.2250000000004</v>
      </c>
      <c r="I205" s="151">
        <f t="shared" si="62"/>
        <v>1813.1289999999999</v>
      </c>
      <c r="J205" s="284">
        <f t="shared" si="66"/>
        <v>2.0978566483596861E-2</v>
      </c>
      <c r="P205" s="149"/>
      <c r="Q205" s="149"/>
      <c r="R205" s="149"/>
      <c r="S205" s="149"/>
      <c r="T205" s="174"/>
      <c r="U205" s="180"/>
    </row>
    <row r="206" spans="1:21" x14ac:dyDescent="0.2">
      <c r="A206" s="147">
        <v>2018</v>
      </c>
      <c r="B206" s="147">
        <v>1</v>
      </c>
      <c r="C206" s="147" t="str">
        <f t="shared" si="63"/>
        <v>20181</v>
      </c>
      <c r="D206" s="147" t="str">
        <f t="shared" si="48"/>
        <v>Q1</v>
      </c>
      <c r="E206" s="151">
        <f t="shared" si="67"/>
        <v>154212.04835504587</v>
      </c>
      <c r="F206" s="151">
        <f t="shared" si="67"/>
        <v>151159.774</v>
      </c>
      <c r="G206" s="151">
        <f t="shared" si="64"/>
        <v>4516.3029999999999</v>
      </c>
      <c r="H206" s="151">
        <f t="shared" si="65"/>
        <v>4576.63</v>
      </c>
      <c r="I206" s="151">
        <f t="shared" si="62"/>
        <v>1817.7750000000001</v>
      </c>
      <c r="J206" s="284">
        <f t="shared" si="66"/>
        <v>2.0192371781700746E-2</v>
      </c>
      <c r="P206" s="149"/>
      <c r="Q206" s="149"/>
      <c r="R206" s="149"/>
      <c r="S206" s="149"/>
      <c r="T206" s="174"/>
      <c r="U206" s="180"/>
    </row>
    <row r="207" spans="1:21" x14ac:dyDescent="0.2">
      <c r="A207" s="147">
        <v>2018</v>
      </c>
      <c r="B207" s="147">
        <v>2</v>
      </c>
      <c r="C207" s="147" t="str">
        <f t="shared" si="63"/>
        <v>20182</v>
      </c>
      <c r="D207" s="147" t="str">
        <f t="shared" ref="D207:D270" si="68">D195</f>
        <v>Q1</v>
      </c>
      <c r="E207" s="151">
        <f t="shared" si="67"/>
        <v>154212.04835504587</v>
      </c>
      <c r="F207" s="151">
        <f t="shared" si="67"/>
        <v>151159.774</v>
      </c>
      <c r="G207" s="151">
        <f t="shared" si="64"/>
        <v>4516.3029999999999</v>
      </c>
      <c r="H207" s="151">
        <f t="shared" si="65"/>
        <v>4576.63</v>
      </c>
      <c r="I207" s="151">
        <f t="shared" si="62"/>
        <v>1817.7750000000001</v>
      </c>
      <c r="J207" s="284">
        <f t="shared" si="66"/>
        <v>2.0192371781700746E-2</v>
      </c>
      <c r="P207" s="149"/>
      <c r="Q207" s="149"/>
      <c r="R207" s="149"/>
      <c r="S207" s="149"/>
      <c r="T207" s="174"/>
      <c r="U207" s="180"/>
    </row>
    <row r="208" spans="1:21" x14ac:dyDescent="0.2">
      <c r="A208" s="147">
        <v>2018</v>
      </c>
      <c r="B208" s="147">
        <v>3</v>
      </c>
      <c r="C208" s="147" t="str">
        <f t="shared" si="63"/>
        <v>20183</v>
      </c>
      <c r="D208" s="147" t="str">
        <f t="shared" si="68"/>
        <v>Q1</v>
      </c>
      <c r="E208" s="151">
        <f t="shared" si="67"/>
        <v>154212.04835504587</v>
      </c>
      <c r="F208" s="151">
        <f t="shared" si="67"/>
        <v>151159.774</v>
      </c>
      <c r="G208" s="151">
        <f t="shared" si="64"/>
        <v>4516.3029999999999</v>
      </c>
      <c r="H208" s="151">
        <f t="shared" si="65"/>
        <v>4576.63</v>
      </c>
      <c r="I208" s="151">
        <f t="shared" si="62"/>
        <v>1817.7750000000001</v>
      </c>
      <c r="J208" s="284">
        <f t="shared" si="66"/>
        <v>2.0192371781700746E-2</v>
      </c>
      <c r="P208" s="149"/>
      <c r="Q208" s="149"/>
      <c r="R208" s="149"/>
      <c r="S208" s="149"/>
      <c r="T208" s="174"/>
      <c r="U208" s="180"/>
    </row>
    <row r="209" spans="1:19" x14ac:dyDescent="0.2">
      <c r="A209" s="147">
        <v>2018</v>
      </c>
      <c r="B209" s="147">
        <v>4</v>
      </c>
      <c r="C209" s="147" t="str">
        <f t="shared" si="63"/>
        <v>20184</v>
      </c>
      <c r="D209" s="147" t="str">
        <f t="shared" si="68"/>
        <v>Q2</v>
      </c>
      <c r="E209" s="151">
        <f t="shared" si="67"/>
        <v>155100.12846503858</v>
      </c>
      <c r="F209" s="151">
        <f t="shared" si="67"/>
        <v>152014.81099999999</v>
      </c>
      <c r="G209" s="151">
        <f t="shared" si="64"/>
        <v>4522.9030000000002</v>
      </c>
      <c r="H209" s="151">
        <f t="shared" si="65"/>
        <v>4585.03</v>
      </c>
      <c r="I209" s="151">
        <f t="shared" si="62"/>
        <v>1822.423</v>
      </c>
      <c r="J209" s="284">
        <f t="shared" si="66"/>
        <v>2.0296163543160217E-2</v>
      </c>
      <c r="P209" s="153"/>
      <c r="Q209" s="153"/>
      <c r="R209" s="153"/>
      <c r="S209" s="153"/>
    </row>
    <row r="210" spans="1:19" x14ac:dyDescent="0.2">
      <c r="A210" s="147">
        <v>2018</v>
      </c>
      <c r="B210" s="147">
        <v>5</v>
      </c>
      <c r="C210" s="147" t="str">
        <f t="shared" si="63"/>
        <v>20185</v>
      </c>
      <c r="D210" s="147" t="str">
        <f t="shared" si="68"/>
        <v>Q2</v>
      </c>
      <c r="E210" s="151">
        <f t="shared" si="67"/>
        <v>155100.12846503858</v>
      </c>
      <c r="F210" s="151">
        <f t="shared" si="67"/>
        <v>152014.81099999999</v>
      </c>
      <c r="G210" s="151">
        <f t="shared" si="64"/>
        <v>4522.9030000000002</v>
      </c>
      <c r="H210" s="151">
        <f t="shared" si="65"/>
        <v>4585.03</v>
      </c>
      <c r="I210" s="151">
        <f t="shared" si="62"/>
        <v>1822.423</v>
      </c>
      <c r="J210" s="284">
        <f t="shared" si="66"/>
        <v>2.0296163543160217E-2</v>
      </c>
      <c r="P210" s="153"/>
      <c r="Q210" s="153"/>
      <c r="R210" s="153"/>
      <c r="S210" s="153"/>
    </row>
    <row r="211" spans="1:19" x14ac:dyDescent="0.2">
      <c r="A211" s="147">
        <v>2018</v>
      </c>
      <c r="B211" s="147">
        <v>6</v>
      </c>
      <c r="C211" s="147" t="str">
        <f t="shared" si="63"/>
        <v>20186</v>
      </c>
      <c r="D211" s="147" t="str">
        <f t="shared" si="68"/>
        <v>Q2</v>
      </c>
      <c r="E211" s="151">
        <f t="shared" si="67"/>
        <v>155100.12846503858</v>
      </c>
      <c r="F211" s="151">
        <f t="shared" si="67"/>
        <v>152014.81099999999</v>
      </c>
      <c r="G211" s="151">
        <f t="shared" si="64"/>
        <v>4522.9030000000002</v>
      </c>
      <c r="H211" s="151">
        <f t="shared" si="65"/>
        <v>4585.03</v>
      </c>
      <c r="I211" s="151">
        <f t="shared" si="62"/>
        <v>1822.423</v>
      </c>
      <c r="J211" s="284">
        <f t="shared" si="66"/>
        <v>2.0296163543160217E-2</v>
      </c>
      <c r="P211" s="153"/>
      <c r="Q211" s="153"/>
      <c r="R211" s="153"/>
      <c r="S211" s="153"/>
    </row>
    <row r="212" spans="1:19" x14ac:dyDescent="0.2">
      <c r="A212" s="147">
        <v>2018</v>
      </c>
      <c r="B212" s="147">
        <v>7</v>
      </c>
      <c r="C212" s="147" t="str">
        <f t="shared" si="63"/>
        <v>20187</v>
      </c>
      <c r="D212" s="147" t="str">
        <f t="shared" si="68"/>
        <v>Q3</v>
      </c>
      <c r="E212" s="151">
        <f t="shared" si="67"/>
        <v>155927.40730593662</v>
      </c>
      <c r="F212" s="151">
        <f t="shared" si="67"/>
        <v>152840.09</v>
      </c>
      <c r="G212" s="151">
        <f t="shared" si="64"/>
        <v>4529.4660000000003</v>
      </c>
      <c r="H212" s="151">
        <f t="shared" si="65"/>
        <v>4593.4229999999998</v>
      </c>
      <c r="I212" s="151">
        <f t="shared" si="62"/>
        <v>1827.0650000000001</v>
      </c>
      <c r="J212" s="284">
        <f t="shared" si="66"/>
        <v>2.0199656424807255E-2</v>
      </c>
      <c r="P212" s="153"/>
      <c r="Q212" s="153"/>
      <c r="R212" s="153"/>
      <c r="S212" s="153"/>
    </row>
    <row r="213" spans="1:19" x14ac:dyDescent="0.2">
      <c r="A213" s="147">
        <v>2018</v>
      </c>
      <c r="B213" s="147">
        <v>8</v>
      </c>
      <c r="C213" s="147" t="str">
        <f t="shared" si="63"/>
        <v>20188</v>
      </c>
      <c r="D213" s="147" t="str">
        <f t="shared" si="68"/>
        <v>Q3</v>
      </c>
      <c r="E213" s="151">
        <f t="shared" si="67"/>
        <v>155927.40730593662</v>
      </c>
      <c r="F213" s="151">
        <f t="shared" si="67"/>
        <v>152840.09</v>
      </c>
      <c r="G213" s="151">
        <f t="shared" si="64"/>
        <v>4529.4660000000003</v>
      </c>
      <c r="H213" s="151">
        <f t="shared" si="65"/>
        <v>4593.4229999999998</v>
      </c>
      <c r="I213" s="151">
        <f t="shared" si="62"/>
        <v>1827.0650000000001</v>
      </c>
      <c r="J213" s="284">
        <f t="shared" si="66"/>
        <v>2.0199656424807255E-2</v>
      </c>
      <c r="P213" s="153"/>
      <c r="Q213" s="153"/>
      <c r="R213" s="153"/>
      <c r="S213" s="153"/>
    </row>
    <row r="214" spans="1:19" x14ac:dyDescent="0.2">
      <c r="A214" s="147">
        <v>2018</v>
      </c>
      <c r="B214" s="147">
        <v>9</v>
      </c>
      <c r="C214" s="147" t="str">
        <f t="shared" si="63"/>
        <v>20189</v>
      </c>
      <c r="D214" s="147" t="str">
        <f t="shared" si="68"/>
        <v>Q3</v>
      </c>
      <c r="E214" s="151">
        <f t="shared" si="67"/>
        <v>155927.40730593662</v>
      </c>
      <c r="F214" s="151">
        <f t="shared" si="67"/>
        <v>152840.09</v>
      </c>
      <c r="G214" s="151">
        <f t="shared" si="64"/>
        <v>4529.4660000000003</v>
      </c>
      <c r="H214" s="151">
        <f t="shared" si="65"/>
        <v>4593.4229999999998</v>
      </c>
      <c r="I214" s="151">
        <f t="shared" si="62"/>
        <v>1827.0650000000001</v>
      </c>
      <c r="J214" s="284">
        <f t="shared" si="66"/>
        <v>2.0199656424807255E-2</v>
      </c>
      <c r="P214" s="153"/>
      <c r="Q214" s="153"/>
      <c r="R214" s="153"/>
      <c r="S214" s="153"/>
    </row>
    <row r="215" spans="1:19" x14ac:dyDescent="0.2">
      <c r="A215" s="147">
        <v>2018</v>
      </c>
      <c r="B215" s="147">
        <v>10</v>
      </c>
      <c r="C215" s="147" t="str">
        <f t="shared" si="63"/>
        <v>201810</v>
      </c>
      <c r="D215" s="147" t="str">
        <f t="shared" si="68"/>
        <v>Q4</v>
      </c>
      <c r="E215" s="151">
        <f t="shared" si="67"/>
        <v>156771.37492461284</v>
      </c>
      <c r="F215" s="151">
        <f t="shared" si="67"/>
        <v>153691.45300000001</v>
      </c>
      <c r="G215" s="151">
        <f t="shared" si="64"/>
        <v>4535.991</v>
      </c>
      <c r="H215" s="151">
        <f t="shared" si="65"/>
        <v>4601.8090000000002</v>
      </c>
      <c r="I215" s="151">
        <f t="shared" si="62"/>
        <v>1831.71</v>
      </c>
      <c r="J215" s="284">
        <f t="shared" si="66"/>
        <v>2.003964348370646E-2</v>
      </c>
      <c r="P215" s="153"/>
      <c r="Q215" s="153"/>
      <c r="R215" s="153"/>
      <c r="S215" s="153"/>
    </row>
    <row r="216" spans="1:19" x14ac:dyDescent="0.2">
      <c r="A216" s="147">
        <v>2018</v>
      </c>
      <c r="B216" s="147">
        <v>11</v>
      </c>
      <c r="C216" s="147" t="str">
        <f t="shared" si="63"/>
        <v>201811</v>
      </c>
      <c r="D216" s="147" t="str">
        <f t="shared" si="68"/>
        <v>Q4</v>
      </c>
      <c r="E216" s="151">
        <f t="shared" si="67"/>
        <v>156771.37492461284</v>
      </c>
      <c r="F216" s="151">
        <f t="shared" si="67"/>
        <v>153691.45300000001</v>
      </c>
      <c r="G216" s="151">
        <f t="shared" si="64"/>
        <v>4535.991</v>
      </c>
      <c r="H216" s="151">
        <f t="shared" si="65"/>
        <v>4601.8090000000002</v>
      </c>
      <c r="I216" s="151">
        <f t="shared" si="62"/>
        <v>1831.71</v>
      </c>
      <c r="J216" s="284">
        <f t="shared" si="66"/>
        <v>2.003964348370646E-2</v>
      </c>
      <c r="P216" s="153"/>
      <c r="Q216" s="153"/>
      <c r="R216" s="153"/>
      <c r="S216" s="153"/>
    </row>
    <row r="217" spans="1:19" x14ac:dyDescent="0.2">
      <c r="A217" s="147">
        <v>2018</v>
      </c>
      <c r="B217" s="147">
        <v>12</v>
      </c>
      <c r="C217" s="147" t="str">
        <f t="shared" si="63"/>
        <v>201812</v>
      </c>
      <c r="D217" s="147" t="str">
        <f t="shared" si="68"/>
        <v>Q4</v>
      </c>
      <c r="E217" s="151">
        <f t="shared" si="67"/>
        <v>156771.37492461284</v>
      </c>
      <c r="F217" s="151">
        <f t="shared" si="67"/>
        <v>153691.45300000001</v>
      </c>
      <c r="G217" s="151">
        <f t="shared" si="64"/>
        <v>4535.991</v>
      </c>
      <c r="H217" s="151">
        <f t="shared" si="65"/>
        <v>4601.8090000000002</v>
      </c>
      <c r="I217" s="151">
        <f t="shared" si="62"/>
        <v>1831.71</v>
      </c>
      <c r="J217" s="284">
        <f t="shared" si="66"/>
        <v>2.003964348370646E-2</v>
      </c>
      <c r="P217" s="153"/>
      <c r="Q217" s="153"/>
      <c r="R217" s="153"/>
      <c r="S217" s="153"/>
    </row>
    <row r="218" spans="1:19" x14ac:dyDescent="0.2">
      <c r="A218" s="147">
        <v>2019</v>
      </c>
      <c r="B218" s="147">
        <v>1</v>
      </c>
      <c r="C218" s="147" t="str">
        <f t="shared" si="63"/>
        <v>20191</v>
      </c>
      <c r="D218" s="147" t="str">
        <f t="shared" si="68"/>
        <v>Q1</v>
      </c>
      <c r="E218" s="151">
        <f t="shared" si="67"/>
        <v>158291.77883579931</v>
      </c>
      <c r="F218" s="151">
        <f t="shared" si="67"/>
        <v>155062.20000000001</v>
      </c>
      <c r="G218" s="151">
        <f t="shared" si="64"/>
        <v>4542.4780000000001</v>
      </c>
      <c r="H218" s="151">
        <f t="shared" si="65"/>
        <v>4610.1880000000001</v>
      </c>
      <c r="I218" s="151">
        <f t="shared" si="62"/>
        <v>1835.5609999999999</v>
      </c>
      <c r="J218" s="284">
        <f t="shared" si="66"/>
        <v>2.082763456083625E-2</v>
      </c>
    </row>
    <row r="219" spans="1:19" x14ac:dyDescent="0.2">
      <c r="A219" s="147">
        <v>2019</v>
      </c>
      <c r="B219" s="147">
        <v>2</v>
      </c>
      <c r="C219" s="147" t="str">
        <f t="shared" si="63"/>
        <v>20192</v>
      </c>
      <c r="D219" s="147" t="str">
        <f t="shared" si="68"/>
        <v>Q1</v>
      </c>
      <c r="E219" s="151">
        <f t="shared" si="67"/>
        <v>158291.77883579931</v>
      </c>
      <c r="F219" s="151">
        <f t="shared" si="67"/>
        <v>155062.20000000001</v>
      </c>
      <c r="G219" s="151">
        <f t="shared" si="64"/>
        <v>4542.4780000000001</v>
      </c>
      <c r="H219" s="151">
        <f t="shared" si="65"/>
        <v>4610.1880000000001</v>
      </c>
      <c r="I219" s="151">
        <f t="shared" si="62"/>
        <v>1835.5609999999999</v>
      </c>
      <c r="J219" s="284">
        <f t="shared" si="66"/>
        <v>2.082763456083625E-2</v>
      </c>
      <c r="P219" s="149"/>
      <c r="Q219" s="149"/>
      <c r="R219" s="149"/>
      <c r="S219" s="149"/>
    </row>
    <row r="220" spans="1:19" x14ac:dyDescent="0.2">
      <c r="A220" s="147">
        <v>2019</v>
      </c>
      <c r="B220" s="147">
        <v>3</v>
      </c>
      <c r="C220" s="147" t="str">
        <f t="shared" si="63"/>
        <v>20193</v>
      </c>
      <c r="D220" s="147" t="str">
        <f t="shared" si="68"/>
        <v>Q1</v>
      </c>
      <c r="E220" s="151">
        <f t="shared" si="67"/>
        <v>158291.77883579931</v>
      </c>
      <c r="F220" s="151">
        <f t="shared" si="67"/>
        <v>155062.20000000001</v>
      </c>
      <c r="G220" s="151">
        <f t="shared" si="64"/>
        <v>4542.4780000000001</v>
      </c>
      <c r="H220" s="151">
        <f t="shared" si="65"/>
        <v>4610.1880000000001</v>
      </c>
      <c r="I220" s="151">
        <f t="shared" si="62"/>
        <v>1835.5609999999999</v>
      </c>
      <c r="J220" s="284">
        <f t="shared" si="66"/>
        <v>2.082763456083625E-2</v>
      </c>
      <c r="P220" s="149"/>
      <c r="Q220" s="149"/>
      <c r="R220" s="149"/>
      <c r="S220" s="149"/>
    </row>
    <row r="221" spans="1:19" x14ac:dyDescent="0.2">
      <c r="A221" s="147">
        <v>2019</v>
      </c>
      <c r="B221" s="147">
        <v>4</v>
      </c>
      <c r="C221" s="147" t="str">
        <f t="shared" si="63"/>
        <v>20194</v>
      </c>
      <c r="D221" s="147" t="str">
        <f t="shared" si="68"/>
        <v>Q2</v>
      </c>
      <c r="E221" s="151">
        <f t="shared" si="67"/>
        <v>159230.34596708155</v>
      </c>
      <c r="F221" s="151">
        <f t="shared" si="67"/>
        <v>155893.33300000001</v>
      </c>
      <c r="G221" s="151">
        <f t="shared" si="64"/>
        <v>4548.9269999999997</v>
      </c>
      <c r="H221" s="151">
        <f t="shared" si="65"/>
        <v>4618.558</v>
      </c>
      <c r="I221" s="151">
        <f t="shared" si="62"/>
        <v>1839.49</v>
      </c>
      <c r="J221" s="284">
        <f t="shared" si="66"/>
        <v>2.1405745216067196E-2</v>
      </c>
      <c r="P221" s="149"/>
      <c r="Q221" s="149"/>
      <c r="R221" s="149"/>
      <c r="S221" s="149"/>
    </row>
    <row r="222" spans="1:19" x14ac:dyDescent="0.2">
      <c r="A222" s="147">
        <v>2019</v>
      </c>
      <c r="B222" s="147">
        <v>5</v>
      </c>
      <c r="C222" s="147" t="str">
        <f t="shared" si="63"/>
        <v>20195</v>
      </c>
      <c r="D222" s="147" t="str">
        <f t="shared" si="68"/>
        <v>Q2</v>
      </c>
      <c r="E222" s="151">
        <f t="shared" ref="E222:F241" si="69">VLOOKUP($A222&amp;$D222,$O$1:$V$189,MATCH(E$1,$O$1:$V$1,0),0)</f>
        <v>159230.34596708155</v>
      </c>
      <c r="F222" s="151">
        <f t="shared" si="69"/>
        <v>155893.33300000001</v>
      </c>
      <c r="G222" s="151">
        <f t="shared" si="64"/>
        <v>4548.9269999999997</v>
      </c>
      <c r="H222" s="151">
        <f t="shared" si="65"/>
        <v>4618.558</v>
      </c>
      <c r="I222" s="151">
        <f t="shared" si="62"/>
        <v>1839.49</v>
      </c>
      <c r="J222" s="284">
        <f t="shared" si="66"/>
        <v>2.1405745216067196E-2</v>
      </c>
      <c r="P222" s="149"/>
      <c r="Q222" s="149"/>
      <c r="R222" s="149"/>
      <c r="S222" s="149"/>
    </row>
    <row r="223" spans="1:19" x14ac:dyDescent="0.2">
      <c r="A223" s="147">
        <v>2019</v>
      </c>
      <c r="B223" s="147">
        <v>6</v>
      </c>
      <c r="C223" s="147" t="str">
        <f t="shared" si="63"/>
        <v>20196</v>
      </c>
      <c r="D223" s="147" t="str">
        <f t="shared" si="68"/>
        <v>Q2</v>
      </c>
      <c r="E223" s="151">
        <f t="shared" si="69"/>
        <v>159230.34596708155</v>
      </c>
      <c r="F223" s="151">
        <f t="shared" si="69"/>
        <v>155893.33300000001</v>
      </c>
      <c r="G223" s="151">
        <f t="shared" si="64"/>
        <v>4548.9269999999997</v>
      </c>
      <c r="H223" s="151">
        <f t="shared" si="65"/>
        <v>4618.558</v>
      </c>
      <c r="I223" s="151">
        <f t="shared" si="62"/>
        <v>1839.49</v>
      </c>
      <c r="J223" s="284">
        <f t="shared" si="66"/>
        <v>2.1405745216067196E-2</v>
      </c>
      <c r="P223" s="149"/>
      <c r="Q223" s="149"/>
      <c r="R223" s="149"/>
      <c r="S223" s="149"/>
    </row>
    <row r="224" spans="1:19" x14ac:dyDescent="0.2">
      <c r="A224" s="147">
        <v>2019</v>
      </c>
      <c r="B224" s="147">
        <v>7</v>
      </c>
      <c r="C224" s="147" t="str">
        <f t="shared" si="63"/>
        <v>20197</v>
      </c>
      <c r="D224" s="147" t="str">
        <f t="shared" si="68"/>
        <v>Q3</v>
      </c>
      <c r="E224" s="151">
        <f t="shared" si="69"/>
        <v>160108.3311445929</v>
      </c>
      <c r="F224" s="151">
        <f t="shared" si="69"/>
        <v>156697.22099999999</v>
      </c>
      <c r="G224" s="151">
        <f t="shared" si="64"/>
        <v>4555.326</v>
      </c>
      <c r="H224" s="151">
        <f t="shared" si="65"/>
        <v>4626.9070000000002</v>
      </c>
      <c r="I224" s="151">
        <f t="shared" si="62"/>
        <v>1843.3230000000001</v>
      </c>
      <c r="J224" s="284">
        <f t="shared" si="66"/>
        <v>2.176879795840736E-2</v>
      </c>
      <c r="P224" s="149"/>
      <c r="Q224" s="149"/>
      <c r="R224" s="149"/>
      <c r="S224" s="149"/>
    </row>
    <row r="225" spans="1:21" x14ac:dyDescent="0.2">
      <c r="A225" s="147">
        <v>2019</v>
      </c>
      <c r="B225" s="147">
        <v>8</v>
      </c>
      <c r="C225" s="147" t="str">
        <f t="shared" si="63"/>
        <v>20198</v>
      </c>
      <c r="D225" s="147" t="str">
        <f t="shared" si="68"/>
        <v>Q3</v>
      </c>
      <c r="E225" s="151">
        <f t="shared" si="69"/>
        <v>160108.3311445929</v>
      </c>
      <c r="F225" s="151">
        <f t="shared" si="69"/>
        <v>156697.22099999999</v>
      </c>
      <c r="G225" s="151">
        <f t="shared" si="64"/>
        <v>4555.326</v>
      </c>
      <c r="H225" s="151">
        <f t="shared" si="65"/>
        <v>4626.9070000000002</v>
      </c>
      <c r="I225" s="151">
        <f t="shared" si="62"/>
        <v>1843.3230000000001</v>
      </c>
      <c r="J225" s="284">
        <f t="shared" si="66"/>
        <v>2.176879795840736E-2</v>
      </c>
      <c r="P225" s="149"/>
      <c r="Q225" s="149"/>
      <c r="R225" s="149"/>
      <c r="S225" s="149"/>
    </row>
    <row r="226" spans="1:21" x14ac:dyDescent="0.2">
      <c r="A226" s="147">
        <v>2019</v>
      </c>
      <c r="B226" s="147">
        <v>9</v>
      </c>
      <c r="C226" s="147" t="str">
        <f t="shared" si="63"/>
        <v>20199</v>
      </c>
      <c r="D226" s="147" t="str">
        <f t="shared" si="68"/>
        <v>Q3</v>
      </c>
      <c r="E226" s="151">
        <f t="shared" si="69"/>
        <v>160108.3311445929</v>
      </c>
      <c r="F226" s="151">
        <f t="shared" si="69"/>
        <v>156697.22099999999</v>
      </c>
      <c r="G226" s="151">
        <f t="shared" si="64"/>
        <v>4555.326</v>
      </c>
      <c r="H226" s="151">
        <f t="shared" si="65"/>
        <v>4626.9070000000002</v>
      </c>
      <c r="I226" s="151">
        <f t="shared" si="62"/>
        <v>1843.3230000000001</v>
      </c>
      <c r="J226" s="284">
        <f t="shared" si="66"/>
        <v>2.176879795840736E-2</v>
      </c>
      <c r="P226" s="149"/>
      <c r="Q226" s="149"/>
      <c r="R226" s="149"/>
      <c r="S226" s="149"/>
    </row>
    <row r="227" spans="1:21" x14ac:dyDescent="0.2">
      <c r="A227" s="147">
        <v>2019</v>
      </c>
      <c r="B227" s="147">
        <v>10</v>
      </c>
      <c r="C227" s="147" t="str">
        <f t="shared" si="63"/>
        <v>201910</v>
      </c>
      <c r="D227" s="147" t="str">
        <f t="shared" si="68"/>
        <v>Q4</v>
      </c>
      <c r="E227" s="151">
        <f t="shared" si="69"/>
        <v>160936.89801138837</v>
      </c>
      <c r="F227" s="151">
        <f t="shared" si="69"/>
        <v>157503.777</v>
      </c>
      <c r="G227" s="151">
        <f t="shared" si="64"/>
        <v>4561.6859999999997</v>
      </c>
      <c r="H227" s="151">
        <f t="shared" si="65"/>
        <v>4635.2470000000003</v>
      </c>
      <c r="I227" s="151">
        <f t="shared" si="62"/>
        <v>1847.13</v>
      </c>
      <c r="J227" s="284">
        <f t="shared" si="66"/>
        <v>2.1797071008578861E-2</v>
      </c>
      <c r="P227" s="149"/>
      <c r="Q227" s="149"/>
      <c r="R227" s="149"/>
      <c r="S227" s="149"/>
    </row>
    <row r="228" spans="1:21" x14ac:dyDescent="0.2">
      <c r="A228" s="147">
        <v>2019</v>
      </c>
      <c r="B228" s="147">
        <v>11</v>
      </c>
      <c r="C228" s="147" t="str">
        <f t="shared" si="63"/>
        <v>201911</v>
      </c>
      <c r="D228" s="147" t="str">
        <f t="shared" si="68"/>
        <v>Q4</v>
      </c>
      <c r="E228" s="151">
        <f t="shared" si="69"/>
        <v>160936.89801138837</v>
      </c>
      <c r="F228" s="151">
        <f t="shared" si="69"/>
        <v>157503.777</v>
      </c>
      <c r="G228" s="151">
        <f t="shared" si="64"/>
        <v>4561.6859999999997</v>
      </c>
      <c r="H228" s="151">
        <f t="shared" si="65"/>
        <v>4635.2470000000003</v>
      </c>
      <c r="I228" s="151">
        <f t="shared" si="62"/>
        <v>1847.13</v>
      </c>
      <c r="J228" s="284">
        <f t="shared" si="66"/>
        <v>2.1797071008578861E-2</v>
      </c>
      <c r="P228" s="149"/>
      <c r="Q228" s="149"/>
      <c r="R228" s="149"/>
      <c r="S228" s="149"/>
    </row>
    <row r="229" spans="1:21" x14ac:dyDescent="0.2">
      <c r="A229" s="147">
        <v>2019</v>
      </c>
      <c r="B229" s="147">
        <v>12</v>
      </c>
      <c r="C229" s="147" t="str">
        <f t="shared" si="63"/>
        <v>201912</v>
      </c>
      <c r="D229" s="147" t="str">
        <f t="shared" si="68"/>
        <v>Q4</v>
      </c>
      <c r="E229" s="151">
        <f t="shared" si="69"/>
        <v>160936.89801138837</v>
      </c>
      <c r="F229" s="151">
        <f t="shared" si="69"/>
        <v>157503.777</v>
      </c>
      <c r="G229" s="151">
        <f t="shared" si="64"/>
        <v>4561.6859999999997</v>
      </c>
      <c r="H229" s="151">
        <f t="shared" si="65"/>
        <v>4635.2470000000003</v>
      </c>
      <c r="I229" s="151">
        <f t="shared" si="62"/>
        <v>1847.13</v>
      </c>
      <c r="J229" s="284">
        <f t="shared" si="66"/>
        <v>2.1797071008578861E-2</v>
      </c>
      <c r="P229" s="149"/>
      <c r="Q229" s="149"/>
      <c r="R229" s="149"/>
      <c r="S229" s="149"/>
    </row>
    <row r="230" spans="1:21" x14ac:dyDescent="0.2">
      <c r="A230" s="147">
        <v>2020</v>
      </c>
      <c r="B230" s="147">
        <v>1</v>
      </c>
      <c r="C230" s="147" t="str">
        <f t="shared" si="63"/>
        <v>20201</v>
      </c>
      <c r="D230" s="147" t="str">
        <f t="shared" si="68"/>
        <v>Q1</v>
      </c>
      <c r="E230" s="151">
        <f t="shared" si="69"/>
        <v>162345.66322771218</v>
      </c>
      <c r="F230" s="151">
        <f t="shared" si="69"/>
        <v>158898.726</v>
      </c>
      <c r="G230" s="151">
        <f t="shared" si="64"/>
        <v>4568.0060000000003</v>
      </c>
      <c r="H230" s="151">
        <f t="shared" si="65"/>
        <v>4643.5770000000002</v>
      </c>
      <c r="I230" s="151">
        <f t="shared" si="62"/>
        <v>1850.925</v>
      </c>
      <c r="J230" s="284">
        <f t="shared" si="66"/>
        <v>2.1692667490060158E-2</v>
      </c>
      <c r="P230" s="149"/>
      <c r="Q230" s="149"/>
      <c r="R230" s="149"/>
      <c r="S230" s="149"/>
    </row>
    <row r="231" spans="1:21" x14ac:dyDescent="0.2">
      <c r="A231" s="147">
        <v>2020</v>
      </c>
      <c r="B231" s="147">
        <v>2</v>
      </c>
      <c r="C231" s="147" t="str">
        <f t="shared" si="63"/>
        <v>20202</v>
      </c>
      <c r="D231" s="147" t="str">
        <f t="shared" si="68"/>
        <v>Q1</v>
      </c>
      <c r="E231" s="151">
        <f t="shared" si="69"/>
        <v>162345.66322771218</v>
      </c>
      <c r="F231" s="151">
        <f t="shared" si="69"/>
        <v>158898.726</v>
      </c>
      <c r="G231" s="151">
        <f t="shared" si="64"/>
        <v>4568.0060000000003</v>
      </c>
      <c r="H231" s="151">
        <f t="shared" si="65"/>
        <v>4643.5770000000002</v>
      </c>
      <c r="I231" s="151">
        <f t="shared" si="62"/>
        <v>1850.925</v>
      </c>
      <c r="J231" s="284">
        <f t="shared" si="66"/>
        <v>2.1692667490060158E-2</v>
      </c>
      <c r="P231" s="149"/>
      <c r="Q231" s="149"/>
      <c r="R231" s="149"/>
      <c r="S231" s="149"/>
    </row>
    <row r="232" spans="1:21" x14ac:dyDescent="0.2">
      <c r="A232" s="147">
        <v>2020</v>
      </c>
      <c r="B232" s="147">
        <v>3</v>
      </c>
      <c r="C232" s="147" t="str">
        <f t="shared" si="63"/>
        <v>20203</v>
      </c>
      <c r="D232" s="147" t="str">
        <f t="shared" si="68"/>
        <v>Q1</v>
      </c>
      <c r="E232" s="151">
        <f t="shared" si="69"/>
        <v>162345.66322771218</v>
      </c>
      <c r="F232" s="151">
        <f t="shared" si="69"/>
        <v>158898.726</v>
      </c>
      <c r="G232" s="151">
        <f t="shared" si="64"/>
        <v>4568.0060000000003</v>
      </c>
      <c r="H232" s="151">
        <f t="shared" si="65"/>
        <v>4643.5770000000002</v>
      </c>
      <c r="I232" s="151">
        <f t="shared" si="62"/>
        <v>1850.925</v>
      </c>
      <c r="J232" s="284">
        <f t="shared" si="66"/>
        <v>2.1692667490060158E-2</v>
      </c>
      <c r="P232" s="149"/>
      <c r="Q232" s="149"/>
      <c r="R232" s="149"/>
      <c r="S232" s="149"/>
    </row>
    <row r="233" spans="1:21" x14ac:dyDescent="0.2">
      <c r="A233" s="147">
        <v>2020</v>
      </c>
      <c r="B233" s="147">
        <v>4</v>
      </c>
      <c r="C233" s="147" t="str">
        <f t="shared" si="63"/>
        <v>20204</v>
      </c>
      <c r="D233" s="147" t="str">
        <f t="shared" si="68"/>
        <v>Q2</v>
      </c>
      <c r="E233" s="151">
        <f t="shared" si="69"/>
        <v>163364.39585983477</v>
      </c>
      <c r="F233" s="151">
        <f t="shared" si="69"/>
        <v>159849.41</v>
      </c>
      <c r="G233" s="151">
        <f t="shared" si="64"/>
        <v>4574.2870000000003</v>
      </c>
      <c r="H233" s="151">
        <f t="shared" si="65"/>
        <v>4651.8969999999999</v>
      </c>
      <c r="I233" s="151">
        <f t="shared" si="62"/>
        <v>1854.6890000000001</v>
      </c>
      <c r="J233" s="284">
        <f t="shared" si="66"/>
        <v>2.1989357732598247E-2</v>
      </c>
      <c r="P233" s="149"/>
      <c r="Q233" s="149"/>
      <c r="R233" s="149"/>
      <c r="S233" s="149"/>
      <c r="T233" s="173"/>
      <c r="U233" s="173"/>
    </row>
    <row r="234" spans="1:21" x14ac:dyDescent="0.2">
      <c r="A234" s="147">
        <v>2020</v>
      </c>
      <c r="B234" s="147">
        <v>5</v>
      </c>
      <c r="C234" s="147" t="str">
        <f t="shared" si="63"/>
        <v>20205</v>
      </c>
      <c r="D234" s="147" t="str">
        <f t="shared" si="68"/>
        <v>Q2</v>
      </c>
      <c r="E234" s="151">
        <f t="shared" si="69"/>
        <v>163364.39585983477</v>
      </c>
      <c r="F234" s="151">
        <f t="shared" si="69"/>
        <v>159849.41</v>
      </c>
      <c r="G234" s="151">
        <f t="shared" si="64"/>
        <v>4574.2870000000003</v>
      </c>
      <c r="H234" s="151">
        <f t="shared" si="65"/>
        <v>4651.8969999999999</v>
      </c>
      <c r="I234" s="151">
        <f t="shared" si="62"/>
        <v>1854.6890000000001</v>
      </c>
      <c r="J234" s="284">
        <f t="shared" si="66"/>
        <v>2.1989357732598247E-2</v>
      </c>
      <c r="P234" s="149"/>
      <c r="Q234" s="149"/>
      <c r="R234" s="149"/>
      <c r="S234" s="149"/>
      <c r="T234" s="173"/>
      <c r="U234" s="173"/>
    </row>
    <row r="235" spans="1:21" x14ac:dyDescent="0.2">
      <c r="A235" s="147">
        <v>2020</v>
      </c>
      <c r="B235" s="147">
        <v>6</v>
      </c>
      <c r="C235" s="147" t="str">
        <f t="shared" si="63"/>
        <v>20206</v>
      </c>
      <c r="D235" s="147" t="str">
        <f t="shared" si="68"/>
        <v>Q2</v>
      </c>
      <c r="E235" s="151">
        <f t="shared" si="69"/>
        <v>163364.39585983477</v>
      </c>
      <c r="F235" s="151">
        <f t="shared" si="69"/>
        <v>159849.41</v>
      </c>
      <c r="G235" s="151">
        <f t="shared" si="64"/>
        <v>4574.2870000000003</v>
      </c>
      <c r="H235" s="151">
        <f t="shared" si="65"/>
        <v>4651.8969999999999</v>
      </c>
      <c r="I235" s="151">
        <f t="shared" si="62"/>
        <v>1854.6890000000001</v>
      </c>
      <c r="J235" s="284">
        <f t="shared" si="66"/>
        <v>2.1989357732598247E-2</v>
      </c>
      <c r="P235" s="149"/>
      <c r="Q235" s="149"/>
      <c r="R235" s="149"/>
      <c r="S235" s="149"/>
      <c r="T235" s="173"/>
      <c r="U235" s="173"/>
    </row>
    <row r="236" spans="1:21" x14ac:dyDescent="0.2">
      <c r="A236" s="147">
        <v>2020</v>
      </c>
      <c r="B236" s="147">
        <v>7</v>
      </c>
      <c r="C236" s="147" t="str">
        <f t="shared" si="63"/>
        <v>20207</v>
      </c>
      <c r="D236" s="147" t="str">
        <f t="shared" si="68"/>
        <v>Q3</v>
      </c>
      <c r="E236" s="151">
        <f t="shared" si="69"/>
        <v>164150.30890120674</v>
      </c>
      <c r="F236" s="151">
        <f t="shared" si="69"/>
        <v>160644.163</v>
      </c>
      <c r="G236" s="151">
        <f t="shared" si="64"/>
        <v>4580.5259999999998</v>
      </c>
      <c r="H236" s="151">
        <f t="shared" si="65"/>
        <v>4660.2060000000001</v>
      </c>
      <c r="I236" s="151">
        <f t="shared" si="62"/>
        <v>1858.519</v>
      </c>
      <c r="J236" s="284">
        <f t="shared" si="66"/>
        <v>2.182554184185781E-2</v>
      </c>
      <c r="P236" s="149"/>
      <c r="Q236" s="149"/>
      <c r="R236" s="149"/>
      <c r="S236" s="149"/>
      <c r="T236" s="173"/>
      <c r="U236" s="173"/>
    </row>
    <row r="237" spans="1:21" x14ac:dyDescent="0.2">
      <c r="A237" s="147">
        <v>2020</v>
      </c>
      <c r="B237" s="147">
        <v>8</v>
      </c>
      <c r="C237" s="147" t="str">
        <f t="shared" si="63"/>
        <v>20208</v>
      </c>
      <c r="D237" s="147" t="str">
        <f t="shared" si="68"/>
        <v>Q3</v>
      </c>
      <c r="E237" s="151">
        <f t="shared" si="69"/>
        <v>164150.30890120674</v>
      </c>
      <c r="F237" s="151">
        <f t="shared" si="69"/>
        <v>160644.163</v>
      </c>
      <c r="G237" s="151">
        <f t="shared" si="64"/>
        <v>4580.5259999999998</v>
      </c>
      <c r="H237" s="151">
        <f t="shared" si="65"/>
        <v>4660.2060000000001</v>
      </c>
      <c r="I237" s="151">
        <f t="shared" si="62"/>
        <v>1858.519</v>
      </c>
      <c r="J237" s="284">
        <f t="shared" si="66"/>
        <v>2.182554184185781E-2</v>
      </c>
      <c r="P237" s="149"/>
      <c r="Q237" s="149"/>
      <c r="R237" s="149"/>
      <c r="S237" s="149"/>
      <c r="T237" s="173"/>
      <c r="U237" s="173"/>
    </row>
    <row r="238" spans="1:21" x14ac:dyDescent="0.2">
      <c r="A238" s="147">
        <v>2020</v>
      </c>
      <c r="B238" s="147">
        <v>9</v>
      </c>
      <c r="C238" s="147" t="str">
        <f t="shared" si="63"/>
        <v>20209</v>
      </c>
      <c r="D238" s="147" t="str">
        <f t="shared" si="68"/>
        <v>Q3</v>
      </c>
      <c r="E238" s="151">
        <f t="shared" si="69"/>
        <v>164150.30890120674</v>
      </c>
      <c r="F238" s="151">
        <f t="shared" si="69"/>
        <v>160644.163</v>
      </c>
      <c r="G238" s="151">
        <f t="shared" si="64"/>
        <v>4580.5259999999998</v>
      </c>
      <c r="H238" s="151">
        <f t="shared" si="65"/>
        <v>4660.2060000000001</v>
      </c>
      <c r="I238" s="151">
        <f t="shared" si="62"/>
        <v>1858.519</v>
      </c>
      <c r="J238" s="284">
        <f t="shared" si="66"/>
        <v>2.182554184185781E-2</v>
      </c>
      <c r="P238" s="149"/>
      <c r="Q238" s="149"/>
      <c r="R238" s="149"/>
      <c r="S238" s="149"/>
      <c r="T238" s="173"/>
      <c r="U238" s="173"/>
    </row>
    <row r="239" spans="1:21" x14ac:dyDescent="0.2">
      <c r="A239" s="147">
        <v>2020</v>
      </c>
      <c r="B239" s="147">
        <v>10</v>
      </c>
      <c r="C239" s="147" t="str">
        <f t="shared" si="63"/>
        <v>202010</v>
      </c>
      <c r="D239" s="147" t="str">
        <f t="shared" si="68"/>
        <v>Q4</v>
      </c>
      <c r="E239" s="151">
        <f t="shared" si="69"/>
        <v>164769.80057959011</v>
      </c>
      <c r="F239" s="151">
        <f t="shared" si="69"/>
        <v>161348.13399999999</v>
      </c>
      <c r="G239" s="151">
        <f t="shared" si="64"/>
        <v>4586.7250000000004</v>
      </c>
      <c r="H239" s="151">
        <f t="shared" si="65"/>
        <v>4668.5039999999999</v>
      </c>
      <c r="I239" s="151">
        <f t="shared" si="62"/>
        <v>1862.2539999999999</v>
      </c>
      <c r="J239" s="284">
        <f t="shared" si="66"/>
        <v>2.1206731647668953E-2</v>
      </c>
      <c r="P239" s="149"/>
      <c r="Q239" s="149"/>
      <c r="R239" s="149"/>
      <c r="S239" s="149"/>
      <c r="T239" s="173"/>
      <c r="U239" s="173"/>
    </row>
    <row r="240" spans="1:21" x14ac:dyDescent="0.2">
      <c r="A240" s="147">
        <v>2020</v>
      </c>
      <c r="B240" s="147">
        <v>11</v>
      </c>
      <c r="C240" s="147" t="str">
        <f t="shared" si="63"/>
        <v>202011</v>
      </c>
      <c r="D240" s="147" t="str">
        <f t="shared" si="68"/>
        <v>Q4</v>
      </c>
      <c r="E240" s="151">
        <f t="shared" si="69"/>
        <v>164769.80057959011</v>
      </c>
      <c r="F240" s="151">
        <f t="shared" si="69"/>
        <v>161348.13399999999</v>
      </c>
      <c r="G240" s="151">
        <f t="shared" si="64"/>
        <v>4586.7250000000004</v>
      </c>
      <c r="H240" s="151">
        <f t="shared" si="65"/>
        <v>4668.5039999999999</v>
      </c>
      <c r="I240" s="151">
        <f t="shared" si="62"/>
        <v>1862.2539999999999</v>
      </c>
      <c r="J240" s="284">
        <f t="shared" si="66"/>
        <v>2.1206731647668953E-2</v>
      </c>
      <c r="P240" s="149"/>
      <c r="Q240" s="149"/>
      <c r="R240" s="149"/>
      <c r="S240" s="149"/>
      <c r="T240" s="173"/>
      <c r="U240" s="173"/>
    </row>
    <row r="241" spans="1:19" x14ac:dyDescent="0.2">
      <c r="A241" s="147">
        <v>2020</v>
      </c>
      <c r="B241" s="147">
        <v>12</v>
      </c>
      <c r="C241" s="147" t="str">
        <f t="shared" si="63"/>
        <v>202012</v>
      </c>
      <c r="D241" s="147" t="str">
        <f t="shared" si="68"/>
        <v>Q4</v>
      </c>
      <c r="E241" s="151">
        <f t="shared" si="69"/>
        <v>164769.80057959011</v>
      </c>
      <c r="F241" s="151">
        <f t="shared" si="69"/>
        <v>161348.13399999999</v>
      </c>
      <c r="G241" s="151">
        <f t="shared" si="64"/>
        <v>4586.7250000000004</v>
      </c>
      <c r="H241" s="151">
        <f t="shared" si="65"/>
        <v>4668.5039999999999</v>
      </c>
      <c r="I241" s="151">
        <f t="shared" si="62"/>
        <v>1862.2539999999999</v>
      </c>
      <c r="J241" s="284">
        <f t="shared" si="66"/>
        <v>2.1206731647668953E-2</v>
      </c>
      <c r="P241" s="153"/>
      <c r="Q241" s="153"/>
      <c r="R241" s="153"/>
      <c r="S241" s="153"/>
    </row>
    <row r="242" spans="1:19" x14ac:dyDescent="0.2">
      <c r="A242" s="147">
        <v>2021</v>
      </c>
      <c r="B242" s="147">
        <v>1</v>
      </c>
      <c r="C242" s="147" t="str">
        <f t="shared" si="63"/>
        <v>20211</v>
      </c>
      <c r="D242" s="147" t="str">
        <f t="shared" si="68"/>
        <v>Q1</v>
      </c>
      <c r="E242" s="151">
        <f t="shared" ref="E242:F261" si="70">VLOOKUP($A242&amp;$D242,$O$1:$V$189,MATCH(E$1,$O$1:$V$1,0),0)</f>
        <v>165937.30888812992</v>
      </c>
      <c r="F242" s="151">
        <f t="shared" si="70"/>
        <v>162475.66899999999</v>
      </c>
      <c r="G242" s="151">
        <f t="shared" si="64"/>
        <v>4592.8829999999998</v>
      </c>
      <c r="H242" s="151">
        <f t="shared" si="65"/>
        <v>4676.79</v>
      </c>
      <c r="I242" s="151">
        <f t="shared" si="62"/>
        <v>1865.962</v>
      </c>
      <c r="J242" s="284">
        <f t="shared" si="66"/>
        <v>2.130558938107785E-2</v>
      </c>
      <c r="P242" s="153"/>
      <c r="Q242" s="153"/>
      <c r="R242" s="153"/>
      <c r="S242" s="153"/>
    </row>
    <row r="243" spans="1:19" x14ac:dyDescent="0.2">
      <c r="A243" s="147">
        <v>2021</v>
      </c>
      <c r="B243" s="147">
        <v>2</v>
      </c>
      <c r="C243" s="147" t="str">
        <f t="shared" si="63"/>
        <v>20212</v>
      </c>
      <c r="D243" s="147" t="str">
        <f t="shared" si="68"/>
        <v>Q1</v>
      </c>
      <c r="E243" s="151">
        <f t="shared" si="70"/>
        <v>165937.30888812992</v>
      </c>
      <c r="F243" s="151">
        <f t="shared" si="70"/>
        <v>162475.66899999999</v>
      </c>
      <c r="G243" s="151">
        <f t="shared" si="64"/>
        <v>4592.8829999999998</v>
      </c>
      <c r="H243" s="151">
        <f t="shared" si="65"/>
        <v>4676.79</v>
      </c>
      <c r="I243" s="151">
        <f t="shared" si="62"/>
        <v>1865.962</v>
      </c>
      <c r="J243" s="284">
        <f t="shared" si="66"/>
        <v>2.130558938107785E-2</v>
      </c>
      <c r="P243" s="153"/>
      <c r="Q243" s="153"/>
      <c r="R243" s="153"/>
      <c r="S243" s="153"/>
    </row>
    <row r="244" spans="1:19" x14ac:dyDescent="0.2">
      <c r="A244" s="147">
        <v>2021</v>
      </c>
      <c r="B244" s="147">
        <v>3</v>
      </c>
      <c r="C244" s="147" t="str">
        <f t="shared" si="63"/>
        <v>20213</v>
      </c>
      <c r="D244" s="147" t="str">
        <f t="shared" si="68"/>
        <v>Q1</v>
      </c>
      <c r="E244" s="151">
        <f t="shared" si="70"/>
        <v>165937.30888812992</v>
      </c>
      <c r="F244" s="151">
        <f t="shared" si="70"/>
        <v>162475.66899999999</v>
      </c>
      <c r="G244" s="151">
        <f t="shared" si="64"/>
        <v>4592.8829999999998</v>
      </c>
      <c r="H244" s="151">
        <f t="shared" si="65"/>
        <v>4676.79</v>
      </c>
      <c r="I244" s="151">
        <f t="shared" si="62"/>
        <v>1865.962</v>
      </c>
      <c r="J244" s="284">
        <f t="shared" si="66"/>
        <v>2.130558938107785E-2</v>
      </c>
      <c r="P244" s="153"/>
      <c r="Q244" s="153"/>
      <c r="R244" s="153"/>
      <c r="S244" s="153"/>
    </row>
    <row r="245" spans="1:19" x14ac:dyDescent="0.2">
      <c r="A245" s="147">
        <v>2021</v>
      </c>
      <c r="B245" s="147">
        <v>4</v>
      </c>
      <c r="C245" s="147" t="str">
        <f t="shared" si="63"/>
        <v>20214</v>
      </c>
      <c r="D245" s="147" t="str">
        <f t="shared" si="68"/>
        <v>Q2</v>
      </c>
      <c r="E245" s="151">
        <f t="shared" si="70"/>
        <v>166704.94952080987</v>
      </c>
      <c r="F245" s="151">
        <f t="shared" si="70"/>
        <v>163161.704</v>
      </c>
      <c r="G245" s="151">
        <f t="shared" si="64"/>
        <v>4598.9870000000001</v>
      </c>
      <c r="H245" s="151">
        <f t="shared" si="65"/>
        <v>4685.0510000000004</v>
      </c>
      <c r="I245" s="151">
        <f t="shared" si="62"/>
        <v>1869.652</v>
      </c>
      <c r="J245" s="284">
        <f t="shared" si="66"/>
        <v>2.1716159086018649E-2</v>
      </c>
      <c r="P245" s="153"/>
      <c r="Q245" s="153"/>
      <c r="R245" s="153"/>
      <c r="S245" s="153"/>
    </row>
    <row r="246" spans="1:19" x14ac:dyDescent="0.2">
      <c r="A246" s="147">
        <v>2021</v>
      </c>
      <c r="B246" s="147">
        <v>5</v>
      </c>
      <c r="C246" s="147" t="str">
        <f t="shared" si="63"/>
        <v>20215</v>
      </c>
      <c r="D246" s="147" t="str">
        <f t="shared" si="68"/>
        <v>Q2</v>
      </c>
      <c r="E246" s="151">
        <f t="shared" si="70"/>
        <v>166704.94952080987</v>
      </c>
      <c r="F246" s="151">
        <f t="shared" si="70"/>
        <v>163161.704</v>
      </c>
      <c r="G246" s="151">
        <f t="shared" si="64"/>
        <v>4598.9870000000001</v>
      </c>
      <c r="H246" s="151">
        <f t="shared" si="65"/>
        <v>4685.0510000000004</v>
      </c>
      <c r="I246" s="151">
        <f t="shared" si="62"/>
        <v>1869.652</v>
      </c>
      <c r="J246" s="284">
        <f t="shared" si="66"/>
        <v>2.1716159086018649E-2</v>
      </c>
      <c r="P246" s="153"/>
      <c r="Q246" s="153"/>
      <c r="R246" s="153"/>
      <c r="S246" s="153"/>
    </row>
    <row r="247" spans="1:19" x14ac:dyDescent="0.2">
      <c r="A247" s="147">
        <v>2021</v>
      </c>
      <c r="B247" s="147">
        <v>6</v>
      </c>
      <c r="C247" s="147" t="str">
        <f t="shared" si="63"/>
        <v>20216</v>
      </c>
      <c r="D247" s="147" t="str">
        <f t="shared" si="68"/>
        <v>Q2</v>
      </c>
      <c r="E247" s="151">
        <f t="shared" si="70"/>
        <v>166704.94952080987</v>
      </c>
      <c r="F247" s="151">
        <f t="shared" si="70"/>
        <v>163161.704</v>
      </c>
      <c r="G247" s="151">
        <f t="shared" si="64"/>
        <v>4598.9870000000001</v>
      </c>
      <c r="H247" s="151">
        <f t="shared" si="65"/>
        <v>4685.0510000000004</v>
      </c>
      <c r="I247" s="151">
        <f t="shared" si="62"/>
        <v>1869.652</v>
      </c>
      <c r="J247" s="284">
        <f t="shared" si="66"/>
        <v>2.1716159086018649E-2</v>
      </c>
      <c r="P247" s="153"/>
      <c r="Q247" s="153"/>
      <c r="R247" s="153"/>
      <c r="S247" s="153"/>
    </row>
    <row r="248" spans="1:19" x14ac:dyDescent="0.2">
      <c r="A248" s="147">
        <v>2021</v>
      </c>
      <c r="B248" s="147">
        <v>7</v>
      </c>
      <c r="C248" s="147" t="str">
        <f t="shared" si="63"/>
        <v>20217</v>
      </c>
      <c r="D248" s="147" t="str">
        <f t="shared" si="68"/>
        <v>Q3</v>
      </c>
      <c r="E248" s="151">
        <f t="shared" si="70"/>
        <v>167495.73989521823</v>
      </c>
      <c r="F248" s="151">
        <f t="shared" si="70"/>
        <v>163854.01199999999</v>
      </c>
      <c r="G248" s="151">
        <f t="shared" si="64"/>
        <v>4605.05</v>
      </c>
      <c r="H248" s="151">
        <f t="shared" si="65"/>
        <v>4693.299</v>
      </c>
      <c r="I248" s="151">
        <f t="shared" si="62"/>
        <v>1873.307</v>
      </c>
      <c r="J248" s="284">
        <f t="shared" si="66"/>
        <v>2.2225442335938927E-2</v>
      </c>
      <c r="P248" s="153"/>
      <c r="Q248" s="153"/>
      <c r="R248" s="153"/>
      <c r="S248" s="153"/>
    </row>
    <row r="249" spans="1:19" x14ac:dyDescent="0.2">
      <c r="A249" s="147">
        <v>2021</v>
      </c>
      <c r="B249" s="147">
        <v>8</v>
      </c>
      <c r="C249" s="147" t="str">
        <f t="shared" si="63"/>
        <v>20218</v>
      </c>
      <c r="D249" s="147" t="str">
        <f t="shared" si="68"/>
        <v>Q3</v>
      </c>
      <c r="E249" s="151">
        <f t="shared" si="70"/>
        <v>167495.73989521823</v>
      </c>
      <c r="F249" s="151">
        <f t="shared" si="70"/>
        <v>163854.01199999999</v>
      </c>
      <c r="G249" s="151">
        <f t="shared" si="64"/>
        <v>4605.05</v>
      </c>
      <c r="H249" s="151">
        <f t="shared" si="65"/>
        <v>4693.299</v>
      </c>
      <c r="I249" s="151">
        <f t="shared" si="62"/>
        <v>1873.307</v>
      </c>
      <c r="J249" s="284">
        <f t="shared" si="66"/>
        <v>2.2225442335938927E-2</v>
      </c>
      <c r="P249" s="153"/>
      <c r="Q249" s="153"/>
      <c r="R249" s="153"/>
      <c r="S249" s="153"/>
    </row>
    <row r="250" spans="1:19" x14ac:dyDescent="0.2">
      <c r="A250" s="147">
        <v>2021</v>
      </c>
      <c r="B250" s="147">
        <v>9</v>
      </c>
      <c r="C250" s="147" t="str">
        <f t="shared" si="63"/>
        <v>20219</v>
      </c>
      <c r="D250" s="147" t="str">
        <f t="shared" si="68"/>
        <v>Q3</v>
      </c>
      <c r="E250" s="151">
        <f t="shared" si="70"/>
        <v>167495.73989521823</v>
      </c>
      <c r="F250" s="151">
        <f t="shared" si="70"/>
        <v>163854.01199999999</v>
      </c>
      <c r="G250" s="151">
        <f t="shared" si="64"/>
        <v>4605.05</v>
      </c>
      <c r="H250" s="151">
        <f t="shared" si="65"/>
        <v>4693.299</v>
      </c>
      <c r="I250" s="151">
        <f t="shared" si="62"/>
        <v>1873.307</v>
      </c>
      <c r="J250" s="284">
        <f t="shared" si="66"/>
        <v>2.2225442335938927E-2</v>
      </c>
      <c r="M250" s="170"/>
    </row>
    <row r="251" spans="1:19" x14ac:dyDescent="0.2">
      <c r="A251" s="147">
        <v>2021</v>
      </c>
      <c r="B251" s="147">
        <v>10</v>
      </c>
      <c r="C251" s="147" t="str">
        <f t="shared" si="63"/>
        <v>202110</v>
      </c>
      <c r="D251" s="147" t="str">
        <f t="shared" si="68"/>
        <v>Q4</v>
      </c>
      <c r="E251" s="151">
        <f t="shared" si="70"/>
        <v>168282.95005042473</v>
      </c>
      <c r="F251" s="151">
        <f t="shared" si="70"/>
        <v>164597.87899999999</v>
      </c>
      <c r="G251" s="151">
        <f t="shared" si="64"/>
        <v>4611.0690000000004</v>
      </c>
      <c r="H251" s="151">
        <f t="shared" si="65"/>
        <v>4701.5330000000004</v>
      </c>
      <c r="I251" s="151">
        <f t="shared" si="62"/>
        <v>1877.029</v>
      </c>
      <c r="J251" s="284">
        <f t="shared" si="66"/>
        <v>2.2388326464551467E-2</v>
      </c>
      <c r="M251" s="170"/>
    </row>
    <row r="252" spans="1:19" x14ac:dyDescent="0.2">
      <c r="A252" s="147">
        <v>2021</v>
      </c>
      <c r="B252" s="147">
        <v>11</v>
      </c>
      <c r="C252" s="147" t="str">
        <f t="shared" si="63"/>
        <v>202111</v>
      </c>
      <c r="D252" s="147" t="str">
        <f t="shared" si="68"/>
        <v>Q4</v>
      </c>
      <c r="E252" s="151">
        <f t="shared" si="70"/>
        <v>168282.95005042473</v>
      </c>
      <c r="F252" s="151">
        <f t="shared" si="70"/>
        <v>164597.87899999999</v>
      </c>
      <c r="G252" s="151">
        <f t="shared" si="64"/>
        <v>4611.0690000000004</v>
      </c>
      <c r="H252" s="151">
        <f t="shared" si="65"/>
        <v>4701.5330000000004</v>
      </c>
      <c r="I252" s="151">
        <f t="shared" si="62"/>
        <v>1877.029</v>
      </c>
      <c r="J252" s="284">
        <f t="shared" si="66"/>
        <v>2.2388326464551467E-2</v>
      </c>
      <c r="M252" s="170"/>
    </row>
    <row r="253" spans="1:19" x14ac:dyDescent="0.2">
      <c r="A253" s="147">
        <v>2021</v>
      </c>
      <c r="B253" s="147">
        <v>12</v>
      </c>
      <c r="C253" s="147" t="str">
        <f t="shared" si="63"/>
        <v>202112</v>
      </c>
      <c r="D253" s="147" t="str">
        <f t="shared" si="68"/>
        <v>Q4</v>
      </c>
      <c r="E253" s="151">
        <f t="shared" si="70"/>
        <v>168282.95005042473</v>
      </c>
      <c r="F253" s="151">
        <f t="shared" si="70"/>
        <v>164597.87899999999</v>
      </c>
      <c r="G253" s="151">
        <f t="shared" si="64"/>
        <v>4611.0690000000004</v>
      </c>
      <c r="H253" s="151">
        <f t="shared" si="65"/>
        <v>4701.5330000000004</v>
      </c>
      <c r="I253" s="151">
        <f t="shared" si="62"/>
        <v>1877.029</v>
      </c>
      <c r="J253" s="284">
        <f t="shared" si="66"/>
        <v>2.2388326464551467E-2</v>
      </c>
      <c r="M253" s="170"/>
    </row>
    <row r="254" spans="1:19" x14ac:dyDescent="0.2">
      <c r="A254" s="147">
        <v>2022</v>
      </c>
      <c r="B254" s="147">
        <v>1</v>
      </c>
      <c r="C254" s="147" t="str">
        <f t="shared" si="63"/>
        <v>20221</v>
      </c>
      <c r="D254" s="147" t="str">
        <f t="shared" si="68"/>
        <v>Q1</v>
      </c>
      <c r="E254" s="151">
        <f t="shared" si="70"/>
        <v>169537.54043155216</v>
      </c>
      <c r="F254" s="151">
        <f t="shared" si="70"/>
        <v>165857.508</v>
      </c>
      <c r="G254" s="151">
        <f t="shared" si="64"/>
        <v>4617.0460000000003</v>
      </c>
      <c r="H254" s="151">
        <f t="shared" si="65"/>
        <v>4709.7529999999997</v>
      </c>
      <c r="I254" s="151">
        <f t="shared" si="62"/>
        <v>1880.136</v>
      </c>
      <c r="J254" s="284">
        <f t="shared" si="66"/>
        <v>2.2187915855772733E-2</v>
      </c>
      <c r="M254" s="170"/>
    </row>
    <row r="255" spans="1:19" x14ac:dyDescent="0.2">
      <c r="A255" s="147">
        <v>2022</v>
      </c>
      <c r="B255" s="147">
        <v>2</v>
      </c>
      <c r="C255" s="147" t="str">
        <f t="shared" si="63"/>
        <v>20222</v>
      </c>
      <c r="D255" s="147" t="str">
        <f t="shared" si="68"/>
        <v>Q1</v>
      </c>
      <c r="E255" s="151">
        <f t="shared" si="70"/>
        <v>169537.54043155216</v>
      </c>
      <c r="F255" s="151">
        <f t="shared" si="70"/>
        <v>165857.508</v>
      </c>
      <c r="G255" s="151">
        <f t="shared" si="64"/>
        <v>4617.0460000000003</v>
      </c>
      <c r="H255" s="151">
        <f t="shared" si="65"/>
        <v>4709.7529999999997</v>
      </c>
      <c r="I255" s="151">
        <f t="shared" si="62"/>
        <v>1880.136</v>
      </c>
      <c r="J255" s="284">
        <f t="shared" si="66"/>
        <v>2.2187915855772733E-2</v>
      </c>
      <c r="M255" s="170"/>
    </row>
    <row r="256" spans="1:19" x14ac:dyDescent="0.2">
      <c r="A256" s="147">
        <v>2022</v>
      </c>
      <c r="B256" s="147">
        <v>3</v>
      </c>
      <c r="C256" s="147" t="str">
        <f t="shared" si="63"/>
        <v>20223</v>
      </c>
      <c r="D256" s="147" t="str">
        <f t="shared" si="68"/>
        <v>Q1</v>
      </c>
      <c r="E256" s="151">
        <f t="shared" si="70"/>
        <v>169537.54043155216</v>
      </c>
      <c r="F256" s="151">
        <f t="shared" si="70"/>
        <v>165857.508</v>
      </c>
      <c r="G256" s="151">
        <f t="shared" si="64"/>
        <v>4617.0460000000003</v>
      </c>
      <c r="H256" s="151">
        <f t="shared" si="65"/>
        <v>4709.7529999999997</v>
      </c>
      <c r="I256" s="151">
        <f t="shared" si="62"/>
        <v>1880.136</v>
      </c>
      <c r="J256" s="284">
        <f t="shared" si="66"/>
        <v>2.2187915855772733E-2</v>
      </c>
      <c r="M256" s="170"/>
    </row>
    <row r="257" spans="1:12" s="170" customFormat="1" x14ac:dyDescent="0.2">
      <c r="A257" s="147">
        <v>2022</v>
      </c>
      <c r="B257" s="147">
        <v>4</v>
      </c>
      <c r="C257" s="147" t="str">
        <f t="shared" si="63"/>
        <v>20224</v>
      </c>
      <c r="D257" s="147" t="str">
        <f t="shared" si="68"/>
        <v>Q2</v>
      </c>
      <c r="E257" s="151">
        <f t="shared" si="70"/>
        <v>170340.13867575288</v>
      </c>
      <c r="F257" s="151">
        <f t="shared" si="70"/>
        <v>166796.47399999999</v>
      </c>
      <c r="G257" s="151">
        <f t="shared" si="64"/>
        <v>4622.9769999999999</v>
      </c>
      <c r="H257" s="151">
        <f t="shared" si="65"/>
        <v>4717.9579999999996</v>
      </c>
      <c r="I257" s="151">
        <f t="shared" si="62"/>
        <v>1883.181</v>
      </c>
      <c r="J257" s="284">
        <f t="shared" si="66"/>
        <v>2.1245441170134605E-2</v>
      </c>
      <c r="K257" s="147"/>
      <c r="L257" s="147"/>
    </row>
    <row r="258" spans="1:12" s="170" customFormat="1" x14ac:dyDescent="0.2">
      <c r="A258" s="147">
        <v>2022</v>
      </c>
      <c r="B258" s="147">
        <v>5</v>
      </c>
      <c r="C258" s="147" t="str">
        <f t="shared" si="63"/>
        <v>20225</v>
      </c>
      <c r="D258" s="147" t="str">
        <f t="shared" si="68"/>
        <v>Q2</v>
      </c>
      <c r="E258" s="151">
        <f t="shared" si="70"/>
        <v>170340.13867575288</v>
      </c>
      <c r="F258" s="151">
        <f t="shared" si="70"/>
        <v>166796.47399999999</v>
      </c>
      <c r="G258" s="151">
        <f t="shared" si="64"/>
        <v>4622.9769999999999</v>
      </c>
      <c r="H258" s="151">
        <f t="shared" si="65"/>
        <v>4717.9579999999996</v>
      </c>
      <c r="I258" s="151">
        <f t="shared" ref="I258:I321" si="71">VLOOKUP($A258&amp;$D258,$O$1:$V$189,MATCH(I$1,$O$1:$V$1,0),0)</f>
        <v>1883.181</v>
      </c>
      <c r="J258" s="284">
        <f t="shared" si="66"/>
        <v>2.1245441170134605E-2</v>
      </c>
      <c r="K258" s="147"/>
      <c r="L258" s="147"/>
    </row>
    <row r="259" spans="1:12" s="170" customFormat="1" x14ac:dyDescent="0.2">
      <c r="A259" s="147">
        <v>2022</v>
      </c>
      <c r="B259" s="147">
        <v>6</v>
      </c>
      <c r="C259" s="147" t="str">
        <f t="shared" ref="C259:C322" si="72">A259&amp;B259</f>
        <v>20226</v>
      </c>
      <c r="D259" s="147" t="str">
        <f t="shared" si="68"/>
        <v>Q2</v>
      </c>
      <c r="E259" s="151">
        <f t="shared" si="70"/>
        <v>170340.13867575288</v>
      </c>
      <c r="F259" s="151">
        <f t="shared" si="70"/>
        <v>166796.47399999999</v>
      </c>
      <c r="G259" s="151">
        <f t="shared" ref="G259:G322" si="73">VLOOKUP($A259&amp;$D259,$O$1:$AA$189,MATCH(G$1,$O$1:$AA$1,0),0)</f>
        <v>4622.9769999999999</v>
      </c>
      <c r="H259" s="151">
        <f t="shared" ref="H259:H322" si="74">VLOOKUP($A259&amp;$D259,$O$1:$AA$189,MATCH(H$1,$O$1:$AA$1,0),0)</f>
        <v>4717.9579999999996</v>
      </c>
      <c r="I259" s="151">
        <f t="shared" si="71"/>
        <v>1883.181</v>
      </c>
      <c r="J259" s="284">
        <f t="shared" ref="J259:J322" si="75">E259/F259-1</f>
        <v>2.1245441170134605E-2</v>
      </c>
      <c r="K259" s="147"/>
      <c r="L259" s="147"/>
    </row>
    <row r="260" spans="1:12" s="170" customFormat="1" x14ac:dyDescent="0.2">
      <c r="A260" s="147">
        <v>2022</v>
      </c>
      <c r="B260" s="147">
        <v>7</v>
      </c>
      <c r="C260" s="147" t="str">
        <f t="shared" si="72"/>
        <v>20227</v>
      </c>
      <c r="D260" s="147" t="str">
        <f t="shared" si="68"/>
        <v>Q3</v>
      </c>
      <c r="E260" s="151">
        <f t="shared" si="70"/>
        <v>171251.59311398395</v>
      </c>
      <c r="F260" s="151">
        <f t="shared" si="70"/>
        <v>167787.24299999999</v>
      </c>
      <c r="G260" s="151">
        <f t="shared" si="73"/>
        <v>4628.8519999999999</v>
      </c>
      <c r="H260" s="151">
        <f t="shared" si="74"/>
        <v>4726.1329999999998</v>
      </c>
      <c r="I260" s="151">
        <f t="shared" si="71"/>
        <v>1886.1790000000001</v>
      </c>
      <c r="J260" s="284">
        <f t="shared" si="75"/>
        <v>2.0647279566921251E-2</v>
      </c>
      <c r="K260" s="147"/>
      <c r="L260" s="147"/>
    </row>
    <row r="261" spans="1:12" s="170" customFormat="1" x14ac:dyDescent="0.2">
      <c r="A261" s="147">
        <v>2022</v>
      </c>
      <c r="B261" s="147">
        <v>8</v>
      </c>
      <c r="C261" s="147" t="str">
        <f t="shared" si="72"/>
        <v>20228</v>
      </c>
      <c r="D261" s="147" t="str">
        <f t="shared" si="68"/>
        <v>Q3</v>
      </c>
      <c r="E261" s="151">
        <f t="shared" si="70"/>
        <v>171251.59311398395</v>
      </c>
      <c r="F261" s="151">
        <f t="shared" si="70"/>
        <v>167787.24299999999</v>
      </c>
      <c r="G261" s="151">
        <f t="shared" si="73"/>
        <v>4628.8519999999999</v>
      </c>
      <c r="H261" s="151">
        <f t="shared" si="74"/>
        <v>4726.1329999999998</v>
      </c>
      <c r="I261" s="151">
        <f t="shared" si="71"/>
        <v>1886.1790000000001</v>
      </c>
      <c r="J261" s="284">
        <f t="shared" si="75"/>
        <v>2.0647279566921251E-2</v>
      </c>
      <c r="K261" s="147"/>
      <c r="L261" s="147"/>
    </row>
    <row r="262" spans="1:12" s="170" customFormat="1" x14ac:dyDescent="0.2">
      <c r="A262" s="147">
        <v>2022</v>
      </c>
      <c r="B262" s="147">
        <v>9</v>
      </c>
      <c r="C262" s="147" t="str">
        <f t="shared" si="72"/>
        <v>20229</v>
      </c>
      <c r="D262" s="147" t="str">
        <f t="shared" si="68"/>
        <v>Q3</v>
      </c>
      <c r="E262" s="151">
        <f t="shared" ref="E262:F281" si="76">VLOOKUP($A262&amp;$D262,$O$1:$V$189,MATCH(E$1,$O$1:$V$1,0),0)</f>
        <v>171251.59311398395</v>
      </c>
      <c r="F262" s="151">
        <f t="shared" si="76"/>
        <v>167787.24299999999</v>
      </c>
      <c r="G262" s="151">
        <f t="shared" si="73"/>
        <v>4628.8519999999999</v>
      </c>
      <c r="H262" s="151">
        <f t="shared" si="74"/>
        <v>4726.1329999999998</v>
      </c>
      <c r="I262" s="151">
        <f t="shared" si="71"/>
        <v>1886.1790000000001</v>
      </c>
      <c r="J262" s="284">
        <f t="shared" si="75"/>
        <v>2.0647279566921251E-2</v>
      </c>
      <c r="K262" s="147"/>
      <c r="L262" s="147"/>
    </row>
    <row r="263" spans="1:12" s="170" customFormat="1" x14ac:dyDescent="0.2">
      <c r="A263" s="147">
        <v>2022</v>
      </c>
      <c r="B263" s="147">
        <v>10</v>
      </c>
      <c r="C263" s="147" t="str">
        <f t="shared" si="72"/>
        <v>202210</v>
      </c>
      <c r="D263" s="147" t="str">
        <f t="shared" si="68"/>
        <v>Q4</v>
      </c>
      <c r="E263" s="151">
        <f t="shared" si="76"/>
        <v>172124.28850790611</v>
      </c>
      <c r="F263" s="151">
        <f t="shared" si="76"/>
        <v>168781.15</v>
      </c>
      <c r="G263" s="151">
        <f t="shared" si="73"/>
        <v>4634.6809999999996</v>
      </c>
      <c r="H263" s="151">
        <f t="shared" si="74"/>
        <v>4734.2920000000004</v>
      </c>
      <c r="I263" s="151">
        <f t="shared" si="71"/>
        <v>1889.0119999999999</v>
      </c>
      <c r="J263" s="284">
        <f t="shared" si="75"/>
        <v>1.9807534833754303E-2</v>
      </c>
      <c r="K263" s="147"/>
      <c r="L263" s="147"/>
    </row>
    <row r="264" spans="1:12" s="170" customFormat="1" x14ac:dyDescent="0.2">
      <c r="A264" s="147">
        <v>2022</v>
      </c>
      <c r="B264" s="147">
        <v>11</v>
      </c>
      <c r="C264" s="147" t="str">
        <f t="shared" si="72"/>
        <v>202211</v>
      </c>
      <c r="D264" s="147" t="str">
        <f t="shared" si="68"/>
        <v>Q4</v>
      </c>
      <c r="E264" s="151">
        <f t="shared" si="76"/>
        <v>172124.28850790611</v>
      </c>
      <c r="F264" s="151">
        <f t="shared" si="76"/>
        <v>168781.15</v>
      </c>
      <c r="G264" s="151">
        <f t="shared" si="73"/>
        <v>4634.6809999999996</v>
      </c>
      <c r="H264" s="151">
        <f t="shared" si="74"/>
        <v>4734.2920000000004</v>
      </c>
      <c r="I264" s="151">
        <f t="shared" si="71"/>
        <v>1889.0119999999999</v>
      </c>
      <c r="J264" s="284">
        <f t="shared" si="75"/>
        <v>1.9807534833754303E-2</v>
      </c>
      <c r="K264" s="147"/>
      <c r="L264" s="147"/>
    </row>
    <row r="265" spans="1:12" s="170" customFormat="1" x14ac:dyDescent="0.2">
      <c r="A265" s="147">
        <v>2022</v>
      </c>
      <c r="B265" s="147">
        <v>12</v>
      </c>
      <c r="C265" s="147" t="str">
        <f t="shared" si="72"/>
        <v>202212</v>
      </c>
      <c r="D265" s="147" t="str">
        <f t="shared" si="68"/>
        <v>Q4</v>
      </c>
      <c r="E265" s="151">
        <f t="shared" si="76"/>
        <v>172124.28850790611</v>
      </c>
      <c r="F265" s="151">
        <f t="shared" si="76"/>
        <v>168781.15</v>
      </c>
      <c r="G265" s="151">
        <f t="shared" si="73"/>
        <v>4634.6809999999996</v>
      </c>
      <c r="H265" s="151">
        <f t="shared" si="74"/>
        <v>4734.2920000000004</v>
      </c>
      <c r="I265" s="151">
        <f t="shared" si="71"/>
        <v>1889.0119999999999</v>
      </c>
      <c r="J265" s="284">
        <f t="shared" si="75"/>
        <v>1.9807534833754303E-2</v>
      </c>
      <c r="K265" s="147"/>
      <c r="L265" s="147"/>
    </row>
    <row r="266" spans="1:12" s="170" customFormat="1" x14ac:dyDescent="0.2">
      <c r="A266" s="147">
        <v>2023</v>
      </c>
      <c r="B266" s="147">
        <v>1</v>
      </c>
      <c r="C266" s="147" t="str">
        <f t="shared" si="72"/>
        <v>20231</v>
      </c>
      <c r="D266" s="147" t="str">
        <f t="shared" si="68"/>
        <v>Q1</v>
      </c>
      <c r="E266" s="151">
        <f t="shared" si="76"/>
        <v>173475.42312358608</v>
      </c>
      <c r="F266" s="151">
        <f t="shared" si="76"/>
        <v>170138.21400000001</v>
      </c>
      <c r="G266" s="151">
        <f t="shared" si="73"/>
        <v>4640.4660000000003</v>
      </c>
      <c r="H266" s="151">
        <f t="shared" si="74"/>
        <v>4742.4340000000002</v>
      </c>
      <c r="I266" s="151">
        <f t="shared" si="71"/>
        <v>1892.0160000000001</v>
      </c>
      <c r="J266" s="284">
        <f t="shared" si="75"/>
        <v>1.9614694695138102E-2</v>
      </c>
      <c r="K266" s="147"/>
      <c r="L266" s="147"/>
    </row>
    <row r="267" spans="1:12" s="170" customFormat="1" x14ac:dyDescent="0.2">
      <c r="A267" s="147">
        <v>2023</v>
      </c>
      <c r="B267" s="147">
        <v>2</v>
      </c>
      <c r="C267" s="147" t="str">
        <f t="shared" si="72"/>
        <v>20232</v>
      </c>
      <c r="D267" s="147" t="str">
        <f t="shared" si="68"/>
        <v>Q1</v>
      </c>
      <c r="E267" s="151">
        <f t="shared" si="76"/>
        <v>173475.42312358608</v>
      </c>
      <c r="F267" s="151">
        <f t="shared" si="76"/>
        <v>170138.21400000001</v>
      </c>
      <c r="G267" s="151">
        <f t="shared" si="73"/>
        <v>4640.4660000000003</v>
      </c>
      <c r="H267" s="151">
        <f t="shared" si="74"/>
        <v>4742.4340000000002</v>
      </c>
      <c r="I267" s="151">
        <f t="shared" si="71"/>
        <v>1892.0160000000001</v>
      </c>
      <c r="J267" s="284">
        <f t="shared" si="75"/>
        <v>1.9614694695138102E-2</v>
      </c>
      <c r="K267" s="147"/>
      <c r="L267" s="147"/>
    </row>
    <row r="268" spans="1:12" s="170" customFormat="1" x14ac:dyDescent="0.2">
      <c r="A268" s="147">
        <v>2023</v>
      </c>
      <c r="B268" s="147">
        <v>3</v>
      </c>
      <c r="C268" s="147" t="str">
        <f t="shared" si="72"/>
        <v>20233</v>
      </c>
      <c r="D268" s="147" t="str">
        <f t="shared" si="68"/>
        <v>Q1</v>
      </c>
      <c r="E268" s="151">
        <f t="shared" si="76"/>
        <v>173475.42312358608</v>
      </c>
      <c r="F268" s="151">
        <f t="shared" si="76"/>
        <v>170138.21400000001</v>
      </c>
      <c r="G268" s="151">
        <f t="shared" si="73"/>
        <v>4640.4660000000003</v>
      </c>
      <c r="H268" s="151">
        <f t="shared" si="74"/>
        <v>4742.4340000000002</v>
      </c>
      <c r="I268" s="151">
        <f t="shared" si="71"/>
        <v>1892.0160000000001</v>
      </c>
      <c r="J268" s="284">
        <f t="shared" si="75"/>
        <v>1.9614694695138102E-2</v>
      </c>
      <c r="K268" s="147"/>
      <c r="L268" s="147"/>
    </row>
    <row r="269" spans="1:12" s="170" customFormat="1" x14ac:dyDescent="0.2">
      <c r="A269" s="147">
        <v>2023</v>
      </c>
      <c r="B269" s="147">
        <v>4</v>
      </c>
      <c r="C269" s="147" t="str">
        <f t="shared" si="72"/>
        <v>20234</v>
      </c>
      <c r="D269" s="147" t="str">
        <f t="shared" si="68"/>
        <v>Q2</v>
      </c>
      <c r="E269" s="151">
        <f t="shared" si="76"/>
        <v>174492.75194418832</v>
      </c>
      <c r="F269" s="151">
        <f t="shared" si="76"/>
        <v>171101.02100000001</v>
      </c>
      <c r="G269" s="151">
        <f t="shared" si="73"/>
        <v>4646.2020000000002</v>
      </c>
      <c r="H269" s="151">
        <f t="shared" si="74"/>
        <v>4750.558</v>
      </c>
      <c r="I269" s="151">
        <f t="shared" si="71"/>
        <v>1894.9739999999999</v>
      </c>
      <c r="J269" s="284">
        <f t="shared" si="75"/>
        <v>1.9822973143966971E-2</v>
      </c>
      <c r="K269" s="147"/>
      <c r="L269" s="147"/>
    </row>
    <row r="270" spans="1:12" s="170" customFormat="1" x14ac:dyDescent="0.2">
      <c r="A270" s="147">
        <v>2023</v>
      </c>
      <c r="B270" s="147">
        <v>5</v>
      </c>
      <c r="C270" s="147" t="str">
        <f t="shared" si="72"/>
        <v>20235</v>
      </c>
      <c r="D270" s="147" t="str">
        <f t="shared" si="68"/>
        <v>Q2</v>
      </c>
      <c r="E270" s="151">
        <f t="shared" si="76"/>
        <v>174492.75194418832</v>
      </c>
      <c r="F270" s="151">
        <f t="shared" si="76"/>
        <v>171101.02100000001</v>
      </c>
      <c r="G270" s="151">
        <f t="shared" si="73"/>
        <v>4646.2020000000002</v>
      </c>
      <c r="H270" s="151">
        <f t="shared" si="74"/>
        <v>4750.558</v>
      </c>
      <c r="I270" s="151">
        <f t="shared" si="71"/>
        <v>1894.9739999999999</v>
      </c>
      <c r="J270" s="284">
        <f t="shared" si="75"/>
        <v>1.9822973143966971E-2</v>
      </c>
      <c r="K270" s="147"/>
      <c r="L270" s="147"/>
    </row>
    <row r="271" spans="1:12" s="170" customFormat="1" x14ac:dyDescent="0.2">
      <c r="A271" s="147">
        <v>2023</v>
      </c>
      <c r="B271" s="147">
        <v>6</v>
      </c>
      <c r="C271" s="147" t="str">
        <f t="shared" si="72"/>
        <v>20236</v>
      </c>
      <c r="D271" s="147" t="str">
        <f t="shared" ref="D271:D334" si="77">D259</f>
        <v>Q2</v>
      </c>
      <c r="E271" s="151">
        <f t="shared" si="76"/>
        <v>174492.75194418832</v>
      </c>
      <c r="F271" s="151">
        <f t="shared" si="76"/>
        <v>171101.02100000001</v>
      </c>
      <c r="G271" s="151">
        <f t="shared" si="73"/>
        <v>4646.2020000000002</v>
      </c>
      <c r="H271" s="151">
        <f t="shared" si="74"/>
        <v>4750.558</v>
      </c>
      <c r="I271" s="151">
        <f t="shared" si="71"/>
        <v>1894.9739999999999</v>
      </c>
      <c r="J271" s="284">
        <f t="shared" si="75"/>
        <v>1.9822973143966971E-2</v>
      </c>
      <c r="K271" s="147"/>
      <c r="L271" s="147"/>
    </row>
    <row r="272" spans="1:12" s="170" customFormat="1" x14ac:dyDescent="0.2">
      <c r="A272" s="147">
        <v>2023</v>
      </c>
      <c r="B272" s="147">
        <v>7</v>
      </c>
      <c r="C272" s="147" t="str">
        <f t="shared" si="72"/>
        <v>20237</v>
      </c>
      <c r="D272" s="147" t="str">
        <f t="shared" si="77"/>
        <v>Q3</v>
      </c>
      <c r="E272" s="151">
        <f t="shared" si="76"/>
        <v>175470.4051019061</v>
      </c>
      <c r="F272" s="151">
        <f t="shared" si="76"/>
        <v>172007.791</v>
      </c>
      <c r="G272" s="151">
        <f t="shared" si="73"/>
        <v>4651.88</v>
      </c>
      <c r="H272" s="151">
        <f t="shared" si="74"/>
        <v>4758.6490000000003</v>
      </c>
      <c r="I272" s="151">
        <f t="shared" si="71"/>
        <v>1897.896</v>
      </c>
      <c r="J272" s="284">
        <f t="shared" si="75"/>
        <v>2.0130565492269437E-2</v>
      </c>
      <c r="K272" s="147"/>
      <c r="L272" s="147"/>
    </row>
    <row r="273" spans="1:12" s="170" customFormat="1" x14ac:dyDescent="0.2">
      <c r="A273" s="147">
        <v>2023</v>
      </c>
      <c r="B273" s="147">
        <v>8</v>
      </c>
      <c r="C273" s="147" t="str">
        <f t="shared" si="72"/>
        <v>20238</v>
      </c>
      <c r="D273" s="147" t="str">
        <f t="shared" si="77"/>
        <v>Q3</v>
      </c>
      <c r="E273" s="151">
        <f t="shared" si="76"/>
        <v>175470.4051019061</v>
      </c>
      <c r="F273" s="151">
        <f t="shared" si="76"/>
        <v>172007.791</v>
      </c>
      <c r="G273" s="151">
        <f t="shared" si="73"/>
        <v>4651.88</v>
      </c>
      <c r="H273" s="151">
        <f t="shared" si="74"/>
        <v>4758.6490000000003</v>
      </c>
      <c r="I273" s="151">
        <f t="shared" si="71"/>
        <v>1897.896</v>
      </c>
      <c r="J273" s="284">
        <f t="shared" si="75"/>
        <v>2.0130565492269437E-2</v>
      </c>
      <c r="K273" s="147"/>
      <c r="L273" s="147"/>
    </row>
    <row r="274" spans="1:12" s="170" customFormat="1" x14ac:dyDescent="0.2">
      <c r="A274" s="147">
        <v>2023</v>
      </c>
      <c r="B274" s="147">
        <v>9</v>
      </c>
      <c r="C274" s="147" t="str">
        <f t="shared" si="72"/>
        <v>20239</v>
      </c>
      <c r="D274" s="147" t="str">
        <f t="shared" si="77"/>
        <v>Q3</v>
      </c>
      <c r="E274" s="151">
        <f t="shared" si="76"/>
        <v>175470.4051019061</v>
      </c>
      <c r="F274" s="151">
        <f t="shared" si="76"/>
        <v>172007.791</v>
      </c>
      <c r="G274" s="151">
        <f t="shared" si="73"/>
        <v>4651.88</v>
      </c>
      <c r="H274" s="151">
        <f t="shared" si="74"/>
        <v>4758.6490000000003</v>
      </c>
      <c r="I274" s="151">
        <f t="shared" si="71"/>
        <v>1897.896</v>
      </c>
      <c r="J274" s="284">
        <f t="shared" si="75"/>
        <v>2.0130565492269437E-2</v>
      </c>
      <c r="K274" s="147"/>
      <c r="L274" s="147"/>
    </row>
    <row r="275" spans="1:12" s="170" customFormat="1" x14ac:dyDescent="0.2">
      <c r="A275" s="147">
        <v>2023</v>
      </c>
      <c r="B275" s="147">
        <v>10</v>
      </c>
      <c r="C275" s="147" t="str">
        <f t="shared" si="72"/>
        <v>202310</v>
      </c>
      <c r="D275" s="147" t="str">
        <f t="shared" si="77"/>
        <v>Q4</v>
      </c>
      <c r="E275" s="151">
        <f t="shared" si="76"/>
        <v>176432.43907674521</v>
      </c>
      <c r="F275" s="151">
        <f t="shared" si="76"/>
        <v>172918.79399999999</v>
      </c>
      <c r="G275" s="151">
        <f t="shared" si="73"/>
        <v>4657.4979999999996</v>
      </c>
      <c r="H275" s="151">
        <f t="shared" si="74"/>
        <v>4766.7089999999998</v>
      </c>
      <c r="I275" s="151">
        <f t="shared" si="71"/>
        <v>1900.654</v>
      </c>
      <c r="J275" s="284">
        <f t="shared" si="75"/>
        <v>2.0319625157374288E-2</v>
      </c>
      <c r="K275" s="147"/>
      <c r="L275" s="147"/>
    </row>
    <row r="276" spans="1:12" s="170" customFormat="1" x14ac:dyDescent="0.2">
      <c r="A276" s="147">
        <v>2023</v>
      </c>
      <c r="B276" s="147">
        <v>11</v>
      </c>
      <c r="C276" s="147" t="str">
        <f t="shared" si="72"/>
        <v>202311</v>
      </c>
      <c r="D276" s="147" t="str">
        <f t="shared" si="77"/>
        <v>Q4</v>
      </c>
      <c r="E276" s="151">
        <f t="shared" si="76"/>
        <v>176432.43907674521</v>
      </c>
      <c r="F276" s="151">
        <f t="shared" si="76"/>
        <v>172918.79399999999</v>
      </c>
      <c r="G276" s="151">
        <f t="shared" si="73"/>
        <v>4657.4979999999996</v>
      </c>
      <c r="H276" s="151">
        <f t="shared" si="74"/>
        <v>4766.7089999999998</v>
      </c>
      <c r="I276" s="151">
        <f t="shared" si="71"/>
        <v>1900.654</v>
      </c>
      <c r="J276" s="284">
        <f t="shared" si="75"/>
        <v>2.0319625157374288E-2</v>
      </c>
      <c r="K276" s="147"/>
      <c r="L276" s="147"/>
    </row>
    <row r="277" spans="1:12" s="170" customFormat="1" x14ac:dyDescent="0.2">
      <c r="A277" s="147">
        <v>2023</v>
      </c>
      <c r="B277" s="147">
        <v>12</v>
      </c>
      <c r="C277" s="147" t="str">
        <f t="shared" si="72"/>
        <v>202312</v>
      </c>
      <c r="D277" s="147" t="str">
        <f t="shared" si="77"/>
        <v>Q4</v>
      </c>
      <c r="E277" s="151">
        <f t="shared" si="76"/>
        <v>176432.43907674521</v>
      </c>
      <c r="F277" s="151">
        <f t="shared" si="76"/>
        <v>172918.79399999999</v>
      </c>
      <c r="G277" s="151">
        <f t="shared" si="73"/>
        <v>4657.4979999999996</v>
      </c>
      <c r="H277" s="151">
        <f t="shared" si="74"/>
        <v>4766.7089999999998</v>
      </c>
      <c r="I277" s="151">
        <f t="shared" si="71"/>
        <v>1900.654</v>
      </c>
      <c r="J277" s="284">
        <f t="shared" si="75"/>
        <v>2.0319625157374288E-2</v>
      </c>
      <c r="K277" s="147"/>
      <c r="L277" s="147"/>
    </row>
    <row r="278" spans="1:12" s="170" customFormat="1" x14ac:dyDescent="0.2">
      <c r="A278" s="147">
        <v>2024</v>
      </c>
      <c r="B278" s="147">
        <v>1</v>
      </c>
      <c r="C278" s="147" t="str">
        <f t="shared" si="72"/>
        <v>20241</v>
      </c>
      <c r="D278" s="147" t="str">
        <f t="shared" si="77"/>
        <v>Q1</v>
      </c>
      <c r="E278" s="151">
        <f t="shared" si="76"/>
        <v>178033.21975543263</v>
      </c>
      <c r="F278" s="151">
        <f t="shared" si="76"/>
        <v>174458.15100000001</v>
      </c>
      <c r="G278" s="151">
        <f t="shared" si="73"/>
        <v>4663.0690000000004</v>
      </c>
      <c r="H278" s="151">
        <f t="shared" si="74"/>
        <v>4774.7489999999998</v>
      </c>
      <c r="I278" s="151">
        <f t="shared" si="71"/>
        <v>1904.0350000000001</v>
      </c>
      <c r="J278" s="284">
        <f t="shared" si="75"/>
        <v>2.0492414570143058E-2</v>
      </c>
      <c r="K278" s="147"/>
      <c r="L278" s="147"/>
    </row>
    <row r="279" spans="1:12" s="170" customFormat="1" x14ac:dyDescent="0.2">
      <c r="A279" s="147">
        <v>2024</v>
      </c>
      <c r="B279" s="147">
        <v>2</v>
      </c>
      <c r="C279" s="147" t="str">
        <f t="shared" si="72"/>
        <v>20242</v>
      </c>
      <c r="D279" s="147" t="str">
        <f t="shared" si="77"/>
        <v>Q1</v>
      </c>
      <c r="E279" s="151">
        <f t="shared" si="76"/>
        <v>178033.21975543263</v>
      </c>
      <c r="F279" s="151">
        <f t="shared" si="76"/>
        <v>174458.15100000001</v>
      </c>
      <c r="G279" s="151">
        <f t="shared" si="73"/>
        <v>4663.0690000000004</v>
      </c>
      <c r="H279" s="151">
        <f t="shared" si="74"/>
        <v>4774.7489999999998</v>
      </c>
      <c r="I279" s="151">
        <f t="shared" si="71"/>
        <v>1904.0350000000001</v>
      </c>
      <c r="J279" s="284">
        <f t="shared" si="75"/>
        <v>2.0492414570143058E-2</v>
      </c>
      <c r="K279" s="147"/>
      <c r="L279" s="147"/>
    </row>
    <row r="280" spans="1:12" s="170" customFormat="1" x14ac:dyDescent="0.2">
      <c r="A280" s="147">
        <v>2024</v>
      </c>
      <c r="B280" s="147">
        <v>3</v>
      </c>
      <c r="C280" s="147" t="str">
        <f t="shared" si="72"/>
        <v>20243</v>
      </c>
      <c r="D280" s="147" t="str">
        <f t="shared" si="77"/>
        <v>Q1</v>
      </c>
      <c r="E280" s="151">
        <f t="shared" si="76"/>
        <v>178033.21975543263</v>
      </c>
      <c r="F280" s="151">
        <f t="shared" si="76"/>
        <v>174458.15100000001</v>
      </c>
      <c r="G280" s="151">
        <f t="shared" si="73"/>
        <v>4663.0690000000004</v>
      </c>
      <c r="H280" s="151">
        <f t="shared" si="74"/>
        <v>4774.7489999999998</v>
      </c>
      <c r="I280" s="151">
        <f t="shared" si="71"/>
        <v>1904.0350000000001</v>
      </c>
      <c r="J280" s="284">
        <f t="shared" si="75"/>
        <v>2.0492414570143058E-2</v>
      </c>
      <c r="K280" s="147"/>
      <c r="L280" s="147"/>
    </row>
    <row r="281" spans="1:12" s="170" customFormat="1" x14ac:dyDescent="0.2">
      <c r="A281" s="147">
        <v>2024</v>
      </c>
      <c r="B281" s="147">
        <v>4</v>
      </c>
      <c r="C281" s="147" t="str">
        <f t="shared" si="72"/>
        <v>20244</v>
      </c>
      <c r="D281" s="147" t="str">
        <f t="shared" si="77"/>
        <v>Q2</v>
      </c>
      <c r="E281" s="151">
        <f t="shared" si="76"/>
        <v>179011.21783820438</v>
      </c>
      <c r="F281" s="151">
        <f t="shared" si="76"/>
        <v>175426.49799999999</v>
      </c>
      <c r="G281" s="151">
        <f t="shared" si="73"/>
        <v>4668.5910000000003</v>
      </c>
      <c r="H281" s="151">
        <f t="shared" si="74"/>
        <v>4782.7700000000004</v>
      </c>
      <c r="I281" s="151">
        <f t="shared" si="71"/>
        <v>1907.376</v>
      </c>
      <c r="J281" s="284">
        <f t="shared" si="75"/>
        <v>2.0434312256546239E-2</v>
      </c>
      <c r="K281" s="147"/>
      <c r="L281" s="147"/>
    </row>
    <row r="282" spans="1:12" s="170" customFormat="1" x14ac:dyDescent="0.2">
      <c r="A282" s="147">
        <v>2024</v>
      </c>
      <c r="B282" s="147">
        <v>5</v>
      </c>
      <c r="C282" s="147" t="str">
        <f t="shared" si="72"/>
        <v>20245</v>
      </c>
      <c r="D282" s="147" t="str">
        <f t="shared" si="77"/>
        <v>Q2</v>
      </c>
      <c r="E282" s="151">
        <f t="shared" ref="E282:F301" si="78">VLOOKUP($A282&amp;$D282,$O$1:$V$189,MATCH(E$1,$O$1:$V$1,0),0)</f>
        <v>179011.21783820438</v>
      </c>
      <c r="F282" s="151">
        <f t="shared" si="78"/>
        <v>175426.49799999999</v>
      </c>
      <c r="G282" s="151">
        <f t="shared" si="73"/>
        <v>4668.5910000000003</v>
      </c>
      <c r="H282" s="151">
        <f t="shared" si="74"/>
        <v>4782.7700000000004</v>
      </c>
      <c r="I282" s="151">
        <f t="shared" si="71"/>
        <v>1907.376</v>
      </c>
      <c r="J282" s="284">
        <f t="shared" si="75"/>
        <v>2.0434312256546239E-2</v>
      </c>
      <c r="K282" s="147"/>
      <c r="L282" s="147"/>
    </row>
    <row r="283" spans="1:12" s="170" customFormat="1" x14ac:dyDescent="0.2">
      <c r="A283" s="147">
        <v>2024</v>
      </c>
      <c r="B283" s="147">
        <v>6</v>
      </c>
      <c r="C283" s="147" t="str">
        <f t="shared" si="72"/>
        <v>20246</v>
      </c>
      <c r="D283" s="147" t="str">
        <f t="shared" si="77"/>
        <v>Q2</v>
      </c>
      <c r="E283" s="151">
        <f t="shared" si="78"/>
        <v>179011.21783820438</v>
      </c>
      <c r="F283" s="151">
        <f t="shared" si="78"/>
        <v>175426.49799999999</v>
      </c>
      <c r="G283" s="151">
        <f t="shared" si="73"/>
        <v>4668.5910000000003</v>
      </c>
      <c r="H283" s="151">
        <f t="shared" si="74"/>
        <v>4782.7700000000004</v>
      </c>
      <c r="I283" s="151">
        <f t="shared" si="71"/>
        <v>1907.376</v>
      </c>
      <c r="J283" s="284">
        <f t="shared" si="75"/>
        <v>2.0434312256546239E-2</v>
      </c>
      <c r="K283" s="147"/>
      <c r="L283" s="147"/>
    </row>
    <row r="284" spans="1:12" s="170" customFormat="1" x14ac:dyDescent="0.2">
      <c r="A284" s="147">
        <v>2024</v>
      </c>
      <c r="B284" s="147">
        <v>7</v>
      </c>
      <c r="C284" s="147" t="str">
        <f t="shared" si="72"/>
        <v>20247</v>
      </c>
      <c r="D284" s="147" t="str">
        <f t="shared" si="77"/>
        <v>Q3</v>
      </c>
      <c r="E284" s="151">
        <f t="shared" si="78"/>
        <v>179957.81109507804</v>
      </c>
      <c r="F284" s="151">
        <f t="shared" si="78"/>
        <v>176369.43100000001</v>
      </c>
      <c r="G284" s="151">
        <f t="shared" si="73"/>
        <v>4674.0529999999999</v>
      </c>
      <c r="H284" s="151">
        <f t="shared" si="74"/>
        <v>4790.7579999999998</v>
      </c>
      <c r="I284" s="151">
        <f t="shared" si="71"/>
        <v>1910.7170000000001</v>
      </c>
      <c r="J284" s="284">
        <f t="shared" si="75"/>
        <v>2.034581658925938E-2</v>
      </c>
      <c r="K284" s="147"/>
      <c r="L284" s="147"/>
    </row>
    <row r="285" spans="1:12" s="170" customFormat="1" x14ac:dyDescent="0.2">
      <c r="A285" s="147">
        <v>2024</v>
      </c>
      <c r="B285" s="147">
        <v>8</v>
      </c>
      <c r="C285" s="147" t="str">
        <f t="shared" si="72"/>
        <v>20248</v>
      </c>
      <c r="D285" s="147" t="str">
        <f t="shared" si="77"/>
        <v>Q3</v>
      </c>
      <c r="E285" s="151">
        <f t="shared" si="78"/>
        <v>179957.81109507804</v>
      </c>
      <c r="F285" s="151">
        <f t="shared" si="78"/>
        <v>176369.43100000001</v>
      </c>
      <c r="G285" s="151">
        <f t="shared" si="73"/>
        <v>4674.0529999999999</v>
      </c>
      <c r="H285" s="151">
        <f t="shared" si="74"/>
        <v>4790.7579999999998</v>
      </c>
      <c r="I285" s="151">
        <f t="shared" si="71"/>
        <v>1910.7170000000001</v>
      </c>
      <c r="J285" s="284">
        <f t="shared" si="75"/>
        <v>2.034581658925938E-2</v>
      </c>
      <c r="K285" s="147"/>
      <c r="L285" s="147"/>
    </row>
    <row r="286" spans="1:12" s="170" customFormat="1" x14ac:dyDescent="0.2">
      <c r="A286" s="147">
        <v>2024</v>
      </c>
      <c r="B286" s="147">
        <v>9</v>
      </c>
      <c r="C286" s="147" t="str">
        <f t="shared" si="72"/>
        <v>20249</v>
      </c>
      <c r="D286" s="147" t="str">
        <f t="shared" si="77"/>
        <v>Q3</v>
      </c>
      <c r="E286" s="151">
        <f t="shared" si="78"/>
        <v>179957.81109507804</v>
      </c>
      <c r="F286" s="151">
        <f t="shared" si="78"/>
        <v>176369.43100000001</v>
      </c>
      <c r="G286" s="151">
        <f t="shared" si="73"/>
        <v>4674.0529999999999</v>
      </c>
      <c r="H286" s="151">
        <f t="shared" si="74"/>
        <v>4790.7579999999998</v>
      </c>
      <c r="I286" s="151">
        <f t="shared" si="71"/>
        <v>1910.7170000000001</v>
      </c>
      <c r="J286" s="284">
        <f t="shared" si="75"/>
        <v>2.034581658925938E-2</v>
      </c>
      <c r="K286" s="147"/>
      <c r="L286" s="147"/>
    </row>
    <row r="287" spans="1:12" s="170" customFormat="1" x14ac:dyDescent="0.2">
      <c r="A287" s="147">
        <v>2024</v>
      </c>
      <c r="B287" s="147">
        <v>10</v>
      </c>
      <c r="C287" s="147" t="str">
        <f t="shared" si="72"/>
        <v>202410</v>
      </c>
      <c r="D287" s="147" t="str">
        <f t="shared" si="77"/>
        <v>Q4</v>
      </c>
      <c r="E287" s="151">
        <f t="shared" si="78"/>
        <v>180913.45966094849</v>
      </c>
      <c r="F287" s="151">
        <f t="shared" si="78"/>
        <v>177331.9</v>
      </c>
      <c r="G287" s="151">
        <f t="shared" si="73"/>
        <v>4679.4669999999996</v>
      </c>
      <c r="H287" s="151">
        <f t="shared" si="74"/>
        <v>4798.7250000000004</v>
      </c>
      <c r="I287" s="151">
        <f t="shared" si="71"/>
        <v>1913.933</v>
      </c>
      <c r="J287" s="284">
        <f t="shared" si="75"/>
        <v>2.0196928251197344E-2</v>
      </c>
      <c r="K287" s="147"/>
      <c r="L287" s="147"/>
    </row>
    <row r="288" spans="1:12" s="170" customFormat="1" x14ac:dyDescent="0.2">
      <c r="A288" s="147">
        <v>2024</v>
      </c>
      <c r="B288" s="147">
        <v>11</v>
      </c>
      <c r="C288" s="147" t="str">
        <f t="shared" si="72"/>
        <v>202411</v>
      </c>
      <c r="D288" s="147" t="str">
        <f t="shared" si="77"/>
        <v>Q4</v>
      </c>
      <c r="E288" s="151">
        <f t="shared" si="78"/>
        <v>180913.45966094849</v>
      </c>
      <c r="F288" s="151">
        <f t="shared" si="78"/>
        <v>177331.9</v>
      </c>
      <c r="G288" s="151">
        <f t="shared" si="73"/>
        <v>4679.4669999999996</v>
      </c>
      <c r="H288" s="151">
        <f t="shared" si="74"/>
        <v>4798.7250000000004</v>
      </c>
      <c r="I288" s="151">
        <f t="shared" si="71"/>
        <v>1913.933</v>
      </c>
      <c r="J288" s="284">
        <f t="shared" si="75"/>
        <v>2.0196928251197344E-2</v>
      </c>
      <c r="K288" s="147"/>
      <c r="L288" s="147"/>
    </row>
    <row r="289" spans="1:12" s="170" customFormat="1" x14ac:dyDescent="0.2">
      <c r="A289" s="147">
        <v>2024</v>
      </c>
      <c r="B289" s="147">
        <v>12</v>
      </c>
      <c r="C289" s="147" t="str">
        <f t="shared" si="72"/>
        <v>202412</v>
      </c>
      <c r="D289" s="147" t="str">
        <f t="shared" si="77"/>
        <v>Q4</v>
      </c>
      <c r="E289" s="151">
        <f t="shared" si="78"/>
        <v>180913.45966094849</v>
      </c>
      <c r="F289" s="151">
        <f t="shared" si="78"/>
        <v>177331.9</v>
      </c>
      <c r="G289" s="151">
        <f t="shared" si="73"/>
        <v>4679.4669999999996</v>
      </c>
      <c r="H289" s="151">
        <f t="shared" si="74"/>
        <v>4798.7250000000004</v>
      </c>
      <c r="I289" s="151">
        <f t="shared" si="71"/>
        <v>1913.933</v>
      </c>
      <c r="J289" s="284">
        <f t="shared" si="75"/>
        <v>2.0196928251197344E-2</v>
      </c>
      <c r="K289" s="147"/>
      <c r="L289" s="147"/>
    </row>
    <row r="290" spans="1:12" s="170" customFormat="1" x14ac:dyDescent="0.2">
      <c r="A290" s="147">
        <v>2025</v>
      </c>
      <c r="B290" s="147">
        <v>1</v>
      </c>
      <c r="C290" s="147" t="str">
        <f t="shared" si="72"/>
        <v>20251</v>
      </c>
      <c r="D290" s="147" t="str">
        <f t="shared" si="77"/>
        <v>Q1</v>
      </c>
      <c r="E290" s="151">
        <f t="shared" si="78"/>
        <v>182514.28815460778</v>
      </c>
      <c r="F290" s="151">
        <f t="shared" si="78"/>
        <v>178892.09099999999</v>
      </c>
      <c r="G290" s="151">
        <f t="shared" si="73"/>
        <v>4684.8329999999996</v>
      </c>
      <c r="H290" s="151">
        <f t="shared" si="74"/>
        <v>4806.6729999999998</v>
      </c>
      <c r="I290" s="151">
        <f t="shared" si="71"/>
        <v>1917.356</v>
      </c>
      <c r="J290" s="284">
        <f t="shared" si="75"/>
        <v>2.0247944637238335E-2</v>
      </c>
      <c r="K290" s="147"/>
      <c r="L290" s="147"/>
    </row>
    <row r="291" spans="1:12" s="170" customFormat="1" x14ac:dyDescent="0.2">
      <c r="A291" s="147">
        <v>2025</v>
      </c>
      <c r="B291" s="147">
        <v>2</v>
      </c>
      <c r="C291" s="147" t="str">
        <f t="shared" si="72"/>
        <v>20252</v>
      </c>
      <c r="D291" s="147" t="str">
        <f t="shared" si="77"/>
        <v>Q1</v>
      </c>
      <c r="E291" s="151">
        <f t="shared" si="78"/>
        <v>182514.28815460778</v>
      </c>
      <c r="F291" s="151">
        <f t="shared" si="78"/>
        <v>178892.09099999999</v>
      </c>
      <c r="G291" s="151">
        <f t="shared" si="73"/>
        <v>4684.8329999999996</v>
      </c>
      <c r="H291" s="151">
        <f t="shared" si="74"/>
        <v>4806.6729999999998</v>
      </c>
      <c r="I291" s="151">
        <f t="shared" si="71"/>
        <v>1917.356</v>
      </c>
      <c r="J291" s="284">
        <f t="shared" si="75"/>
        <v>2.0247944637238335E-2</v>
      </c>
      <c r="K291" s="147"/>
      <c r="L291" s="147"/>
    </row>
    <row r="292" spans="1:12" s="170" customFormat="1" x14ac:dyDescent="0.2">
      <c r="A292" s="147">
        <v>2025</v>
      </c>
      <c r="B292" s="147">
        <v>3</v>
      </c>
      <c r="C292" s="147" t="str">
        <f t="shared" si="72"/>
        <v>20253</v>
      </c>
      <c r="D292" s="147" t="str">
        <f t="shared" si="77"/>
        <v>Q1</v>
      </c>
      <c r="E292" s="151">
        <f t="shared" si="78"/>
        <v>182514.28815460778</v>
      </c>
      <c r="F292" s="151">
        <f t="shared" si="78"/>
        <v>178892.09099999999</v>
      </c>
      <c r="G292" s="151">
        <f t="shared" si="73"/>
        <v>4684.8329999999996</v>
      </c>
      <c r="H292" s="151">
        <f t="shared" si="74"/>
        <v>4806.6729999999998</v>
      </c>
      <c r="I292" s="151">
        <f t="shared" si="71"/>
        <v>1917.356</v>
      </c>
      <c r="J292" s="284">
        <f t="shared" si="75"/>
        <v>2.0247944637238335E-2</v>
      </c>
      <c r="K292" s="147"/>
      <c r="L292" s="147"/>
    </row>
    <row r="293" spans="1:12" s="170" customFormat="1" x14ac:dyDescent="0.2">
      <c r="A293" s="147">
        <v>2025</v>
      </c>
      <c r="B293" s="147">
        <v>4</v>
      </c>
      <c r="C293" s="147" t="str">
        <f t="shared" si="72"/>
        <v>20254</v>
      </c>
      <c r="D293" s="147" t="str">
        <f t="shared" si="77"/>
        <v>Q2</v>
      </c>
      <c r="E293" s="151">
        <f t="shared" si="78"/>
        <v>183531.89977430113</v>
      </c>
      <c r="F293" s="151">
        <f t="shared" si="78"/>
        <v>179884.057</v>
      </c>
      <c r="G293" s="151">
        <f t="shared" si="73"/>
        <v>4690.1750000000002</v>
      </c>
      <c r="H293" s="151">
        <f t="shared" si="74"/>
        <v>4814.6009999999997</v>
      </c>
      <c r="I293" s="151">
        <f t="shared" si="71"/>
        <v>1920.7639999999999</v>
      </c>
      <c r="J293" s="284">
        <f t="shared" si="75"/>
        <v>2.027885536460361E-2</v>
      </c>
      <c r="K293" s="147"/>
      <c r="L293" s="147"/>
    </row>
    <row r="294" spans="1:12" s="170" customFormat="1" x14ac:dyDescent="0.2">
      <c r="A294" s="147">
        <v>2025</v>
      </c>
      <c r="B294" s="147">
        <v>5</v>
      </c>
      <c r="C294" s="147" t="str">
        <f t="shared" si="72"/>
        <v>20255</v>
      </c>
      <c r="D294" s="147" t="str">
        <f t="shared" si="77"/>
        <v>Q2</v>
      </c>
      <c r="E294" s="151">
        <f t="shared" si="78"/>
        <v>183531.89977430113</v>
      </c>
      <c r="F294" s="151">
        <f t="shared" si="78"/>
        <v>179884.057</v>
      </c>
      <c r="G294" s="151">
        <f t="shared" si="73"/>
        <v>4690.1750000000002</v>
      </c>
      <c r="H294" s="151">
        <f t="shared" si="74"/>
        <v>4814.6009999999997</v>
      </c>
      <c r="I294" s="151">
        <f t="shared" si="71"/>
        <v>1920.7639999999999</v>
      </c>
      <c r="J294" s="284">
        <f t="shared" si="75"/>
        <v>2.027885536460361E-2</v>
      </c>
      <c r="K294" s="147"/>
      <c r="L294" s="147"/>
    </row>
    <row r="295" spans="1:12" s="170" customFormat="1" x14ac:dyDescent="0.2">
      <c r="A295" s="147">
        <v>2025</v>
      </c>
      <c r="B295" s="147">
        <v>6</v>
      </c>
      <c r="C295" s="147" t="str">
        <f t="shared" si="72"/>
        <v>20256</v>
      </c>
      <c r="D295" s="147" t="str">
        <f t="shared" si="77"/>
        <v>Q2</v>
      </c>
      <c r="E295" s="151">
        <f t="shared" si="78"/>
        <v>183531.89977430113</v>
      </c>
      <c r="F295" s="151">
        <f t="shared" si="78"/>
        <v>179884.057</v>
      </c>
      <c r="G295" s="151">
        <f t="shared" si="73"/>
        <v>4690.1750000000002</v>
      </c>
      <c r="H295" s="151">
        <f t="shared" si="74"/>
        <v>4814.6009999999997</v>
      </c>
      <c r="I295" s="151">
        <f t="shared" si="71"/>
        <v>1920.7639999999999</v>
      </c>
      <c r="J295" s="284">
        <f t="shared" si="75"/>
        <v>2.027885536460361E-2</v>
      </c>
      <c r="K295" s="147"/>
      <c r="L295" s="147"/>
    </row>
    <row r="296" spans="1:12" s="170" customFormat="1" x14ac:dyDescent="0.2">
      <c r="A296" s="147">
        <v>2025</v>
      </c>
      <c r="B296" s="147">
        <v>7</v>
      </c>
      <c r="C296" s="147" t="str">
        <f t="shared" si="72"/>
        <v>20257</v>
      </c>
      <c r="D296" s="147" t="str">
        <f t="shared" si="77"/>
        <v>Q3</v>
      </c>
      <c r="E296" s="151">
        <f t="shared" si="78"/>
        <v>184449.74067686254</v>
      </c>
      <c r="F296" s="151">
        <f t="shared" si="78"/>
        <v>180786.26300000001</v>
      </c>
      <c r="G296" s="151">
        <f t="shared" si="73"/>
        <v>4695.482</v>
      </c>
      <c r="H296" s="151">
        <f t="shared" si="74"/>
        <v>4822.4949999999999</v>
      </c>
      <c r="I296" s="151">
        <f t="shared" si="71"/>
        <v>1924.183</v>
      </c>
      <c r="J296" s="284">
        <f t="shared" si="75"/>
        <v>2.0264137418795736E-2</v>
      </c>
      <c r="K296" s="147"/>
      <c r="L296" s="147"/>
    </row>
    <row r="297" spans="1:12" s="170" customFormat="1" x14ac:dyDescent="0.2">
      <c r="A297" s="147">
        <v>2025</v>
      </c>
      <c r="B297" s="147">
        <v>8</v>
      </c>
      <c r="C297" s="147" t="str">
        <f t="shared" si="72"/>
        <v>20258</v>
      </c>
      <c r="D297" s="147" t="str">
        <f t="shared" si="77"/>
        <v>Q3</v>
      </c>
      <c r="E297" s="151">
        <f t="shared" si="78"/>
        <v>184449.74067686254</v>
      </c>
      <c r="F297" s="151">
        <f t="shared" si="78"/>
        <v>180786.26300000001</v>
      </c>
      <c r="G297" s="151">
        <f t="shared" si="73"/>
        <v>4695.482</v>
      </c>
      <c r="H297" s="151">
        <f t="shared" si="74"/>
        <v>4822.4949999999999</v>
      </c>
      <c r="I297" s="151">
        <f t="shared" si="71"/>
        <v>1924.183</v>
      </c>
      <c r="J297" s="284">
        <f t="shared" si="75"/>
        <v>2.0264137418795736E-2</v>
      </c>
      <c r="K297" s="147"/>
      <c r="L297" s="147"/>
    </row>
    <row r="298" spans="1:12" s="170" customFormat="1" x14ac:dyDescent="0.2">
      <c r="A298" s="147">
        <v>2025</v>
      </c>
      <c r="B298" s="147">
        <v>9</v>
      </c>
      <c r="C298" s="147" t="str">
        <f t="shared" si="72"/>
        <v>20259</v>
      </c>
      <c r="D298" s="147" t="str">
        <f t="shared" si="77"/>
        <v>Q3</v>
      </c>
      <c r="E298" s="151">
        <f t="shared" si="78"/>
        <v>184449.74067686254</v>
      </c>
      <c r="F298" s="151">
        <f t="shared" si="78"/>
        <v>180786.26300000001</v>
      </c>
      <c r="G298" s="151">
        <f t="shared" si="73"/>
        <v>4695.482</v>
      </c>
      <c r="H298" s="151">
        <f t="shared" si="74"/>
        <v>4822.4949999999999</v>
      </c>
      <c r="I298" s="151">
        <f t="shared" si="71"/>
        <v>1924.183</v>
      </c>
      <c r="J298" s="284">
        <f t="shared" si="75"/>
        <v>2.0264137418795736E-2</v>
      </c>
      <c r="K298" s="147"/>
      <c r="L298" s="147"/>
    </row>
    <row r="299" spans="1:12" s="170" customFormat="1" x14ac:dyDescent="0.2">
      <c r="A299" s="147">
        <v>2025</v>
      </c>
      <c r="B299" s="147">
        <v>10</v>
      </c>
      <c r="C299" s="147" t="str">
        <f t="shared" si="72"/>
        <v>202510</v>
      </c>
      <c r="D299" s="147" t="str">
        <f t="shared" si="77"/>
        <v>Q4</v>
      </c>
      <c r="E299" s="151">
        <f t="shared" si="78"/>
        <v>185371.51588601226</v>
      </c>
      <c r="F299" s="151">
        <f t="shared" si="78"/>
        <v>181695.31</v>
      </c>
      <c r="G299" s="151">
        <f t="shared" si="73"/>
        <v>4700.7749999999996</v>
      </c>
      <c r="H299" s="151">
        <f t="shared" si="74"/>
        <v>4830.3680000000004</v>
      </c>
      <c r="I299" s="151">
        <f t="shared" si="71"/>
        <v>1927.49</v>
      </c>
      <c r="J299" s="284">
        <f t="shared" si="75"/>
        <v>2.0232805601929194E-2</v>
      </c>
      <c r="K299" s="147"/>
      <c r="L299" s="147"/>
    </row>
    <row r="300" spans="1:12" s="170" customFormat="1" x14ac:dyDescent="0.2">
      <c r="A300" s="147">
        <v>2025</v>
      </c>
      <c r="B300" s="147">
        <v>11</v>
      </c>
      <c r="C300" s="147" t="str">
        <f t="shared" si="72"/>
        <v>202511</v>
      </c>
      <c r="D300" s="147" t="str">
        <f t="shared" si="77"/>
        <v>Q4</v>
      </c>
      <c r="E300" s="151">
        <f t="shared" si="78"/>
        <v>185371.51588601226</v>
      </c>
      <c r="F300" s="151">
        <f t="shared" si="78"/>
        <v>181695.31</v>
      </c>
      <c r="G300" s="151">
        <f t="shared" si="73"/>
        <v>4700.7749999999996</v>
      </c>
      <c r="H300" s="151">
        <f t="shared" si="74"/>
        <v>4830.3680000000004</v>
      </c>
      <c r="I300" s="151">
        <f t="shared" si="71"/>
        <v>1927.49</v>
      </c>
      <c r="J300" s="284">
        <f t="shared" si="75"/>
        <v>2.0232805601929194E-2</v>
      </c>
      <c r="K300" s="147"/>
      <c r="L300" s="147"/>
    </row>
    <row r="301" spans="1:12" s="170" customFormat="1" x14ac:dyDescent="0.2">
      <c r="A301" s="147">
        <v>2025</v>
      </c>
      <c r="B301" s="147">
        <v>12</v>
      </c>
      <c r="C301" s="147" t="str">
        <f t="shared" si="72"/>
        <v>202512</v>
      </c>
      <c r="D301" s="147" t="str">
        <f t="shared" si="77"/>
        <v>Q4</v>
      </c>
      <c r="E301" s="151">
        <f t="shared" si="78"/>
        <v>185371.51588601226</v>
      </c>
      <c r="F301" s="151">
        <f t="shared" si="78"/>
        <v>181695.31</v>
      </c>
      <c r="G301" s="151">
        <f t="shared" si="73"/>
        <v>4700.7749999999996</v>
      </c>
      <c r="H301" s="151">
        <f t="shared" si="74"/>
        <v>4830.3680000000004</v>
      </c>
      <c r="I301" s="151">
        <f t="shared" si="71"/>
        <v>1927.49</v>
      </c>
      <c r="J301" s="284">
        <f t="shared" si="75"/>
        <v>2.0232805601929194E-2</v>
      </c>
      <c r="K301" s="147"/>
      <c r="L301" s="147"/>
    </row>
    <row r="302" spans="1:12" s="170" customFormat="1" x14ac:dyDescent="0.2">
      <c r="A302" s="147">
        <v>2026</v>
      </c>
      <c r="B302" s="147">
        <v>1</v>
      </c>
      <c r="C302" s="147" t="str">
        <f t="shared" si="72"/>
        <v>20261</v>
      </c>
      <c r="D302" s="147" t="str">
        <f t="shared" si="77"/>
        <v>Q1</v>
      </c>
      <c r="E302" s="151">
        <f t="shared" ref="E302:F321" si="79">VLOOKUP($A302&amp;$D302,$O$1:$V$189,MATCH(E$1,$O$1:$V$1,0),0)</f>
        <v>186895.25767533827</v>
      </c>
      <c r="F302" s="151">
        <f t="shared" si="79"/>
        <v>183193.88699999999</v>
      </c>
      <c r="G302" s="151">
        <f t="shared" si="73"/>
        <v>4706.0460000000003</v>
      </c>
      <c r="H302" s="151">
        <f t="shared" si="74"/>
        <v>4838.2219999999998</v>
      </c>
      <c r="I302" s="151">
        <f t="shared" si="71"/>
        <v>1931.021</v>
      </c>
      <c r="J302" s="284">
        <f t="shared" si="75"/>
        <v>2.0204662589741851E-2</v>
      </c>
      <c r="K302" s="147"/>
      <c r="L302" s="147"/>
    </row>
    <row r="303" spans="1:12" s="170" customFormat="1" x14ac:dyDescent="0.2">
      <c r="A303" s="147">
        <v>2026</v>
      </c>
      <c r="B303" s="147">
        <v>2</v>
      </c>
      <c r="C303" s="147" t="str">
        <f t="shared" si="72"/>
        <v>20262</v>
      </c>
      <c r="D303" s="147" t="str">
        <f t="shared" si="77"/>
        <v>Q1</v>
      </c>
      <c r="E303" s="151">
        <f t="shared" si="79"/>
        <v>186895.25767533827</v>
      </c>
      <c r="F303" s="151">
        <f t="shared" si="79"/>
        <v>183193.88699999999</v>
      </c>
      <c r="G303" s="151">
        <f t="shared" si="73"/>
        <v>4706.0460000000003</v>
      </c>
      <c r="H303" s="151">
        <f t="shared" si="74"/>
        <v>4838.2219999999998</v>
      </c>
      <c r="I303" s="151">
        <f t="shared" si="71"/>
        <v>1931.021</v>
      </c>
      <c r="J303" s="284">
        <f t="shared" si="75"/>
        <v>2.0204662589741851E-2</v>
      </c>
      <c r="K303" s="147"/>
      <c r="L303" s="147"/>
    </row>
    <row r="304" spans="1:12" s="170" customFormat="1" x14ac:dyDescent="0.2">
      <c r="A304" s="147">
        <v>2026</v>
      </c>
      <c r="B304" s="147">
        <v>3</v>
      </c>
      <c r="C304" s="147" t="str">
        <f t="shared" si="72"/>
        <v>20263</v>
      </c>
      <c r="D304" s="147" t="str">
        <f t="shared" si="77"/>
        <v>Q1</v>
      </c>
      <c r="E304" s="151">
        <f t="shared" si="79"/>
        <v>186895.25767533827</v>
      </c>
      <c r="F304" s="151">
        <f t="shared" si="79"/>
        <v>183193.88699999999</v>
      </c>
      <c r="G304" s="151">
        <f t="shared" si="73"/>
        <v>4706.0460000000003</v>
      </c>
      <c r="H304" s="151">
        <f t="shared" si="74"/>
        <v>4838.2219999999998</v>
      </c>
      <c r="I304" s="151">
        <f t="shared" si="71"/>
        <v>1931.021</v>
      </c>
      <c r="J304" s="284">
        <f t="shared" si="75"/>
        <v>2.0204662589741851E-2</v>
      </c>
      <c r="K304" s="147"/>
      <c r="L304" s="147"/>
    </row>
    <row r="305" spans="1:12" s="170" customFormat="1" x14ac:dyDescent="0.2">
      <c r="A305" s="147">
        <v>2026</v>
      </c>
      <c r="B305" s="147">
        <v>4</v>
      </c>
      <c r="C305" s="147" t="str">
        <f t="shared" si="72"/>
        <v>20264</v>
      </c>
      <c r="D305" s="147" t="str">
        <f t="shared" si="77"/>
        <v>Q2</v>
      </c>
      <c r="E305" s="151">
        <f t="shared" si="79"/>
        <v>187882.63416620754</v>
      </c>
      <c r="F305" s="151">
        <f t="shared" si="79"/>
        <v>184162.48300000001</v>
      </c>
      <c r="G305" s="151">
        <f t="shared" si="73"/>
        <v>4711.2950000000001</v>
      </c>
      <c r="H305" s="151">
        <f t="shared" si="74"/>
        <v>4846.0540000000001</v>
      </c>
      <c r="I305" s="151">
        <f t="shared" si="71"/>
        <v>1934.539</v>
      </c>
      <c r="J305" s="284">
        <f t="shared" si="75"/>
        <v>2.020037472131353E-2</v>
      </c>
      <c r="K305" s="147"/>
      <c r="L305" s="147"/>
    </row>
    <row r="306" spans="1:12" s="170" customFormat="1" x14ac:dyDescent="0.2">
      <c r="A306" s="147">
        <v>2026</v>
      </c>
      <c r="B306" s="147">
        <v>5</v>
      </c>
      <c r="C306" s="147" t="str">
        <f t="shared" si="72"/>
        <v>20265</v>
      </c>
      <c r="D306" s="147" t="str">
        <f t="shared" si="77"/>
        <v>Q2</v>
      </c>
      <c r="E306" s="151">
        <f t="shared" si="79"/>
        <v>187882.63416620754</v>
      </c>
      <c r="F306" s="151">
        <f t="shared" si="79"/>
        <v>184162.48300000001</v>
      </c>
      <c r="G306" s="151">
        <f t="shared" si="73"/>
        <v>4711.2950000000001</v>
      </c>
      <c r="H306" s="151">
        <f t="shared" si="74"/>
        <v>4846.0540000000001</v>
      </c>
      <c r="I306" s="151">
        <f t="shared" si="71"/>
        <v>1934.539</v>
      </c>
      <c r="J306" s="284">
        <f t="shared" si="75"/>
        <v>2.020037472131353E-2</v>
      </c>
      <c r="K306" s="147"/>
      <c r="L306" s="147"/>
    </row>
    <row r="307" spans="1:12" s="170" customFormat="1" x14ac:dyDescent="0.2">
      <c r="A307" s="147">
        <v>2026</v>
      </c>
      <c r="B307" s="147">
        <v>6</v>
      </c>
      <c r="C307" s="147" t="str">
        <f t="shared" si="72"/>
        <v>20266</v>
      </c>
      <c r="D307" s="147" t="str">
        <f t="shared" si="77"/>
        <v>Q2</v>
      </c>
      <c r="E307" s="151">
        <f t="shared" si="79"/>
        <v>187882.63416620754</v>
      </c>
      <c r="F307" s="151">
        <f t="shared" si="79"/>
        <v>184162.48300000001</v>
      </c>
      <c r="G307" s="151">
        <f t="shared" si="73"/>
        <v>4711.2950000000001</v>
      </c>
      <c r="H307" s="151">
        <f t="shared" si="74"/>
        <v>4846.0540000000001</v>
      </c>
      <c r="I307" s="151">
        <f t="shared" si="71"/>
        <v>1934.539</v>
      </c>
      <c r="J307" s="284">
        <f t="shared" si="75"/>
        <v>2.020037472131353E-2</v>
      </c>
      <c r="K307" s="147"/>
      <c r="L307" s="147"/>
    </row>
    <row r="308" spans="1:12" s="170" customFormat="1" x14ac:dyDescent="0.2">
      <c r="A308" s="147">
        <v>2026</v>
      </c>
      <c r="B308" s="147">
        <v>7</v>
      </c>
      <c r="C308" s="147" t="str">
        <f t="shared" si="72"/>
        <v>20267</v>
      </c>
      <c r="D308" s="147" t="str">
        <f t="shared" si="77"/>
        <v>Q3</v>
      </c>
      <c r="E308" s="151">
        <f t="shared" si="79"/>
        <v>188752.79950890908</v>
      </c>
      <c r="F308" s="151">
        <f t="shared" si="79"/>
        <v>185034.74600000001</v>
      </c>
      <c r="G308" s="151">
        <f t="shared" si="73"/>
        <v>4716.4970000000003</v>
      </c>
      <c r="H308" s="151">
        <f t="shared" si="74"/>
        <v>4853.84</v>
      </c>
      <c r="I308" s="151">
        <f t="shared" si="71"/>
        <v>1938.0730000000001</v>
      </c>
      <c r="J308" s="284">
        <f t="shared" si="75"/>
        <v>2.0093812590793458E-2</v>
      </c>
      <c r="K308" s="147"/>
      <c r="L308" s="147"/>
    </row>
    <row r="309" spans="1:12" s="170" customFormat="1" x14ac:dyDescent="0.2">
      <c r="A309" s="147">
        <v>2026</v>
      </c>
      <c r="B309" s="147">
        <v>8</v>
      </c>
      <c r="C309" s="147" t="str">
        <f t="shared" si="72"/>
        <v>20268</v>
      </c>
      <c r="D309" s="147" t="str">
        <f t="shared" si="77"/>
        <v>Q3</v>
      </c>
      <c r="E309" s="151">
        <f t="shared" si="79"/>
        <v>188752.79950890908</v>
      </c>
      <c r="F309" s="151">
        <f t="shared" si="79"/>
        <v>185034.74600000001</v>
      </c>
      <c r="G309" s="151">
        <f t="shared" si="73"/>
        <v>4716.4970000000003</v>
      </c>
      <c r="H309" s="151">
        <f t="shared" si="74"/>
        <v>4853.84</v>
      </c>
      <c r="I309" s="151">
        <f t="shared" si="71"/>
        <v>1938.0730000000001</v>
      </c>
      <c r="J309" s="284">
        <f t="shared" si="75"/>
        <v>2.0093812590793458E-2</v>
      </c>
      <c r="K309" s="147"/>
      <c r="L309" s="147"/>
    </row>
    <row r="310" spans="1:12" s="170" customFormat="1" x14ac:dyDescent="0.2">
      <c r="A310" s="147">
        <v>2026</v>
      </c>
      <c r="B310" s="147">
        <v>9</v>
      </c>
      <c r="C310" s="147" t="str">
        <f t="shared" si="72"/>
        <v>20269</v>
      </c>
      <c r="D310" s="147" t="str">
        <f t="shared" si="77"/>
        <v>Q3</v>
      </c>
      <c r="E310" s="151">
        <f t="shared" si="79"/>
        <v>188752.79950890908</v>
      </c>
      <c r="F310" s="151">
        <f t="shared" si="79"/>
        <v>185034.74600000001</v>
      </c>
      <c r="G310" s="151">
        <f t="shared" si="73"/>
        <v>4716.4970000000003</v>
      </c>
      <c r="H310" s="151">
        <f t="shared" si="74"/>
        <v>4853.84</v>
      </c>
      <c r="I310" s="151">
        <f t="shared" si="71"/>
        <v>1938.0730000000001</v>
      </c>
      <c r="J310" s="284">
        <f t="shared" si="75"/>
        <v>2.0093812590793458E-2</v>
      </c>
      <c r="K310" s="147"/>
      <c r="L310" s="147"/>
    </row>
    <row r="311" spans="1:12" s="170" customFormat="1" x14ac:dyDescent="0.2">
      <c r="A311" s="147">
        <v>2026</v>
      </c>
      <c r="B311" s="147">
        <v>10</v>
      </c>
      <c r="C311" s="147" t="str">
        <f t="shared" si="72"/>
        <v>202610</v>
      </c>
      <c r="D311" s="147" t="str">
        <f t="shared" si="77"/>
        <v>Q4</v>
      </c>
      <c r="E311" s="151">
        <f t="shared" si="79"/>
        <v>189619.49178872365</v>
      </c>
      <c r="F311" s="151">
        <f t="shared" si="79"/>
        <v>185915.33600000001</v>
      </c>
      <c r="G311" s="151">
        <f t="shared" si="73"/>
        <v>4721.6760000000004</v>
      </c>
      <c r="H311" s="151">
        <f t="shared" si="74"/>
        <v>4861.6040000000003</v>
      </c>
      <c r="I311" s="151">
        <f t="shared" si="71"/>
        <v>1941.453</v>
      </c>
      <c r="J311" s="284">
        <f t="shared" si="75"/>
        <v>1.992388507811782E-2</v>
      </c>
      <c r="K311" s="147"/>
      <c r="L311" s="147"/>
    </row>
    <row r="312" spans="1:12" s="170" customFormat="1" x14ac:dyDescent="0.2">
      <c r="A312" s="147">
        <v>2026</v>
      </c>
      <c r="B312" s="147">
        <v>11</v>
      </c>
      <c r="C312" s="147" t="str">
        <f t="shared" si="72"/>
        <v>202611</v>
      </c>
      <c r="D312" s="147" t="str">
        <f t="shared" si="77"/>
        <v>Q4</v>
      </c>
      <c r="E312" s="151">
        <f t="shared" si="79"/>
        <v>189619.49178872365</v>
      </c>
      <c r="F312" s="151">
        <f t="shared" si="79"/>
        <v>185915.33600000001</v>
      </c>
      <c r="G312" s="151">
        <f t="shared" si="73"/>
        <v>4721.6760000000004</v>
      </c>
      <c r="H312" s="151">
        <f t="shared" si="74"/>
        <v>4861.6040000000003</v>
      </c>
      <c r="I312" s="151">
        <f t="shared" si="71"/>
        <v>1941.453</v>
      </c>
      <c r="J312" s="284">
        <f t="shared" si="75"/>
        <v>1.992388507811782E-2</v>
      </c>
      <c r="K312" s="147"/>
      <c r="L312" s="147"/>
    </row>
    <row r="313" spans="1:12" s="170" customFormat="1" x14ac:dyDescent="0.2">
      <c r="A313" s="147">
        <v>2026</v>
      </c>
      <c r="B313" s="147">
        <v>12</v>
      </c>
      <c r="C313" s="147" t="str">
        <f t="shared" si="72"/>
        <v>202612</v>
      </c>
      <c r="D313" s="147" t="str">
        <f t="shared" si="77"/>
        <v>Q4</v>
      </c>
      <c r="E313" s="151">
        <f t="shared" si="79"/>
        <v>189619.49178872365</v>
      </c>
      <c r="F313" s="151">
        <f t="shared" si="79"/>
        <v>185915.33600000001</v>
      </c>
      <c r="G313" s="151">
        <f t="shared" si="73"/>
        <v>4721.6760000000004</v>
      </c>
      <c r="H313" s="151">
        <f t="shared" si="74"/>
        <v>4861.6040000000003</v>
      </c>
      <c r="I313" s="151">
        <f t="shared" si="71"/>
        <v>1941.453</v>
      </c>
      <c r="J313" s="284">
        <f t="shared" si="75"/>
        <v>1.992388507811782E-2</v>
      </c>
      <c r="K313" s="147"/>
      <c r="L313" s="147"/>
    </row>
    <row r="314" spans="1:12" s="170" customFormat="1" x14ac:dyDescent="0.2">
      <c r="A314" s="147">
        <v>2027</v>
      </c>
      <c r="B314" s="147">
        <v>1</v>
      </c>
      <c r="C314" s="147" t="str">
        <f t="shared" si="72"/>
        <v>20271</v>
      </c>
      <c r="D314" s="147" t="str">
        <f t="shared" si="77"/>
        <v>Q1</v>
      </c>
      <c r="E314" s="151">
        <f t="shared" si="79"/>
        <v>191175.42449455697</v>
      </c>
      <c r="F314" s="151">
        <f t="shared" si="79"/>
        <v>187484.08600000001</v>
      </c>
      <c r="G314" s="151">
        <f t="shared" si="73"/>
        <v>4726.8329999999996</v>
      </c>
      <c r="H314" s="151">
        <f t="shared" si="74"/>
        <v>4869.3490000000002</v>
      </c>
      <c r="I314" s="151">
        <f t="shared" si="71"/>
        <v>1945.152</v>
      </c>
      <c r="J314" s="284">
        <f t="shared" si="75"/>
        <v>1.968880971879905E-2</v>
      </c>
      <c r="K314" s="147"/>
      <c r="L314" s="147"/>
    </row>
    <row r="315" spans="1:12" s="170" customFormat="1" x14ac:dyDescent="0.2">
      <c r="A315" s="147">
        <v>2027</v>
      </c>
      <c r="B315" s="147">
        <v>2</v>
      </c>
      <c r="C315" s="147" t="str">
        <f t="shared" si="72"/>
        <v>20272</v>
      </c>
      <c r="D315" s="147" t="str">
        <f t="shared" si="77"/>
        <v>Q1</v>
      </c>
      <c r="E315" s="151">
        <f t="shared" si="79"/>
        <v>191175.42449455697</v>
      </c>
      <c r="F315" s="151">
        <f t="shared" si="79"/>
        <v>187484.08600000001</v>
      </c>
      <c r="G315" s="151">
        <f t="shared" si="73"/>
        <v>4726.8329999999996</v>
      </c>
      <c r="H315" s="151">
        <f t="shared" si="74"/>
        <v>4869.3490000000002</v>
      </c>
      <c r="I315" s="151">
        <f t="shared" si="71"/>
        <v>1945.152</v>
      </c>
      <c r="J315" s="284">
        <f t="shared" si="75"/>
        <v>1.968880971879905E-2</v>
      </c>
      <c r="K315" s="147"/>
      <c r="L315" s="147"/>
    </row>
    <row r="316" spans="1:12" s="170" customFormat="1" x14ac:dyDescent="0.2">
      <c r="A316" s="147">
        <v>2027</v>
      </c>
      <c r="B316" s="147">
        <v>3</v>
      </c>
      <c r="C316" s="147" t="str">
        <f t="shared" si="72"/>
        <v>20273</v>
      </c>
      <c r="D316" s="147" t="str">
        <f t="shared" si="77"/>
        <v>Q1</v>
      </c>
      <c r="E316" s="151">
        <f t="shared" si="79"/>
        <v>191175.42449455697</v>
      </c>
      <c r="F316" s="151">
        <f t="shared" si="79"/>
        <v>187484.08600000001</v>
      </c>
      <c r="G316" s="151">
        <f t="shared" si="73"/>
        <v>4726.8329999999996</v>
      </c>
      <c r="H316" s="151">
        <f t="shared" si="74"/>
        <v>4869.3490000000002</v>
      </c>
      <c r="I316" s="151">
        <f t="shared" si="71"/>
        <v>1945.152</v>
      </c>
      <c r="J316" s="284">
        <f t="shared" si="75"/>
        <v>1.968880971879905E-2</v>
      </c>
      <c r="K316" s="147"/>
      <c r="L316" s="147"/>
    </row>
    <row r="317" spans="1:12" s="170" customFormat="1" x14ac:dyDescent="0.2">
      <c r="A317" s="147">
        <v>2027</v>
      </c>
      <c r="B317" s="147">
        <v>4</v>
      </c>
      <c r="C317" s="147" t="str">
        <f t="shared" si="72"/>
        <v>20274</v>
      </c>
      <c r="D317" s="147" t="str">
        <f t="shared" si="77"/>
        <v>Q2</v>
      </c>
      <c r="E317" s="151">
        <f t="shared" si="79"/>
        <v>192138.18473751959</v>
      </c>
      <c r="F317" s="151">
        <f t="shared" si="79"/>
        <v>188450.351</v>
      </c>
      <c r="G317" s="151">
        <f t="shared" si="73"/>
        <v>4731.9660000000003</v>
      </c>
      <c r="H317" s="151">
        <f t="shared" si="74"/>
        <v>4877.0720000000001</v>
      </c>
      <c r="I317" s="151">
        <f t="shared" si="71"/>
        <v>1948.8119999999999</v>
      </c>
      <c r="J317" s="284">
        <f t="shared" si="75"/>
        <v>1.9569259053911825E-2</v>
      </c>
      <c r="K317" s="147"/>
      <c r="L317" s="147"/>
    </row>
    <row r="318" spans="1:12" s="170" customFormat="1" x14ac:dyDescent="0.2">
      <c r="A318" s="147">
        <v>2027</v>
      </c>
      <c r="B318" s="147">
        <v>5</v>
      </c>
      <c r="C318" s="147" t="str">
        <f t="shared" si="72"/>
        <v>20275</v>
      </c>
      <c r="D318" s="147" t="str">
        <f t="shared" si="77"/>
        <v>Q2</v>
      </c>
      <c r="E318" s="151">
        <f t="shared" si="79"/>
        <v>192138.18473751959</v>
      </c>
      <c r="F318" s="151">
        <f t="shared" si="79"/>
        <v>188450.351</v>
      </c>
      <c r="G318" s="151">
        <f t="shared" si="73"/>
        <v>4731.9660000000003</v>
      </c>
      <c r="H318" s="151">
        <f t="shared" si="74"/>
        <v>4877.0720000000001</v>
      </c>
      <c r="I318" s="151">
        <f t="shared" si="71"/>
        <v>1948.8119999999999</v>
      </c>
      <c r="J318" s="284">
        <f t="shared" si="75"/>
        <v>1.9569259053911825E-2</v>
      </c>
      <c r="K318" s="147"/>
      <c r="L318" s="147"/>
    </row>
    <row r="319" spans="1:12" s="170" customFormat="1" x14ac:dyDescent="0.2">
      <c r="A319" s="147">
        <v>2027</v>
      </c>
      <c r="B319" s="147">
        <v>6</v>
      </c>
      <c r="C319" s="147" t="str">
        <f t="shared" si="72"/>
        <v>20276</v>
      </c>
      <c r="D319" s="147" t="str">
        <f t="shared" si="77"/>
        <v>Q2</v>
      </c>
      <c r="E319" s="151">
        <f t="shared" si="79"/>
        <v>192138.18473751959</v>
      </c>
      <c r="F319" s="151">
        <f t="shared" si="79"/>
        <v>188450.351</v>
      </c>
      <c r="G319" s="151">
        <f t="shared" si="73"/>
        <v>4731.9660000000003</v>
      </c>
      <c r="H319" s="151">
        <f t="shared" si="74"/>
        <v>4877.0720000000001</v>
      </c>
      <c r="I319" s="151">
        <f t="shared" si="71"/>
        <v>1948.8119999999999</v>
      </c>
      <c r="J319" s="284">
        <f t="shared" si="75"/>
        <v>1.9569259053911825E-2</v>
      </c>
      <c r="K319" s="147"/>
      <c r="L319" s="147"/>
    </row>
    <row r="320" spans="1:12" s="170" customFormat="1" x14ac:dyDescent="0.2">
      <c r="A320" s="147">
        <v>2027</v>
      </c>
      <c r="B320" s="147">
        <v>7</v>
      </c>
      <c r="C320" s="147" t="str">
        <f t="shared" si="72"/>
        <v>20277</v>
      </c>
      <c r="D320" s="147" t="str">
        <f t="shared" si="77"/>
        <v>Q3</v>
      </c>
      <c r="E320" s="151">
        <f t="shared" si="79"/>
        <v>193022.21135572455</v>
      </c>
      <c r="F320" s="151">
        <f t="shared" si="79"/>
        <v>189344.48499999999</v>
      </c>
      <c r="G320" s="151">
        <f t="shared" si="73"/>
        <v>4737.0640000000003</v>
      </c>
      <c r="H320" s="151">
        <f t="shared" si="74"/>
        <v>4884.7619999999997</v>
      </c>
      <c r="I320" s="151">
        <f t="shared" si="71"/>
        <v>1952.454</v>
      </c>
      <c r="J320" s="284">
        <f t="shared" si="75"/>
        <v>1.9423466998389483E-2</v>
      </c>
      <c r="K320" s="147"/>
      <c r="L320" s="147"/>
    </row>
    <row r="321" spans="1:12" s="170" customFormat="1" x14ac:dyDescent="0.2">
      <c r="A321" s="147">
        <v>2027</v>
      </c>
      <c r="B321" s="147">
        <v>8</v>
      </c>
      <c r="C321" s="147" t="str">
        <f t="shared" si="72"/>
        <v>20278</v>
      </c>
      <c r="D321" s="147" t="str">
        <f t="shared" si="77"/>
        <v>Q3</v>
      </c>
      <c r="E321" s="151">
        <f t="shared" si="79"/>
        <v>193022.21135572455</v>
      </c>
      <c r="F321" s="151">
        <f t="shared" si="79"/>
        <v>189344.48499999999</v>
      </c>
      <c r="G321" s="151">
        <f t="shared" si="73"/>
        <v>4737.0640000000003</v>
      </c>
      <c r="H321" s="151">
        <f t="shared" si="74"/>
        <v>4884.7619999999997</v>
      </c>
      <c r="I321" s="151">
        <f t="shared" si="71"/>
        <v>1952.454</v>
      </c>
      <c r="J321" s="284">
        <f t="shared" si="75"/>
        <v>1.9423466998389483E-2</v>
      </c>
      <c r="K321" s="147"/>
      <c r="L321" s="147"/>
    </row>
    <row r="322" spans="1:12" s="170" customFormat="1" x14ac:dyDescent="0.2">
      <c r="A322" s="147">
        <v>2027</v>
      </c>
      <c r="B322" s="147">
        <v>9</v>
      </c>
      <c r="C322" s="147" t="str">
        <f t="shared" si="72"/>
        <v>20279</v>
      </c>
      <c r="D322" s="147" t="str">
        <f t="shared" si="77"/>
        <v>Q3</v>
      </c>
      <c r="E322" s="151">
        <f t="shared" ref="E322:F341" si="80">VLOOKUP($A322&amp;$D322,$O$1:$V$189,MATCH(E$1,$O$1:$V$1,0),0)</f>
        <v>193022.21135572455</v>
      </c>
      <c r="F322" s="151">
        <f t="shared" si="80"/>
        <v>189344.48499999999</v>
      </c>
      <c r="G322" s="151">
        <f t="shared" si="73"/>
        <v>4737.0640000000003</v>
      </c>
      <c r="H322" s="151">
        <f t="shared" si="74"/>
        <v>4884.7619999999997</v>
      </c>
      <c r="I322" s="151">
        <f t="shared" ref="I322:I385" si="81">VLOOKUP($A322&amp;$D322,$O$1:$V$189,MATCH(I$1,$O$1:$V$1,0),0)</f>
        <v>1952.454</v>
      </c>
      <c r="J322" s="284">
        <f t="shared" si="75"/>
        <v>1.9423466998389483E-2</v>
      </c>
      <c r="K322" s="147"/>
      <c r="L322" s="147"/>
    </row>
    <row r="323" spans="1:12" s="170" customFormat="1" x14ac:dyDescent="0.2">
      <c r="A323" s="147">
        <v>2027</v>
      </c>
      <c r="B323" s="147">
        <v>10</v>
      </c>
      <c r="C323" s="147" t="str">
        <f t="shared" ref="C323:C386" si="82">A323&amp;B323</f>
        <v>202710</v>
      </c>
      <c r="D323" s="147" t="str">
        <f t="shared" si="77"/>
        <v>Q4</v>
      </c>
      <c r="E323" s="151">
        <f t="shared" si="80"/>
        <v>193888.56063320147</v>
      </c>
      <c r="F323" s="151">
        <f t="shared" si="80"/>
        <v>190254.26500000001</v>
      </c>
      <c r="G323" s="151">
        <f t="shared" ref="G323:G386" si="83">VLOOKUP($A323&amp;$D323,$O$1:$AA$189,MATCH(G$1,$O$1:$AA$1,0),0)</f>
        <v>4742.1390000000001</v>
      </c>
      <c r="H323" s="151">
        <f t="shared" ref="H323:H386" si="84">VLOOKUP($A323&amp;$D323,$O$1:$AA$189,MATCH(H$1,$O$1:$AA$1,0),0)</f>
        <v>4892.43</v>
      </c>
      <c r="I323" s="151">
        <f t="shared" si="81"/>
        <v>1955.9590000000001</v>
      </c>
      <c r="J323" s="284">
        <f t="shared" ref="J323:J386" si="85">E323/F323-1</f>
        <v>1.9102308340900764E-2</v>
      </c>
      <c r="K323" s="147"/>
      <c r="L323" s="147"/>
    </row>
    <row r="324" spans="1:12" s="170" customFormat="1" x14ac:dyDescent="0.2">
      <c r="A324" s="147">
        <v>2027</v>
      </c>
      <c r="B324" s="147">
        <v>11</v>
      </c>
      <c r="C324" s="147" t="str">
        <f t="shared" si="82"/>
        <v>202711</v>
      </c>
      <c r="D324" s="147" t="str">
        <f t="shared" si="77"/>
        <v>Q4</v>
      </c>
      <c r="E324" s="151">
        <f t="shared" si="80"/>
        <v>193888.56063320147</v>
      </c>
      <c r="F324" s="151">
        <f t="shared" si="80"/>
        <v>190254.26500000001</v>
      </c>
      <c r="G324" s="151">
        <f t="shared" si="83"/>
        <v>4742.1390000000001</v>
      </c>
      <c r="H324" s="151">
        <f t="shared" si="84"/>
        <v>4892.43</v>
      </c>
      <c r="I324" s="151">
        <f t="shared" si="81"/>
        <v>1955.9590000000001</v>
      </c>
      <c r="J324" s="284">
        <f t="shared" si="85"/>
        <v>1.9102308340900764E-2</v>
      </c>
      <c r="K324" s="147"/>
      <c r="L324" s="147"/>
    </row>
    <row r="325" spans="1:12" s="170" customFormat="1" x14ac:dyDescent="0.2">
      <c r="A325" s="147">
        <v>2027</v>
      </c>
      <c r="B325" s="147">
        <v>12</v>
      </c>
      <c r="C325" s="147" t="str">
        <f t="shared" si="82"/>
        <v>202712</v>
      </c>
      <c r="D325" s="147" t="str">
        <f t="shared" si="77"/>
        <v>Q4</v>
      </c>
      <c r="E325" s="151">
        <f t="shared" si="80"/>
        <v>193888.56063320147</v>
      </c>
      <c r="F325" s="151">
        <f t="shared" si="80"/>
        <v>190254.26500000001</v>
      </c>
      <c r="G325" s="151">
        <f t="shared" si="83"/>
        <v>4742.1390000000001</v>
      </c>
      <c r="H325" s="151">
        <f t="shared" si="84"/>
        <v>4892.43</v>
      </c>
      <c r="I325" s="151">
        <f t="shared" si="81"/>
        <v>1955.9590000000001</v>
      </c>
      <c r="J325" s="284">
        <f t="shared" si="85"/>
        <v>1.9102308340900764E-2</v>
      </c>
      <c r="K325" s="147"/>
      <c r="L325" s="147"/>
    </row>
    <row r="326" spans="1:12" s="170" customFormat="1" x14ac:dyDescent="0.2">
      <c r="A326" s="147">
        <v>2028</v>
      </c>
      <c r="B326" s="147">
        <v>1</v>
      </c>
      <c r="C326" s="147" t="str">
        <f t="shared" si="82"/>
        <v>20281</v>
      </c>
      <c r="D326" s="147" t="str">
        <f t="shared" si="77"/>
        <v>Q1</v>
      </c>
      <c r="E326" s="151">
        <f t="shared" si="80"/>
        <v>195475.00888551428</v>
      </c>
      <c r="F326" s="151">
        <f t="shared" si="80"/>
        <v>191884.976</v>
      </c>
      <c r="G326" s="151">
        <f t="shared" si="83"/>
        <v>4747.2110000000002</v>
      </c>
      <c r="H326" s="151">
        <f t="shared" si="84"/>
        <v>4900.0990000000002</v>
      </c>
      <c r="I326" s="151">
        <f t="shared" si="81"/>
        <v>1959.6690000000001</v>
      </c>
      <c r="J326" s="284">
        <f t="shared" si="85"/>
        <v>1.8709296373022433E-2</v>
      </c>
      <c r="K326" s="147"/>
      <c r="L326" s="147"/>
    </row>
    <row r="327" spans="1:12" s="170" customFormat="1" x14ac:dyDescent="0.2">
      <c r="A327" s="147">
        <v>2028</v>
      </c>
      <c r="B327" s="147">
        <v>2</v>
      </c>
      <c r="C327" s="147" t="str">
        <f t="shared" si="82"/>
        <v>20282</v>
      </c>
      <c r="D327" s="147" t="str">
        <f t="shared" si="77"/>
        <v>Q1</v>
      </c>
      <c r="E327" s="151">
        <f t="shared" si="80"/>
        <v>195475.00888551428</v>
      </c>
      <c r="F327" s="151">
        <f t="shared" si="80"/>
        <v>191884.976</v>
      </c>
      <c r="G327" s="151">
        <f t="shared" si="83"/>
        <v>4747.2110000000002</v>
      </c>
      <c r="H327" s="151">
        <f t="shared" si="84"/>
        <v>4900.0990000000002</v>
      </c>
      <c r="I327" s="151">
        <f t="shared" si="81"/>
        <v>1959.6690000000001</v>
      </c>
      <c r="J327" s="284">
        <f t="shared" si="85"/>
        <v>1.8709296373022433E-2</v>
      </c>
      <c r="K327" s="147"/>
      <c r="L327" s="147"/>
    </row>
    <row r="328" spans="1:12" s="170" customFormat="1" x14ac:dyDescent="0.2">
      <c r="A328" s="147">
        <v>2028</v>
      </c>
      <c r="B328" s="147">
        <v>3</v>
      </c>
      <c r="C328" s="147" t="str">
        <f t="shared" si="82"/>
        <v>20283</v>
      </c>
      <c r="D328" s="147" t="str">
        <f t="shared" si="77"/>
        <v>Q1</v>
      </c>
      <c r="E328" s="151">
        <f t="shared" si="80"/>
        <v>195475.00888551428</v>
      </c>
      <c r="F328" s="151">
        <f t="shared" si="80"/>
        <v>191884.976</v>
      </c>
      <c r="G328" s="151">
        <f t="shared" si="83"/>
        <v>4747.2110000000002</v>
      </c>
      <c r="H328" s="151">
        <f t="shared" si="84"/>
        <v>4900.0990000000002</v>
      </c>
      <c r="I328" s="151">
        <f t="shared" si="81"/>
        <v>1959.6690000000001</v>
      </c>
      <c r="J328" s="284">
        <f t="shared" si="85"/>
        <v>1.8709296373022433E-2</v>
      </c>
      <c r="K328" s="147"/>
      <c r="L328" s="147"/>
    </row>
    <row r="329" spans="1:12" s="170" customFormat="1" x14ac:dyDescent="0.2">
      <c r="A329" s="147">
        <v>2028</v>
      </c>
      <c r="B329" s="147">
        <v>4</v>
      </c>
      <c r="C329" s="147" t="str">
        <f t="shared" si="82"/>
        <v>20284</v>
      </c>
      <c r="D329" s="147" t="str">
        <f t="shared" si="77"/>
        <v>Q2</v>
      </c>
      <c r="E329" s="151">
        <f t="shared" si="80"/>
        <v>196440.61636787187</v>
      </c>
      <c r="F329" s="151">
        <f t="shared" si="80"/>
        <v>192867.91899999999</v>
      </c>
      <c r="G329" s="151">
        <f t="shared" si="83"/>
        <v>4752.2449999999999</v>
      </c>
      <c r="H329" s="151">
        <f t="shared" si="84"/>
        <v>4907.7340000000004</v>
      </c>
      <c r="I329" s="151">
        <f t="shared" si="81"/>
        <v>1963.346</v>
      </c>
      <c r="J329" s="284">
        <f t="shared" si="85"/>
        <v>1.8524062407039743E-2</v>
      </c>
      <c r="K329" s="147"/>
      <c r="L329" s="147"/>
    </row>
    <row r="330" spans="1:12" s="170" customFormat="1" x14ac:dyDescent="0.2">
      <c r="A330" s="147">
        <v>2028</v>
      </c>
      <c r="B330" s="147">
        <v>5</v>
      </c>
      <c r="C330" s="147" t="str">
        <f t="shared" si="82"/>
        <v>20285</v>
      </c>
      <c r="D330" s="147" t="str">
        <f t="shared" si="77"/>
        <v>Q2</v>
      </c>
      <c r="E330" s="151">
        <f t="shared" si="80"/>
        <v>196440.61636787187</v>
      </c>
      <c r="F330" s="151">
        <f t="shared" si="80"/>
        <v>192867.91899999999</v>
      </c>
      <c r="G330" s="151">
        <f t="shared" si="83"/>
        <v>4752.2449999999999</v>
      </c>
      <c r="H330" s="151">
        <f t="shared" si="84"/>
        <v>4907.7340000000004</v>
      </c>
      <c r="I330" s="151">
        <f t="shared" si="81"/>
        <v>1963.346</v>
      </c>
      <c r="J330" s="284">
        <f t="shared" si="85"/>
        <v>1.8524062407039743E-2</v>
      </c>
      <c r="K330" s="147"/>
      <c r="L330" s="147"/>
    </row>
    <row r="331" spans="1:12" s="170" customFormat="1" x14ac:dyDescent="0.2">
      <c r="A331" s="147">
        <v>2028</v>
      </c>
      <c r="B331" s="147">
        <v>6</v>
      </c>
      <c r="C331" s="147" t="str">
        <f t="shared" si="82"/>
        <v>20286</v>
      </c>
      <c r="D331" s="147" t="str">
        <f t="shared" si="77"/>
        <v>Q2</v>
      </c>
      <c r="E331" s="151">
        <f t="shared" si="80"/>
        <v>196440.61636787187</v>
      </c>
      <c r="F331" s="151">
        <f t="shared" si="80"/>
        <v>192867.91899999999</v>
      </c>
      <c r="G331" s="151">
        <f t="shared" si="83"/>
        <v>4752.2449999999999</v>
      </c>
      <c r="H331" s="151">
        <f t="shared" si="84"/>
        <v>4907.7340000000004</v>
      </c>
      <c r="I331" s="151">
        <f t="shared" si="81"/>
        <v>1963.346</v>
      </c>
      <c r="J331" s="284">
        <f t="shared" si="85"/>
        <v>1.8524062407039743E-2</v>
      </c>
      <c r="K331" s="147"/>
      <c r="L331" s="147"/>
    </row>
    <row r="332" spans="1:12" s="170" customFormat="1" x14ac:dyDescent="0.2">
      <c r="A332" s="147">
        <v>2028</v>
      </c>
      <c r="B332" s="147">
        <v>7</v>
      </c>
      <c r="C332" s="147" t="str">
        <f t="shared" si="82"/>
        <v>20287</v>
      </c>
      <c r="D332" s="147" t="str">
        <f t="shared" si="77"/>
        <v>Q3</v>
      </c>
      <c r="E332" s="151">
        <f t="shared" si="80"/>
        <v>197345.13943870092</v>
      </c>
      <c r="F332" s="151">
        <f t="shared" si="80"/>
        <v>193808.63</v>
      </c>
      <c r="G332" s="151">
        <f t="shared" si="83"/>
        <v>4757.232</v>
      </c>
      <c r="H332" s="151">
        <f t="shared" si="84"/>
        <v>4915.3220000000001</v>
      </c>
      <c r="I332" s="151">
        <f t="shared" si="81"/>
        <v>1966.865</v>
      </c>
      <c r="J332" s="284">
        <f t="shared" si="85"/>
        <v>1.8247430151592914E-2</v>
      </c>
      <c r="K332" s="147"/>
      <c r="L332" s="147"/>
    </row>
    <row r="333" spans="1:12" s="170" customFormat="1" x14ac:dyDescent="0.2">
      <c r="A333" s="147">
        <v>2028</v>
      </c>
      <c r="B333" s="147">
        <v>8</v>
      </c>
      <c r="C333" s="147" t="str">
        <f t="shared" si="82"/>
        <v>20288</v>
      </c>
      <c r="D333" s="147" t="str">
        <f t="shared" si="77"/>
        <v>Q3</v>
      </c>
      <c r="E333" s="151">
        <f t="shared" si="80"/>
        <v>197345.13943870092</v>
      </c>
      <c r="F333" s="151">
        <f t="shared" si="80"/>
        <v>193808.63</v>
      </c>
      <c r="G333" s="151">
        <f t="shared" si="83"/>
        <v>4757.232</v>
      </c>
      <c r="H333" s="151">
        <f t="shared" si="84"/>
        <v>4915.3220000000001</v>
      </c>
      <c r="I333" s="151">
        <f t="shared" si="81"/>
        <v>1966.865</v>
      </c>
      <c r="J333" s="284">
        <f t="shared" si="85"/>
        <v>1.8247430151592914E-2</v>
      </c>
      <c r="K333" s="147"/>
      <c r="L333" s="147"/>
    </row>
    <row r="334" spans="1:12" s="170" customFormat="1" x14ac:dyDescent="0.2">
      <c r="A334" s="147">
        <v>2028</v>
      </c>
      <c r="B334" s="147">
        <v>9</v>
      </c>
      <c r="C334" s="147" t="str">
        <f t="shared" si="82"/>
        <v>20289</v>
      </c>
      <c r="D334" s="147" t="str">
        <f t="shared" si="77"/>
        <v>Q3</v>
      </c>
      <c r="E334" s="151">
        <f t="shared" si="80"/>
        <v>197345.13943870092</v>
      </c>
      <c r="F334" s="151">
        <f t="shared" si="80"/>
        <v>193808.63</v>
      </c>
      <c r="G334" s="151">
        <f t="shared" si="83"/>
        <v>4757.232</v>
      </c>
      <c r="H334" s="151">
        <f t="shared" si="84"/>
        <v>4915.3220000000001</v>
      </c>
      <c r="I334" s="151">
        <f t="shared" si="81"/>
        <v>1966.865</v>
      </c>
      <c r="J334" s="284">
        <f t="shared" si="85"/>
        <v>1.8247430151592914E-2</v>
      </c>
      <c r="K334" s="147"/>
      <c r="L334" s="147"/>
    </row>
    <row r="335" spans="1:12" s="170" customFormat="1" x14ac:dyDescent="0.2">
      <c r="A335" s="147">
        <v>2028</v>
      </c>
      <c r="B335" s="147">
        <v>10</v>
      </c>
      <c r="C335" s="147" t="str">
        <f t="shared" si="82"/>
        <v>202810</v>
      </c>
      <c r="D335" s="147" t="str">
        <f t="shared" ref="D335:D398" si="86">D323</f>
        <v>Q4</v>
      </c>
      <c r="E335" s="151">
        <f t="shared" si="80"/>
        <v>198269.78198241198</v>
      </c>
      <c r="F335" s="151">
        <f t="shared" si="80"/>
        <v>194786.40400000001</v>
      </c>
      <c r="G335" s="151">
        <f t="shared" si="83"/>
        <v>4762.1819999999998</v>
      </c>
      <c r="H335" s="151">
        <f t="shared" si="84"/>
        <v>4922.8760000000002</v>
      </c>
      <c r="I335" s="151">
        <f t="shared" si="81"/>
        <v>1970.585</v>
      </c>
      <c r="J335" s="284">
        <f t="shared" si="85"/>
        <v>1.7883065300656087E-2</v>
      </c>
      <c r="K335" s="147"/>
      <c r="L335" s="147"/>
    </row>
    <row r="336" spans="1:12" s="170" customFormat="1" x14ac:dyDescent="0.2">
      <c r="A336" s="147">
        <v>2028</v>
      </c>
      <c r="B336" s="147">
        <v>11</v>
      </c>
      <c r="C336" s="147" t="str">
        <f t="shared" si="82"/>
        <v>202811</v>
      </c>
      <c r="D336" s="147" t="str">
        <f t="shared" si="86"/>
        <v>Q4</v>
      </c>
      <c r="E336" s="151">
        <f t="shared" si="80"/>
        <v>198269.78198241198</v>
      </c>
      <c r="F336" s="151">
        <f t="shared" si="80"/>
        <v>194786.40400000001</v>
      </c>
      <c r="G336" s="151">
        <f t="shared" si="83"/>
        <v>4762.1819999999998</v>
      </c>
      <c r="H336" s="151">
        <f t="shared" si="84"/>
        <v>4922.8760000000002</v>
      </c>
      <c r="I336" s="151">
        <f t="shared" si="81"/>
        <v>1970.585</v>
      </c>
      <c r="J336" s="284">
        <f t="shared" si="85"/>
        <v>1.7883065300656087E-2</v>
      </c>
      <c r="K336" s="147"/>
      <c r="L336" s="147"/>
    </row>
    <row r="337" spans="1:12" s="170" customFormat="1" x14ac:dyDescent="0.2">
      <c r="A337" s="147">
        <v>2028</v>
      </c>
      <c r="B337" s="147">
        <v>12</v>
      </c>
      <c r="C337" s="147" t="str">
        <f t="shared" si="82"/>
        <v>202812</v>
      </c>
      <c r="D337" s="147" t="str">
        <f t="shared" si="86"/>
        <v>Q4</v>
      </c>
      <c r="E337" s="151">
        <f t="shared" si="80"/>
        <v>198269.78198241198</v>
      </c>
      <c r="F337" s="151">
        <f t="shared" si="80"/>
        <v>194786.40400000001</v>
      </c>
      <c r="G337" s="151">
        <f t="shared" si="83"/>
        <v>4762.1819999999998</v>
      </c>
      <c r="H337" s="151">
        <f t="shared" si="84"/>
        <v>4922.8760000000002</v>
      </c>
      <c r="I337" s="151">
        <f t="shared" si="81"/>
        <v>1970.585</v>
      </c>
      <c r="J337" s="284">
        <f t="shared" si="85"/>
        <v>1.7883065300656087E-2</v>
      </c>
      <c r="K337" s="147"/>
      <c r="L337" s="147"/>
    </row>
    <row r="338" spans="1:12" s="170" customFormat="1" x14ac:dyDescent="0.2">
      <c r="A338" s="147">
        <v>2029</v>
      </c>
      <c r="B338" s="147">
        <v>1</v>
      </c>
      <c r="C338" s="147" t="str">
        <f t="shared" si="82"/>
        <v>20291</v>
      </c>
      <c r="D338" s="147" t="str">
        <f t="shared" si="86"/>
        <v>Q1</v>
      </c>
      <c r="E338" s="151">
        <f t="shared" si="80"/>
        <v>199927.886460448</v>
      </c>
      <c r="F338" s="151">
        <f t="shared" si="80"/>
        <v>196497.82699999999</v>
      </c>
      <c r="G338" s="151">
        <f t="shared" si="83"/>
        <v>4767.0959999999995</v>
      </c>
      <c r="H338" s="151">
        <f t="shared" si="84"/>
        <v>4930.3969999999999</v>
      </c>
      <c r="I338" s="151">
        <f t="shared" si="81"/>
        <v>1974.136</v>
      </c>
      <c r="J338" s="284">
        <f t="shared" si="85"/>
        <v>1.7455966372839304E-2</v>
      </c>
      <c r="K338" s="147"/>
      <c r="L338" s="147"/>
    </row>
    <row r="339" spans="1:12" s="170" customFormat="1" x14ac:dyDescent="0.2">
      <c r="A339" s="147">
        <v>2029</v>
      </c>
      <c r="B339" s="147">
        <v>2</v>
      </c>
      <c r="C339" s="147" t="str">
        <f t="shared" si="82"/>
        <v>20292</v>
      </c>
      <c r="D339" s="147" t="str">
        <f t="shared" si="86"/>
        <v>Q1</v>
      </c>
      <c r="E339" s="151">
        <f t="shared" si="80"/>
        <v>199927.886460448</v>
      </c>
      <c r="F339" s="151">
        <f t="shared" si="80"/>
        <v>196497.82699999999</v>
      </c>
      <c r="G339" s="151">
        <f t="shared" si="83"/>
        <v>4767.0959999999995</v>
      </c>
      <c r="H339" s="151">
        <f t="shared" si="84"/>
        <v>4930.3969999999999</v>
      </c>
      <c r="I339" s="151">
        <f t="shared" si="81"/>
        <v>1974.136</v>
      </c>
      <c r="J339" s="284">
        <f t="shared" si="85"/>
        <v>1.7455966372839304E-2</v>
      </c>
      <c r="K339" s="147"/>
      <c r="L339" s="147"/>
    </row>
    <row r="340" spans="1:12" s="170" customFormat="1" x14ac:dyDescent="0.2">
      <c r="A340" s="147">
        <v>2029</v>
      </c>
      <c r="B340" s="147">
        <v>3</v>
      </c>
      <c r="C340" s="147" t="str">
        <f t="shared" si="82"/>
        <v>20293</v>
      </c>
      <c r="D340" s="147" t="str">
        <f t="shared" si="86"/>
        <v>Q1</v>
      </c>
      <c r="E340" s="151">
        <f t="shared" si="80"/>
        <v>199927.886460448</v>
      </c>
      <c r="F340" s="151">
        <f t="shared" si="80"/>
        <v>196497.82699999999</v>
      </c>
      <c r="G340" s="151">
        <f t="shared" si="83"/>
        <v>4767.0959999999995</v>
      </c>
      <c r="H340" s="151">
        <f t="shared" si="84"/>
        <v>4930.3969999999999</v>
      </c>
      <c r="I340" s="151">
        <f t="shared" si="81"/>
        <v>1974.136</v>
      </c>
      <c r="J340" s="284">
        <f t="shared" si="85"/>
        <v>1.7455966372839304E-2</v>
      </c>
      <c r="K340" s="147"/>
      <c r="L340" s="147"/>
    </row>
    <row r="341" spans="1:12" s="170" customFormat="1" x14ac:dyDescent="0.2">
      <c r="A341" s="147">
        <v>2029</v>
      </c>
      <c r="B341" s="147">
        <v>4</v>
      </c>
      <c r="C341" s="147" t="str">
        <f t="shared" si="82"/>
        <v>20294</v>
      </c>
      <c r="D341" s="147" t="str">
        <f t="shared" si="86"/>
        <v>Q2</v>
      </c>
      <c r="E341" s="151">
        <f t="shared" si="80"/>
        <v>200956.51136853037</v>
      </c>
      <c r="F341" s="151">
        <f t="shared" si="80"/>
        <v>197549.33600000001</v>
      </c>
      <c r="G341" s="151">
        <f t="shared" si="83"/>
        <v>4771.973</v>
      </c>
      <c r="H341" s="151">
        <f t="shared" si="84"/>
        <v>4937.8850000000002</v>
      </c>
      <c r="I341" s="151">
        <f t="shared" si="81"/>
        <v>1977.6769999999999</v>
      </c>
      <c r="J341" s="284">
        <f t="shared" si="85"/>
        <v>1.7247212455982819E-2</v>
      </c>
      <c r="K341" s="147"/>
      <c r="L341" s="147"/>
    </row>
    <row r="342" spans="1:12" s="170" customFormat="1" x14ac:dyDescent="0.2">
      <c r="A342" s="147">
        <v>2029</v>
      </c>
      <c r="B342" s="147">
        <v>5</v>
      </c>
      <c r="C342" s="147" t="str">
        <f t="shared" si="82"/>
        <v>20295</v>
      </c>
      <c r="D342" s="147" t="str">
        <f t="shared" si="86"/>
        <v>Q2</v>
      </c>
      <c r="E342" s="151">
        <f t="shared" ref="E342:F361" si="87">VLOOKUP($A342&amp;$D342,$O$1:$V$189,MATCH(E$1,$O$1:$V$1,0),0)</f>
        <v>200956.51136853037</v>
      </c>
      <c r="F342" s="151">
        <f t="shared" si="87"/>
        <v>197549.33600000001</v>
      </c>
      <c r="G342" s="151">
        <f t="shared" si="83"/>
        <v>4771.973</v>
      </c>
      <c r="H342" s="151">
        <f t="shared" si="84"/>
        <v>4937.8850000000002</v>
      </c>
      <c r="I342" s="151">
        <f t="shared" si="81"/>
        <v>1977.6769999999999</v>
      </c>
      <c r="J342" s="284">
        <f t="shared" si="85"/>
        <v>1.7247212455982819E-2</v>
      </c>
      <c r="K342" s="147"/>
      <c r="L342" s="147"/>
    </row>
    <row r="343" spans="1:12" s="170" customFormat="1" x14ac:dyDescent="0.2">
      <c r="A343" s="147">
        <v>2029</v>
      </c>
      <c r="B343" s="147">
        <v>6</v>
      </c>
      <c r="C343" s="147" t="str">
        <f t="shared" si="82"/>
        <v>20296</v>
      </c>
      <c r="D343" s="147" t="str">
        <f t="shared" si="86"/>
        <v>Q2</v>
      </c>
      <c r="E343" s="151">
        <f t="shared" si="87"/>
        <v>200956.51136853037</v>
      </c>
      <c r="F343" s="151">
        <f t="shared" si="87"/>
        <v>197549.33600000001</v>
      </c>
      <c r="G343" s="151">
        <f t="shared" si="83"/>
        <v>4771.973</v>
      </c>
      <c r="H343" s="151">
        <f t="shared" si="84"/>
        <v>4937.8850000000002</v>
      </c>
      <c r="I343" s="151">
        <f t="shared" si="81"/>
        <v>1977.6769999999999</v>
      </c>
      <c r="J343" s="284">
        <f t="shared" si="85"/>
        <v>1.7247212455982819E-2</v>
      </c>
      <c r="K343" s="147"/>
      <c r="L343" s="147"/>
    </row>
    <row r="344" spans="1:12" s="170" customFormat="1" x14ac:dyDescent="0.2">
      <c r="A344" s="147">
        <v>2029</v>
      </c>
      <c r="B344" s="147">
        <v>7</v>
      </c>
      <c r="C344" s="147" t="str">
        <f t="shared" si="82"/>
        <v>20297</v>
      </c>
      <c r="D344" s="147" t="str">
        <f t="shared" si="86"/>
        <v>Q3</v>
      </c>
      <c r="E344" s="151">
        <f t="shared" si="87"/>
        <v>201885.88888616659</v>
      </c>
      <c r="F344" s="151">
        <f t="shared" si="87"/>
        <v>198516.981</v>
      </c>
      <c r="G344" s="151">
        <f t="shared" si="83"/>
        <v>4776.8149999999996</v>
      </c>
      <c r="H344" s="151">
        <f t="shared" si="84"/>
        <v>4945.34</v>
      </c>
      <c r="I344" s="151">
        <f t="shared" si="81"/>
        <v>1981.048</v>
      </c>
      <c r="J344" s="284">
        <f t="shared" si="85"/>
        <v>1.6970376383905306E-2</v>
      </c>
      <c r="K344" s="147"/>
      <c r="L344" s="147"/>
    </row>
    <row r="345" spans="1:12" s="170" customFormat="1" x14ac:dyDescent="0.2">
      <c r="A345" s="147">
        <v>2029</v>
      </c>
      <c r="B345" s="147">
        <v>8</v>
      </c>
      <c r="C345" s="147" t="str">
        <f t="shared" si="82"/>
        <v>20298</v>
      </c>
      <c r="D345" s="147" t="str">
        <f t="shared" si="86"/>
        <v>Q3</v>
      </c>
      <c r="E345" s="151">
        <f t="shared" si="87"/>
        <v>201885.88888616659</v>
      </c>
      <c r="F345" s="151">
        <f t="shared" si="87"/>
        <v>198516.981</v>
      </c>
      <c r="G345" s="151">
        <f t="shared" si="83"/>
        <v>4776.8149999999996</v>
      </c>
      <c r="H345" s="151">
        <f t="shared" si="84"/>
        <v>4945.34</v>
      </c>
      <c r="I345" s="151">
        <f t="shared" si="81"/>
        <v>1981.048</v>
      </c>
      <c r="J345" s="284">
        <f t="shared" si="85"/>
        <v>1.6970376383905306E-2</v>
      </c>
      <c r="K345" s="147"/>
      <c r="L345" s="147"/>
    </row>
    <row r="346" spans="1:12" s="170" customFormat="1" x14ac:dyDescent="0.2">
      <c r="A346" s="147">
        <v>2029</v>
      </c>
      <c r="B346" s="147">
        <v>9</v>
      </c>
      <c r="C346" s="147" t="str">
        <f t="shared" si="82"/>
        <v>20299</v>
      </c>
      <c r="D346" s="147" t="str">
        <f t="shared" si="86"/>
        <v>Q3</v>
      </c>
      <c r="E346" s="151">
        <f t="shared" si="87"/>
        <v>201885.88888616659</v>
      </c>
      <c r="F346" s="151">
        <f t="shared" si="87"/>
        <v>198516.981</v>
      </c>
      <c r="G346" s="151">
        <f t="shared" si="83"/>
        <v>4776.8149999999996</v>
      </c>
      <c r="H346" s="151">
        <f t="shared" si="84"/>
        <v>4945.34</v>
      </c>
      <c r="I346" s="151">
        <f t="shared" si="81"/>
        <v>1981.048</v>
      </c>
      <c r="J346" s="284">
        <f t="shared" si="85"/>
        <v>1.6970376383905306E-2</v>
      </c>
      <c r="K346" s="147"/>
      <c r="L346" s="147"/>
    </row>
    <row r="347" spans="1:12" s="170" customFormat="1" x14ac:dyDescent="0.2">
      <c r="A347" s="147">
        <v>2029</v>
      </c>
      <c r="B347" s="147">
        <v>10</v>
      </c>
      <c r="C347" s="147" t="str">
        <f t="shared" si="82"/>
        <v>202910</v>
      </c>
      <c r="D347" s="147" t="str">
        <f t="shared" si="86"/>
        <v>Q4</v>
      </c>
      <c r="E347" s="151">
        <f t="shared" si="87"/>
        <v>202812.58824760609</v>
      </c>
      <c r="F347" s="151">
        <f t="shared" si="87"/>
        <v>199480.13399999999</v>
      </c>
      <c r="G347" s="151">
        <f t="shared" si="83"/>
        <v>4781.6080000000002</v>
      </c>
      <c r="H347" s="151">
        <f t="shared" si="84"/>
        <v>4952.7489999999998</v>
      </c>
      <c r="I347" s="151">
        <f t="shared" si="81"/>
        <v>1984.5840000000001</v>
      </c>
      <c r="J347" s="284">
        <f t="shared" si="85"/>
        <v>1.6705694851829822E-2</v>
      </c>
      <c r="K347" s="147"/>
      <c r="L347" s="147"/>
    </row>
    <row r="348" spans="1:12" s="170" customFormat="1" x14ac:dyDescent="0.2">
      <c r="A348" s="147">
        <v>2029</v>
      </c>
      <c r="B348" s="147">
        <v>11</v>
      </c>
      <c r="C348" s="147" t="str">
        <f t="shared" si="82"/>
        <v>202911</v>
      </c>
      <c r="D348" s="147" t="str">
        <f t="shared" si="86"/>
        <v>Q4</v>
      </c>
      <c r="E348" s="151">
        <f t="shared" si="87"/>
        <v>202812.58824760609</v>
      </c>
      <c r="F348" s="151">
        <f t="shared" si="87"/>
        <v>199480.13399999999</v>
      </c>
      <c r="G348" s="151">
        <f t="shared" si="83"/>
        <v>4781.6080000000002</v>
      </c>
      <c r="H348" s="151">
        <f t="shared" si="84"/>
        <v>4952.7489999999998</v>
      </c>
      <c r="I348" s="151">
        <f t="shared" si="81"/>
        <v>1984.5840000000001</v>
      </c>
      <c r="J348" s="284">
        <f t="shared" si="85"/>
        <v>1.6705694851829822E-2</v>
      </c>
      <c r="K348" s="147"/>
      <c r="L348" s="147"/>
    </row>
    <row r="349" spans="1:12" s="170" customFormat="1" x14ac:dyDescent="0.2">
      <c r="A349" s="147">
        <v>2029</v>
      </c>
      <c r="B349" s="147">
        <v>12</v>
      </c>
      <c r="C349" s="147" t="str">
        <f t="shared" si="82"/>
        <v>202912</v>
      </c>
      <c r="D349" s="147" t="str">
        <f t="shared" si="86"/>
        <v>Q4</v>
      </c>
      <c r="E349" s="151">
        <f t="shared" si="87"/>
        <v>202812.58824760609</v>
      </c>
      <c r="F349" s="151">
        <f t="shared" si="87"/>
        <v>199480.13399999999</v>
      </c>
      <c r="G349" s="151">
        <f t="shared" si="83"/>
        <v>4781.6080000000002</v>
      </c>
      <c r="H349" s="151">
        <f t="shared" si="84"/>
        <v>4952.7489999999998</v>
      </c>
      <c r="I349" s="151">
        <f t="shared" si="81"/>
        <v>1984.5840000000001</v>
      </c>
      <c r="J349" s="284">
        <f t="shared" si="85"/>
        <v>1.6705694851829822E-2</v>
      </c>
      <c r="K349" s="147"/>
      <c r="L349" s="147"/>
    </row>
    <row r="350" spans="1:12" s="170" customFormat="1" x14ac:dyDescent="0.2">
      <c r="A350" s="147">
        <v>2030</v>
      </c>
      <c r="B350" s="147">
        <v>1</v>
      </c>
      <c r="C350" s="147" t="str">
        <f t="shared" si="82"/>
        <v>20301</v>
      </c>
      <c r="D350" s="147" t="str">
        <f t="shared" si="86"/>
        <v>Q1</v>
      </c>
      <c r="E350" s="151">
        <f t="shared" si="87"/>
        <v>204499.34153231149</v>
      </c>
      <c r="F350" s="151">
        <f t="shared" si="87"/>
        <v>201210.11900000001</v>
      </c>
      <c r="G350" s="151">
        <f t="shared" si="83"/>
        <v>4786.366</v>
      </c>
      <c r="H350" s="151">
        <f t="shared" si="84"/>
        <v>4960.1260000000002</v>
      </c>
      <c r="I350" s="151">
        <f t="shared" si="81"/>
        <v>1987.894</v>
      </c>
      <c r="J350" s="284">
        <f t="shared" si="85"/>
        <v>1.6347202360689872E-2</v>
      </c>
      <c r="K350" s="147"/>
      <c r="L350" s="147"/>
    </row>
    <row r="351" spans="1:12" s="170" customFormat="1" x14ac:dyDescent="0.2">
      <c r="A351" s="147">
        <v>2030</v>
      </c>
      <c r="B351" s="147">
        <v>2</v>
      </c>
      <c r="C351" s="147" t="str">
        <f t="shared" si="82"/>
        <v>20302</v>
      </c>
      <c r="D351" s="147" t="str">
        <f t="shared" si="86"/>
        <v>Q1</v>
      </c>
      <c r="E351" s="151">
        <f t="shared" si="87"/>
        <v>204499.34153231149</v>
      </c>
      <c r="F351" s="151">
        <f t="shared" si="87"/>
        <v>201210.11900000001</v>
      </c>
      <c r="G351" s="151">
        <f t="shared" si="83"/>
        <v>4786.366</v>
      </c>
      <c r="H351" s="151">
        <f t="shared" si="84"/>
        <v>4960.1260000000002</v>
      </c>
      <c r="I351" s="151">
        <f t="shared" si="81"/>
        <v>1987.894</v>
      </c>
      <c r="J351" s="284">
        <f t="shared" si="85"/>
        <v>1.6347202360689872E-2</v>
      </c>
      <c r="K351" s="147"/>
      <c r="L351" s="147"/>
    </row>
    <row r="352" spans="1:12" s="170" customFormat="1" x14ac:dyDescent="0.2">
      <c r="A352" s="147">
        <v>2030</v>
      </c>
      <c r="B352" s="147">
        <v>3</v>
      </c>
      <c r="C352" s="147" t="str">
        <f t="shared" si="82"/>
        <v>20303</v>
      </c>
      <c r="D352" s="147" t="str">
        <f t="shared" si="86"/>
        <v>Q1</v>
      </c>
      <c r="E352" s="151">
        <f t="shared" si="87"/>
        <v>204499.34153231149</v>
      </c>
      <c r="F352" s="151">
        <f t="shared" si="87"/>
        <v>201210.11900000001</v>
      </c>
      <c r="G352" s="151">
        <f t="shared" si="83"/>
        <v>4786.366</v>
      </c>
      <c r="H352" s="151">
        <f t="shared" si="84"/>
        <v>4960.1260000000002</v>
      </c>
      <c r="I352" s="151">
        <f t="shared" si="81"/>
        <v>1987.894</v>
      </c>
      <c r="J352" s="284">
        <f t="shared" si="85"/>
        <v>1.6347202360689872E-2</v>
      </c>
      <c r="K352" s="147"/>
      <c r="L352" s="147"/>
    </row>
    <row r="353" spans="1:12" s="170" customFormat="1" x14ac:dyDescent="0.2">
      <c r="A353" s="147">
        <v>2030</v>
      </c>
      <c r="B353" s="147">
        <v>4</v>
      </c>
      <c r="C353" s="147" t="str">
        <f t="shared" si="82"/>
        <v>20304</v>
      </c>
      <c r="D353" s="147" t="str">
        <f t="shared" si="86"/>
        <v>Q2</v>
      </c>
      <c r="E353" s="151">
        <f t="shared" si="87"/>
        <v>205741.98846032468</v>
      </c>
      <c r="F353" s="151">
        <f t="shared" si="87"/>
        <v>202357.96400000001</v>
      </c>
      <c r="G353" s="151">
        <f t="shared" si="83"/>
        <v>4791.0889999999999</v>
      </c>
      <c r="H353" s="151">
        <f t="shared" si="84"/>
        <v>4967.4709999999995</v>
      </c>
      <c r="I353" s="151">
        <f t="shared" si="81"/>
        <v>1991.1020000000001</v>
      </c>
      <c r="J353" s="284">
        <f t="shared" si="85"/>
        <v>1.6722961594556551E-2</v>
      </c>
      <c r="K353" s="147"/>
      <c r="L353" s="147"/>
    </row>
    <row r="354" spans="1:12" s="170" customFormat="1" x14ac:dyDescent="0.2">
      <c r="A354" s="147">
        <v>2030</v>
      </c>
      <c r="B354" s="147">
        <v>5</v>
      </c>
      <c r="C354" s="147" t="str">
        <f t="shared" si="82"/>
        <v>20305</v>
      </c>
      <c r="D354" s="147" t="str">
        <f t="shared" si="86"/>
        <v>Q2</v>
      </c>
      <c r="E354" s="151">
        <f t="shared" si="87"/>
        <v>205741.98846032468</v>
      </c>
      <c r="F354" s="151">
        <f t="shared" si="87"/>
        <v>202357.96400000001</v>
      </c>
      <c r="G354" s="151">
        <f t="shared" si="83"/>
        <v>4791.0889999999999</v>
      </c>
      <c r="H354" s="151">
        <f t="shared" si="84"/>
        <v>4967.4709999999995</v>
      </c>
      <c r="I354" s="151">
        <f t="shared" si="81"/>
        <v>1991.1020000000001</v>
      </c>
      <c r="J354" s="284">
        <f t="shared" si="85"/>
        <v>1.6722961594556551E-2</v>
      </c>
      <c r="K354" s="147"/>
      <c r="L354" s="147"/>
    </row>
    <row r="355" spans="1:12" s="170" customFormat="1" x14ac:dyDescent="0.2">
      <c r="A355" s="147">
        <v>2030</v>
      </c>
      <c r="B355" s="147">
        <v>6</v>
      </c>
      <c r="C355" s="147" t="str">
        <f t="shared" si="82"/>
        <v>20306</v>
      </c>
      <c r="D355" s="147" t="str">
        <f t="shared" si="86"/>
        <v>Q2</v>
      </c>
      <c r="E355" s="151">
        <f t="shared" si="87"/>
        <v>205741.98846032468</v>
      </c>
      <c r="F355" s="151">
        <f t="shared" si="87"/>
        <v>202357.96400000001</v>
      </c>
      <c r="G355" s="151">
        <f t="shared" si="83"/>
        <v>4791.0889999999999</v>
      </c>
      <c r="H355" s="151">
        <f t="shared" si="84"/>
        <v>4967.4709999999995</v>
      </c>
      <c r="I355" s="151">
        <f t="shared" si="81"/>
        <v>1991.1020000000001</v>
      </c>
      <c r="J355" s="284">
        <f t="shared" si="85"/>
        <v>1.6722961594556551E-2</v>
      </c>
      <c r="K355" s="147"/>
      <c r="L355" s="147"/>
    </row>
    <row r="356" spans="1:12" s="170" customFormat="1" x14ac:dyDescent="0.2">
      <c r="A356" s="147">
        <v>2030</v>
      </c>
      <c r="B356" s="147">
        <v>7</v>
      </c>
      <c r="C356" s="147" t="str">
        <f t="shared" si="82"/>
        <v>20307</v>
      </c>
      <c r="D356" s="147" t="str">
        <f t="shared" si="86"/>
        <v>Q3</v>
      </c>
      <c r="E356" s="151">
        <f t="shared" si="87"/>
        <v>206672.53609009832</v>
      </c>
      <c r="F356" s="151">
        <f t="shared" si="87"/>
        <v>203321.337</v>
      </c>
      <c r="G356" s="151">
        <f t="shared" si="83"/>
        <v>4795.7759999999998</v>
      </c>
      <c r="H356" s="151">
        <f t="shared" si="84"/>
        <v>4974.7839999999997</v>
      </c>
      <c r="I356" s="151">
        <f t="shared" si="81"/>
        <v>1994.0640000000001</v>
      </c>
      <c r="J356" s="284">
        <f t="shared" si="85"/>
        <v>1.6482279427949775E-2</v>
      </c>
      <c r="K356" s="147"/>
      <c r="L356" s="147"/>
    </row>
    <row r="357" spans="1:12" s="170" customFormat="1" x14ac:dyDescent="0.2">
      <c r="A357" s="147">
        <v>2030</v>
      </c>
      <c r="B357" s="147">
        <v>8</v>
      </c>
      <c r="C357" s="147" t="str">
        <f t="shared" si="82"/>
        <v>20308</v>
      </c>
      <c r="D357" s="147" t="str">
        <f t="shared" si="86"/>
        <v>Q3</v>
      </c>
      <c r="E357" s="151">
        <f t="shared" si="87"/>
        <v>206672.53609009832</v>
      </c>
      <c r="F357" s="151">
        <f t="shared" si="87"/>
        <v>203321.337</v>
      </c>
      <c r="G357" s="151">
        <f t="shared" si="83"/>
        <v>4795.7759999999998</v>
      </c>
      <c r="H357" s="151">
        <f t="shared" si="84"/>
        <v>4974.7839999999997</v>
      </c>
      <c r="I357" s="151">
        <f t="shared" si="81"/>
        <v>1994.0640000000001</v>
      </c>
      <c r="J357" s="284">
        <f t="shared" si="85"/>
        <v>1.6482279427949775E-2</v>
      </c>
      <c r="K357" s="147"/>
      <c r="L357" s="147"/>
    </row>
    <row r="358" spans="1:12" s="170" customFormat="1" x14ac:dyDescent="0.2">
      <c r="A358" s="147">
        <v>2030</v>
      </c>
      <c r="B358" s="147">
        <v>9</v>
      </c>
      <c r="C358" s="147" t="str">
        <f t="shared" si="82"/>
        <v>20309</v>
      </c>
      <c r="D358" s="147" t="str">
        <f t="shared" si="86"/>
        <v>Q3</v>
      </c>
      <c r="E358" s="151">
        <f t="shared" si="87"/>
        <v>206672.53609009832</v>
      </c>
      <c r="F358" s="151">
        <f t="shared" si="87"/>
        <v>203321.337</v>
      </c>
      <c r="G358" s="151">
        <f t="shared" si="83"/>
        <v>4795.7759999999998</v>
      </c>
      <c r="H358" s="151">
        <f t="shared" si="84"/>
        <v>4974.7839999999997</v>
      </c>
      <c r="I358" s="151">
        <f t="shared" si="81"/>
        <v>1994.0640000000001</v>
      </c>
      <c r="J358" s="284">
        <f t="shared" si="85"/>
        <v>1.6482279427949775E-2</v>
      </c>
      <c r="K358" s="147"/>
      <c r="L358" s="147"/>
    </row>
    <row r="359" spans="1:12" s="170" customFormat="1" x14ac:dyDescent="0.2">
      <c r="A359" s="147">
        <v>2030</v>
      </c>
      <c r="B359" s="147">
        <v>10</v>
      </c>
      <c r="C359" s="147" t="str">
        <f t="shared" si="82"/>
        <v>203010</v>
      </c>
      <c r="D359" s="147" t="str">
        <f t="shared" si="86"/>
        <v>Q4</v>
      </c>
      <c r="E359" s="151">
        <f t="shared" si="87"/>
        <v>207462.50934658892</v>
      </c>
      <c r="F359" s="151">
        <f t="shared" si="87"/>
        <v>204205.139</v>
      </c>
      <c r="G359" s="151">
        <f t="shared" si="83"/>
        <v>4800.4160000000002</v>
      </c>
      <c r="H359" s="151">
        <f t="shared" si="84"/>
        <v>4982.0529999999999</v>
      </c>
      <c r="I359" s="151">
        <f t="shared" si="81"/>
        <v>1997.1389999999999</v>
      </c>
      <c r="J359" s="284">
        <f t="shared" si="85"/>
        <v>1.5951461175464976E-2</v>
      </c>
      <c r="K359" s="147"/>
      <c r="L359" s="147"/>
    </row>
    <row r="360" spans="1:12" s="170" customFormat="1" x14ac:dyDescent="0.2">
      <c r="A360" s="147">
        <v>2030</v>
      </c>
      <c r="B360" s="147">
        <v>11</v>
      </c>
      <c r="C360" s="147" t="str">
        <f t="shared" si="82"/>
        <v>203011</v>
      </c>
      <c r="D360" s="147" t="str">
        <f t="shared" si="86"/>
        <v>Q4</v>
      </c>
      <c r="E360" s="151">
        <f t="shared" si="87"/>
        <v>207462.50934658892</v>
      </c>
      <c r="F360" s="151">
        <f t="shared" si="87"/>
        <v>204205.139</v>
      </c>
      <c r="G360" s="151">
        <f t="shared" si="83"/>
        <v>4800.4160000000002</v>
      </c>
      <c r="H360" s="151">
        <f t="shared" si="84"/>
        <v>4982.0529999999999</v>
      </c>
      <c r="I360" s="151">
        <f t="shared" si="81"/>
        <v>1997.1389999999999</v>
      </c>
      <c r="J360" s="284">
        <f t="shared" si="85"/>
        <v>1.5951461175464976E-2</v>
      </c>
      <c r="K360" s="147"/>
      <c r="L360" s="147"/>
    </row>
    <row r="361" spans="1:12" s="170" customFormat="1" x14ac:dyDescent="0.2">
      <c r="A361" s="147">
        <v>2030</v>
      </c>
      <c r="B361" s="147">
        <v>12</v>
      </c>
      <c r="C361" s="147" t="str">
        <f t="shared" si="82"/>
        <v>203012</v>
      </c>
      <c r="D361" s="147" t="str">
        <f t="shared" si="86"/>
        <v>Q4</v>
      </c>
      <c r="E361" s="151">
        <f t="shared" si="87"/>
        <v>207462.50934658892</v>
      </c>
      <c r="F361" s="151">
        <f t="shared" si="87"/>
        <v>204205.139</v>
      </c>
      <c r="G361" s="151">
        <f t="shared" si="83"/>
        <v>4800.4160000000002</v>
      </c>
      <c r="H361" s="151">
        <f t="shared" si="84"/>
        <v>4982.0529999999999</v>
      </c>
      <c r="I361" s="151">
        <f t="shared" si="81"/>
        <v>1997.1389999999999</v>
      </c>
      <c r="J361" s="284">
        <f t="shared" si="85"/>
        <v>1.5951461175464976E-2</v>
      </c>
      <c r="K361" s="147"/>
      <c r="L361" s="147"/>
    </row>
    <row r="362" spans="1:12" s="170" customFormat="1" x14ac:dyDescent="0.2">
      <c r="A362" s="147">
        <v>2031</v>
      </c>
      <c r="B362" s="147">
        <v>1</v>
      </c>
      <c r="C362" s="147" t="str">
        <f t="shared" si="82"/>
        <v>20311</v>
      </c>
      <c r="D362" s="147" t="str">
        <f t="shared" si="86"/>
        <v>Q1</v>
      </c>
      <c r="E362" s="151">
        <f t="shared" ref="E362:F381" si="88">VLOOKUP($A362&amp;$D362,$O$1:$V$189,MATCH(E$1,$O$1:$V$1,0),0)</f>
        <v>209009.6160817015</v>
      </c>
      <c r="F362" s="151">
        <f t="shared" si="88"/>
        <v>205835.74900000001</v>
      </c>
      <c r="G362" s="151">
        <f t="shared" si="83"/>
        <v>4805.0209999999997</v>
      </c>
      <c r="H362" s="151">
        <f t="shared" si="84"/>
        <v>4989.29</v>
      </c>
      <c r="I362" s="151">
        <f t="shared" si="81"/>
        <v>2000.124</v>
      </c>
      <c r="J362" s="284">
        <f t="shared" si="85"/>
        <v>1.5419416195296076E-2</v>
      </c>
      <c r="K362" s="147"/>
      <c r="L362" s="147"/>
    </row>
    <row r="363" spans="1:12" s="170" customFormat="1" x14ac:dyDescent="0.2">
      <c r="A363" s="147">
        <v>2031</v>
      </c>
      <c r="B363" s="147">
        <v>2</v>
      </c>
      <c r="C363" s="147" t="str">
        <f t="shared" si="82"/>
        <v>20312</v>
      </c>
      <c r="D363" s="147" t="str">
        <f t="shared" si="86"/>
        <v>Q1</v>
      </c>
      <c r="E363" s="151">
        <f t="shared" si="88"/>
        <v>209009.6160817015</v>
      </c>
      <c r="F363" s="151">
        <f t="shared" si="88"/>
        <v>205835.74900000001</v>
      </c>
      <c r="G363" s="151">
        <f t="shared" si="83"/>
        <v>4805.0209999999997</v>
      </c>
      <c r="H363" s="151">
        <f t="shared" si="84"/>
        <v>4989.29</v>
      </c>
      <c r="I363" s="151">
        <f t="shared" si="81"/>
        <v>2000.124</v>
      </c>
      <c r="J363" s="284">
        <f t="shared" si="85"/>
        <v>1.5419416195296076E-2</v>
      </c>
      <c r="K363" s="147"/>
      <c r="L363" s="147"/>
    </row>
    <row r="364" spans="1:12" s="170" customFormat="1" x14ac:dyDescent="0.2">
      <c r="A364" s="147">
        <v>2031</v>
      </c>
      <c r="B364" s="147">
        <v>3</v>
      </c>
      <c r="C364" s="147" t="str">
        <f t="shared" si="82"/>
        <v>20313</v>
      </c>
      <c r="D364" s="147" t="str">
        <f t="shared" si="86"/>
        <v>Q1</v>
      </c>
      <c r="E364" s="151">
        <f t="shared" si="88"/>
        <v>209009.6160817015</v>
      </c>
      <c r="F364" s="151">
        <f t="shared" si="88"/>
        <v>205835.74900000001</v>
      </c>
      <c r="G364" s="151">
        <f t="shared" si="83"/>
        <v>4805.0209999999997</v>
      </c>
      <c r="H364" s="151">
        <f t="shared" si="84"/>
        <v>4989.29</v>
      </c>
      <c r="I364" s="151">
        <f t="shared" si="81"/>
        <v>2000.124</v>
      </c>
      <c r="J364" s="284">
        <f t="shared" si="85"/>
        <v>1.5419416195296076E-2</v>
      </c>
      <c r="K364" s="147"/>
      <c r="L364" s="147"/>
    </row>
    <row r="365" spans="1:12" s="170" customFormat="1" x14ac:dyDescent="0.2">
      <c r="A365" s="147">
        <v>2031</v>
      </c>
      <c r="B365" s="147">
        <v>4</v>
      </c>
      <c r="C365" s="147" t="str">
        <f t="shared" si="82"/>
        <v>20314</v>
      </c>
      <c r="D365" s="147" t="str">
        <f t="shared" si="86"/>
        <v>Q2</v>
      </c>
      <c r="E365" s="151">
        <f t="shared" si="88"/>
        <v>209936.64567950155</v>
      </c>
      <c r="F365" s="151">
        <f t="shared" si="88"/>
        <v>206821.26699999999</v>
      </c>
      <c r="G365" s="151">
        <f t="shared" si="83"/>
        <v>4809.5910000000003</v>
      </c>
      <c r="H365" s="151">
        <f t="shared" si="84"/>
        <v>4996.4970000000003</v>
      </c>
      <c r="I365" s="151">
        <f t="shared" si="81"/>
        <v>2002.932</v>
      </c>
      <c r="J365" s="284">
        <f t="shared" si="85"/>
        <v>1.5063144736955802E-2</v>
      </c>
      <c r="K365" s="147"/>
      <c r="L365" s="147"/>
    </row>
    <row r="366" spans="1:12" s="170" customFormat="1" x14ac:dyDescent="0.2">
      <c r="A366" s="147">
        <v>2031</v>
      </c>
      <c r="B366" s="147">
        <v>5</v>
      </c>
      <c r="C366" s="147" t="str">
        <f t="shared" si="82"/>
        <v>20315</v>
      </c>
      <c r="D366" s="147" t="str">
        <f t="shared" si="86"/>
        <v>Q2</v>
      </c>
      <c r="E366" s="151">
        <f t="shared" si="88"/>
        <v>209936.64567950155</v>
      </c>
      <c r="F366" s="151">
        <f t="shared" si="88"/>
        <v>206821.26699999999</v>
      </c>
      <c r="G366" s="151">
        <f t="shared" si="83"/>
        <v>4809.5910000000003</v>
      </c>
      <c r="H366" s="151">
        <f t="shared" si="84"/>
        <v>4996.4970000000003</v>
      </c>
      <c r="I366" s="151">
        <f t="shared" si="81"/>
        <v>2002.932</v>
      </c>
      <c r="J366" s="284">
        <f t="shared" si="85"/>
        <v>1.5063144736955802E-2</v>
      </c>
      <c r="K366" s="147"/>
      <c r="L366" s="147"/>
    </row>
    <row r="367" spans="1:12" s="170" customFormat="1" x14ac:dyDescent="0.2">
      <c r="A367" s="147">
        <v>2031</v>
      </c>
      <c r="B367" s="147">
        <v>6</v>
      </c>
      <c r="C367" s="147" t="str">
        <f t="shared" si="82"/>
        <v>20316</v>
      </c>
      <c r="D367" s="147" t="str">
        <f t="shared" si="86"/>
        <v>Q2</v>
      </c>
      <c r="E367" s="151">
        <f t="shared" si="88"/>
        <v>209936.64567950155</v>
      </c>
      <c r="F367" s="151">
        <f t="shared" si="88"/>
        <v>206821.26699999999</v>
      </c>
      <c r="G367" s="151">
        <f t="shared" si="83"/>
        <v>4809.5910000000003</v>
      </c>
      <c r="H367" s="151">
        <f t="shared" si="84"/>
        <v>4996.4970000000003</v>
      </c>
      <c r="I367" s="151">
        <f t="shared" si="81"/>
        <v>2002.932</v>
      </c>
      <c r="J367" s="284">
        <f t="shared" si="85"/>
        <v>1.5063144736955802E-2</v>
      </c>
      <c r="K367" s="147"/>
      <c r="L367" s="147"/>
    </row>
    <row r="368" spans="1:12" s="170" customFormat="1" x14ac:dyDescent="0.2">
      <c r="A368" s="147">
        <v>2031</v>
      </c>
      <c r="B368" s="147">
        <v>7</v>
      </c>
      <c r="C368" s="147" t="str">
        <f t="shared" si="82"/>
        <v>20317</v>
      </c>
      <c r="D368" s="147" t="str">
        <f t="shared" si="86"/>
        <v>Q3</v>
      </c>
      <c r="E368" s="151">
        <f t="shared" si="88"/>
        <v>210749.84113046917</v>
      </c>
      <c r="F368" s="151">
        <f t="shared" si="88"/>
        <v>207691.48499999999</v>
      </c>
      <c r="G368" s="151">
        <f t="shared" si="83"/>
        <v>4814.1390000000001</v>
      </c>
      <c r="H368" s="151">
        <f t="shared" si="84"/>
        <v>5003.6859999999997</v>
      </c>
      <c r="I368" s="151">
        <f t="shared" si="81"/>
        <v>2005.9649999999999</v>
      </c>
      <c r="J368" s="284">
        <f t="shared" si="85"/>
        <v>1.4725476735212295E-2</v>
      </c>
      <c r="K368" s="147"/>
      <c r="L368" s="147"/>
    </row>
    <row r="369" spans="1:12" s="170" customFormat="1" x14ac:dyDescent="0.2">
      <c r="A369" s="147">
        <v>2031</v>
      </c>
      <c r="B369" s="147">
        <v>8</v>
      </c>
      <c r="C369" s="147" t="str">
        <f t="shared" si="82"/>
        <v>20318</v>
      </c>
      <c r="D369" s="147" t="str">
        <f t="shared" si="86"/>
        <v>Q3</v>
      </c>
      <c r="E369" s="151">
        <f t="shared" si="88"/>
        <v>210749.84113046917</v>
      </c>
      <c r="F369" s="151">
        <f t="shared" si="88"/>
        <v>207691.48499999999</v>
      </c>
      <c r="G369" s="151">
        <f t="shared" si="83"/>
        <v>4814.1390000000001</v>
      </c>
      <c r="H369" s="151">
        <f t="shared" si="84"/>
        <v>5003.6859999999997</v>
      </c>
      <c r="I369" s="151">
        <f t="shared" si="81"/>
        <v>2005.9649999999999</v>
      </c>
      <c r="J369" s="284">
        <f t="shared" si="85"/>
        <v>1.4725476735212295E-2</v>
      </c>
      <c r="K369" s="147"/>
      <c r="L369" s="147"/>
    </row>
    <row r="370" spans="1:12" s="170" customFormat="1" x14ac:dyDescent="0.2">
      <c r="A370" s="147">
        <v>2031</v>
      </c>
      <c r="B370" s="147">
        <v>9</v>
      </c>
      <c r="C370" s="147" t="str">
        <f t="shared" si="82"/>
        <v>20319</v>
      </c>
      <c r="D370" s="147" t="str">
        <f t="shared" si="86"/>
        <v>Q3</v>
      </c>
      <c r="E370" s="151">
        <f t="shared" si="88"/>
        <v>210749.84113046917</v>
      </c>
      <c r="F370" s="151">
        <f t="shared" si="88"/>
        <v>207691.48499999999</v>
      </c>
      <c r="G370" s="151">
        <f t="shared" si="83"/>
        <v>4814.1390000000001</v>
      </c>
      <c r="H370" s="151">
        <f t="shared" si="84"/>
        <v>5003.6859999999997</v>
      </c>
      <c r="I370" s="151">
        <f t="shared" si="81"/>
        <v>2005.9649999999999</v>
      </c>
      <c r="J370" s="284">
        <f t="shared" si="85"/>
        <v>1.4725476735212295E-2</v>
      </c>
      <c r="K370" s="147"/>
      <c r="L370" s="147"/>
    </row>
    <row r="371" spans="1:12" s="170" customFormat="1" x14ac:dyDescent="0.2">
      <c r="A371" s="147">
        <v>2031</v>
      </c>
      <c r="B371" s="147">
        <v>10</v>
      </c>
      <c r="C371" s="147" t="str">
        <f t="shared" si="82"/>
        <v>203110</v>
      </c>
      <c r="D371" s="147" t="str">
        <f t="shared" si="86"/>
        <v>Q4</v>
      </c>
      <c r="E371" s="151">
        <f t="shared" si="88"/>
        <v>211523.95326625914</v>
      </c>
      <c r="F371" s="151">
        <f t="shared" si="88"/>
        <v>208506.54</v>
      </c>
      <c r="G371" s="151">
        <f t="shared" si="83"/>
        <v>4818.6409999999996</v>
      </c>
      <c r="H371" s="151">
        <f t="shared" si="84"/>
        <v>5010.8329999999996</v>
      </c>
      <c r="I371" s="151">
        <f t="shared" si="81"/>
        <v>2008.96</v>
      </c>
      <c r="J371" s="284">
        <f t="shared" si="85"/>
        <v>1.4471552145362665E-2</v>
      </c>
      <c r="K371" s="147"/>
      <c r="L371" s="147"/>
    </row>
    <row r="372" spans="1:12" s="170" customFormat="1" x14ac:dyDescent="0.2">
      <c r="A372" s="147">
        <v>2031</v>
      </c>
      <c r="B372" s="147">
        <v>11</v>
      </c>
      <c r="C372" s="147" t="str">
        <f t="shared" si="82"/>
        <v>203111</v>
      </c>
      <c r="D372" s="147" t="str">
        <f t="shared" si="86"/>
        <v>Q4</v>
      </c>
      <c r="E372" s="151">
        <f t="shared" si="88"/>
        <v>211523.95326625914</v>
      </c>
      <c r="F372" s="151">
        <f t="shared" si="88"/>
        <v>208506.54</v>
      </c>
      <c r="G372" s="151">
        <f t="shared" si="83"/>
        <v>4818.6409999999996</v>
      </c>
      <c r="H372" s="151">
        <f t="shared" si="84"/>
        <v>5010.8329999999996</v>
      </c>
      <c r="I372" s="151">
        <f t="shared" si="81"/>
        <v>2008.96</v>
      </c>
      <c r="J372" s="284">
        <f t="shared" si="85"/>
        <v>1.4471552145362665E-2</v>
      </c>
      <c r="K372" s="147"/>
      <c r="L372" s="147"/>
    </row>
    <row r="373" spans="1:12" s="170" customFormat="1" x14ac:dyDescent="0.2">
      <c r="A373" s="147">
        <v>2031</v>
      </c>
      <c r="B373" s="147">
        <v>12</v>
      </c>
      <c r="C373" s="147" t="str">
        <f t="shared" si="82"/>
        <v>203112</v>
      </c>
      <c r="D373" s="147" t="str">
        <f t="shared" si="86"/>
        <v>Q4</v>
      </c>
      <c r="E373" s="151">
        <f t="shared" si="88"/>
        <v>211523.95326625914</v>
      </c>
      <c r="F373" s="151">
        <f t="shared" si="88"/>
        <v>208506.54</v>
      </c>
      <c r="G373" s="151">
        <f t="shared" si="83"/>
        <v>4818.6409999999996</v>
      </c>
      <c r="H373" s="151">
        <f t="shared" si="84"/>
        <v>5010.8329999999996</v>
      </c>
      <c r="I373" s="151">
        <f t="shared" si="81"/>
        <v>2008.96</v>
      </c>
      <c r="J373" s="284">
        <f t="shared" si="85"/>
        <v>1.4471552145362665E-2</v>
      </c>
      <c r="K373" s="147"/>
      <c r="L373" s="147"/>
    </row>
    <row r="374" spans="1:12" s="170" customFormat="1" x14ac:dyDescent="0.2">
      <c r="A374" s="147">
        <v>2032</v>
      </c>
      <c r="B374" s="147">
        <v>1</v>
      </c>
      <c r="C374" s="147" t="str">
        <f t="shared" si="82"/>
        <v>20321</v>
      </c>
      <c r="D374" s="147" t="str">
        <f t="shared" si="86"/>
        <v>Q1</v>
      </c>
      <c r="E374" s="151">
        <f t="shared" si="88"/>
        <v>213155.65241113378</v>
      </c>
      <c r="F374" s="151">
        <f t="shared" si="88"/>
        <v>210181.51699999999</v>
      </c>
      <c r="G374" s="151">
        <f t="shared" si="83"/>
        <v>4823.1090000000004</v>
      </c>
      <c r="H374" s="151">
        <f t="shared" si="84"/>
        <v>5017.95</v>
      </c>
      <c r="I374" s="151">
        <f t="shared" si="81"/>
        <v>2012.056</v>
      </c>
      <c r="J374" s="284">
        <f t="shared" si="85"/>
        <v>1.4150318513181936E-2</v>
      </c>
      <c r="K374" s="147"/>
      <c r="L374" s="147"/>
    </row>
    <row r="375" spans="1:12" s="170" customFormat="1" x14ac:dyDescent="0.2">
      <c r="A375" s="147">
        <v>2032</v>
      </c>
      <c r="B375" s="147">
        <v>2</v>
      </c>
      <c r="C375" s="147" t="str">
        <f t="shared" si="82"/>
        <v>20322</v>
      </c>
      <c r="D375" s="147" t="str">
        <f t="shared" si="86"/>
        <v>Q1</v>
      </c>
      <c r="E375" s="151">
        <f t="shared" si="88"/>
        <v>213155.65241113378</v>
      </c>
      <c r="F375" s="151">
        <f t="shared" si="88"/>
        <v>210181.51699999999</v>
      </c>
      <c r="G375" s="151">
        <f t="shared" si="83"/>
        <v>4823.1090000000004</v>
      </c>
      <c r="H375" s="151">
        <f t="shared" si="84"/>
        <v>5017.95</v>
      </c>
      <c r="I375" s="151">
        <f t="shared" si="81"/>
        <v>2012.056</v>
      </c>
      <c r="J375" s="284">
        <f t="shared" si="85"/>
        <v>1.4150318513181936E-2</v>
      </c>
      <c r="K375" s="147"/>
      <c r="L375" s="147"/>
    </row>
    <row r="376" spans="1:12" s="170" customFormat="1" x14ac:dyDescent="0.2">
      <c r="A376" s="147">
        <v>2032</v>
      </c>
      <c r="B376" s="147">
        <v>3</v>
      </c>
      <c r="C376" s="147" t="str">
        <f t="shared" si="82"/>
        <v>20323</v>
      </c>
      <c r="D376" s="147" t="str">
        <f t="shared" si="86"/>
        <v>Q1</v>
      </c>
      <c r="E376" s="151">
        <f t="shared" si="88"/>
        <v>213155.65241113378</v>
      </c>
      <c r="F376" s="151">
        <f t="shared" si="88"/>
        <v>210181.51699999999</v>
      </c>
      <c r="G376" s="151">
        <f t="shared" si="83"/>
        <v>4823.1090000000004</v>
      </c>
      <c r="H376" s="151">
        <f t="shared" si="84"/>
        <v>5017.95</v>
      </c>
      <c r="I376" s="151">
        <f t="shared" si="81"/>
        <v>2012.056</v>
      </c>
      <c r="J376" s="284">
        <f t="shared" si="85"/>
        <v>1.4150318513181936E-2</v>
      </c>
      <c r="K376" s="147"/>
      <c r="L376" s="147"/>
    </row>
    <row r="377" spans="1:12" s="170" customFormat="1" x14ac:dyDescent="0.2">
      <c r="A377" s="147">
        <v>2032</v>
      </c>
      <c r="B377" s="147">
        <v>4</v>
      </c>
      <c r="C377" s="147" t="str">
        <f t="shared" si="82"/>
        <v>20324</v>
      </c>
      <c r="D377" s="147" t="str">
        <f t="shared" si="86"/>
        <v>Q2</v>
      </c>
      <c r="E377" s="151">
        <f t="shared" si="88"/>
        <v>214086.18553219383</v>
      </c>
      <c r="F377" s="151">
        <f t="shared" si="88"/>
        <v>211132.98300000001</v>
      </c>
      <c r="G377" s="151">
        <f t="shared" si="83"/>
        <v>4827.5429999999997</v>
      </c>
      <c r="H377" s="151">
        <f t="shared" si="84"/>
        <v>5025.0370000000003</v>
      </c>
      <c r="I377" s="151">
        <f t="shared" si="81"/>
        <v>2014.9739999999999</v>
      </c>
      <c r="J377" s="284">
        <f t="shared" si="85"/>
        <v>1.3987404953179849E-2</v>
      </c>
      <c r="K377" s="147"/>
      <c r="L377" s="147"/>
    </row>
    <row r="378" spans="1:12" s="170" customFormat="1" x14ac:dyDescent="0.2">
      <c r="A378" s="147">
        <v>2032</v>
      </c>
      <c r="B378" s="147">
        <v>5</v>
      </c>
      <c r="C378" s="147" t="str">
        <f t="shared" si="82"/>
        <v>20325</v>
      </c>
      <c r="D378" s="147" t="str">
        <f t="shared" si="86"/>
        <v>Q2</v>
      </c>
      <c r="E378" s="151">
        <f t="shared" si="88"/>
        <v>214086.18553219383</v>
      </c>
      <c r="F378" s="151">
        <f t="shared" si="88"/>
        <v>211132.98300000001</v>
      </c>
      <c r="G378" s="151">
        <f t="shared" si="83"/>
        <v>4827.5429999999997</v>
      </c>
      <c r="H378" s="151">
        <f t="shared" si="84"/>
        <v>5025.0370000000003</v>
      </c>
      <c r="I378" s="151">
        <f t="shared" si="81"/>
        <v>2014.9739999999999</v>
      </c>
      <c r="J378" s="284">
        <f t="shared" si="85"/>
        <v>1.3987404953179849E-2</v>
      </c>
      <c r="K378" s="147"/>
      <c r="L378" s="147"/>
    </row>
    <row r="379" spans="1:12" s="170" customFormat="1" x14ac:dyDescent="0.2">
      <c r="A379" s="147">
        <v>2032</v>
      </c>
      <c r="B379" s="147">
        <v>6</v>
      </c>
      <c r="C379" s="147" t="str">
        <f t="shared" si="82"/>
        <v>20326</v>
      </c>
      <c r="D379" s="147" t="str">
        <f t="shared" si="86"/>
        <v>Q2</v>
      </c>
      <c r="E379" s="151">
        <f t="shared" si="88"/>
        <v>214086.18553219383</v>
      </c>
      <c r="F379" s="151">
        <f t="shared" si="88"/>
        <v>211132.98300000001</v>
      </c>
      <c r="G379" s="151">
        <f t="shared" si="83"/>
        <v>4827.5429999999997</v>
      </c>
      <c r="H379" s="151">
        <f t="shared" si="84"/>
        <v>5025.0370000000003</v>
      </c>
      <c r="I379" s="151">
        <f t="shared" si="81"/>
        <v>2014.9739999999999</v>
      </c>
      <c r="J379" s="284">
        <f t="shared" si="85"/>
        <v>1.3987404953179849E-2</v>
      </c>
      <c r="K379" s="147"/>
      <c r="L379" s="147"/>
    </row>
    <row r="380" spans="1:12" s="170" customFormat="1" x14ac:dyDescent="0.2">
      <c r="A380" s="147">
        <v>2032</v>
      </c>
      <c r="B380" s="147">
        <v>7</v>
      </c>
      <c r="C380" s="147" t="str">
        <f t="shared" si="82"/>
        <v>20327</v>
      </c>
      <c r="D380" s="147" t="str">
        <f t="shared" si="86"/>
        <v>Q3</v>
      </c>
      <c r="E380" s="151">
        <f t="shared" si="88"/>
        <v>214869.38531819571</v>
      </c>
      <c r="F380" s="151">
        <f t="shared" si="88"/>
        <v>211990.587</v>
      </c>
      <c r="G380" s="151">
        <f t="shared" si="83"/>
        <v>4831.9440000000004</v>
      </c>
      <c r="H380" s="151">
        <f t="shared" si="84"/>
        <v>5032.0959999999995</v>
      </c>
      <c r="I380" s="151">
        <f t="shared" si="81"/>
        <v>2018.0830000000001</v>
      </c>
      <c r="J380" s="284">
        <f t="shared" si="85"/>
        <v>1.3579840307700541E-2</v>
      </c>
      <c r="K380" s="147"/>
      <c r="L380" s="147"/>
    </row>
    <row r="381" spans="1:12" s="170" customFormat="1" x14ac:dyDescent="0.2">
      <c r="A381" s="147">
        <v>2032</v>
      </c>
      <c r="B381" s="147">
        <v>8</v>
      </c>
      <c r="C381" s="147" t="str">
        <f t="shared" si="82"/>
        <v>20328</v>
      </c>
      <c r="D381" s="147" t="str">
        <f t="shared" si="86"/>
        <v>Q3</v>
      </c>
      <c r="E381" s="151">
        <f t="shared" si="88"/>
        <v>214869.38531819571</v>
      </c>
      <c r="F381" s="151">
        <f t="shared" si="88"/>
        <v>211990.587</v>
      </c>
      <c r="G381" s="151">
        <f t="shared" si="83"/>
        <v>4831.9440000000004</v>
      </c>
      <c r="H381" s="151">
        <f t="shared" si="84"/>
        <v>5032.0959999999995</v>
      </c>
      <c r="I381" s="151">
        <f t="shared" si="81"/>
        <v>2018.0830000000001</v>
      </c>
      <c r="J381" s="284">
        <f t="shared" si="85"/>
        <v>1.3579840307700541E-2</v>
      </c>
      <c r="K381" s="147"/>
      <c r="L381" s="147"/>
    </row>
    <row r="382" spans="1:12" s="170" customFormat="1" x14ac:dyDescent="0.2">
      <c r="A382" s="147">
        <v>2032</v>
      </c>
      <c r="B382" s="147">
        <v>9</v>
      </c>
      <c r="C382" s="147" t="str">
        <f t="shared" si="82"/>
        <v>20329</v>
      </c>
      <c r="D382" s="147" t="str">
        <f t="shared" si="86"/>
        <v>Q3</v>
      </c>
      <c r="E382" s="151">
        <f t="shared" ref="E382:F401" si="89">VLOOKUP($A382&amp;$D382,$O$1:$V$189,MATCH(E$1,$O$1:$V$1,0),0)</f>
        <v>214869.38531819571</v>
      </c>
      <c r="F382" s="151">
        <f t="shared" si="89"/>
        <v>211990.587</v>
      </c>
      <c r="G382" s="151">
        <f t="shared" si="83"/>
        <v>4831.9440000000004</v>
      </c>
      <c r="H382" s="151">
        <f t="shared" si="84"/>
        <v>5032.0959999999995</v>
      </c>
      <c r="I382" s="151">
        <f t="shared" si="81"/>
        <v>2018.0830000000001</v>
      </c>
      <c r="J382" s="284">
        <f t="shared" si="85"/>
        <v>1.3579840307700541E-2</v>
      </c>
      <c r="K382" s="147"/>
      <c r="L382" s="147"/>
    </row>
    <row r="383" spans="1:12" s="170" customFormat="1" x14ac:dyDescent="0.2">
      <c r="A383" s="147">
        <v>2032</v>
      </c>
      <c r="B383" s="147">
        <v>10</v>
      </c>
      <c r="C383" s="147" t="str">
        <f t="shared" si="82"/>
        <v>203210</v>
      </c>
      <c r="D383" s="147" t="str">
        <f t="shared" si="86"/>
        <v>Q4</v>
      </c>
      <c r="E383" s="151">
        <f t="shared" si="89"/>
        <v>215638.64605623233</v>
      </c>
      <c r="F383" s="151">
        <f t="shared" si="89"/>
        <v>212819.59099999999</v>
      </c>
      <c r="G383" s="151">
        <f t="shared" si="83"/>
        <v>4836.3</v>
      </c>
      <c r="H383" s="151">
        <f t="shared" si="84"/>
        <v>5039.1130000000003</v>
      </c>
      <c r="I383" s="151">
        <f t="shared" si="81"/>
        <v>2021.1469999999999</v>
      </c>
      <c r="J383" s="284">
        <f t="shared" si="85"/>
        <v>1.3246219687699456E-2</v>
      </c>
      <c r="K383" s="147"/>
      <c r="L383" s="147"/>
    </row>
    <row r="384" spans="1:12" s="170" customFormat="1" x14ac:dyDescent="0.2">
      <c r="A384" s="147">
        <v>2032</v>
      </c>
      <c r="B384" s="147">
        <v>11</v>
      </c>
      <c r="C384" s="147" t="str">
        <f t="shared" si="82"/>
        <v>203211</v>
      </c>
      <c r="D384" s="147" t="str">
        <f t="shared" si="86"/>
        <v>Q4</v>
      </c>
      <c r="E384" s="151">
        <f t="shared" si="89"/>
        <v>215638.64605623233</v>
      </c>
      <c r="F384" s="151">
        <f t="shared" si="89"/>
        <v>212819.59099999999</v>
      </c>
      <c r="G384" s="151">
        <f t="shared" si="83"/>
        <v>4836.3</v>
      </c>
      <c r="H384" s="151">
        <f t="shared" si="84"/>
        <v>5039.1130000000003</v>
      </c>
      <c r="I384" s="151">
        <f t="shared" si="81"/>
        <v>2021.1469999999999</v>
      </c>
      <c r="J384" s="284">
        <f t="shared" si="85"/>
        <v>1.3246219687699456E-2</v>
      </c>
      <c r="K384" s="147"/>
      <c r="L384" s="147"/>
    </row>
    <row r="385" spans="1:12" s="170" customFormat="1" x14ac:dyDescent="0.2">
      <c r="A385" s="147">
        <v>2032</v>
      </c>
      <c r="B385" s="147">
        <v>12</v>
      </c>
      <c r="C385" s="147" t="str">
        <f t="shared" si="82"/>
        <v>203212</v>
      </c>
      <c r="D385" s="147" t="str">
        <f t="shared" si="86"/>
        <v>Q4</v>
      </c>
      <c r="E385" s="151">
        <f t="shared" si="89"/>
        <v>215638.64605623233</v>
      </c>
      <c r="F385" s="151">
        <f t="shared" si="89"/>
        <v>212819.59099999999</v>
      </c>
      <c r="G385" s="151">
        <f t="shared" si="83"/>
        <v>4836.3</v>
      </c>
      <c r="H385" s="151">
        <f t="shared" si="84"/>
        <v>5039.1130000000003</v>
      </c>
      <c r="I385" s="151">
        <f t="shared" si="81"/>
        <v>2021.1469999999999</v>
      </c>
      <c r="J385" s="284">
        <f t="shared" si="85"/>
        <v>1.3246219687699456E-2</v>
      </c>
      <c r="K385" s="147"/>
      <c r="L385" s="147"/>
    </row>
    <row r="386" spans="1:12" s="170" customFormat="1" x14ac:dyDescent="0.2">
      <c r="A386" s="147">
        <v>2033</v>
      </c>
      <c r="B386" s="147">
        <v>1</v>
      </c>
      <c r="C386" s="147" t="str">
        <f t="shared" si="82"/>
        <v>20331</v>
      </c>
      <c r="D386" s="147" t="str">
        <f t="shared" si="86"/>
        <v>Q1</v>
      </c>
      <c r="E386" s="151">
        <f t="shared" si="89"/>
        <v>217240.60032855472</v>
      </c>
      <c r="F386" s="151">
        <f t="shared" si="89"/>
        <v>214486.36799999999</v>
      </c>
      <c r="G386" s="151">
        <f t="shared" si="83"/>
        <v>4840.6229999999996</v>
      </c>
      <c r="H386" s="151">
        <f t="shared" si="84"/>
        <v>5046.1030000000001</v>
      </c>
      <c r="I386" s="151">
        <f t="shared" ref="I386:I449" si="90">VLOOKUP($A386&amp;$D386,$O$1:$V$189,MATCH(I$1,$O$1:$V$1,0),0)</f>
        <v>2024.24</v>
      </c>
      <c r="J386" s="284">
        <f t="shared" si="85"/>
        <v>1.2841060036760554E-2</v>
      </c>
      <c r="K386" s="147"/>
      <c r="L386" s="147"/>
    </row>
    <row r="387" spans="1:12" s="170" customFormat="1" x14ac:dyDescent="0.2">
      <c r="A387" s="147">
        <v>2033</v>
      </c>
      <c r="B387" s="147">
        <v>2</v>
      </c>
      <c r="C387" s="147" t="str">
        <f t="shared" ref="C387:C450" si="91">A387&amp;B387</f>
        <v>20332</v>
      </c>
      <c r="D387" s="147" t="str">
        <f t="shared" si="86"/>
        <v>Q1</v>
      </c>
      <c r="E387" s="151">
        <f t="shared" si="89"/>
        <v>217240.60032855472</v>
      </c>
      <c r="F387" s="151">
        <f t="shared" si="89"/>
        <v>214486.36799999999</v>
      </c>
      <c r="G387" s="151">
        <f t="shared" ref="G387:G450" si="92">VLOOKUP($A387&amp;$D387,$O$1:$AA$189,MATCH(G$1,$O$1:$AA$1,0),0)</f>
        <v>4840.6229999999996</v>
      </c>
      <c r="H387" s="151">
        <f t="shared" ref="H387:H450" si="93">VLOOKUP($A387&amp;$D387,$O$1:$AA$189,MATCH(H$1,$O$1:$AA$1,0),0)</f>
        <v>5046.1030000000001</v>
      </c>
      <c r="I387" s="151">
        <f t="shared" si="90"/>
        <v>2024.24</v>
      </c>
      <c r="J387" s="284">
        <f t="shared" ref="J387:J450" si="94">E387/F387-1</f>
        <v>1.2841060036760554E-2</v>
      </c>
      <c r="K387" s="147"/>
      <c r="L387" s="147"/>
    </row>
    <row r="388" spans="1:12" s="170" customFormat="1" x14ac:dyDescent="0.2">
      <c r="A388" s="147">
        <v>2033</v>
      </c>
      <c r="B388" s="147">
        <v>3</v>
      </c>
      <c r="C388" s="147" t="str">
        <f t="shared" si="91"/>
        <v>20333</v>
      </c>
      <c r="D388" s="147" t="str">
        <f t="shared" si="86"/>
        <v>Q1</v>
      </c>
      <c r="E388" s="151">
        <f t="shared" si="89"/>
        <v>217240.60032855472</v>
      </c>
      <c r="F388" s="151">
        <f t="shared" si="89"/>
        <v>214486.36799999999</v>
      </c>
      <c r="G388" s="151">
        <f t="shared" si="92"/>
        <v>4840.6229999999996</v>
      </c>
      <c r="H388" s="151">
        <f t="shared" si="93"/>
        <v>5046.1030000000001</v>
      </c>
      <c r="I388" s="151">
        <f t="shared" si="90"/>
        <v>2024.24</v>
      </c>
      <c r="J388" s="284">
        <f t="shared" si="94"/>
        <v>1.2841060036760554E-2</v>
      </c>
      <c r="K388" s="147"/>
      <c r="L388" s="147"/>
    </row>
    <row r="389" spans="1:12" s="170" customFormat="1" x14ac:dyDescent="0.2">
      <c r="A389" s="147">
        <v>2033</v>
      </c>
      <c r="B389" s="147">
        <v>4</v>
      </c>
      <c r="C389" s="147" t="str">
        <f t="shared" si="91"/>
        <v>20334</v>
      </c>
      <c r="D389" s="147" t="str">
        <f t="shared" si="86"/>
        <v>Q2</v>
      </c>
      <c r="E389" s="151">
        <f t="shared" si="89"/>
        <v>218100.32282001979</v>
      </c>
      <c r="F389" s="151">
        <f t="shared" si="89"/>
        <v>215382.42600000001</v>
      </c>
      <c r="G389" s="151">
        <f t="shared" si="92"/>
        <v>4844.915</v>
      </c>
      <c r="H389" s="151">
        <f t="shared" si="93"/>
        <v>5053.0649999999996</v>
      </c>
      <c r="I389" s="151">
        <f t="shared" si="90"/>
        <v>2027.2639999999999</v>
      </c>
      <c r="J389" s="284">
        <f t="shared" si="94"/>
        <v>1.26189349358512E-2</v>
      </c>
      <c r="K389" s="147"/>
      <c r="L389" s="147"/>
    </row>
    <row r="390" spans="1:12" s="170" customFormat="1" x14ac:dyDescent="0.2">
      <c r="A390" s="147">
        <v>2033</v>
      </c>
      <c r="B390" s="147">
        <v>5</v>
      </c>
      <c r="C390" s="147" t="str">
        <f t="shared" si="91"/>
        <v>20335</v>
      </c>
      <c r="D390" s="147" t="str">
        <f t="shared" si="86"/>
        <v>Q2</v>
      </c>
      <c r="E390" s="151">
        <f t="shared" si="89"/>
        <v>218100.32282001979</v>
      </c>
      <c r="F390" s="151">
        <f t="shared" si="89"/>
        <v>215382.42600000001</v>
      </c>
      <c r="G390" s="151">
        <f t="shared" si="92"/>
        <v>4844.915</v>
      </c>
      <c r="H390" s="151">
        <f t="shared" si="93"/>
        <v>5053.0649999999996</v>
      </c>
      <c r="I390" s="151">
        <f t="shared" si="90"/>
        <v>2027.2639999999999</v>
      </c>
      <c r="J390" s="284">
        <f t="shared" si="94"/>
        <v>1.26189349358512E-2</v>
      </c>
      <c r="K390" s="147"/>
      <c r="L390" s="147"/>
    </row>
    <row r="391" spans="1:12" s="170" customFormat="1" x14ac:dyDescent="0.2">
      <c r="A391" s="147">
        <v>2033</v>
      </c>
      <c r="B391" s="147">
        <v>6</v>
      </c>
      <c r="C391" s="147" t="str">
        <f t="shared" si="91"/>
        <v>20336</v>
      </c>
      <c r="D391" s="147" t="str">
        <f t="shared" si="86"/>
        <v>Q2</v>
      </c>
      <c r="E391" s="151">
        <f t="shared" si="89"/>
        <v>218100.32282001979</v>
      </c>
      <c r="F391" s="151">
        <f t="shared" si="89"/>
        <v>215382.42600000001</v>
      </c>
      <c r="G391" s="151">
        <f t="shared" si="92"/>
        <v>4844.915</v>
      </c>
      <c r="H391" s="151">
        <f t="shared" si="93"/>
        <v>5053.0649999999996</v>
      </c>
      <c r="I391" s="151">
        <f t="shared" si="90"/>
        <v>2027.2639999999999</v>
      </c>
      <c r="J391" s="284">
        <f t="shared" si="94"/>
        <v>1.26189349358512E-2</v>
      </c>
      <c r="K391" s="147"/>
      <c r="L391" s="147"/>
    </row>
    <row r="392" spans="1:12" s="170" customFormat="1" x14ac:dyDescent="0.2">
      <c r="A392" s="147">
        <v>2033</v>
      </c>
      <c r="B392" s="147">
        <v>7</v>
      </c>
      <c r="C392" s="147" t="str">
        <f t="shared" si="91"/>
        <v>20337</v>
      </c>
      <c r="D392" s="147" t="str">
        <f t="shared" si="86"/>
        <v>Q3</v>
      </c>
      <c r="E392" s="151">
        <f t="shared" si="89"/>
        <v>218857.93449476099</v>
      </c>
      <c r="F392" s="151">
        <f t="shared" si="89"/>
        <v>216207.60200000001</v>
      </c>
      <c r="G392" s="151">
        <f t="shared" si="92"/>
        <v>4849.174</v>
      </c>
      <c r="H392" s="151">
        <f t="shared" si="93"/>
        <v>5060</v>
      </c>
      <c r="I392" s="151">
        <f t="shared" si="90"/>
        <v>2030.61</v>
      </c>
      <c r="J392" s="284">
        <f t="shared" si="94"/>
        <v>1.2258276167185667E-2</v>
      </c>
      <c r="K392" s="147"/>
      <c r="L392" s="147"/>
    </row>
    <row r="393" spans="1:12" s="170" customFormat="1" x14ac:dyDescent="0.2">
      <c r="A393" s="147">
        <v>2033</v>
      </c>
      <c r="B393" s="147">
        <v>8</v>
      </c>
      <c r="C393" s="147" t="str">
        <f t="shared" si="91"/>
        <v>20338</v>
      </c>
      <c r="D393" s="147" t="str">
        <f t="shared" si="86"/>
        <v>Q3</v>
      </c>
      <c r="E393" s="151">
        <f t="shared" si="89"/>
        <v>218857.93449476099</v>
      </c>
      <c r="F393" s="151">
        <f t="shared" si="89"/>
        <v>216207.60200000001</v>
      </c>
      <c r="G393" s="151">
        <f t="shared" si="92"/>
        <v>4849.174</v>
      </c>
      <c r="H393" s="151">
        <f t="shared" si="93"/>
        <v>5060</v>
      </c>
      <c r="I393" s="151">
        <f t="shared" si="90"/>
        <v>2030.61</v>
      </c>
      <c r="J393" s="284">
        <f t="shared" si="94"/>
        <v>1.2258276167185667E-2</v>
      </c>
      <c r="K393" s="147"/>
      <c r="L393" s="147"/>
    </row>
    <row r="394" spans="1:12" s="170" customFormat="1" x14ac:dyDescent="0.2">
      <c r="A394" s="147">
        <v>2033</v>
      </c>
      <c r="B394" s="147">
        <v>9</v>
      </c>
      <c r="C394" s="147" t="str">
        <f t="shared" si="91"/>
        <v>20339</v>
      </c>
      <c r="D394" s="147" t="str">
        <f t="shared" si="86"/>
        <v>Q3</v>
      </c>
      <c r="E394" s="151">
        <f t="shared" si="89"/>
        <v>218857.93449476099</v>
      </c>
      <c r="F394" s="151">
        <f t="shared" si="89"/>
        <v>216207.60200000001</v>
      </c>
      <c r="G394" s="151">
        <f t="shared" si="92"/>
        <v>4849.174</v>
      </c>
      <c r="H394" s="151">
        <f t="shared" si="93"/>
        <v>5060</v>
      </c>
      <c r="I394" s="151">
        <f t="shared" si="90"/>
        <v>2030.61</v>
      </c>
      <c r="J394" s="284">
        <f t="shared" si="94"/>
        <v>1.2258276167185667E-2</v>
      </c>
      <c r="K394" s="147"/>
      <c r="L394" s="147"/>
    </row>
    <row r="395" spans="1:12" s="170" customFormat="1" x14ac:dyDescent="0.2">
      <c r="A395" s="147">
        <v>2033</v>
      </c>
      <c r="B395" s="147">
        <v>10</v>
      </c>
      <c r="C395" s="147" t="str">
        <f t="shared" si="91"/>
        <v>203310</v>
      </c>
      <c r="D395" s="147" t="str">
        <f t="shared" si="86"/>
        <v>Q4</v>
      </c>
      <c r="E395" s="151">
        <f t="shared" si="89"/>
        <v>219617.17998724207</v>
      </c>
      <c r="F395" s="151">
        <f t="shared" si="89"/>
        <v>217023.29399999999</v>
      </c>
      <c r="G395" s="151">
        <f t="shared" si="92"/>
        <v>4853.3900000000003</v>
      </c>
      <c r="H395" s="151">
        <f t="shared" si="93"/>
        <v>5066.8959999999997</v>
      </c>
      <c r="I395" s="151">
        <f t="shared" si="90"/>
        <v>2034.0029999999999</v>
      </c>
      <c r="J395" s="284">
        <f t="shared" si="94"/>
        <v>1.1952108639739167E-2</v>
      </c>
      <c r="K395" s="147"/>
      <c r="L395" s="147"/>
    </row>
    <row r="396" spans="1:12" s="170" customFormat="1" x14ac:dyDescent="0.2">
      <c r="A396" s="147">
        <v>2033</v>
      </c>
      <c r="B396" s="147">
        <v>11</v>
      </c>
      <c r="C396" s="147" t="str">
        <f t="shared" si="91"/>
        <v>203311</v>
      </c>
      <c r="D396" s="147" t="str">
        <f t="shared" si="86"/>
        <v>Q4</v>
      </c>
      <c r="E396" s="151">
        <f t="shared" si="89"/>
        <v>219617.17998724207</v>
      </c>
      <c r="F396" s="151">
        <f t="shared" si="89"/>
        <v>217023.29399999999</v>
      </c>
      <c r="G396" s="151">
        <f t="shared" si="92"/>
        <v>4853.3900000000003</v>
      </c>
      <c r="H396" s="151">
        <f t="shared" si="93"/>
        <v>5066.8959999999997</v>
      </c>
      <c r="I396" s="151">
        <f t="shared" si="90"/>
        <v>2034.0029999999999</v>
      </c>
      <c r="J396" s="284">
        <f t="shared" si="94"/>
        <v>1.1952108639739167E-2</v>
      </c>
      <c r="K396" s="147"/>
      <c r="L396" s="147"/>
    </row>
    <row r="397" spans="1:12" s="170" customFormat="1" x14ac:dyDescent="0.2">
      <c r="A397" s="147">
        <v>2033</v>
      </c>
      <c r="B397" s="147">
        <v>12</v>
      </c>
      <c r="C397" s="147" t="str">
        <f t="shared" si="91"/>
        <v>203312</v>
      </c>
      <c r="D397" s="147" t="str">
        <f t="shared" si="86"/>
        <v>Q4</v>
      </c>
      <c r="E397" s="151">
        <f t="shared" si="89"/>
        <v>219617.17998724207</v>
      </c>
      <c r="F397" s="151">
        <f t="shared" si="89"/>
        <v>217023.29399999999</v>
      </c>
      <c r="G397" s="151">
        <f t="shared" si="92"/>
        <v>4853.3900000000003</v>
      </c>
      <c r="H397" s="151">
        <f t="shared" si="93"/>
        <v>5066.8959999999997</v>
      </c>
      <c r="I397" s="151">
        <f t="shared" si="90"/>
        <v>2034.0029999999999</v>
      </c>
      <c r="J397" s="284">
        <f t="shared" si="94"/>
        <v>1.1952108639739167E-2</v>
      </c>
      <c r="K397" s="147"/>
      <c r="L397" s="147"/>
    </row>
    <row r="398" spans="1:12" s="170" customFormat="1" x14ac:dyDescent="0.2">
      <c r="A398" s="147">
        <v>2034</v>
      </c>
      <c r="B398" s="147">
        <v>1</v>
      </c>
      <c r="C398" s="147" t="str">
        <f t="shared" si="91"/>
        <v>20341</v>
      </c>
      <c r="D398" s="147" t="str">
        <f t="shared" si="86"/>
        <v>Q1</v>
      </c>
      <c r="E398" s="151">
        <f t="shared" si="89"/>
        <v>221265.80377058705</v>
      </c>
      <c r="F398" s="151">
        <f t="shared" si="89"/>
        <v>218712.25599999999</v>
      </c>
      <c r="G398" s="151">
        <f t="shared" si="92"/>
        <v>4857.5749999999998</v>
      </c>
      <c r="H398" s="151">
        <f t="shared" si="93"/>
        <v>5073.7650000000003</v>
      </c>
      <c r="I398" s="151">
        <f t="shared" si="90"/>
        <v>2037.278</v>
      </c>
      <c r="J398" s="284">
        <f t="shared" si="94"/>
        <v>1.1675375753003259E-2</v>
      </c>
      <c r="K398" s="147"/>
      <c r="L398" s="147"/>
    </row>
    <row r="399" spans="1:12" s="170" customFormat="1" x14ac:dyDescent="0.2">
      <c r="A399" s="147">
        <v>2034</v>
      </c>
      <c r="B399" s="147">
        <v>2</v>
      </c>
      <c r="C399" s="147" t="str">
        <f t="shared" si="91"/>
        <v>20342</v>
      </c>
      <c r="D399" s="147" t="str">
        <f t="shared" ref="D399:D462" si="95">D387</f>
        <v>Q1</v>
      </c>
      <c r="E399" s="151">
        <f t="shared" si="89"/>
        <v>221265.80377058705</v>
      </c>
      <c r="F399" s="151">
        <f t="shared" si="89"/>
        <v>218712.25599999999</v>
      </c>
      <c r="G399" s="151">
        <f t="shared" si="92"/>
        <v>4857.5749999999998</v>
      </c>
      <c r="H399" s="151">
        <f t="shared" si="93"/>
        <v>5073.7650000000003</v>
      </c>
      <c r="I399" s="151">
        <f t="shared" si="90"/>
        <v>2037.278</v>
      </c>
      <c r="J399" s="284">
        <f t="shared" si="94"/>
        <v>1.1675375753003259E-2</v>
      </c>
      <c r="K399" s="147"/>
      <c r="L399" s="147"/>
    </row>
    <row r="400" spans="1:12" s="170" customFormat="1" x14ac:dyDescent="0.2">
      <c r="A400" s="147">
        <v>2034</v>
      </c>
      <c r="B400" s="147">
        <v>3</v>
      </c>
      <c r="C400" s="147" t="str">
        <f t="shared" si="91"/>
        <v>20343</v>
      </c>
      <c r="D400" s="147" t="str">
        <f t="shared" si="95"/>
        <v>Q1</v>
      </c>
      <c r="E400" s="151">
        <f t="shared" si="89"/>
        <v>221265.80377058705</v>
      </c>
      <c r="F400" s="151">
        <f t="shared" si="89"/>
        <v>218712.25599999999</v>
      </c>
      <c r="G400" s="151">
        <f t="shared" si="92"/>
        <v>4857.5749999999998</v>
      </c>
      <c r="H400" s="151">
        <f t="shared" si="93"/>
        <v>5073.7650000000003</v>
      </c>
      <c r="I400" s="151">
        <f t="shared" si="90"/>
        <v>2037.278</v>
      </c>
      <c r="J400" s="284">
        <f t="shared" si="94"/>
        <v>1.1675375753003259E-2</v>
      </c>
      <c r="K400" s="147"/>
      <c r="L400" s="147"/>
    </row>
    <row r="401" spans="1:12" s="170" customFormat="1" x14ac:dyDescent="0.2">
      <c r="A401" s="147">
        <v>2034</v>
      </c>
      <c r="B401" s="147">
        <v>4</v>
      </c>
      <c r="C401" s="147" t="str">
        <f t="shared" si="91"/>
        <v>20344</v>
      </c>
      <c r="D401" s="147" t="str">
        <f t="shared" si="95"/>
        <v>Q2</v>
      </c>
      <c r="E401" s="151">
        <f t="shared" si="89"/>
        <v>222192.47658107537</v>
      </c>
      <c r="F401" s="151">
        <f t="shared" si="89"/>
        <v>219678.68900000001</v>
      </c>
      <c r="G401" s="151">
        <f t="shared" si="92"/>
        <v>4861.7299999999996</v>
      </c>
      <c r="H401" s="151">
        <f t="shared" si="93"/>
        <v>5080.6090000000004</v>
      </c>
      <c r="I401" s="151">
        <f t="shared" si="90"/>
        <v>2040.769</v>
      </c>
      <c r="J401" s="284">
        <f t="shared" si="94"/>
        <v>1.1443019769092677E-2</v>
      </c>
      <c r="K401" s="147"/>
      <c r="L401" s="147"/>
    </row>
    <row r="402" spans="1:12" s="170" customFormat="1" x14ac:dyDescent="0.2">
      <c r="A402" s="147">
        <v>2034</v>
      </c>
      <c r="B402" s="147">
        <v>5</v>
      </c>
      <c r="C402" s="147" t="str">
        <f t="shared" si="91"/>
        <v>20345</v>
      </c>
      <c r="D402" s="147" t="str">
        <f t="shared" si="95"/>
        <v>Q2</v>
      </c>
      <c r="E402" s="151">
        <f t="shared" ref="E402:F421" si="96">VLOOKUP($A402&amp;$D402,$O$1:$V$189,MATCH(E$1,$O$1:$V$1,0),0)</f>
        <v>222192.47658107537</v>
      </c>
      <c r="F402" s="151">
        <f t="shared" si="96"/>
        <v>219678.68900000001</v>
      </c>
      <c r="G402" s="151">
        <f t="shared" si="92"/>
        <v>4861.7299999999996</v>
      </c>
      <c r="H402" s="151">
        <f t="shared" si="93"/>
        <v>5080.6090000000004</v>
      </c>
      <c r="I402" s="151">
        <f t="shared" si="90"/>
        <v>2040.769</v>
      </c>
      <c r="J402" s="284">
        <f t="shared" si="94"/>
        <v>1.1443019769092677E-2</v>
      </c>
      <c r="K402" s="147"/>
      <c r="L402" s="147"/>
    </row>
    <row r="403" spans="1:12" s="170" customFormat="1" x14ac:dyDescent="0.2">
      <c r="A403" s="147">
        <v>2034</v>
      </c>
      <c r="B403" s="147">
        <v>6</v>
      </c>
      <c r="C403" s="147" t="str">
        <f t="shared" si="91"/>
        <v>20346</v>
      </c>
      <c r="D403" s="147" t="str">
        <f t="shared" si="95"/>
        <v>Q2</v>
      </c>
      <c r="E403" s="151">
        <f t="shared" si="96"/>
        <v>222192.47658107537</v>
      </c>
      <c r="F403" s="151">
        <f t="shared" si="96"/>
        <v>219678.68900000001</v>
      </c>
      <c r="G403" s="151">
        <f t="shared" si="92"/>
        <v>4861.7299999999996</v>
      </c>
      <c r="H403" s="151">
        <f t="shared" si="93"/>
        <v>5080.6090000000004</v>
      </c>
      <c r="I403" s="151">
        <f t="shared" si="90"/>
        <v>2040.769</v>
      </c>
      <c r="J403" s="284">
        <f t="shared" si="94"/>
        <v>1.1443019769092677E-2</v>
      </c>
      <c r="K403" s="147"/>
      <c r="L403" s="147"/>
    </row>
    <row r="404" spans="1:12" s="170" customFormat="1" x14ac:dyDescent="0.2">
      <c r="A404" s="147">
        <v>2034</v>
      </c>
      <c r="B404" s="147">
        <v>7</v>
      </c>
      <c r="C404" s="147" t="str">
        <f t="shared" si="91"/>
        <v>20347</v>
      </c>
      <c r="D404" s="147" t="str">
        <f t="shared" si="95"/>
        <v>Q3</v>
      </c>
      <c r="E404" s="151">
        <f t="shared" si="96"/>
        <v>223003.41070905284</v>
      </c>
      <c r="F404" s="151">
        <f t="shared" si="96"/>
        <v>220588.57</v>
      </c>
      <c r="G404" s="151">
        <f t="shared" si="92"/>
        <v>4865.8649999999998</v>
      </c>
      <c r="H404" s="151">
        <f t="shared" si="93"/>
        <v>5087.4409999999998</v>
      </c>
      <c r="I404" s="151">
        <f t="shared" si="90"/>
        <v>2044.1780000000001</v>
      </c>
      <c r="J404" s="284">
        <f t="shared" si="94"/>
        <v>1.0947261270395137E-2</v>
      </c>
      <c r="K404" s="147"/>
      <c r="L404" s="147"/>
    </row>
    <row r="405" spans="1:12" s="170" customFormat="1" x14ac:dyDescent="0.2">
      <c r="A405" s="147">
        <v>2034</v>
      </c>
      <c r="B405" s="147">
        <v>8</v>
      </c>
      <c r="C405" s="147" t="str">
        <f t="shared" si="91"/>
        <v>20348</v>
      </c>
      <c r="D405" s="147" t="str">
        <f t="shared" si="95"/>
        <v>Q3</v>
      </c>
      <c r="E405" s="151">
        <f t="shared" si="96"/>
        <v>223003.41070905284</v>
      </c>
      <c r="F405" s="151">
        <f t="shared" si="96"/>
        <v>220588.57</v>
      </c>
      <c r="G405" s="151">
        <f t="shared" si="92"/>
        <v>4865.8649999999998</v>
      </c>
      <c r="H405" s="151">
        <f t="shared" si="93"/>
        <v>5087.4409999999998</v>
      </c>
      <c r="I405" s="151">
        <f t="shared" si="90"/>
        <v>2044.1780000000001</v>
      </c>
      <c r="J405" s="284">
        <f t="shared" si="94"/>
        <v>1.0947261270395137E-2</v>
      </c>
      <c r="K405" s="147"/>
      <c r="L405" s="147"/>
    </row>
    <row r="406" spans="1:12" s="170" customFormat="1" x14ac:dyDescent="0.2">
      <c r="A406" s="147">
        <v>2034</v>
      </c>
      <c r="B406" s="147">
        <v>9</v>
      </c>
      <c r="C406" s="147" t="str">
        <f t="shared" si="91"/>
        <v>20349</v>
      </c>
      <c r="D406" s="147" t="str">
        <f t="shared" si="95"/>
        <v>Q3</v>
      </c>
      <c r="E406" s="151">
        <f t="shared" si="96"/>
        <v>223003.41070905284</v>
      </c>
      <c r="F406" s="151">
        <f t="shared" si="96"/>
        <v>220588.57</v>
      </c>
      <c r="G406" s="151">
        <f t="shared" si="92"/>
        <v>4865.8649999999998</v>
      </c>
      <c r="H406" s="151">
        <f t="shared" si="93"/>
        <v>5087.4409999999998</v>
      </c>
      <c r="I406" s="151">
        <f t="shared" si="90"/>
        <v>2044.1780000000001</v>
      </c>
      <c r="J406" s="284">
        <f t="shared" si="94"/>
        <v>1.0947261270395137E-2</v>
      </c>
      <c r="K406" s="147"/>
      <c r="L406" s="147"/>
    </row>
    <row r="407" spans="1:12" s="170" customFormat="1" x14ac:dyDescent="0.2">
      <c r="A407" s="147">
        <v>2034</v>
      </c>
      <c r="B407" s="147">
        <v>10</v>
      </c>
      <c r="C407" s="147" t="str">
        <f t="shared" si="91"/>
        <v>203410</v>
      </c>
      <c r="D407" s="147" t="str">
        <f t="shared" si="95"/>
        <v>Q4</v>
      </c>
      <c r="E407" s="151">
        <f t="shared" si="96"/>
        <v>223817.31951943206</v>
      </c>
      <c r="F407" s="151">
        <f t="shared" si="96"/>
        <v>221480.42499999999</v>
      </c>
      <c r="G407" s="151">
        <f t="shared" si="92"/>
        <v>4869.96</v>
      </c>
      <c r="H407" s="151">
        <f t="shared" si="93"/>
        <v>5094.2359999999999</v>
      </c>
      <c r="I407" s="151">
        <f t="shared" si="90"/>
        <v>2047.549</v>
      </c>
      <c r="J407" s="284">
        <f t="shared" si="94"/>
        <v>1.0551246320897434E-2</v>
      </c>
      <c r="K407" s="147"/>
      <c r="L407" s="147"/>
    </row>
    <row r="408" spans="1:12" s="170" customFormat="1" x14ac:dyDescent="0.2">
      <c r="A408" s="147">
        <v>2034</v>
      </c>
      <c r="B408" s="147">
        <v>11</v>
      </c>
      <c r="C408" s="147" t="str">
        <f t="shared" si="91"/>
        <v>203411</v>
      </c>
      <c r="D408" s="147" t="str">
        <f t="shared" si="95"/>
        <v>Q4</v>
      </c>
      <c r="E408" s="151">
        <f t="shared" si="96"/>
        <v>223817.31951943206</v>
      </c>
      <c r="F408" s="151">
        <f t="shared" si="96"/>
        <v>221480.42499999999</v>
      </c>
      <c r="G408" s="151">
        <f t="shared" si="92"/>
        <v>4869.96</v>
      </c>
      <c r="H408" s="151">
        <f t="shared" si="93"/>
        <v>5094.2359999999999</v>
      </c>
      <c r="I408" s="151">
        <f t="shared" si="90"/>
        <v>2047.549</v>
      </c>
      <c r="J408" s="284">
        <f t="shared" si="94"/>
        <v>1.0551246320897434E-2</v>
      </c>
      <c r="K408" s="147"/>
      <c r="L408" s="147"/>
    </row>
    <row r="409" spans="1:12" s="170" customFormat="1" x14ac:dyDescent="0.2">
      <c r="A409" s="147">
        <v>2034</v>
      </c>
      <c r="B409" s="147">
        <v>12</v>
      </c>
      <c r="C409" s="147" t="str">
        <f t="shared" si="91"/>
        <v>203412</v>
      </c>
      <c r="D409" s="147" t="str">
        <f t="shared" si="95"/>
        <v>Q4</v>
      </c>
      <c r="E409" s="151">
        <f t="shared" si="96"/>
        <v>223817.31951943206</v>
      </c>
      <c r="F409" s="151">
        <f t="shared" si="96"/>
        <v>221480.42499999999</v>
      </c>
      <c r="G409" s="151">
        <f t="shared" si="92"/>
        <v>4869.96</v>
      </c>
      <c r="H409" s="151">
        <f t="shared" si="93"/>
        <v>5094.2359999999999</v>
      </c>
      <c r="I409" s="151">
        <f t="shared" si="90"/>
        <v>2047.549</v>
      </c>
      <c r="J409" s="284">
        <f t="shared" si="94"/>
        <v>1.0551246320897434E-2</v>
      </c>
      <c r="K409" s="147"/>
      <c r="L409" s="147"/>
    </row>
    <row r="410" spans="1:12" s="170" customFormat="1" x14ac:dyDescent="0.2">
      <c r="A410" s="147">
        <v>2035</v>
      </c>
      <c r="B410" s="147">
        <v>1</v>
      </c>
      <c r="C410" s="147" t="str">
        <f t="shared" si="91"/>
        <v>20351</v>
      </c>
      <c r="D410" s="147" t="str">
        <f t="shared" si="95"/>
        <v>Q1</v>
      </c>
      <c r="E410" s="151">
        <f t="shared" si="96"/>
        <v>225527.41153885462</v>
      </c>
      <c r="F410" s="151">
        <f t="shared" si="96"/>
        <v>223274.90299999999</v>
      </c>
      <c r="G410" s="151">
        <f t="shared" si="92"/>
        <v>4874.0230000000001</v>
      </c>
      <c r="H410" s="151">
        <f t="shared" si="93"/>
        <v>5101.0060000000003</v>
      </c>
      <c r="I410" s="151">
        <f t="shared" si="90"/>
        <v>2050.752</v>
      </c>
      <c r="J410" s="284">
        <f t="shared" si="94"/>
        <v>1.0088498566516613E-2</v>
      </c>
      <c r="K410" s="147"/>
      <c r="L410" s="147"/>
    </row>
    <row r="411" spans="1:12" s="170" customFormat="1" x14ac:dyDescent="0.2">
      <c r="A411" s="147">
        <v>2035</v>
      </c>
      <c r="B411" s="147">
        <v>2</v>
      </c>
      <c r="C411" s="147" t="str">
        <f t="shared" si="91"/>
        <v>20352</v>
      </c>
      <c r="D411" s="147" t="str">
        <f t="shared" si="95"/>
        <v>Q1</v>
      </c>
      <c r="E411" s="151">
        <f t="shared" si="96"/>
        <v>225527.41153885462</v>
      </c>
      <c r="F411" s="151">
        <f t="shared" si="96"/>
        <v>223274.90299999999</v>
      </c>
      <c r="G411" s="151">
        <f t="shared" si="92"/>
        <v>4874.0230000000001</v>
      </c>
      <c r="H411" s="151">
        <f t="shared" si="93"/>
        <v>5101.0060000000003</v>
      </c>
      <c r="I411" s="151">
        <f t="shared" si="90"/>
        <v>2050.752</v>
      </c>
      <c r="J411" s="284">
        <f t="shared" si="94"/>
        <v>1.0088498566516613E-2</v>
      </c>
      <c r="K411" s="147"/>
      <c r="L411" s="147"/>
    </row>
    <row r="412" spans="1:12" s="170" customFormat="1" x14ac:dyDescent="0.2">
      <c r="A412" s="147">
        <v>2035</v>
      </c>
      <c r="B412" s="147">
        <v>3</v>
      </c>
      <c r="C412" s="147" t="str">
        <f t="shared" si="91"/>
        <v>20353</v>
      </c>
      <c r="D412" s="147" t="str">
        <f t="shared" si="95"/>
        <v>Q1</v>
      </c>
      <c r="E412" s="151">
        <f t="shared" si="96"/>
        <v>225527.41153885462</v>
      </c>
      <c r="F412" s="151">
        <f t="shared" si="96"/>
        <v>223274.90299999999</v>
      </c>
      <c r="G412" s="151">
        <f t="shared" si="92"/>
        <v>4874.0230000000001</v>
      </c>
      <c r="H412" s="151">
        <f t="shared" si="93"/>
        <v>5101.0060000000003</v>
      </c>
      <c r="I412" s="151">
        <f t="shared" si="90"/>
        <v>2050.752</v>
      </c>
      <c r="J412" s="284">
        <f t="shared" si="94"/>
        <v>1.0088498566516613E-2</v>
      </c>
      <c r="K412" s="147"/>
      <c r="L412" s="147"/>
    </row>
    <row r="413" spans="1:12" s="170" customFormat="1" x14ac:dyDescent="0.2">
      <c r="A413" s="147">
        <v>2035</v>
      </c>
      <c r="B413" s="147">
        <v>4</v>
      </c>
      <c r="C413" s="147" t="str">
        <f t="shared" si="91"/>
        <v>20354</v>
      </c>
      <c r="D413" s="147" t="str">
        <f t="shared" si="95"/>
        <v>Q2</v>
      </c>
      <c r="E413" s="151">
        <f t="shared" si="96"/>
        <v>226461.76289008776</v>
      </c>
      <c r="F413" s="151">
        <f t="shared" si="96"/>
        <v>224274.87700000001</v>
      </c>
      <c r="G413" s="151">
        <f t="shared" si="92"/>
        <v>4878.0569999999998</v>
      </c>
      <c r="H413" s="151">
        <f t="shared" si="93"/>
        <v>5107.7510000000002</v>
      </c>
      <c r="I413" s="151">
        <f t="shared" si="90"/>
        <v>2054.154</v>
      </c>
      <c r="J413" s="284">
        <f t="shared" si="94"/>
        <v>9.75091779935644E-3</v>
      </c>
      <c r="K413" s="147"/>
      <c r="L413" s="147"/>
    </row>
    <row r="414" spans="1:12" s="170" customFormat="1" x14ac:dyDescent="0.2">
      <c r="A414" s="147">
        <v>2035</v>
      </c>
      <c r="B414" s="147">
        <v>5</v>
      </c>
      <c r="C414" s="147" t="str">
        <f t="shared" si="91"/>
        <v>20355</v>
      </c>
      <c r="D414" s="147" t="str">
        <f t="shared" si="95"/>
        <v>Q2</v>
      </c>
      <c r="E414" s="151">
        <f t="shared" si="96"/>
        <v>226461.76289008776</v>
      </c>
      <c r="F414" s="151">
        <f t="shared" si="96"/>
        <v>224274.87700000001</v>
      </c>
      <c r="G414" s="151">
        <f t="shared" si="92"/>
        <v>4878.0569999999998</v>
      </c>
      <c r="H414" s="151">
        <f t="shared" si="93"/>
        <v>5107.7510000000002</v>
      </c>
      <c r="I414" s="151">
        <f t="shared" si="90"/>
        <v>2054.154</v>
      </c>
      <c r="J414" s="284">
        <f t="shared" si="94"/>
        <v>9.75091779935644E-3</v>
      </c>
      <c r="K414" s="147"/>
      <c r="L414" s="147"/>
    </row>
    <row r="415" spans="1:12" s="170" customFormat="1" x14ac:dyDescent="0.2">
      <c r="A415" s="147">
        <v>2035</v>
      </c>
      <c r="B415" s="147">
        <v>6</v>
      </c>
      <c r="C415" s="147" t="str">
        <f t="shared" si="91"/>
        <v>20356</v>
      </c>
      <c r="D415" s="147" t="str">
        <f t="shared" si="95"/>
        <v>Q2</v>
      </c>
      <c r="E415" s="151">
        <f t="shared" si="96"/>
        <v>226461.76289008776</v>
      </c>
      <c r="F415" s="151">
        <f t="shared" si="96"/>
        <v>224274.87700000001</v>
      </c>
      <c r="G415" s="151">
        <f t="shared" si="92"/>
        <v>4878.0569999999998</v>
      </c>
      <c r="H415" s="151">
        <f t="shared" si="93"/>
        <v>5107.7510000000002</v>
      </c>
      <c r="I415" s="151">
        <f t="shared" si="90"/>
        <v>2054.154</v>
      </c>
      <c r="J415" s="284">
        <f t="shared" si="94"/>
        <v>9.75091779935644E-3</v>
      </c>
      <c r="K415" s="147"/>
      <c r="L415" s="147"/>
    </row>
    <row r="416" spans="1:12" s="170" customFormat="1" x14ac:dyDescent="0.2">
      <c r="A416" s="147">
        <v>2035</v>
      </c>
      <c r="B416" s="147">
        <v>7</v>
      </c>
      <c r="C416" s="147" t="str">
        <f t="shared" si="91"/>
        <v>20357</v>
      </c>
      <c r="D416" s="147" t="str">
        <f t="shared" si="95"/>
        <v>Q3</v>
      </c>
      <c r="E416" s="151">
        <f t="shared" si="96"/>
        <v>227297.86248107164</v>
      </c>
      <c r="F416" s="151">
        <f t="shared" si="96"/>
        <v>225199.902</v>
      </c>
      <c r="G416" s="151">
        <f t="shared" si="92"/>
        <v>4882.0609999999997</v>
      </c>
      <c r="H416" s="151">
        <f t="shared" si="93"/>
        <v>5114.4719999999998</v>
      </c>
      <c r="I416" s="151">
        <f t="shared" si="90"/>
        <v>2057.52</v>
      </c>
      <c r="J416" s="284">
        <f t="shared" si="94"/>
        <v>9.3159919806342639E-3</v>
      </c>
      <c r="K416" s="147"/>
      <c r="L416" s="147"/>
    </row>
    <row r="417" spans="1:12" s="170" customFormat="1" x14ac:dyDescent="0.2">
      <c r="A417" s="147">
        <v>2035</v>
      </c>
      <c r="B417" s="147">
        <v>8</v>
      </c>
      <c r="C417" s="147" t="str">
        <f t="shared" si="91"/>
        <v>20358</v>
      </c>
      <c r="D417" s="147" t="str">
        <f t="shared" si="95"/>
        <v>Q3</v>
      </c>
      <c r="E417" s="151">
        <f t="shared" si="96"/>
        <v>227297.86248107164</v>
      </c>
      <c r="F417" s="151">
        <f t="shared" si="96"/>
        <v>225199.902</v>
      </c>
      <c r="G417" s="151">
        <f t="shared" si="92"/>
        <v>4882.0609999999997</v>
      </c>
      <c r="H417" s="151">
        <f t="shared" si="93"/>
        <v>5114.4719999999998</v>
      </c>
      <c r="I417" s="151">
        <f t="shared" si="90"/>
        <v>2057.52</v>
      </c>
      <c r="J417" s="284">
        <f t="shared" si="94"/>
        <v>9.3159919806342639E-3</v>
      </c>
      <c r="K417" s="147"/>
      <c r="L417" s="147"/>
    </row>
    <row r="418" spans="1:12" s="170" customFormat="1" x14ac:dyDescent="0.2">
      <c r="A418" s="147">
        <v>2035</v>
      </c>
      <c r="B418" s="147">
        <v>9</v>
      </c>
      <c r="C418" s="147" t="str">
        <f t="shared" si="91"/>
        <v>20359</v>
      </c>
      <c r="D418" s="147" t="str">
        <f t="shared" si="95"/>
        <v>Q3</v>
      </c>
      <c r="E418" s="151">
        <f t="shared" si="96"/>
        <v>227297.86248107164</v>
      </c>
      <c r="F418" s="151">
        <f t="shared" si="96"/>
        <v>225199.902</v>
      </c>
      <c r="G418" s="151">
        <f t="shared" si="92"/>
        <v>4882.0609999999997</v>
      </c>
      <c r="H418" s="151">
        <f t="shared" si="93"/>
        <v>5114.4719999999998</v>
      </c>
      <c r="I418" s="151">
        <f t="shared" si="90"/>
        <v>2057.52</v>
      </c>
      <c r="J418" s="284">
        <f t="shared" si="94"/>
        <v>9.3159919806342639E-3</v>
      </c>
      <c r="K418" s="147"/>
      <c r="L418" s="147"/>
    </row>
    <row r="419" spans="1:12" s="170" customFormat="1" x14ac:dyDescent="0.2">
      <c r="A419" s="147">
        <v>2035</v>
      </c>
      <c r="B419" s="147">
        <v>10</v>
      </c>
      <c r="C419" s="147" t="str">
        <f t="shared" si="91"/>
        <v>203510</v>
      </c>
      <c r="D419" s="147" t="str">
        <f t="shared" si="95"/>
        <v>Q4</v>
      </c>
      <c r="E419" s="151">
        <f t="shared" si="96"/>
        <v>228101.47806925458</v>
      </c>
      <c r="F419" s="151">
        <f t="shared" si="96"/>
        <v>226081.57399999999</v>
      </c>
      <c r="G419" s="151">
        <f t="shared" si="92"/>
        <v>4886.0249999999996</v>
      </c>
      <c r="H419" s="151">
        <f t="shared" si="93"/>
        <v>5121.1570000000002</v>
      </c>
      <c r="I419" s="151">
        <f t="shared" si="90"/>
        <v>2060.8620000000001</v>
      </c>
      <c r="J419" s="284">
        <f t="shared" si="94"/>
        <v>8.9344037796490472E-3</v>
      </c>
      <c r="K419" s="147"/>
      <c r="L419" s="147"/>
    </row>
    <row r="420" spans="1:12" s="170" customFormat="1" x14ac:dyDescent="0.2">
      <c r="A420" s="147">
        <v>2035</v>
      </c>
      <c r="B420" s="147">
        <v>11</v>
      </c>
      <c r="C420" s="147" t="str">
        <f t="shared" si="91"/>
        <v>203511</v>
      </c>
      <c r="D420" s="147" t="str">
        <f t="shared" si="95"/>
        <v>Q4</v>
      </c>
      <c r="E420" s="151">
        <f t="shared" si="96"/>
        <v>228101.47806925458</v>
      </c>
      <c r="F420" s="151">
        <f t="shared" si="96"/>
        <v>226081.57399999999</v>
      </c>
      <c r="G420" s="151">
        <f t="shared" si="92"/>
        <v>4886.0249999999996</v>
      </c>
      <c r="H420" s="151">
        <f t="shared" si="93"/>
        <v>5121.1570000000002</v>
      </c>
      <c r="I420" s="151">
        <f t="shared" si="90"/>
        <v>2060.8620000000001</v>
      </c>
      <c r="J420" s="284">
        <f t="shared" si="94"/>
        <v>8.9344037796490472E-3</v>
      </c>
      <c r="K420" s="147"/>
      <c r="L420" s="147"/>
    </row>
    <row r="421" spans="1:12" s="170" customFormat="1" x14ac:dyDescent="0.2">
      <c r="A421" s="147">
        <v>2035</v>
      </c>
      <c r="B421" s="147">
        <v>12</v>
      </c>
      <c r="C421" s="147" t="str">
        <f t="shared" si="91"/>
        <v>203512</v>
      </c>
      <c r="D421" s="147" t="str">
        <f t="shared" si="95"/>
        <v>Q4</v>
      </c>
      <c r="E421" s="151">
        <f t="shared" si="96"/>
        <v>228101.47806925458</v>
      </c>
      <c r="F421" s="151">
        <f t="shared" si="96"/>
        <v>226081.57399999999</v>
      </c>
      <c r="G421" s="151">
        <f t="shared" si="92"/>
        <v>4886.0249999999996</v>
      </c>
      <c r="H421" s="151">
        <f t="shared" si="93"/>
        <v>5121.1570000000002</v>
      </c>
      <c r="I421" s="151">
        <f t="shared" si="90"/>
        <v>2060.8620000000001</v>
      </c>
      <c r="J421" s="284">
        <f t="shared" si="94"/>
        <v>8.9344037796490472E-3</v>
      </c>
      <c r="K421" s="147"/>
      <c r="L421" s="147"/>
    </row>
    <row r="422" spans="1:12" s="170" customFormat="1" x14ac:dyDescent="0.2">
      <c r="A422" s="147">
        <v>2036</v>
      </c>
      <c r="B422" s="147">
        <v>1</v>
      </c>
      <c r="C422" s="147" t="str">
        <f t="shared" si="91"/>
        <v>20361</v>
      </c>
      <c r="D422" s="147" t="str">
        <f t="shared" si="95"/>
        <v>Q1</v>
      </c>
      <c r="E422" s="151">
        <f t="shared" ref="E422:F441" si="97">VLOOKUP($A422&amp;$D422,$O$1:$V$189,MATCH(E$1,$O$1:$V$1,0),0)</f>
        <v>229844.3734857724</v>
      </c>
      <c r="F422" s="151">
        <f t="shared" si="97"/>
        <v>227897.829</v>
      </c>
      <c r="G422" s="151">
        <f t="shared" si="92"/>
        <v>4889.9740000000002</v>
      </c>
      <c r="H422" s="151">
        <f t="shared" si="93"/>
        <v>5127.8339999999998</v>
      </c>
      <c r="I422" s="151">
        <f t="shared" si="90"/>
        <v>2064.0509999999999</v>
      </c>
      <c r="J422" s="284">
        <f t="shared" si="94"/>
        <v>8.5413033301533492E-3</v>
      </c>
      <c r="K422" s="147"/>
      <c r="L422" s="147"/>
    </row>
    <row r="423" spans="1:12" s="170" customFormat="1" x14ac:dyDescent="0.2">
      <c r="A423" s="147">
        <v>2036</v>
      </c>
      <c r="B423" s="147">
        <v>2</v>
      </c>
      <c r="C423" s="147" t="str">
        <f t="shared" si="91"/>
        <v>20362</v>
      </c>
      <c r="D423" s="147" t="str">
        <f t="shared" si="95"/>
        <v>Q1</v>
      </c>
      <c r="E423" s="151">
        <f t="shared" si="97"/>
        <v>229844.3734857724</v>
      </c>
      <c r="F423" s="151">
        <f t="shared" si="97"/>
        <v>227897.829</v>
      </c>
      <c r="G423" s="151">
        <f t="shared" si="92"/>
        <v>4889.9740000000002</v>
      </c>
      <c r="H423" s="151">
        <f t="shared" si="93"/>
        <v>5127.8339999999998</v>
      </c>
      <c r="I423" s="151">
        <f t="shared" si="90"/>
        <v>2064.0509999999999</v>
      </c>
      <c r="J423" s="284">
        <f t="shared" si="94"/>
        <v>8.5413033301533492E-3</v>
      </c>
      <c r="K423" s="147"/>
      <c r="L423" s="147"/>
    </row>
    <row r="424" spans="1:12" s="170" customFormat="1" x14ac:dyDescent="0.2">
      <c r="A424" s="147">
        <v>2036</v>
      </c>
      <c r="B424" s="147">
        <v>3</v>
      </c>
      <c r="C424" s="147" t="str">
        <f t="shared" si="91"/>
        <v>20363</v>
      </c>
      <c r="D424" s="147" t="str">
        <f t="shared" si="95"/>
        <v>Q1</v>
      </c>
      <c r="E424" s="151">
        <f t="shared" si="97"/>
        <v>229844.3734857724</v>
      </c>
      <c r="F424" s="151">
        <f t="shared" si="97"/>
        <v>227897.829</v>
      </c>
      <c r="G424" s="151">
        <f t="shared" si="92"/>
        <v>4889.9740000000002</v>
      </c>
      <c r="H424" s="151">
        <f t="shared" si="93"/>
        <v>5127.8339999999998</v>
      </c>
      <c r="I424" s="151">
        <f t="shared" si="90"/>
        <v>2064.0509999999999</v>
      </c>
      <c r="J424" s="284">
        <f t="shared" si="94"/>
        <v>8.5413033301533492E-3</v>
      </c>
      <c r="K424" s="147"/>
      <c r="L424" s="147"/>
    </row>
    <row r="425" spans="1:12" s="170" customFormat="1" x14ac:dyDescent="0.2">
      <c r="A425" s="147">
        <v>2036</v>
      </c>
      <c r="B425" s="147">
        <v>4</v>
      </c>
      <c r="C425" s="147" t="str">
        <f t="shared" si="91"/>
        <v>20364</v>
      </c>
      <c r="D425" s="147" t="str">
        <f t="shared" si="95"/>
        <v>Q2</v>
      </c>
      <c r="E425" s="151">
        <f t="shared" si="97"/>
        <v>230765.78295090122</v>
      </c>
      <c r="F425" s="151">
        <f t="shared" si="97"/>
        <v>228888.74400000001</v>
      </c>
      <c r="G425" s="151">
        <f t="shared" si="92"/>
        <v>4893.9210000000003</v>
      </c>
      <c r="H425" s="151">
        <f t="shared" si="93"/>
        <v>5134.5159999999996</v>
      </c>
      <c r="I425" s="151">
        <f t="shared" si="90"/>
        <v>2067.4560000000001</v>
      </c>
      <c r="J425" s="284">
        <f t="shared" si="94"/>
        <v>8.2006608018314608E-3</v>
      </c>
      <c r="K425" s="147"/>
      <c r="L425" s="147"/>
    </row>
    <row r="426" spans="1:12" s="170" customFormat="1" x14ac:dyDescent="0.2">
      <c r="A426" s="147">
        <v>2036</v>
      </c>
      <c r="B426" s="147">
        <v>5</v>
      </c>
      <c r="C426" s="147" t="str">
        <f t="shared" si="91"/>
        <v>20365</v>
      </c>
      <c r="D426" s="147" t="str">
        <f t="shared" si="95"/>
        <v>Q2</v>
      </c>
      <c r="E426" s="151">
        <f t="shared" si="97"/>
        <v>230765.78295090122</v>
      </c>
      <c r="F426" s="151">
        <f t="shared" si="97"/>
        <v>228888.74400000001</v>
      </c>
      <c r="G426" s="151">
        <f t="shared" si="92"/>
        <v>4893.9210000000003</v>
      </c>
      <c r="H426" s="151">
        <f t="shared" si="93"/>
        <v>5134.5159999999996</v>
      </c>
      <c r="I426" s="151">
        <f t="shared" si="90"/>
        <v>2067.4560000000001</v>
      </c>
      <c r="J426" s="284">
        <f t="shared" si="94"/>
        <v>8.2006608018314608E-3</v>
      </c>
      <c r="K426" s="147"/>
      <c r="L426" s="147"/>
    </row>
    <row r="427" spans="1:12" s="170" customFormat="1" x14ac:dyDescent="0.2">
      <c r="A427" s="147">
        <v>2036</v>
      </c>
      <c r="B427" s="147">
        <v>6</v>
      </c>
      <c r="C427" s="147" t="str">
        <f t="shared" si="91"/>
        <v>20366</v>
      </c>
      <c r="D427" s="147" t="str">
        <f t="shared" si="95"/>
        <v>Q2</v>
      </c>
      <c r="E427" s="151">
        <f t="shared" si="97"/>
        <v>230765.78295090122</v>
      </c>
      <c r="F427" s="151">
        <f t="shared" si="97"/>
        <v>228888.74400000001</v>
      </c>
      <c r="G427" s="151">
        <f t="shared" si="92"/>
        <v>4893.9210000000003</v>
      </c>
      <c r="H427" s="151">
        <f t="shared" si="93"/>
        <v>5134.5159999999996</v>
      </c>
      <c r="I427" s="151">
        <f t="shared" si="90"/>
        <v>2067.4560000000001</v>
      </c>
      <c r="J427" s="284">
        <f t="shared" si="94"/>
        <v>8.2006608018314608E-3</v>
      </c>
      <c r="K427" s="147"/>
      <c r="L427" s="147"/>
    </row>
    <row r="428" spans="1:12" s="170" customFormat="1" x14ac:dyDescent="0.2">
      <c r="A428" s="147">
        <v>2036</v>
      </c>
      <c r="B428" s="147">
        <v>7</v>
      </c>
      <c r="C428" s="147" t="str">
        <f t="shared" si="91"/>
        <v>20367</v>
      </c>
      <c r="D428" s="147" t="str">
        <f t="shared" si="95"/>
        <v>Q3</v>
      </c>
      <c r="E428" s="151">
        <f t="shared" si="97"/>
        <v>231582.87755786235</v>
      </c>
      <c r="F428" s="151">
        <f t="shared" si="97"/>
        <v>229812.7</v>
      </c>
      <c r="G428" s="151">
        <f t="shared" si="92"/>
        <v>4897.8549999999996</v>
      </c>
      <c r="H428" s="151">
        <f t="shared" si="93"/>
        <v>5141.1930000000002</v>
      </c>
      <c r="I428" s="151">
        <f t="shared" si="90"/>
        <v>2070.819</v>
      </c>
      <c r="J428" s="284">
        <f t="shared" si="94"/>
        <v>7.702696839044787E-3</v>
      </c>
      <c r="K428" s="147"/>
      <c r="L428" s="147"/>
    </row>
    <row r="429" spans="1:12" s="170" customFormat="1" x14ac:dyDescent="0.2">
      <c r="A429" s="147">
        <v>2036</v>
      </c>
      <c r="B429" s="147">
        <v>8</v>
      </c>
      <c r="C429" s="147" t="str">
        <f t="shared" si="91"/>
        <v>20368</v>
      </c>
      <c r="D429" s="147" t="str">
        <f t="shared" si="95"/>
        <v>Q3</v>
      </c>
      <c r="E429" s="151">
        <f t="shared" si="97"/>
        <v>231582.87755786235</v>
      </c>
      <c r="F429" s="151">
        <f t="shared" si="97"/>
        <v>229812.7</v>
      </c>
      <c r="G429" s="151">
        <f t="shared" si="92"/>
        <v>4897.8549999999996</v>
      </c>
      <c r="H429" s="151">
        <f t="shared" si="93"/>
        <v>5141.1930000000002</v>
      </c>
      <c r="I429" s="151">
        <f t="shared" si="90"/>
        <v>2070.819</v>
      </c>
      <c r="J429" s="284">
        <f t="shared" si="94"/>
        <v>7.702696839044787E-3</v>
      </c>
      <c r="K429" s="147"/>
      <c r="L429" s="147"/>
    </row>
    <row r="430" spans="1:12" s="170" customFormat="1" x14ac:dyDescent="0.2">
      <c r="A430" s="147">
        <v>2036</v>
      </c>
      <c r="B430" s="147">
        <v>9</v>
      </c>
      <c r="C430" s="147" t="str">
        <f t="shared" si="91"/>
        <v>20369</v>
      </c>
      <c r="D430" s="147" t="str">
        <f t="shared" si="95"/>
        <v>Q3</v>
      </c>
      <c r="E430" s="151">
        <f t="shared" si="97"/>
        <v>231582.87755786235</v>
      </c>
      <c r="F430" s="151">
        <f t="shared" si="97"/>
        <v>229812.7</v>
      </c>
      <c r="G430" s="151">
        <f t="shared" si="92"/>
        <v>4897.8549999999996</v>
      </c>
      <c r="H430" s="151">
        <f t="shared" si="93"/>
        <v>5141.1930000000002</v>
      </c>
      <c r="I430" s="151">
        <f t="shared" si="90"/>
        <v>2070.819</v>
      </c>
      <c r="J430" s="284">
        <f t="shared" si="94"/>
        <v>7.702696839044787E-3</v>
      </c>
      <c r="K430" s="147"/>
      <c r="L430" s="147"/>
    </row>
    <row r="431" spans="1:12" s="170" customFormat="1" x14ac:dyDescent="0.2">
      <c r="A431" s="147">
        <v>2036</v>
      </c>
      <c r="B431" s="147">
        <v>10</v>
      </c>
      <c r="C431" s="147" t="str">
        <f t="shared" si="91"/>
        <v>203610</v>
      </c>
      <c r="D431" s="147" t="str">
        <f t="shared" si="95"/>
        <v>Q4</v>
      </c>
      <c r="E431" s="151">
        <f t="shared" si="97"/>
        <v>232376.24896003361</v>
      </c>
      <c r="F431" s="151">
        <f t="shared" si="97"/>
        <v>230688.69399999999</v>
      </c>
      <c r="G431" s="151">
        <f t="shared" si="92"/>
        <v>4901.7659999999996</v>
      </c>
      <c r="H431" s="151">
        <f t="shared" si="93"/>
        <v>5147.8509999999997</v>
      </c>
      <c r="I431" s="151">
        <f t="shared" si="90"/>
        <v>2074.0059999999999</v>
      </c>
      <c r="J431" s="284">
        <f t="shared" si="94"/>
        <v>7.3152911431091372E-3</v>
      </c>
      <c r="K431" s="147"/>
      <c r="L431" s="147"/>
    </row>
    <row r="432" spans="1:12" s="170" customFormat="1" x14ac:dyDescent="0.2">
      <c r="A432" s="147">
        <v>2036</v>
      </c>
      <c r="B432" s="147">
        <v>11</v>
      </c>
      <c r="C432" s="147" t="str">
        <f t="shared" si="91"/>
        <v>203611</v>
      </c>
      <c r="D432" s="147" t="str">
        <f t="shared" si="95"/>
        <v>Q4</v>
      </c>
      <c r="E432" s="151">
        <f t="shared" si="97"/>
        <v>232376.24896003361</v>
      </c>
      <c r="F432" s="151">
        <f t="shared" si="97"/>
        <v>230688.69399999999</v>
      </c>
      <c r="G432" s="151">
        <f t="shared" si="92"/>
        <v>4901.7659999999996</v>
      </c>
      <c r="H432" s="151">
        <f t="shared" si="93"/>
        <v>5147.8509999999997</v>
      </c>
      <c r="I432" s="151">
        <f t="shared" si="90"/>
        <v>2074.0059999999999</v>
      </c>
      <c r="J432" s="284">
        <f t="shared" si="94"/>
        <v>7.3152911431091372E-3</v>
      </c>
      <c r="K432" s="147"/>
      <c r="L432" s="147"/>
    </row>
    <row r="433" spans="1:12" s="170" customFormat="1" x14ac:dyDescent="0.2">
      <c r="A433" s="147">
        <v>2036</v>
      </c>
      <c r="B433" s="147">
        <v>12</v>
      </c>
      <c r="C433" s="147" t="str">
        <f t="shared" si="91"/>
        <v>203612</v>
      </c>
      <c r="D433" s="147" t="str">
        <f t="shared" si="95"/>
        <v>Q4</v>
      </c>
      <c r="E433" s="151">
        <f t="shared" si="97"/>
        <v>232376.24896003361</v>
      </c>
      <c r="F433" s="151">
        <f t="shared" si="97"/>
        <v>230688.69399999999</v>
      </c>
      <c r="G433" s="151">
        <f t="shared" si="92"/>
        <v>4901.7659999999996</v>
      </c>
      <c r="H433" s="151">
        <f t="shared" si="93"/>
        <v>5147.8509999999997</v>
      </c>
      <c r="I433" s="151">
        <f t="shared" si="90"/>
        <v>2074.0059999999999</v>
      </c>
      <c r="J433" s="284">
        <f t="shared" si="94"/>
        <v>7.3152911431091372E-3</v>
      </c>
      <c r="K433" s="147"/>
      <c r="L433" s="147"/>
    </row>
    <row r="434" spans="1:12" s="170" customFormat="1" x14ac:dyDescent="0.2">
      <c r="A434" s="147">
        <v>2037</v>
      </c>
      <c r="B434" s="147">
        <v>1</v>
      </c>
      <c r="C434" s="147" t="str">
        <f t="shared" si="91"/>
        <v>20371</v>
      </c>
      <c r="D434" s="147" t="str">
        <f t="shared" si="95"/>
        <v>Q1</v>
      </c>
      <c r="E434" s="151">
        <f t="shared" si="97"/>
        <v>234041.8878051943</v>
      </c>
      <c r="F434" s="151">
        <f t="shared" si="97"/>
        <v>232435.19899999999</v>
      </c>
      <c r="G434" s="151">
        <f t="shared" si="92"/>
        <v>4905.6639999999998</v>
      </c>
      <c r="H434" s="151">
        <f t="shared" si="93"/>
        <v>5154.5029999999997</v>
      </c>
      <c r="I434" s="151">
        <f t="shared" si="90"/>
        <v>2077.4059999999999</v>
      </c>
      <c r="J434" s="284">
        <f t="shared" si="94"/>
        <v>6.9124160716911298E-3</v>
      </c>
      <c r="K434" s="147"/>
      <c r="L434" s="147"/>
    </row>
    <row r="435" spans="1:12" s="170" customFormat="1" x14ac:dyDescent="0.2">
      <c r="A435" s="147">
        <v>2037</v>
      </c>
      <c r="B435" s="147">
        <v>2</v>
      </c>
      <c r="C435" s="147" t="str">
        <f t="shared" si="91"/>
        <v>20372</v>
      </c>
      <c r="D435" s="147" t="str">
        <f t="shared" si="95"/>
        <v>Q1</v>
      </c>
      <c r="E435" s="151">
        <f t="shared" si="97"/>
        <v>234041.8878051943</v>
      </c>
      <c r="F435" s="151">
        <f t="shared" si="97"/>
        <v>232435.19899999999</v>
      </c>
      <c r="G435" s="151">
        <f t="shared" si="92"/>
        <v>4905.6639999999998</v>
      </c>
      <c r="H435" s="151">
        <f t="shared" si="93"/>
        <v>5154.5029999999997</v>
      </c>
      <c r="I435" s="151">
        <f t="shared" si="90"/>
        <v>2077.4059999999999</v>
      </c>
      <c r="J435" s="284">
        <f t="shared" si="94"/>
        <v>6.9124160716911298E-3</v>
      </c>
      <c r="K435" s="147"/>
      <c r="L435" s="147"/>
    </row>
    <row r="436" spans="1:12" s="170" customFormat="1" x14ac:dyDescent="0.2">
      <c r="A436" s="147">
        <v>2037</v>
      </c>
      <c r="B436" s="147">
        <v>3</v>
      </c>
      <c r="C436" s="147" t="str">
        <f t="shared" si="91"/>
        <v>20373</v>
      </c>
      <c r="D436" s="147" t="str">
        <f t="shared" si="95"/>
        <v>Q1</v>
      </c>
      <c r="E436" s="151">
        <f t="shared" si="97"/>
        <v>234041.8878051943</v>
      </c>
      <c r="F436" s="151">
        <f t="shared" si="97"/>
        <v>232435.19899999999</v>
      </c>
      <c r="G436" s="151">
        <f t="shared" si="92"/>
        <v>4905.6639999999998</v>
      </c>
      <c r="H436" s="151">
        <f t="shared" si="93"/>
        <v>5154.5029999999997</v>
      </c>
      <c r="I436" s="151">
        <f t="shared" si="90"/>
        <v>2077.4059999999999</v>
      </c>
      <c r="J436" s="284">
        <f t="shared" si="94"/>
        <v>6.9124160716911298E-3</v>
      </c>
      <c r="K436" s="147"/>
      <c r="L436" s="147"/>
    </row>
    <row r="437" spans="1:12" s="170" customFormat="1" x14ac:dyDescent="0.2">
      <c r="A437" s="147">
        <v>2037</v>
      </c>
      <c r="B437" s="147">
        <v>4</v>
      </c>
      <c r="C437" s="147" t="str">
        <f t="shared" si="91"/>
        <v>20374</v>
      </c>
      <c r="D437" s="147" t="str">
        <f t="shared" si="95"/>
        <v>Q2</v>
      </c>
      <c r="E437" s="151">
        <f t="shared" si="97"/>
        <v>235014.92108753874</v>
      </c>
      <c r="F437" s="151">
        <f t="shared" si="97"/>
        <v>233443.413</v>
      </c>
      <c r="G437" s="151">
        <f t="shared" si="92"/>
        <v>4909.5519999999997</v>
      </c>
      <c r="H437" s="151">
        <f t="shared" si="93"/>
        <v>5161.152</v>
      </c>
      <c r="I437" s="151">
        <f t="shared" si="90"/>
        <v>2080.7649999999999</v>
      </c>
      <c r="J437" s="284">
        <f t="shared" si="94"/>
        <v>6.7318587718674383E-3</v>
      </c>
      <c r="K437" s="147"/>
      <c r="L437" s="147"/>
    </row>
    <row r="438" spans="1:12" s="170" customFormat="1" x14ac:dyDescent="0.2">
      <c r="A438" s="147">
        <v>2037</v>
      </c>
      <c r="B438" s="147">
        <v>5</v>
      </c>
      <c r="C438" s="147" t="str">
        <f t="shared" si="91"/>
        <v>20375</v>
      </c>
      <c r="D438" s="147" t="str">
        <f t="shared" si="95"/>
        <v>Q2</v>
      </c>
      <c r="E438" s="151">
        <f t="shared" si="97"/>
        <v>235014.92108753874</v>
      </c>
      <c r="F438" s="151">
        <f t="shared" si="97"/>
        <v>233443.413</v>
      </c>
      <c r="G438" s="151">
        <f t="shared" si="92"/>
        <v>4909.5519999999997</v>
      </c>
      <c r="H438" s="151">
        <f t="shared" si="93"/>
        <v>5161.152</v>
      </c>
      <c r="I438" s="151">
        <f t="shared" si="90"/>
        <v>2080.7649999999999</v>
      </c>
      <c r="J438" s="284">
        <f t="shared" si="94"/>
        <v>6.7318587718674383E-3</v>
      </c>
      <c r="K438" s="147"/>
      <c r="L438" s="147"/>
    </row>
    <row r="439" spans="1:12" s="170" customFormat="1" x14ac:dyDescent="0.2">
      <c r="A439" s="147">
        <v>2037</v>
      </c>
      <c r="B439" s="147">
        <v>6</v>
      </c>
      <c r="C439" s="147" t="str">
        <f t="shared" si="91"/>
        <v>20376</v>
      </c>
      <c r="D439" s="147" t="str">
        <f t="shared" si="95"/>
        <v>Q2</v>
      </c>
      <c r="E439" s="151">
        <f t="shared" si="97"/>
        <v>235014.92108753874</v>
      </c>
      <c r="F439" s="151">
        <f t="shared" si="97"/>
        <v>233443.413</v>
      </c>
      <c r="G439" s="151">
        <f t="shared" si="92"/>
        <v>4909.5519999999997</v>
      </c>
      <c r="H439" s="151">
        <f t="shared" si="93"/>
        <v>5161.152</v>
      </c>
      <c r="I439" s="151">
        <f t="shared" si="90"/>
        <v>2080.7649999999999</v>
      </c>
      <c r="J439" s="284">
        <f t="shared" si="94"/>
        <v>6.7318587718674383E-3</v>
      </c>
      <c r="K439" s="147"/>
      <c r="L439" s="147"/>
    </row>
    <row r="440" spans="1:12" s="170" customFormat="1" x14ac:dyDescent="0.2">
      <c r="A440" s="147">
        <v>2037</v>
      </c>
      <c r="B440" s="147">
        <v>7</v>
      </c>
      <c r="C440" s="147" t="str">
        <f t="shared" si="91"/>
        <v>20377</v>
      </c>
      <c r="D440" s="147" t="str">
        <f t="shared" si="95"/>
        <v>Q3</v>
      </c>
      <c r="E440" s="151">
        <f t="shared" si="97"/>
        <v>235880.41418362912</v>
      </c>
      <c r="F440" s="151">
        <f t="shared" si="97"/>
        <v>234353.842</v>
      </c>
      <c r="G440" s="151">
        <f t="shared" si="92"/>
        <v>4913.4409999999998</v>
      </c>
      <c r="H440" s="151">
        <f t="shared" si="93"/>
        <v>5167.8109999999997</v>
      </c>
      <c r="I440" s="151">
        <f t="shared" si="90"/>
        <v>2084.1149999999998</v>
      </c>
      <c r="J440" s="284">
        <f t="shared" si="94"/>
        <v>6.513962692487496E-3</v>
      </c>
      <c r="K440" s="147"/>
      <c r="L440" s="147"/>
    </row>
    <row r="441" spans="1:12" s="170" customFormat="1" x14ac:dyDescent="0.2">
      <c r="A441" s="147">
        <v>2037</v>
      </c>
      <c r="B441" s="147">
        <v>8</v>
      </c>
      <c r="C441" s="147" t="str">
        <f t="shared" si="91"/>
        <v>20378</v>
      </c>
      <c r="D441" s="147" t="str">
        <f t="shared" si="95"/>
        <v>Q3</v>
      </c>
      <c r="E441" s="151">
        <f t="shared" si="97"/>
        <v>235880.41418362912</v>
      </c>
      <c r="F441" s="151">
        <f t="shared" si="97"/>
        <v>234353.842</v>
      </c>
      <c r="G441" s="151">
        <f t="shared" si="92"/>
        <v>4913.4409999999998</v>
      </c>
      <c r="H441" s="151">
        <f t="shared" si="93"/>
        <v>5167.8109999999997</v>
      </c>
      <c r="I441" s="151">
        <f t="shared" si="90"/>
        <v>2084.1149999999998</v>
      </c>
      <c r="J441" s="284">
        <f t="shared" si="94"/>
        <v>6.513962692487496E-3</v>
      </c>
      <c r="K441" s="147"/>
      <c r="L441" s="147"/>
    </row>
    <row r="442" spans="1:12" s="170" customFormat="1" x14ac:dyDescent="0.2">
      <c r="A442" s="147">
        <v>2037</v>
      </c>
      <c r="B442" s="147">
        <v>9</v>
      </c>
      <c r="C442" s="147" t="str">
        <f t="shared" si="91"/>
        <v>20379</v>
      </c>
      <c r="D442" s="147" t="str">
        <f t="shared" si="95"/>
        <v>Q3</v>
      </c>
      <c r="E442" s="151">
        <f t="shared" ref="E442:F461" si="98">VLOOKUP($A442&amp;$D442,$O$1:$V$189,MATCH(E$1,$O$1:$V$1,0),0)</f>
        <v>235880.41418362912</v>
      </c>
      <c r="F442" s="151">
        <f t="shared" si="98"/>
        <v>234353.842</v>
      </c>
      <c r="G442" s="151">
        <f t="shared" si="92"/>
        <v>4913.4409999999998</v>
      </c>
      <c r="H442" s="151">
        <f t="shared" si="93"/>
        <v>5167.8109999999997</v>
      </c>
      <c r="I442" s="151">
        <f t="shared" si="90"/>
        <v>2084.1149999999998</v>
      </c>
      <c r="J442" s="284">
        <f t="shared" si="94"/>
        <v>6.513962692487496E-3</v>
      </c>
      <c r="K442" s="147"/>
      <c r="L442" s="147"/>
    </row>
    <row r="443" spans="1:12" s="170" customFormat="1" x14ac:dyDescent="0.2">
      <c r="A443" s="147">
        <v>2037</v>
      </c>
      <c r="B443" s="147">
        <v>10</v>
      </c>
      <c r="C443" s="147" t="str">
        <f t="shared" si="91"/>
        <v>203710</v>
      </c>
      <c r="D443" s="147" t="str">
        <f t="shared" si="95"/>
        <v>Q4</v>
      </c>
      <c r="E443" s="151">
        <f t="shared" si="98"/>
        <v>236746.10323013621</v>
      </c>
      <c r="F443" s="151">
        <f t="shared" si="98"/>
        <v>235229.45199999999</v>
      </c>
      <c r="G443" s="151">
        <f t="shared" si="92"/>
        <v>4917.3090000000002</v>
      </c>
      <c r="H443" s="151">
        <f t="shared" si="93"/>
        <v>5174.4539999999997</v>
      </c>
      <c r="I443" s="151">
        <f t="shared" si="90"/>
        <v>2087.3009999999999</v>
      </c>
      <c r="J443" s="284">
        <f t="shared" si="94"/>
        <v>6.447539698966942E-3</v>
      </c>
      <c r="K443" s="147"/>
      <c r="L443" s="147"/>
    </row>
    <row r="444" spans="1:12" s="170" customFormat="1" x14ac:dyDescent="0.2">
      <c r="A444" s="147">
        <v>2037</v>
      </c>
      <c r="B444" s="147">
        <v>11</v>
      </c>
      <c r="C444" s="147" t="str">
        <f t="shared" si="91"/>
        <v>203711</v>
      </c>
      <c r="D444" s="147" t="str">
        <f t="shared" si="95"/>
        <v>Q4</v>
      </c>
      <c r="E444" s="151">
        <f t="shared" si="98"/>
        <v>236746.10323013621</v>
      </c>
      <c r="F444" s="151">
        <f t="shared" si="98"/>
        <v>235229.45199999999</v>
      </c>
      <c r="G444" s="151">
        <f t="shared" si="92"/>
        <v>4917.3090000000002</v>
      </c>
      <c r="H444" s="151">
        <f t="shared" si="93"/>
        <v>5174.4539999999997</v>
      </c>
      <c r="I444" s="151">
        <f t="shared" si="90"/>
        <v>2087.3009999999999</v>
      </c>
      <c r="J444" s="284">
        <f t="shared" si="94"/>
        <v>6.447539698966942E-3</v>
      </c>
      <c r="K444" s="147"/>
      <c r="L444" s="147"/>
    </row>
    <row r="445" spans="1:12" s="170" customFormat="1" x14ac:dyDescent="0.2">
      <c r="A445" s="147">
        <v>2037</v>
      </c>
      <c r="B445" s="147">
        <v>12</v>
      </c>
      <c r="C445" s="147" t="str">
        <f t="shared" si="91"/>
        <v>203712</v>
      </c>
      <c r="D445" s="147" t="str">
        <f t="shared" si="95"/>
        <v>Q4</v>
      </c>
      <c r="E445" s="151">
        <f t="shared" si="98"/>
        <v>236746.10323013621</v>
      </c>
      <c r="F445" s="151">
        <f t="shared" si="98"/>
        <v>235229.45199999999</v>
      </c>
      <c r="G445" s="151">
        <f t="shared" si="92"/>
        <v>4917.3090000000002</v>
      </c>
      <c r="H445" s="151">
        <f t="shared" si="93"/>
        <v>5174.4539999999997</v>
      </c>
      <c r="I445" s="151">
        <f t="shared" si="90"/>
        <v>2087.3009999999999</v>
      </c>
      <c r="J445" s="284">
        <f t="shared" si="94"/>
        <v>6.447539698966942E-3</v>
      </c>
      <c r="K445" s="147"/>
      <c r="L445" s="147"/>
    </row>
    <row r="446" spans="1:12" s="170" customFormat="1" x14ac:dyDescent="0.2">
      <c r="A446" s="147">
        <v>2038</v>
      </c>
      <c r="B446" s="147">
        <v>1</v>
      </c>
      <c r="C446" s="147" t="str">
        <f t="shared" si="91"/>
        <v>20381</v>
      </c>
      <c r="D446" s="147" t="str">
        <f t="shared" si="95"/>
        <v>Q1</v>
      </c>
      <c r="E446" s="151">
        <f t="shared" si="98"/>
        <v>238591.12916266956</v>
      </c>
      <c r="F446" s="151">
        <f t="shared" si="98"/>
        <v>237001.329</v>
      </c>
      <c r="G446" s="151">
        <f t="shared" si="92"/>
        <v>4921.1719999999996</v>
      </c>
      <c r="H446" s="151">
        <f t="shared" si="93"/>
        <v>5181.1000000000004</v>
      </c>
      <c r="I446" s="151">
        <f t="shared" si="90"/>
        <v>2090.703</v>
      </c>
      <c r="J446" s="284">
        <f t="shared" si="94"/>
        <v>6.7079799483722446E-3</v>
      </c>
      <c r="K446" s="147"/>
      <c r="L446" s="147"/>
    </row>
    <row r="447" spans="1:12" s="170" customFormat="1" x14ac:dyDescent="0.2">
      <c r="A447" s="147">
        <v>2038</v>
      </c>
      <c r="B447" s="147">
        <v>2</v>
      </c>
      <c r="C447" s="147" t="str">
        <f t="shared" si="91"/>
        <v>20382</v>
      </c>
      <c r="D447" s="147" t="str">
        <f t="shared" si="95"/>
        <v>Q1</v>
      </c>
      <c r="E447" s="151">
        <f t="shared" si="98"/>
        <v>238591.12916266956</v>
      </c>
      <c r="F447" s="151">
        <f t="shared" si="98"/>
        <v>237001.329</v>
      </c>
      <c r="G447" s="151">
        <f t="shared" si="92"/>
        <v>4921.1719999999996</v>
      </c>
      <c r="H447" s="151">
        <f t="shared" si="93"/>
        <v>5181.1000000000004</v>
      </c>
      <c r="I447" s="151">
        <f t="shared" si="90"/>
        <v>2090.703</v>
      </c>
      <c r="J447" s="284">
        <f t="shared" si="94"/>
        <v>6.7079799483722446E-3</v>
      </c>
      <c r="K447" s="147"/>
      <c r="L447" s="147"/>
    </row>
    <row r="448" spans="1:12" s="170" customFormat="1" x14ac:dyDescent="0.2">
      <c r="A448" s="147">
        <v>2038</v>
      </c>
      <c r="B448" s="147">
        <v>3</v>
      </c>
      <c r="C448" s="147" t="str">
        <f t="shared" si="91"/>
        <v>20383</v>
      </c>
      <c r="D448" s="147" t="str">
        <f t="shared" si="95"/>
        <v>Q1</v>
      </c>
      <c r="E448" s="151">
        <f t="shared" si="98"/>
        <v>238591.12916266956</v>
      </c>
      <c r="F448" s="151">
        <f t="shared" si="98"/>
        <v>237001.329</v>
      </c>
      <c r="G448" s="151">
        <f t="shared" si="92"/>
        <v>4921.1719999999996</v>
      </c>
      <c r="H448" s="151">
        <f t="shared" si="93"/>
        <v>5181.1000000000004</v>
      </c>
      <c r="I448" s="151">
        <f t="shared" si="90"/>
        <v>2090.703</v>
      </c>
      <c r="J448" s="284">
        <f t="shared" si="94"/>
        <v>6.7079799483722446E-3</v>
      </c>
      <c r="K448" s="147"/>
      <c r="L448" s="147"/>
    </row>
    <row r="449" spans="1:19" x14ac:dyDescent="0.2">
      <c r="A449" s="147">
        <v>2038</v>
      </c>
      <c r="B449" s="147">
        <v>4</v>
      </c>
      <c r="C449" s="147" t="str">
        <f t="shared" si="91"/>
        <v>20384</v>
      </c>
      <c r="D449" s="147" t="str">
        <f t="shared" si="95"/>
        <v>Q2</v>
      </c>
      <c r="E449" s="151">
        <f t="shared" si="98"/>
        <v>239529.22045199905</v>
      </c>
      <c r="F449" s="151">
        <f t="shared" si="98"/>
        <v>237918.01</v>
      </c>
      <c r="G449" s="151">
        <f t="shared" si="92"/>
        <v>4925.0309999999999</v>
      </c>
      <c r="H449" s="151">
        <f t="shared" si="93"/>
        <v>5187.7489999999998</v>
      </c>
      <c r="I449" s="151">
        <f t="shared" si="90"/>
        <v>2094.067</v>
      </c>
      <c r="J449" s="284">
        <f t="shared" si="94"/>
        <v>6.7721247836556309E-3</v>
      </c>
      <c r="M449" s="170"/>
    </row>
    <row r="450" spans="1:19" x14ac:dyDescent="0.2">
      <c r="A450" s="147">
        <v>2038</v>
      </c>
      <c r="B450" s="147">
        <v>5</v>
      </c>
      <c r="C450" s="147" t="str">
        <f t="shared" si="91"/>
        <v>20385</v>
      </c>
      <c r="D450" s="147" t="str">
        <f t="shared" si="95"/>
        <v>Q2</v>
      </c>
      <c r="E450" s="151">
        <f t="shared" si="98"/>
        <v>239529.22045199905</v>
      </c>
      <c r="F450" s="151">
        <f t="shared" si="98"/>
        <v>237918.01</v>
      </c>
      <c r="G450" s="151">
        <f t="shared" si="92"/>
        <v>4925.0309999999999</v>
      </c>
      <c r="H450" s="151">
        <f t="shared" si="93"/>
        <v>5187.7489999999998</v>
      </c>
      <c r="I450" s="151">
        <f t="shared" ref="I450:I517" si="99">VLOOKUP($A450&amp;$D450,$O$1:$V$189,MATCH(I$1,$O$1:$V$1,0),0)</f>
        <v>2094.067</v>
      </c>
      <c r="J450" s="284">
        <f t="shared" si="94"/>
        <v>6.7721247836556309E-3</v>
      </c>
      <c r="M450" s="170"/>
    </row>
    <row r="451" spans="1:19" x14ac:dyDescent="0.2">
      <c r="A451" s="147">
        <v>2038</v>
      </c>
      <c r="B451" s="147">
        <v>6</v>
      </c>
      <c r="C451" s="147" t="str">
        <f t="shared" ref="C451:C514" si="100">A451&amp;B451</f>
        <v>20386</v>
      </c>
      <c r="D451" s="147" t="str">
        <f t="shared" si="95"/>
        <v>Q2</v>
      </c>
      <c r="E451" s="151">
        <f t="shared" si="98"/>
        <v>239529.22045199905</v>
      </c>
      <c r="F451" s="151">
        <f t="shared" si="98"/>
        <v>237918.01</v>
      </c>
      <c r="G451" s="151">
        <f t="shared" ref="G451:G517" si="101">VLOOKUP($A451&amp;$D451,$O$1:$AA$189,MATCH(G$1,$O$1:$AA$1,0),0)</f>
        <v>4925.0309999999999</v>
      </c>
      <c r="H451" s="151">
        <f t="shared" ref="H451:H514" si="102">VLOOKUP($A451&amp;$D451,$O$1:$AA$189,MATCH(H$1,$O$1:$AA$1,0),0)</f>
        <v>5187.7489999999998</v>
      </c>
      <c r="I451" s="151">
        <f t="shared" si="99"/>
        <v>2094.067</v>
      </c>
      <c r="J451" s="284">
        <f t="shared" ref="J451:J514" si="103">E451/F451-1</f>
        <v>6.7721247836556309E-3</v>
      </c>
      <c r="M451" s="170"/>
    </row>
    <row r="452" spans="1:19" x14ac:dyDescent="0.2">
      <c r="A452" s="147">
        <v>2038</v>
      </c>
      <c r="B452" s="147">
        <v>7</v>
      </c>
      <c r="C452" s="147" t="str">
        <f t="shared" si="100"/>
        <v>20387</v>
      </c>
      <c r="D452" s="147" t="str">
        <f t="shared" si="95"/>
        <v>Q3</v>
      </c>
      <c r="E452" s="151">
        <f t="shared" si="98"/>
        <v>240356.41755635547</v>
      </c>
      <c r="F452" s="151">
        <f t="shared" si="98"/>
        <v>238774.076</v>
      </c>
      <c r="G452" s="151">
        <f t="shared" si="101"/>
        <v>4928.8869999999997</v>
      </c>
      <c r="H452" s="151">
        <f t="shared" si="102"/>
        <v>5194.402</v>
      </c>
      <c r="I452" s="151">
        <f t="shared" si="99"/>
        <v>2097.4160000000002</v>
      </c>
      <c r="J452" s="284">
        <f t="shared" si="103"/>
        <v>6.6269403398526716E-3</v>
      </c>
      <c r="M452" s="170"/>
    </row>
    <row r="453" spans="1:19" x14ac:dyDescent="0.2">
      <c r="A453" s="147">
        <v>2038</v>
      </c>
      <c r="B453" s="147">
        <v>8</v>
      </c>
      <c r="C453" s="147" t="str">
        <f t="shared" si="100"/>
        <v>20388</v>
      </c>
      <c r="D453" s="147" t="str">
        <f t="shared" si="95"/>
        <v>Q3</v>
      </c>
      <c r="E453" s="151">
        <f t="shared" si="98"/>
        <v>240356.41755635547</v>
      </c>
      <c r="F453" s="151">
        <f t="shared" si="98"/>
        <v>238774.076</v>
      </c>
      <c r="G453" s="151">
        <f t="shared" si="101"/>
        <v>4928.8869999999997</v>
      </c>
      <c r="H453" s="151">
        <f t="shared" si="102"/>
        <v>5194.402</v>
      </c>
      <c r="I453" s="151">
        <f t="shared" si="99"/>
        <v>2097.4160000000002</v>
      </c>
      <c r="J453" s="284">
        <f t="shared" si="103"/>
        <v>6.6269403398526716E-3</v>
      </c>
      <c r="M453" s="170"/>
    </row>
    <row r="454" spans="1:19" x14ac:dyDescent="0.2">
      <c r="A454" s="147">
        <v>2038</v>
      </c>
      <c r="B454" s="147">
        <v>9</v>
      </c>
      <c r="C454" s="147" t="str">
        <f t="shared" si="100"/>
        <v>20389</v>
      </c>
      <c r="D454" s="147" t="str">
        <f t="shared" si="95"/>
        <v>Q3</v>
      </c>
      <c r="E454" s="151">
        <f t="shared" si="98"/>
        <v>240356.41755635547</v>
      </c>
      <c r="F454" s="151">
        <f t="shared" si="98"/>
        <v>238774.076</v>
      </c>
      <c r="G454" s="151">
        <f t="shared" si="101"/>
        <v>4928.8869999999997</v>
      </c>
      <c r="H454" s="151">
        <f t="shared" si="102"/>
        <v>5194.402</v>
      </c>
      <c r="I454" s="151">
        <f t="shared" si="99"/>
        <v>2097.4160000000002</v>
      </c>
      <c r="J454" s="284">
        <f t="shared" si="103"/>
        <v>6.6269403398526716E-3</v>
      </c>
      <c r="M454" s="170"/>
    </row>
    <row r="455" spans="1:19" x14ac:dyDescent="0.2">
      <c r="A455" s="147">
        <v>2038</v>
      </c>
      <c r="B455" s="147">
        <v>10</v>
      </c>
      <c r="C455" s="147" t="str">
        <f t="shared" si="100"/>
        <v>203810</v>
      </c>
      <c r="D455" s="147" t="str">
        <f t="shared" si="95"/>
        <v>Q4</v>
      </c>
      <c r="E455" s="151">
        <f t="shared" si="98"/>
        <v>241150.97720374091</v>
      </c>
      <c r="F455" s="151">
        <f t="shared" si="98"/>
        <v>239533.158</v>
      </c>
      <c r="G455" s="151">
        <f t="shared" si="101"/>
        <v>4932.7629999999999</v>
      </c>
      <c r="H455" s="151">
        <f t="shared" si="102"/>
        <v>5201.0860000000002</v>
      </c>
      <c r="I455" s="151">
        <f t="shared" si="99"/>
        <v>2100.62</v>
      </c>
      <c r="J455" s="284">
        <f t="shared" si="103"/>
        <v>6.7540511603862985E-3</v>
      </c>
      <c r="M455" s="170"/>
    </row>
    <row r="456" spans="1:19" x14ac:dyDescent="0.2">
      <c r="A456" s="147">
        <v>2038</v>
      </c>
      <c r="B456" s="147">
        <v>11</v>
      </c>
      <c r="C456" s="147" t="str">
        <f t="shared" si="100"/>
        <v>203811</v>
      </c>
      <c r="D456" s="147" t="str">
        <f t="shared" si="95"/>
        <v>Q4</v>
      </c>
      <c r="E456" s="151">
        <f t="shared" si="98"/>
        <v>241150.97720374091</v>
      </c>
      <c r="F456" s="151">
        <f t="shared" si="98"/>
        <v>239533.158</v>
      </c>
      <c r="G456" s="151">
        <f t="shared" si="101"/>
        <v>4932.7629999999999</v>
      </c>
      <c r="H456" s="151">
        <f t="shared" si="102"/>
        <v>5201.0860000000002</v>
      </c>
      <c r="I456" s="151">
        <f t="shared" si="99"/>
        <v>2100.62</v>
      </c>
      <c r="J456" s="284">
        <f t="shared" si="103"/>
        <v>6.7540511603862985E-3</v>
      </c>
      <c r="M456" s="170"/>
    </row>
    <row r="457" spans="1:19" x14ac:dyDescent="0.2">
      <c r="A457" s="147">
        <v>2038</v>
      </c>
      <c r="B457" s="147">
        <v>12</v>
      </c>
      <c r="C457" s="147" t="str">
        <f t="shared" si="100"/>
        <v>203812</v>
      </c>
      <c r="D457" s="147" t="str">
        <f t="shared" si="95"/>
        <v>Q4</v>
      </c>
      <c r="E457" s="151">
        <f t="shared" si="98"/>
        <v>241150.97720374091</v>
      </c>
      <c r="F457" s="151">
        <f t="shared" si="98"/>
        <v>239533.158</v>
      </c>
      <c r="G457" s="151">
        <f t="shared" si="101"/>
        <v>4932.7629999999999</v>
      </c>
      <c r="H457" s="151">
        <f t="shared" si="102"/>
        <v>5201.0860000000002</v>
      </c>
      <c r="I457" s="151">
        <f t="shared" si="99"/>
        <v>2100.62</v>
      </c>
      <c r="J457" s="284">
        <f t="shared" si="103"/>
        <v>6.7540511603862985E-3</v>
      </c>
      <c r="M457" s="170"/>
    </row>
    <row r="458" spans="1:19" x14ac:dyDescent="0.2">
      <c r="A458" s="147">
        <v>2039</v>
      </c>
      <c r="B458" s="147">
        <v>1</v>
      </c>
      <c r="C458" s="147" t="str">
        <f t="shared" si="100"/>
        <v>20391</v>
      </c>
      <c r="D458" s="147" t="str">
        <f t="shared" si="95"/>
        <v>Q1</v>
      </c>
      <c r="E458" s="151">
        <f t="shared" si="98"/>
        <v>242958.74818235112</v>
      </c>
      <c r="F458" s="151">
        <f t="shared" si="98"/>
        <v>241255.864</v>
      </c>
      <c r="G458" s="151">
        <f t="shared" si="101"/>
        <v>4936.625</v>
      </c>
      <c r="H458" s="151">
        <f t="shared" si="102"/>
        <v>5207.7619999999997</v>
      </c>
      <c r="I458" s="151">
        <f t="shared" si="99"/>
        <v>2104.0360000000001</v>
      </c>
      <c r="J458" s="284">
        <f t="shared" si="103"/>
        <v>7.0584157173112505E-3</v>
      </c>
      <c r="M458" s="170"/>
      <c r="P458" s="155"/>
      <c r="Q458" s="155"/>
      <c r="R458" s="155"/>
      <c r="S458" s="155"/>
    </row>
    <row r="459" spans="1:19" x14ac:dyDescent="0.2">
      <c r="A459" s="147">
        <v>2039</v>
      </c>
      <c r="B459" s="147">
        <v>2</v>
      </c>
      <c r="C459" s="147" t="str">
        <f t="shared" si="100"/>
        <v>20392</v>
      </c>
      <c r="D459" s="147" t="str">
        <f t="shared" si="95"/>
        <v>Q1</v>
      </c>
      <c r="E459" s="151">
        <f t="shared" si="98"/>
        <v>242958.74818235112</v>
      </c>
      <c r="F459" s="151">
        <f t="shared" si="98"/>
        <v>241255.864</v>
      </c>
      <c r="G459" s="151">
        <f t="shared" si="101"/>
        <v>4936.625</v>
      </c>
      <c r="H459" s="151">
        <f t="shared" si="102"/>
        <v>5207.7619999999997</v>
      </c>
      <c r="I459" s="151">
        <f t="shared" si="99"/>
        <v>2104.0360000000001</v>
      </c>
      <c r="J459" s="284">
        <f t="shared" si="103"/>
        <v>7.0584157173112505E-3</v>
      </c>
      <c r="M459" s="170"/>
      <c r="P459" s="155"/>
      <c r="Q459" s="155"/>
      <c r="R459" s="155"/>
      <c r="S459" s="155"/>
    </row>
    <row r="460" spans="1:19" x14ac:dyDescent="0.2">
      <c r="A460" s="147">
        <v>2039</v>
      </c>
      <c r="B460" s="147">
        <v>3</v>
      </c>
      <c r="C460" s="147" t="str">
        <f t="shared" si="100"/>
        <v>20393</v>
      </c>
      <c r="D460" s="147" t="str">
        <f t="shared" si="95"/>
        <v>Q1</v>
      </c>
      <c r="E460" s="151">
        <f t="shared" si="98"/>
        <v>242958.74818235112</v>
      </c>
      <c r="F460" s="151">
        <f t="shared" si="98"/>
        <v>241255.864</v>
      </c>
      <c r="G460" s="151">
        <f t="shared" si="101"/>
        <v>4936.625</v>
      </c>
      <c r="H460" s="151">
        <f t="shared" si="102"/>
        <v>5207.7619999999997</v>
      </c>
      <c r="I460" s="151">
        <f t="shared" si="99"/>
        <v>2104.0360000000001</v>
      </c>
      <c r="J460" s="284">
        <f t="shared" si="103"/>
        <v>7.0584157173112505E-3</v>
      </c>
      <c r="M460" s="170"/>
      <c r="P460" s="155"/>
      <c r="Q460" s="155"/>
      <c r="R460" s="155"/>
      <c r="S460" s="155"/>
    </row>
    <row r="461" spans="1:19" x14ac:dyDescent="0.2">
      <c r="A461" s="147">
        <v>2039</v>
      </c>
      <c r="B461" s="147">
        <v>4</v>
      </c>
      <c r="C461" s="147" t="str">
        <f t="shared" si="100"/>
        <v>20394</v>
      </c>
      <c r="D461" s="147" t="str">
        <f t="shared" si="95"/>
        <v>Q2</v>
      </c>
      <c r="E461" s="151">
        <f t="shared" si="98"/>
        <v>243840.69925294744</v>
      </c>
      <c r="F461" s="151">
        <f t="shared" si="98"/>
        <v>242089.55</v>
      </c>
      <c r="G461" s="151">
        <f t="shared" si="101"/>
        <v>4940.4740000000002</v>
      </c>
      <c r="H461" s="151">
        <f t="shared" si="102"/>
        <v>5214.4319999999998</v>
      </c>
      <c r="I461" s="151">
        <f t="shared" si="99"/>
        <v>2107.4079999999999</v>
      </c>
      <c r="J461" s="284">
        <f t="shared" si="103"/>
        <v>7.2334772523119373E-3</v>
      </c>
      <c r="M461" s="170"/>
      <c r="P461" s="155"/>
      <c r="Q461" s="155"/>
      <c r="R461" s="155"/>
      <c r="S461" s="155"/>
    </row>
    <row r="462" spans="1:19" x14ac:dyDescent="0.2">
      <c r="A462" s="147">
        <v>2039</v>
      </c>
      <c r="B462" s="147">
        <v>5</v>
      </c>
      <c r="C462" s="147" t="str">
        <f t="shared" si="100"/>
        <v>20395</v>
      </c>
      <c r="D462" s="147" t="str">
        <f t="shared" si="95"/>
        <v>Q2</v>
      </c>
      <c r="E462" s="151">
        <f t="shared" ref="E462:F481" si="104">VLOOKUP($A462&amp;$D462,$O$1:$V$189,MATCH(E$1,$O$1:$V$1,0),0)</f>
        <v>243840.69925294744</v>
      </c>
      <c r="F462" s="151">
        <f t="shared" si="104"/>
        <v>242089.55</v>
      </c>
      <c r="G462" s="151">
        <f t="shared" si="101"/>
        <v>4940.4740000000002</v>
      </c>
      <c r="H462" s="151">
        <f t="shared" si="102"/>
        <v>5214.4319999999998</v>
      </c>
      <c r="I462" s="151">
        <f t="shared" si="99"/>
        <v>2107.4079999999999</v>
      </c>
      <c r="J462" s="284">
        <f t="shared" si="103"/>
        <v>7.2334772523119373E-3</v>
      </c>
      <c r="M462" s="170"/>
      <c r="P462" s="155"/>
      <c r="Q462" s="155"/>
      <c r="R462" s="155"/>
      <c r="S462" s="155"/>
    </row>
    <row r="463" spans="1:19" x14ac:dyDescent="0.2">
      <c r="A463" s="147">
        <v>2039</v>
      </c>
      <c r="B463" s="147">
        <v>6</v>
      </c>
      <c r="C463" s="147" t="str">
        <f t="shared" si="100"/>
        <v>20396</v>
      </c>
      <c r="D463" s="147" t="str">
        <f t="shared" ref="D463:D517" si="105">D451</f>
        <v>Q2</v>
      </c>
      <c r="E463" s="151">
        <f t="shared" si="104"/>
        <v>243840.69925294744</v>
      </c>
      <c r="F463" s="151">
        <f t="shared" si="104"/>
        <v>242089.55</v>
      </c>
      <c r="G463" s="151">
        <f t="shared" si="101"/>
        <v>4940.4740000000002</v>
      </c>
      <c r="H463" s="151">
        <f t="shared" si="102"/>
        <v>5214.4319999999998</v>
      </c>
      <c r="I463" s="151">
        <f t="shared" si="99"/>
        <v>2107.4079999999999</v>
      </c>
      <c r="J463" s="284">
        <f t="shared" si="103"/>
        <v>7.2334772523119373E-3</v>
      </c>
      <c r="M463" s="170"/>
      <c r="P463" s="155"/>
      <c r="Q463" s="155"/>
      <c r="R463" s="155"/>
      <c r="S463" s="155"/>
    </row>
    <row r="464" spans="1:19" x14ac:dyDescent="0.2">
      <c r="A464" s="147">
        <v>2039</v>
      </c>
      <c r="B464" s="147">
        <v>7</v>
      </c>
      <c r="C464" s="147" t="str">
        <f t="shared" si="100"/>
        <v>20397</v>
      </c>
      <c r="D464" s="147" t="str">
        <f t="shared" si="105"/>
        <v>Q3</v>
      </c>
      <c r="E464" s="151">
        <f t="shared" si="104"/>
        <v>244717.98632580542</v>
      </c>
      <c r="F464" s="151">
        <f t="shared" si="104"/>
        <v>242952.587</v>
      </c>
      <c r="G464" s="151">
        <f t="shared" si="101"/>
        <v>4944.3090000000002</v>
      </c>
      <c r="H464" s="151">
        <f t="shared" si="102"/>
        <v>5221.0969999999998</v>
      </c>
      <c r="I464" s="151">
        <f t="shared" si="99"/>
        <v>2110.6</v>
      </c>
      <c r="J464" s="284">
        <f t="shared" si="103"/>
        <v>7.2664355938940606E-3</v>
      </c>
      <c r="M464" s="170"/>
      <c r="P464" s="155"/>
      <c r="Q464" s="155"/>
      <c r="R464" s="155"/>
      <c r="S464" s="155"/>
    </row>
    <row r="465" spans="1:19" x14ac:dyDescent="0.2">
      <c r="A465" s="147">
        <v>2039</v>
      </c>
      <c r="B465" s="147">
        <v>8</v>
      </c>
      <c r="C465" s="147" t="str">
        <f t="shared" si="100"/>
        <v>20398</v>
      </c>
      <c r="D465" s="147" t="str">
        <f t="shared" si="105"/>
        <v>Q3</v>
      </c>
      <c r="E465" s="151">
        <f t="shared" si="104"/>
        <v>244717.98632580542</v>
      </c>
      <c r="F465" s="151">
        <f t="shared" si="104"/>
        <v>242952.587</v>
      </c>
      <c r="G465" s="151">
        <f t="shared" si="101"/>
        <v>4944.3090000000002</v>
      </c>
      <c r="H465" s="151">
        <f t="shared" si="102"/>
        <v>5221.0969999999998</v>
      </c>
      <c r="I465" s="151">
        <f t="shared" si="99"/>
        <v>2110.6</v>
      </c>
      <c r="J465" s="284">
        <f t="shared" si="103"/>
        <v>7.2664355938940606E-3</v>
      </c>
      <c r="M465" s="170"/>
      <c r="P465" s="155"/>
      <c r="Q465" s="155"/>
      <c r="R465" s="155"/>
      <c r="S465" s="155"/>
    </row>
    <row r="466" spans="1:19" x14ac:dyDescent="0.2">
      <c r="A466" s="147">
        <v>2039</v>
      </c>
      <c r="B466" s="147">
        <v>9</v>
      </c>
      <c r="C466" s="147" t="str">
        <f t="shared" si="100"/>
        <v>20399</v>
      </c>
      <c r="D466" s="147" t="str">
        <f t="shared" si="105"/>
        <v>Q3</v>
      </c>
      <c r="E466" s="151">
        <f t="shared" si="104"/>
        <v>244717.98632580542</v>
      </c>
      <c r="F466" s="151">
        <f t="shared" si="104"/>
        <v>242952.587</v>
      </c>
      <c r="G466" s="151">
        <f t="shared" si="101"/>
        <v>4944.3090000000002</v>
      </c>
      <c r="H466" s="151">
        <f t="shared" si="102"/>
        <v>5221.0969999999998</v>
      </c>
      <c r="I466" s="151">
        <f t="shared" si="99"/>
        <v>2110.6</v>
      </c>
      <c r="J466" s="284">
        <f t="shared" si="103"/>
        <v>7.2664355938940606E-3</v>
      </c>
      <c r="M466" s="170"/>
      <c r="P466" s="155"/>
      <c r="Q466" s="155"/>
      <c r="R466" s="155"/>
      <c r="S466" s="155"/>
    </row>
    <row r="467" spans="1:19" x14ac:dyDescent="0.2">
      <c r="A467" s="147">
        <v>2039</v>
      </c>
      <c r="B467" s="147">
        <v>10</v>
      </c>
      <c r="C467" s="147" t="str">
        <f t="shared" si="100"/>
        <v>203910</v>
      </c>
      <c r="D467" s="147" t="str">
        <f t="shared" si="105"/>
        <v>Q4</v>
      </c>
      <c r="E467" s="151">
        <f t="shared" si="104"/>
        <v>245497.37409786243</v>
      </c>
      <c r="F467" s="151">
        <f t="shared" si="104"/>
        <v>243706.79399999999</v>
      </c>
      <c r="G467" s="151">
        <f t="shared" si="101"/>
        <v>4948.1319999999996</v>
      </c>
      <c r="H467" s="151">
        <f t="shared" si="102"/>
        <v>5227.7560000000003</v>
      </c>
      <c r="I467" s="151">
        <f t="shared" si="99"/>
        <v>2114.0059999999999</v>
      </c>
      <c r="J467" s="284">
        <f t="shared" si="103"/>
        <v>7.3472719757761151E-3</v>
      </c>
      <c r="M467" s="170"/>
      <c r="P467" s="155"/>
      <c r="Q467" s="155"/>
      <c r="R467" s="155"/>
      <c r="S467" s="155"/>
    </row>
    <row r="468" spans="1:19" x14ac:dyDescent="0.2">
      <c r="A468" s="147">
        <v>2039</v>
      </c>
      <c r="B468" s="147">
        <v>11</v>
      </c>
      <c r="C468" s="147" t="str">
        <f t="shared" si="100"/>
        <v>203911</v>
      </c>
      <c r="D468" s="147" t="str">
        <f t="shared" si="105"/>
        <v>Q4</v>
      </c>
      <c r="E468" s="151">
        <f t="shared" si="104"/>
        <v>245497.37409786243</v>
      </c>
      <c r="F468" s="151">
        <f t="shared" si="104"/>
        <v>243706.79399999999</v>
      </c>
      <c r="G468" s="151">
        <f t="shared" si="101"/>
        <v>4948.1319999999996</v>
      </c>
      <c r="H468" s="151">
        <f t="shared" si="102"/>
        <v>5227.7560000000003</v>
      </c>
      <c r="I468" s="151">
        <f t="shared" si="99"/>
        <v>2114.0059999999999</v>
      </c>
      <c r="J468" s="284">
        <f t="shared" si="103"/>
        <v>7.3472719757761151E-3</v>
      </c>
      <c r="M468" s="170"/>
      <c r="P468" s="155"/>
      <c r="Q468" s="155"/>
      <c r="R468" s="155"/>
      <c r="S468" s="155"/>
    </row>
    <row r="469" spans="1:19" x14ac:dyDescent="0.2">
      <c r="A469" s="147">
        <v>2039</v>
      </c>
      <c r="B469" s="147">
        <v>12</v>
      </c>
      <c r="C469" s="147" t="str">
        <f t="shared" si="100"/>
        <v>203912</v>
      </c>
      <c r="D469" s="147" t="str">
        <f t="shared" si="105"/>
        <v>Q4</v>
      </c>
      <c r="E469" s="151">
        <f t="shared" si="104"/>
        <v>245497.37409786243</v>
      </c>
      <c r="F469" s="151">
        <f t="shared" si="104"/>
        <v>243706.79399999999</v>
      </c>
      <c r="G469" s="151">
        <f t="shared" si="101"/>
        <v>4948.1319999999996</v>
      </c>
      <c r="H469" s="151">
        <f t="shared" si="102"/>
        <v>5227.7560000000003</v>
      </c>
      <c r="I469" s="151">
        <f t="shared" si="99"/>
        <v>2114.0059999999999</v>
      </c>
      <c r="J469" s="284">
        <f t="shared" si="103"/>
        <v>7.3472719757761151E-3</v>
      </c>
      <c r="M469" s="170"/>
      <c r="P469" s="155"/>
      <c r="Q469" s="155"/>
      <c r="R469" s="155"/>
      <c r="S469" s="155"/>
    </row>
    <row r="470" spans="1:19" x14ac:dyDescent="0.2">
      <c r="A470" s="147">
        <v>2040</v>
      </c>
      <c r="B470" s="147">
        <v>1</v>
      </c>
      <c r="C470" s="147" t="str">
        <f t="shared" si="100"/>
        <v>20401</v>
      </c>
      <c r="D470" s="147" t="str">
        <f t="shared" si="105"/>
        <v>Q1</v>
      </c>
      <c r="E470" s="151">
        <f t="shared" si="104"/>
        <v>247247.37505257796</v>
      </c>
      <c r="F470" s="151">
        <f t="shared" si="104"/>
        <v>245424.038</v>
      </c>
      <c r="G470" s="151">
        <f t="shared" si="101"/>
        <v>4951.9440000000004</v>
      </c>
      <c r="H470" s="151">
        <f t="shared" si="102"/>
        <v>5234.41</v>
      </c>
      <c r="I470" s="151">
        <f t="shared" si="99"/>
        <v>2117.37</v>
      </c>
      <c r="J470" s="284">
        <f t="shared" si="103"/>
        <v>7.4293336033284252E-3</v>
      </c>
      <c r="M470" s="170"/>
    </row>
    <row r="471" spans="1:19" x14ac:dyDescent="0.2">
      <c r="A471" s="147">
        <v>2040</v>
      </c>
      <c r="B471" s="147">
        <v>2</v>
      </c>
      <c r="C471" s="147" t="str">
        <f t="shared" si="100"/>
        <v>20402</v>
      </c>
      <c r="D471" s="147" t="str">
        <f t="shared" si="105"/>
        <v>Q1</v>
      </c>
      <c r="E471" s="151">
        <f t="shared" si="104"/>
        <v>247247.37505257796</v>
      </c>
      <c r="F471" s="151">
        <f t="shared" si="104"/>
        <v>245424.038</v>
      </c>
      <c r="G471" s="151">
        <f t="shared" si="101"/>
        <v>4951.9440000000004</v>
      </c>
      <c r="H471" s="151">
        <f t="shared" si="102"/>
        <v>5234.41</v>
      </c>
      <c r="I471" s="151">
        <f t="shared" si="99"/>
        <v>2117.37</v>
      </c>
      <c r="J471" s="284">
        <f t="shared" si="103"/>
        <v>7.4293336033284252E-3</v>
      </c>
      <c r="M471" s="170"/>
    </row>
    <row r="472" spans="1:19" x14ac:dyDescent="0.2">
      <c r="A472" s="147">
        <v>2040</v>
      </c>
      <c r="B472" s="147">
        <v>3</v>
      </c>
      <c r="C472" s="147" t="str">
        <f t="shared" si="100"/>
        <v>20403</v>
      </c>
      <c r="D472" s="147" t="str">
        <f t="shared" si="105"/>
        <v>Q1</v>
      </c>
      <c r="E472" s="151">
        <f t="shared" si="104"/>
        <v>247247.37505257796</v>
      </c>
      <c r="F472" s="151">
        <f t="shared" si="104"/>
        <v>245424.038</v>
      </c>
      <c r="G472" s="151">
        <f t="shared" si="101"/>
        <v>4951.9440000000004</v>
      </c>
      <c r="H472" s="151">
        <f t="shared" si="102"/>
        <v>5234.41</v>
      </c>
      <c r="I472" s="151">
        <f t="shared" si="99"/>
        <v>2117.37</v>
      </c>
      <c r="J472" s="284">
        <f t="shared" si="103"/>
        <v>7.4293336033284252E-3</v>
      </c>
      <c r="M472" s="170"/>
    </row>
    <row r="473" spans="1:19" x14ac:dyDescent="0.2">
      <c r="A473" s="147">
        <v>2040</v>
      </c>
      <c r="B473" s="147">
        <v>4</v>
      </c>
      <c r="C473" s="147" t="str">
        <f t="shared" si="100"/>
        <v>20404</v>
      </c>
      <c r="D473" s="147" t="str">
        <f t="shared" si="105"/>
        <v>Q2</v>
      </c>
      <c r="E473" s="151">
        <f t="shared" si="104"/>
        <v>248338.9887301742</v>
      </c>
      <c r="F473" s="151">
        <f t="shared" si="104"/>
        <v>246375.226</v>
      </c>
      <c r="G473" s="151">
        <f t="shared" si="101"/>
        <v>4955.7439999999997</v>
      </c>
      <c r="H473" s="151">
        <f t="shared" si="102"/>
        <v>5241.0609999999997</v>
      </c>
      <c r="I473" s="151">
        <f t="shared" si="99"/>
        <v>2120.7190000000001</v>
      </c>
      <c r="J473" s="284">
        <f t="shared" si="103"/>
        <v>7.9706176714950949E-3</v>
      </c>
      <c r="M473" s="170"/>
    </row>
    <row r="474" spans="1:19" x14ac:dyDescent="0.2">
      <c r="A474" s="147">
        <v>2040</v>
      </c>
      <c r="B474" s="147">
        <v>5</v>
      </c>
      <c r="C474" s="147" t="str">
        <f t="shared" si="100"/>
        <v>20405</v>
      </c>
      <c r="D474" s="147" t="str">
        <f t="shared" si="105"/>
        <v>Q2</v>
      </c>
      <c r="E474" s="151">
        <f t="shared" si="104"/>
        <v>248338.9887301742</v>
      </c>
      <c r="F474" s="151">
        <f t="shared" si="104"/>
        <v>246375.226</v>
      </c>
      <c r="G474" s="151">
        <f t="shared" si="101"/>
        <v>4955.7439999999997</v>
      </c>
      <c r="H474" s="151">
        <f t="shared" si="102"/>
        <v>5241.0609999999997</v>
      </c>
      <c r="I474" s="151">
        <f t="shared" si="99"/>
        <v>2120.7190000000001</v>
      </c>
      <c r="J474" s="284">
        <f t="shared" si="103"/>
        <v>7.9706176714950949E-3</v>
      </c>
      <c r="M474" s="170"/>
    </row>
    <row r="475" spans="1:19" x14ac:dyDescent="0.2">
      <c r="A475" s="147">
        <v>2040</v>
      </c>
      <c r="B475" s="147">
        <v>6</v>
      </c>
      <c r="C475" s="147" t="str">
        <f t="shared" si="100"/>
        <v>20406</v>
      </c>
      <c r="D475" s="147" t="str">
        <f t="shared" si="105"/>
        <v>Q2</v>
      </c>
      <c r="E475" s="151">
        <f t="shared" si="104"/>
        <v>248338.9887301742</v>
      </c>
      <c r="F475" s="151">
        <f t="shared" si="104"/>
        <v>246375.226</v>
      </c>
      <c r="G475" s="151">
        <f t="shared" si="101"/>
        <v>4955.7439999999997</v>
      </c>
      <c r="H475" s="151">
        <f t="shared" si="102"/>
        <v>5241.0609999999997</v>
      </c>
      <c r="I475" s="151">
        <f t="shared" si="99"/>
        <v>2120.7190000000001</v>
      </c>
      <c r="J475" s="284">
        <f t="shared" si="103"/>
        <v>7.9706176714950949E-3</v>
      </c>
      <c r="M475" s="170"/>
    </row>
    <row r="476" spans="1:19" x14ac:dyDescent="0.2">
      <c r="A476" s="147">
        <v>2040</v>
      </c>
      <c r="B476" s="147">
        <v>7</v>
      </c>
      <c r="C476" s="147" t="str">
        <f t="shared" si="100"/>
        <v>20407</v>
      </c>
      <c r="D476" s="147" t="str">
        <f t="shared" si="105"/>
        <v>Q3</v>
      </c>
      <c r="E476" s="151">
        <f t="shared" si="104"/>
        <v>249314.18166869634</v>
      </c>
      <c r="F476" s="151">
        <f t="shared" si="104"/>
        <v>247249.16699999999</v>
      </c>
      <c r="G476" s="151">
        <f t="shared" si="101"/>
        <v>4959.5339999999997</v>
      </c>
      <c r="H476" s="151">
        <f t="shared" si="102"/>
        <v>5247.7089999999998</v>
      </c>
      <c r="I476" s="151">
        <f t="shared" si="99"/>
        <v>2123.8980000000001</v>
      </c>
      <c r="J476" s="284">
        <f t="shared" si="103"/>
        <v>8.351958041971308E-3</v>
      </c>
      <c r="M476" s="170"/>
    </row>
    <row r="477" spans="1:19" x14ac:dyDescent="0.2">
      <c r="A477" s="147">
        <v>2040</v>
      </c>
      <c r="B477" s="147">
        <v>8</v>
      </c>
      <c r="C477" s="147" t="str">
        <f t="shared" si="100"/>
        <v>20408</v>
      </c>
      <c r="D477" s="147" t="str">
        <f t="shared" si="105"/>
        <v>Q3</v>
      </c>
      <c r="E477" s="151">
        <f t="shared" si="104"/>
        <v>249314.18166869634</v>
      </c>
      <c r="F477" s="151">
        <f t="shared" si="104"/>
        <v>247249.16699999999</v>
      </c>
      <c r="G477" s="151">
        <f t="shared" si="101"/>
        <v>4959.5339999999997</v>
      </c>
      <c r="H477" s="151">
        <f t="shared" si="102"/>
        <v>5247.7089999999998</v>
      </c>
      <c r="I477" s="151">
        <f t="shared" si="99"/>
        <v>2123.8980000000001</v>
      </c>
      <c r="J477" s="284">
        <f t="shared" si="103"/>
        <v>8.351958041971308E-3</v>
      </c>
      <c r="M477" s="170"/>
    </row>
    <row r="478" spans="1:19" x14ac:dyDescent="0.2">
      <c r="A478" s="147">
        <v>2040</v>
      </c>
      <c r="B478" s="147">
        <v>9</v>
      </c>
      <c r="C478" s="147" t="str">
        <f t="shared" si="100"/>
        <v>20409</v>
      </c>
      <c r="D478" s="147" t="str">
        <f t="shared" si="105"/>
        <v>Q3</v>
      </c>
      <c r="E478" s="151">
        <f t="shared" si="104"/>
        <v>249314.18166869634</v>
      </c>
      <c r="F478" s="151">
        <f t="shared" si="104"/>
        <v>247249.16699999999</v>
      </c>
      <c r="G478" s="151">
        <f t="shared" si="101"/>
        <v>4959.5339999999997</v>
      </c>
      <c r="H478" s="151">
        <f t="shared" si="102"/>
        <v>5247.7089999999998</v>
      </c>
      <c r="I478" s="151">
        <f t="shared" si="99"/>
        <v>2123.8980000000001</v>
      </c>
      <c r="J478" s="284">
        <f t="shared" si="103"/>
        <v>8.351958041971308E-3</v>
      </c>
      <c r="M478" s="170"/>
    </row>
    <row r="479" spans="1:19" x14ac:dyDescent="0.2">
      <c r="A479" s="147">
        <v>2040</v>
      </c>
      <c r="B479" s="147">
        <v>10</v>
      </c>
      <c r="C479" s="147" t="str">
        <f t="shared" si="100"/>
        <v>204010</v>
      </c>
      <c r="D479" s="147" t="str">
        <f t="shared" si="105"/>
        <v>Q4</v>
      </c>
      <c r="E479" s="151">
        <f t="shared" si="104"/>
        <v>250091.94680333562</v>
      </c>
      <c r="F479" s="151">
        <f t="shared" si="104"/>
        <v>247944.00599999999</v>
      </c>
      <c r="G479" s="151">
        <f t="shared" si="101"/>
        <v>4963.3140000000003</v>
      </c>
      <c r="H479" s="151">
        <f t="shared" si="102"/>
        <v>5254.3540000000003</v>
      </c>
      <c r="I479" s="151">
        <f t="shared" si="99"/>
        <v>2127.299</v>
      </c>
      <c r="J479" s="284">
        <f t="shared" si="103"/>
        <v>8.6630075797662354E-3</v>
      </c>
      <c r="M479" s="170"/>
    </row>
    <row r="480" spans="1:19" x14ac:dyDescent="0.2">
      <c r="A480" s="147">
        <v>2040</v>
      </c>
      <c r="B480" s="147">
        <v>11</v>
      </c>
      <c r="C480" s="147" t="str">
        <f t="shared" si="100"/>
        <v>204011</v>
      </c>
      <c r="D480" s="147" t="str">
        <f t="shared" si="105"/>
        <v>Q4</v>
      </c>
      <c r="E480" s="151">
        <f t="shared" si="104"/>
        <v>250091.94680333562</v>
      </c>
      <c r="F480" s="151">
        <f t="shared" si="104"/>
        <v>247944.00599999999</v>
      </c>
      <c r="G480" s="151">
        <f t="shared" si="101"/>
        <v>4963.3140000000003</v>
      </c>
      <c r="H480" s="151">
        <f t="shared" si="102"/>
        <v>5254.3540000000003</v>
      </c>
      <c r="I480" s="151">
        <f t="shared" si="99"/>
        <v>2127.299</v>
      </c>
      <c r="J480" s="284">
        <f t="shared" si="103"/>
        <v>8.6630075797662354E-3</v>
      </c>
      <c r="M480" s="170"/>
    </row>
    <row r="481" spans="1:12" s="170" customFormat="1" x14ac:dyDescent="0.2">
      <c r="A481" s="147">
        <v>2040</v>
      </c>
      <c r="B481" s="147">
        <v>12</v>
      </c>
      <c r="C481" s="147" t="str">
        <f t="shared" si="100"/>
        <v>204012</v>
      </c>
      <c r="D481" s="147" t="str">
        <f t="shared" si="105"/>
        <v>Q4</v>
      </c>
      <c r="E481" s="151">
        <f t="shared" si="104"/>
        <v>250091.94680333562</v>
      </c>
      <c r="F481" s="151">
        <f t="shared" si="104"/>
        <v>247944.00599999999</v>
      </c>
      <c r="G481" s="151">
        <f t="shared" si="101"/>
        <v>4963.3140000000003</v>
      </c>
      <c r="H481" s="151">
        <f t="shared" si="102"/>
        <v>5254.3540000000003</v>
      </c>
      <c r="I481" s="151">
        <f t="shared" si="99"/>
        <v>2127.299</v>
      </c>
      <c r="J481" s="284">
        <f t="shared" si="103"/>
        <v>8.6630075797662354E-3</v>
      </c>
      <c r="K481" s="147"/>
      <c r="L481" s="147"/>
    </row>
    <row r="482" spans="1:12" s="170" customFormat="1" x14ac:dyDescent="0.2">
      <c r="A482" s="147">
        <v>2041</v>
      </c>
      <c r="B482" s="147">
        <v>1</v>
      </c>
      <c r="C482" s="147" t="str">
        <f t="shared" si="100"/>
        <v>20411</v>
      </c>
      <c r="D482" s="147" t="str">
        <f t="shared" si="105"/>
        <v>Q1</v>
      </c>
      <c r="E482" s="151">
        <f t="shared" ref="E482:F501" si="106">VLOOKUP($A482&amp;$D482,$O$1:$V$189,MATCH(E$1,$O$1:$V$1,0),0)</f>
        <v>251445.55394935544</v>
      </c>
      <c r="F482" s="151">
        <f t="shared" si="106"/>
        <v>249612.27900000001</v>
      </c>
      <c r="G482" s="151">
        <f t="shared" si="101"/>
        <v>4967.0870000000004</v>
      </c>
      <c r="H482" s="151">
        <f t="shared" si="102"/>
        <v>5261</v>
      </c>
      <c r="I482" s="151">
        <f t="shared" si="99"/>
        <v>2130.652</v>
      </c>
      <c r="J482" s="284">
        <f t="shared" si="103"/>
        <v>7.344490249838298E-3</v>
      </c>
      <c r="K482" s="147"/>
      <c r="L482" s="147"/>
    </row>
    <row r="483" spans="1:12" s="170" customFormat="1" x14ac:dyDescent="0.2">
      <c r="A483" s="147">
        <v>2041</v>
      </c>
      <c r="B483" s="147">
        <v>2</v>
      </c>
      <c r="C483" s="147" t="str">
        <f t="shared" si="100"/>
        <v>20412</v>
      </c>
      <c r="D483" s="147" t="str">
        <f t="shared" si="105"/>
        <v>Q1</v>
      </c>
      <c r="E483" s="151">
        <f t="shared" si="106"/>
        <v>251445.55394935544</v>
      </c>
      <c r="F483" s="151">
        <f t="shared" si="106"/>
        <v>249612.27900000001</v>
      </c>
      <c r="G483" s="151">
        <f t="shared" si="101"/>
        <v>4967.0870000000004</v>
      </c>
      <c r="H483" s="151">
        <f t="shared" si="102"/>
        <v>5261</v>
      </c>
      <c r="I483" s="151">
        <f t="shared" si="99"/>
        <v>2130.652</v>
      </c>
      <c r="J483" s="284">
        <f t="shared" si="103"/>
        <v>7.344490249838298E-3</v>
      </c>
      <c r="K483" s="147"/>
      <c r="L483" s="147"/>
    </row>
    <row r="484" spans="1:12" s="170" customFormat="1" x14ac:dyDescent="0.2">
      <c r="A484" s="147">
        <v>2041</v>
      </c>
      <c r="B484" s="147">
        <v>3</v>
      </c>
      <c r="C484" s="147" t="str">
        <f t="shared" si="100"/>
        <v>20413</v>
      </c>
      <c r="D484" s="147" t="str">
        <f t="shared" si="105"/>
        <v>Q1</v>
      </c>
      <c r="E484" s="151">
        <f t="shared" si="106"/>
        <v>251445.55394935544</v>
      </c>
      <c r="F484" s="151">
        <f t="shared" si="106"/>
        <v>249612.27900000001</v>
      </c>
      <c r="G484" s="151">
        <f t="shared" si="101"/>
        <v>4967.0870000000004</v>
      </c>
      <c r="H484" s="151">
        <f t="shared" si="102"/>
        <v>5261</v>
      </c>
      <c r="I484" s="151">
        <f t="shared" si="99"/>
        <v>2130.652</v>
      </c>
      <c r="J484" s="284">
        <f t="shared" si="103"/>
        <v>7.344490249838298E-3</v>
      </c>
      <c r="K484" s="147"/>
      <c r="L484" s="147"/>
    </row>
    <row r="485" spans="1:12" s="170" customFormat="1" x14ac:dyDescent="0.2">
      <c r="A485" s="147">
        <v>2041</v>
      </c>
      <c r="B485" s="147">
        <v>4</v>
      </c>
      <c r="C485" s="147" t="str">
        <f t="shared" si="100"/>
        <v>20414</v>
      </c>
      <c r="D485" s="147" t="str">
        <f t="shared" si="105"/>
        <v>Q2</v>
      </c>
      <c r="E485" s="151">
        <f t="shared" si="106"/>
        <v>252430.87276282423</v>
      </c>
      <c r="F485" s="151">
        <f t="shared" si="106"/>
        <v>250429.492</v>
      </c>
      <c r="G485" s="151">
        <f t="shared" si="101"/>
        <v>4970.8530000000001</v>
      </c>
      <c r="H485" s="151">
        <f t="shared" si="102"/>
        <v>5267.6459999999997</v>
      </c>
      <c r="I485" s="151">
        <f t="shared" si="99"/>
        <v>2133.9929999999999</v>
      </c>
      <c r="J485" s="284">
        <f t="shared" si="103"/>
        <v>7.9917934059627882E-3</v>
      </c>
      <c r="K485" s="147"/>
      <c r="L485" s="147"/>
    </row>
    <row r="486" spans="1:12" s="170" customFormat="1" x14ac:dyDescent="0.2">
      <c r="A486" s="147">
        <v>2041</v>
      </c>
      <c r="B486" s="147">
        <v>5</v>
      </c>
      <c r="C486" s="147" t="str">
        <f t="shared" si="100"/>
        <v>20415</v>
      </c>
      <c r="D486" s="147" t="str">
        <f t="shared" si="105"/>
        <v>Q2</v>
      </c>
      <c r="E486" s="151">
        <f t="shared" si="106"/>
        <v>252430.87276282423</v>
      </c>
      <c r="F486" s="151">
        <f t="shared" si="106"/>
        <v>250429.492</v>
      </c>
      <c r="G486" s="151">
        <f t="shared" si="101"/>
        <v>4970.8530000000001</v>
      </c>
      <c r="H486" s="151">
        <f t="shared" si="102"/>
        <v>5267.6459999999997</v>
      </c>
      <c r="I486" s="151">
        <f t="shared" si="99"/>
        <v>2133.9929999999999</v>
      </c>
      <c r="J486" s="284">
        <f t="shared" si="103"/>
        <v>7.9917934059627882E-3</v>
      </c>
      <c r="K486" s="147"/>
      <c r="L486" s="147"/>
    </row>
    <row r="487" spans="1:12" s="170" customFormat="1" x14ac:dyDescent="0.2">
      <c r="A487" s="147">
        <v>2041</v>
      </c>
      <c r="B487" s="147">
        <v>6</v>
      </c>
      <c r="C487" s="147" t="str">
        <f t="shared" si="100"/>
        <v>20416</v>
      </c>
      <c r="D487" s="147" t="str">
        <f t="shared" si="105"/>
        <v>Q2</v>
      </c>
      <c r="E487" s="151">
        <f t="shared" si="106"/>
        <v>252430.87276282423</v>
      </c>
      <c r="F487" s="151">
        <f t="shared" si="106"/>
        <v>250429.492</v>
      </c>
      <c r="G487" s="151">
        <f t="shared" si="101"/>
        <v>4970.8530000000001</v>
      </c>
      <c r="H487" s="151">
        <f t="shared" si="102"/>
        <v>5267.6459999999997</v>
      </c>
      <c r="I487" s="151">
        <f t="shared" si="99"/>
        <v>2133.9929999999999</v>
      </c>
      <c r="J487" s="284">
        <f t="shared" si="103"/>
        <v>7.9917934059627882E-3</v>
      </c>
      <c r="K487" s="147"/>
      <c r="L487" s="147"/>
    </row>
    <row r="488" spans="1:12" s="170" customFormat="1" x14ac:dyDescent="0.2">
      <c r="A488" s="147">
        <v>2041</v>
      </c>
      <c r="B488" s="147">
        <v>7</v>
      </c>
      <c r="C488" s="147" t="str">
        <f t="shared" si="100"/>
        <v>20417</v>
      </c>
      <c r="D488" s="147" t="str">
        <f t="shared" si="105"/>
        <v>Q3</v>
      </c>
      <c r="E488" s="151">
        <f t="shared" si="106"/>
        <v>253350.96349015992</v>
      </c>
      <c r="F488" s="151">
        <f t="shared" si="106"/>
        <v>251394.72700000001</v>
      </c>
      <c r="G488" s="151">
        <f t="shared" si="101"/>
        <v>4974.6130000000003</v>
      </c>
      <c r="H488" s="151">
        <f t="shared" si="102"/>
        <v>5274.2950000000001</v>
      </c>
      <c r="I488" s="151">
        <f t="shared" si="99"/>
        <v>2137.165</v>
      </c>
      <c r="J488" s="284">
        <f t="shared" si="103"/>
        <v>7.7815335011377496E-3</v>
      </c>
      <c r="K488" s="147"/>
      <c r="L488" s="147"/>
    </row>
    <row r="489" spans="1:12" s="170" customFormat="1" x14ac:dyDescent="0.2">
      <c r="A489" s="147">
        <v>2041</v>
      </c>
      <c r="B489" s="147">
        <v>8</v>
      </c>
      <c r="C489" s="147" t="str">
        <f t="shared" si="100"/>
        <v>20418</v>
      </c>
      <c r="D489" s="147" t="str">
        <f t="shared" si="105"/>
        <v>Q3</v>
      </c>
      <c r="E489" s="151">
        <f t="shared" si="106"/>
        <v>253350.96349015992</v>
      </c>
      <c r="F489" s="151">
        <f t="shared" si="106"/>
        <v>251394.72700000001</v>
      </c>
      <c r="G489" s="151">
        <f t="shared" si="101"/>
        <v>4974.6130000000003</v>
      </c>
      <c r="H489" s="151">
        <f t="shared" si="102"/>
        <v>5274.2950000000001</v>
      </c>
      <c r="I489" s="151">
        <f t="shared" si="99"/>
        <v>2137.165</v>
      </c>
      <c r="J489" s="284">
        <f t="shared" si="103"/>
        <v>7.7815335011377496E-3</v>
      </c>
      <c r="K489" s="147"/>
      <c r="L489" s="147"/>
    </row>
    <row r="490" spans="1:12" s="170" customFormat="1" x14ac:dyDescent="0.2">
      <c r="A490" s="147">
        <v>2041</v>
      </c>
      <c r="B490" s="147">
        <v>9</v>
      </c>
      <c r="C490" s="147" t="str">
        <f t="shared" si="100"/>
        <v>20419</v>
      </c>
      <c r="D490" s="147" t="str">
        <f t="shared" si="105"/>
        <v>Q3</v>
      </c>
      <c r="E490" s="151">
        <f t="shared" si="106"/>
        <v>253350.96349015992</v>
      </c>
      <c r="F490" s="151">
        <f t="shared" si="106"/>
        <v>251394.72700000001</v>
      </c>
      <c r="G490" s="151">
        <f t="shared" si="101"/>
        <v>4974.6130000000003</v>
      </c>
      <c r="H490" s="151">
        <f t="shared" si="102"/>
        <v>5274.2950000000001</v>
      </c>
      <c r="I490" s="151">
        <f t="shared" si="99"/>
        <v>2137.165</v>
      </c>
      <c r="J490" s="284">
        <f t="shared" si="103"/>
        <v>7.7815335011377496E-3</v>
      </c>
      <c r="K490" s="147"/>
      <c r="L490" s="147"/>
    </row>
    <row r="491" spans="1:12" s="170" customFormat="1" x14ac:dyDescent="0.2">
      <c r="A491" s="147">
        <v>2041</v>
      </c>
      <c r="B491" s="147">
        <v>10</v>
      </c>
      <c r="C491" s="147" t="str">
        <f t="shared" si="100"/>
        <v>204110</v>
      </c>
      <c r="D491" s="147" t="str">
        <f t="shared" si="105"/>
        <v>Q4</v>
      </c>
      <c r="E491" s="151">
        <f t="shared" si="106"/>
        <v>254215.79508224427</v>
      </c>
      <c r="F491" s="151">
        <f t="shared" si="106"/>
        <v>252359.43400000001</v>
      </c>
      <c r="G491" s="151">
        <f t="shared" si="101"/>
        <v>4978.3670000000002</v>
      </c>
      <c r="H491" s="151">
        <f t="shared" si="102"/>
        <v>5280.9449999999997</v>
      </c>
      <c r="I491" s="151">
        <f t="shared" si="99"/>
        <v>2140.556</v>
      </c>
      <c r="J491" s="284">
        <f t="shared" si="103"/>
        <v>7.3560201527644864E-3</v>
      </c>
      <c r="K491" s="147"/>
      <c r="L491" s="147"/>
    </row>
    <row r="492" spans="1:12" s="170" customFormat="1" x14ac:dyDescent="0.2">
      <c r="A492" s="147">
        <v>2041</v>
      </c>
      <c r="B492" s="147">
        <v>11</v>
      </c>
      <c r="C492" s="147" t="str">
        <f t="shared" si="100"/>
        <v>204111</v>
      </c>
      <c r="D492" s="147" t="str">
        <f t="shared" si="105"/>
        <v>Q4</v>
      </c>
      <c r="E492" s="151">
        <f t="shared" si="106"/>
        <v>254215.79508224427</v>
      </c>
      <c r="F492" s="151">
        <f t="shared" si="106"/>
        <v>252359.43400000001</v>
      </c>
      <c r="G492" s="151">
        <f t="shared" si="101"/>
        <v>4978.3670000000002</v>
      </c>
      <c r="H492" s="151">
        <f t="shared" si="102"/>
        <v>5280.9449999999997</v>
      </c>
      <c r="I492" s="151">
        <f t="shared" si="99"/>
        <v>2140.556</v>
      </c>
      <c r="J492" s="284">
        <f t="shared" si="103"/>
        <v>7.3560201527644864E-3</v>
      </c>
      <c r="K492" s="147"/>
      <c r="L492" s="147"/>
    </row>
    <row r="493" spans="1:12" s="170" customFormat="1" x14ac:dyDescent="0.2">
      <c r="A493" s="147">
        <v>2041</v>
      </c>
      <c r="B493" s="147">
        <v>12</v>
      </c>
      <c r="C493" s="147" t="str">
        <f t="shared" si="100"/>
        <v>204112</v>
      </c>
      <c r="D493" s="147" t="str">
        <f t="shared" si="105"/>
        <v>Q4</v>
      </c>
      <c r="E493" s="151">
        <f t="shared" si="106"/>
        <v>254215.79508224427</v>
      </c>
      <c r="F493" s="151">
        <f t="shared" si="106"/>
        <v>252359.43400000001</v>
      </c>
      <c r="G493" s="151">
        <f t="shared" si="101"/>
        <v>4978.3670000000002</v>
      </c>
      <c r="H493" s="151">
        <f t="shared" si="102"/>
        <v>5280.9449999999997</v>
      </c>
      <c r="I493" s="151">
        <f t="shared" si="99"/>
        <v>2140.556</v>
      </c>
      <c r="J493" s="284">
        <f t="shared" si="103"/>
        <v>7.3560201527644864E-3</v>
      </c>
      <c r="K493" s="147"/>
      <c r="L493" s="147"/>
    </row>
    <row r="494" spans="1:12" s="170" customFormat="1" x14ac:dyDescent="0.2">
      <c r="A494" s="147">
        <f>A482+1</f>
        <v>2042</v>
      </c>
      <c r="B494" s="147">
        <v>1</v>
      </c>
      <c r="C494" s="147" t="str">
        <f t="shared" si="100"/>
        <v>20421</v>
      </c>
      <c r="D494" s="147" t="str">
        <f t="shared" si="105"/>
        <v>Q1</v>
      </c>
      <c r="E494" s="151">
        <f t="shared" si="106"/>
        <v>255614.41437076326</v>
      </c>
      <c r="F494" s="151">
        <f t="shared" si="106"/>
        <v>253356.46318499997</v>
      </c>
      <c r="G494" s="151">
        <f t="shared" si="101"/>
        <v>4982.116</v>
      </c>
      <c r="H494" s="151">
        <f t="shared" si="102"/>
        <v>5288.9449999999997</v>
      </c>
      <c r="I494" s="151">
        <f t="shared" si="99"/>
        <v>2143.9070000000002</v>
      </c>
      <c r="J494" s="284">
        <f t="shared" si="103"/>
        <v>8.9121515092929204E-3</v>
      </c>
      <c r="K494" s="147"/>
      <c r="L494" s="147"/>
    </row>
    <row r="495" spans="1:12" s="170" customFormat="1" x14ac:dyDescent="0.2">
      <c r="A495" s="147">
        <f t="shared" ref="A495:A517" si="107">A483+1</f>
        <v>2042</v>
      </c>
      <c r="B495" s="147">
        <v>2</v>
      </c>
      <c r="C495" s="147" t="str">
        <f t="shared" si="100"/>
        <v>20422</v>
      </c>
      <c r="D495" s="147" t="str">
        <f t="shared" si="105"/>
        <v>Q1</v>
      </c>
      <c r="E495" s="151">
        <f t="shared" si="106"/>
        <v>255614.41437076326</v>
      </c>
      <c r="F495" s="151">
        <f t="shared" si="106"/>
        <v>253356.46318499997</v>
      </c>
      <c r="G495" s="151">
        <f t="shared" si="101"/>
        <v>4982.116</v>
      </c>
      <c r="H495" s="151">
        <f t="shared" si="102"/>
        <v>5288.9449999999997</v>
      </c>
      <c r="I495" s="151">
        <f t="shared" si="99"/>
        <v>2143.9070000000002</v>
      </c>
      <c r="J495" s="284">
        <f t="shared" si="103"/>
        <v>8.9121515092929204E-3</v>
      </c>
      <c r="K495" s="147"/>
      <c r="L495" s="147"/>
    </row>
    <row r="496" spans="1:12" s="170" customFormat="1" x14ac:dyDescent="0.2">
      <c r="A496" s="147">
        <f t="shared" si="107"/>
        <v>2042</v>
      </c>
      <c r="B496" s="147">
        <v>3</v>
      </c>
      <c r="C496" s="147" t="str">
        <f t="shared" si="100"/>
        <v>20423</v>
      </c>
      <c r="D496" s="147" t="str">
        <f t="shared" si="105"/>
        <v>Q1</v>
      </c>
      <c r="E496" s="151">
        <f t="shared" si="106"/>
        <v>255614.41437076326</v>
      </c>
      <c r="F496" s="151">
        <f t="shared" si="106"/>
        <v>253356.46318499997</v>
      </c>
      <c r="G496" s="151">
        <f t="shared" si="101"/>
        <v>4982.116</v>
      </c>
      <c r="H496" s="151">
        <f t="shared" si="102"/>
        <v>5288.9449999999997</v>
      </c>
      <c r="I496" s="151">
        <f t="shared" si="99"/>
        <v>2143.9070000000002</v>
      </c>
      <c r="J496" s="284">
        <f t="shared" si="103"/>
        <v>8.9121515092929204E-3</v>
      </c>
      <c r="K496" s="147"/>
      <c r="L496" s="147"/>
    </row>
    <row r="497" spans="1:13" s="170" customFormat="1" x14ac:dyDescent="0.2">
      <c r="A497" s="147">
        <f t="shared" si="107"/>
        <v>2042</v>
      </c>
      <c r="B497" s="147">
        <v>4</v>
      </c>
      <c r="C497" s="147" t="str">
        <f t="shared" si="100"/>
        <v>20424</v>
      </c>
      <c r="D497" s="147" t="str">
        <f t="shared" si="105"/>
        <v>Q2</v>
      </c>
      <c r="E497" s="151">
        <f t="shared" si="106"/>
        <v>256544.43847503333</v>
      </c>
      <c r="F497" s="151">
        <f t="shared" si="106"/>
        <v>254185.93437999996</v>
      </c>
      <c r="G497" s="151">
        <f t="shared" si="101"/>
        <v>4985.8609999999999</v>
      </c>
      <c r="H497" s="151">
        <f t="shared" si="102"/>
        <v>5296.9449999999997</v>
      </c>
      <c r="I497" s="151">
        <f t="shared" si="99"/>
        <v>2147.0749999999998</v>
      </c>
      <c r="J497" s="284">
        <f t="shared" si="103"/>
        <v>9.2786569830707322E-3</v>
      </c>
      <c r="K497" s="147"/>
      <c r="L497" s="147"/>
    </row>
    <row r="498" spans="1:13" s="170" customFormat="1" x14ac:dyDescent="0.2">
      <c r="A498" s="147">
        <f t="shared" si="107"/>
        <v>2042</v>
      </c>
      <c r="B498" s="147">
        <v>5</v>
      </c>
      <c r="C498" s="147" t="str">
        <f t="shared" si="100"/>
        <v>20425</v>
      </c>
      <c r="D498" s="147" t="str">
        <f t="shared" si="105"/>
        <v>Q2</v>
      </c>
      <c r="E498" s="151">
        <f t="shared" si="106"/>
        <v>256544.43847503333</v>
      </c>
      <c r="F498" s="151">
        <f t="shared" si="106"/>
        <v>254185.93437999996</v>
      </c>
      <c r="G498" s="151">
        <f t="shared" si="101"/>
        <v>4985.8609999999999</v>
      </c>
      <c r="H498" s="151">
        <f t="shared" si="102"/>
        <v>5296.9449999999997</v>
      </c>
      <c r="I498" s="151">
        <f t="shared" si="99"/>
        <v>2147.0749999999998</v>
      </c>
      <c r="J498" s="284">
        <f t="shared" si="103"/>
        <v>9.2786569830707322E-3</v>
      </c>
      <c r="K498" s="147"/>
      <c r="L498" s="147"/>
    </row>
    <row r="499" spans="1:13" s="170" customFormat="1" x14ac:dyDescent="0.2">
      <c r="A499" s="147">
        <f t="shared" si="107"/>
        <v>2042</v>
      </c>
      <c r="B499" s="147">
        <v>6</v>
      </c>
      <c r="C499" s="147" t="str">
        <f t="shared" si="100"/>
        <v>20426</v>
      </c>
      <c r="D499" s="147" t="str">
        <f t="shared" si="105"/>
        <v>Q2</v>
      </c>
      <c r="E499" s="151">
        <f t="shared" si="106"/>
        <v>256544.43847503333</v>
      </c>
      <c r="F499" s="151">
        <f t="shared" si="106"/>
        <v>254185.93437999996</v>
      </c>
      <c r="G499" s="151">
        <f t="shared" si="101"/>
        <v>4985.8609999999999</v>
      </c>
      <c r="H499" s="151">
        <f t="shared" si="102"/>
        <v>5296.9449999999997</v>
      </c>
      <c r="I499" s="151">
        <f t="shared" si="99"/>
        <v>2147.0749999999998</v>
      </c>
      <c r="J499" s="284">
        <f t="shared" si="103"/>
        <v>9.2786569830707322E-3</v>
      </c>
      <c r="K499" s="147"/>
      <c r="L499" s="147"/>
    </row>
    <row r="500" spans="1:13" s="170" customFormat="1" x14ac:dyDescent="0.2">
      <c r="A500" s="147">
        <f t="shared" si="107"/>
        <v>2042</v>
      </c>
      <c r="B500" s="147">
        <v>7</v>
      </c>
      <c r="C500" s="147" t="str">
        <f t="shared" si="100"/>
        <v>20427</v>
      </c>
      <c r="D500" s="147" t="str">
        <f t="shared" si="105"/>
        <v>Q3</v>
      </c>
      <c r="E500" s="151">
        <f t="shared" si="106"/>
        <v>257421.6140649906</v>
      </c>
      <c r="F500" s="151">
        <f t="shared" si="106"/>
        <v>255165.64790499999</v>
      </c>
      <c r="G500" s="151">
        <f t="shared" si="101"/>
        <v>4989.6009999999997</v>
      </c>
      <c r="H500" s="151">
        <f t="shared" si="102"/>
        <v>5304.9449999999997</v>
      </c>
      <c r="I500" s="151">
        <f t="shared" si="99"/>
        <v>2150.2379999999998</v>
      </c>
      <c r="J500" s="284">
        <f t="shared" si="103"/>
        <v>8.8411828884995547E-3</v>
      </c>
      <c r="K500" s="147"/>
      <c r="L500" s="147"/>
    </row>
    <row r="501" spans="1:13" s="170" customFormat="1" x14ac:dyDescent="0.2">
      <c r="A501" s="147">
        <f t="shared" si="107"/>
        <v>2042</v>
      </c>
      <c r="B501" s="147">
        <v>8</v>
      </c>
      <c r="C501" s="147" t="str">
        <f t="shared" si="100"/>
        <v>20428</v>
      </c>
      <c r="D501" s="147" t="str">
        <f t="shared" si="105"/>
        <v>Q3</v>
      </c>
      <c r="E501" s="151">
        <f t="shared" si="106"/>
        <v>257421.6140649906</v>
      </c>
      <c r="F501" s="151">
        <f t="shared" si="106"/>
        <v>255165.64790499999</v>
      </c>
      <c r="G501" s="151">
        <f t="shared" si="101"/>
        <v>4989.6009999999997</v>
      </c>
      <c r="H501" s="151">
        <f t="shared" si="102"/>
        <v>5304.9449999999997</v>
      </c>
      <c r="I501" s="151">
        <f t="shared" si="99"/>
        <v>2150.2379999999998</v>
      </c>
      <c r="J501" s="284">
        <f t="shared" si="103"/>
        <v>8.8411828884995547E-3</v>
      </c>
      <c r="K501" s="147"/>
      <c r="L501" s="147"/>
    </row>
    <row r="502" spans="1:13" s="170" customFormat="1" x14ac:dyDescent="0.2">
      <c r="A502" s="147">
        <f t="shared" si="107"/>
        <v>2042</v>
      </c>
      <c r="B502" s="147">
        <v>9</v>
      </c>
      <c r="C502" s="147" t="str">
        <f t="shared" si="100"/>
        <v>20429</v>
      </c>
      <c r="D502" s="147" t="str">
        <f t="shared" si="105"/>
        <v>Q3</v>
      </c>
      <c r="E502" s="151">
        <f t="shared" ref="E502:F517" si="108">VLOOKUP($A502&amp;$D502,$O$1:$V$189,MATCH(E$1,$O$1:$V$1,0),0)</f>
        <v>257421.6140649906</v>
      </c>
      <c r="F502" s="151">
        <f t="shared" si="108"/>
        <v>255165.64790499999</v>
      </c>
      <c r="G502" s="151">
        <f t="shared" si="101"/>
        <v>4989.6009999999997</v>
      </c>
      <c r="H502" s="151">
        <f t="shared" si="102"/>
        <v>5304.9449999999997</v>
      </c>
      <c r="I502" s="151">
        <f t="shared" si="99"/>
        <v>2150.2379999999998</v>
      </c>
      <c r="J502" s="284">
        <f t="shared" si="103"/>
        <v>8.8411828884995547E-3</v>
      </c>
      <c r="K502" s="147"/>
      <c r="L502" s="147"/>
    </row>
    <row r="503" spans="1:13" s="170" customFormat="1" x14ac:dyDescent="0.2">
      <c r="A503" s="147">
        <f>A491+1</f>
        <v>2042</v>
      </c>
      <c r="B503" s="147">
        <v>10</v>
      </c>
      <c r="C503" s="147" t="str">
        <f t="shared" si="100"/>
        <v>204210</v>
      </c>
      <c r="D503" s="147" t="str">
        <f t="shared" si="105"/>
        <v>Q4</v>
      </c>
      <c r="E503" s="151">
        <f t="shared" si="108"/>
        <v>258320.39435679643</v>
      </c>
      <c r="F503" s="151">
        <f t="shared" si="108"/>
        <v>256144.82551</v>
      </c>
      <c r="G503" s="151">
        <f t="shared" si="101"/>
        <v>4993.3379999999997</v>
      </c>
      <c r="H503" s="151">
        <f t="shared" si="102"/>
        <v>5312.9449999999997</v>
      </c>
      <c r="I503" s="151">
        <f t="shared" si="99"/>
        <v>2153.4</v>
      </c>
      <c r="J503" s="284">
        <f t="shared" si="103"/>
        <v>8.4935108193762154E-3</v>
      </c>
      <c r="K503" s="147"/>
      <c r="L503" s="147"/>
    </row>
    <row r="504" spans="1:13" s="170" customFormat="1" x14ac:dyDescent="0.2">
      <c r="A504" s="147">
        <f t="shared" si="107"/>
        <v>2042</v>
      </c>
      <c r="B504" s="147">
        <v>11</v>
      </c>
      <c r="C504" s="147" t="str">
        <f t="shared" si="100"/>
        <v>204211</v>
      </c>
      <c r="D504" s="147" t="str">
        <f t="shared" si="105"/>
        <v>Q4</v>
      </c>
      <c r="E504" s="151">
        <f t="shared" si="108"/>
        <v>258320.39435679643</v>
      </c>
      <c r="F504" s="151">
        <f t="shared" si="108"/>
        <v>256144.82551</v>
      </c>
      <c r="G504" s="151">
        <f t="shared" si="101"/>
        <v>4993.3379999999997</v>
      </c>
      <c r="H504" s="151">
        <f t="shared" si="102"/>
        <v>5312.9449999999997</v>
      </c>
      <c r="I504" s="151">
        <f t="shared" si="99"/>
        <v>2153.4</v>
      </c>
      <c r="J504" s="284">
        <f t="shared" si="103"/>
        <v>8.4935108193762154E-3</v>
      </c>
      <c r="K504" s="147"/>
      <c r="L504" s="147"/>
    </row>
    <row r="505" spans="1:13" s="170" customFormat="1" x14ac:dyDescent="0.2">
      <c r="A505" s="147">
        <f t="shared" si="107"/>
        <v>2042</v>
      </c>
      <c r="B505" s="147">
        <v>12</v>
      </c>
      <c r="C505" s="147" t="str">
        <f t="shared" si="100"/>
        <v>204212</v>
      </c>
      <c r="D505" s="147" t="str">
        <f t="shared" si="105"/>
        <v>Q4</v>
      </c>
      <c r="E505" s="151">
        <f t="shared" si="108"/>
        <v>258320.39435679643</v>
      </c>
      <c r="F505" s="151">
        <f t="shared" si="108"/>
        <v>256144.82551</v>
      </c>
      <c r="G505" s="151">
        <f t="shared" si="101"/>
        <v>4993.3379999999997</v>
      </c>
      <c r="H505" s="151">
        <f t="shared" si="102"/>
        <v>5312.9449999999997</v>
      </c>
      <c r="I505" s="151">
        <f t="shared" si="99"/>
        <v>2153.4</v>
      </c>
      <c r="J505" s="284">
        <f t="shared" si="103"/>
        <v>8.4935108193762154E-3</v>
      </c>
      <c r="K505" s="147"/>
      <c r="L505" s="147"/>
    </row>
    <row r="506" spans="1:13" s="170" customFormat="1" x14ac:dyDescent="0.2">
      <c r="A506" s="147">
        <f t="shared" si="107"/>
        <v>2043</v>
      </c>
      <c r="B506" s="147">
        <v>1</v>
      </c>
      <c r="C506" s="147" t="str">
        <f t="shared" si="100"/>
        <v>20431</v>
      </c>
      <c r="D506" s="147" t="str">
        <f t="shared" si="105"/>
        <v>Q1</v>
      </c>
      <c r="E506" s="151">
        <f t="shared" si="108"/>
        <v>259448.6305863247</v>
      </c>
      <c r="F506" s="151">
        <f t="shared" si="108"/>
        <v>257156.81013277493</v>
      </c>
      <c r="G506" s="151">
        <f t="shared" si="101"/>
        <v>4997.1904735020735</v>
      </c>
      <c r="H506" s="151">
        <f t="shared" si="102"/>
        <v>5320.9449999999997</v>
      </c>
      <c r="I506" s="151">
        <f t="shared" si="99"/>
        <v>2153.3993359999999</v>
      </c>
      <c r="J506" s="284">
        <f t="shared" si="103"/>
        <v>8.9121515092929204E-3</v>
      </c>
      <c r="K506" s="147"/>
      <c r="L506" s="147"/>
      <c r="M506" s="147"/>
    </row>
    <row r="507" spans="1:13" s="170" customFormat="1" x14ac:dyDescent="0.2">
      <c r="A507" s="147">
        <f t="shared" si="107"/>
        <v>2043</v>
      </c>
      <c r="B507" s="147">
        <v>2</v>
      </c>
      <c r="C507" s="147" t="str">
        <f t="shared" si="100"/>
        <v>20432</v>
      </c>
      <c r="D507" s="147" t="str">
        <f t="shared" si="105"/>
        <v>Q1</v>
      </c>
      <c r="E507" s="151">
        <f t="shared" si="108"/>
        <v>259448.6305863247</v>
      </c>
      <c r="F507" s="151">
        <f t="shared" si="108"/>
        <v>257156.81013277493</v>
      </c>
      <c r="G507" s="151">
        <f t="shared" si="101"/>
        <v>4997.1904735020735</v>
      </c>
      <c r="H507" s="151">
        <f t="shared" si="102"/>
        <v>5320.9449999999997</v>
      </c>
      <c r="I507" s="151">
        <f t="shared" si="99"/>
        <v>2153.3993359999999</v>
      </c>
      <c r="J507" s="284">
        <f t="shared" si="103"/>
        <v>8.9121515092929204E-3</v>
      </c>
      <c r="K507" s="147"/>
      <c r="L507" s="147"/>
      <c r="M507" s="147"/>
    </row>
    <row r="508" spans="1:13" s="170" customFormat="1" x14ac:dyDescent="0.2">
      <c r="A508" s="147">
        <f t="shared" si="107"/>
        <v>2043</v>
      </c>
      <c r="B508" s="147">
        <v>3</v>
      </c>
      <c r="C508" s="147" t="str">
        <f t="shared" si="100"/>
        <v>20433</v>
      </c>
      <c r="D508" s="147" t="str">
        <f t="shared" si="105"/>
        <v>Q1</v>
      </c>
      <c r="E508" s="151">
        <f t="shared" si="108"/>
        <v>259448.6305863247</v>
      </c>
      <c r="F508" s="151">
        <f t="shared" si="108"/>
        <v>257156.81013277493</v>
      </c>
      <c r="G508" s="151">
        <f t="shared" si="101"/>
        <v>4997.1904735020735</v>
      </c>
      <c r="H508" s="151">
        <f t="shared" si="102"/>
        <v>5320.9449999999997</v>
      </c>
      <c r="I508" s="151">
        <f t="shared" si="99"/>
        <v>2153.3993359999999</v>
      </c>
      <c r="J508" s="284">
        <f t="shared" si="103"/>
        <v>8.9121515092929204E-3</v>
      </c>
      <c r="K508" s="147"/>
      <c r="L508" s="147"/>
      <c r="M508" s="147"/>
    </row>
    <row r="509" spans="1:13" s="170" customFormat="1" x14ac:dyDescent="0.2">
      <c r="A509" s="147">
        <f t="shared" si="107"/>
        <v>2043</v>
      </c>
      <c r="B509" s="147">
        <v>4</v>
      </c>
      <c r="C509" s="147" t="str">
        <f t="shared" si="100"/>
        <v>20434</v>
      </c>
      <c r="D509" s="147" t="str">
        <f t="shared" si="105"/>
        <v>Q2</v>
      </c>
      <c r="E509" s="151">
        <f t="shared" si="108"/>
        <v>260392.60505215879</v>
      </c>
      <c r="F509" s="151">
        <f t="shared" si="108"/>
        <v>257998.72339569993</v>
      </c>
      <c r="G509" s="151">
        <f t="shared" si="101"/>
        <v>5000.9143121554789</v>
      </c>
      <c r="H509" s="151">
        <f t="shared" si="102"/>
        <v>5328.9449999999997</v>
      </c>
      <c r="I509" s="151">
        <f t="shared" si="99"/>
        <v>2156.770442</v>
      </c>
      <c r="J509" s="284">
        <f t="shared" si="103"/>
        <v>9.2786569830707322E-3</v>
      </c>
      <c r="K509" s="147"/>
      <c r="L509" s="147"/>
      <c r="M509" s="147"/>
    </row>
    <row r="510" spans="1:13" s="170" customFormat="1" x14ac:dyDescent="0.2">
      <c r="A510" s="147">
        <f t="shared" si="107"/>
        <v>2043</v>
      </c>
      <c r="B510" s="147">
        <v>5</v>
      </c>
      <c r="C510" s="147" t="str">
        <f t="shared" si="100"/>
        <v>20435</v>
      </c>
      <c r="D510" s="147" t="str">
        <f t="shared" si="105"/>
        <v>Q2</v>
      </c>
      <c r="E510" s="151">
        <f t="shared" si="108"/>
        <v>260392.60505215879</v>
      </c>
      <c r="F510" s="151">
        <f t="shared" si="108"/>
        <v>257998.72339569993</v>
      </c>
      <c r="G510" s="151">
        <f t="shared" si="101"/>
        <v>5000.9143121554789</v>
      </c>
      <c r="H510" s="151">
        <f t="shared" si="102"/>
        <v>5328.9449999999997</v>
      </c>
      <c r="I510" s="151">
        <f t="shared" si="99"/>
        <v>2156.770442</v>
      </c>
      <c r="J510" s="284">
        <f t="shared" si="103"/>
        <v>9.2786569830707322E-3</v>
      </c>
      <c r="K510" s="147"/>
      <c r="L510" s="147"/>
      <c r="M510" s="147"/>
    </row>
    <row r="511" spans="1:13" s="170" customFormat="1" x14ac:dyDescent="0.2">
      <c r="A511" s="147">
        <f t="shared" si="107"/>
        <v>2043</v>
      </c>
      <c r="B511" s="147">
        <v>6</v>
      </c>
      <c r="C511" s="147" t="str">
        <f t="shared" si="100"/>
        <v>20436</v>
      </c>
      <c r="D511" s="147" t="str">
        <f t="shared" si="105"/>
        <v>Q2</v>
      </c>
      <c r="E511" s="151">
        <f t="shared" si="108"/>
        <v>260392.60505215879</v>
      </c>
      <c r="F511" s="151">
        <f t="shared" si="108"/>
        <v>257998.72339569993</v>
      </c>
      <c r="G511" s="151">
        <f t="shared" si="101"/>
        <v>5000.9143121554789</v>
      </c>
      <c r="H511" s="151">
        <f t="shared" si="102"/>
        <v>5328.9449999999997</v>
      </c>
      <c r="I511" s="151">
        <f t="shared" si="99"/>
        <v>2156.770442</v>
      </c>
      <c r="J511" s="284">
        <f t="shared" si="103"/>
        <v>9.2786569830707322E-3</v>
      </c>
      <c r="K511" s="147"/>
      <c r="L511" s="147"/>
      <c r="M511" s="147"/>
    </row>
    <row r="512" spans="1:13" s="170" customFormat="1" x14ac:dyDescent="0.2">
      <c r="A512" s="147">
        <f t="shared" si="107"/>
        <v>2043</v>
      </c>
      <c r="B512" s="147">
        <v>7</v>
      </c>
      <c r="C512" s="147" t="str">
        <f t="shared" si="100"/>
        <v>20437</v>
      </c>
      <c r="D512" s="147" t="str">
        <f t="shared" si="105"/>
        <v>Q3</v>
      </c>
      <c r="E512" s="151">
        <f t="shared" si="108"/>
        <v>261282.93827596543</v>
      </c>
      <c r="F512" s="151">
        <f t="shared" si="108"/>
        <v>258993.13262357496</v>
      </c>
      <c r="G512" s="151">
        <f t="shared" si="101"/>
        <v>5004.6341573105274</v>
      </c>
      <c r="H512" s="151">
        <f t="shared" si="102"/>
        <v>5336.9449999999997</v>
      </c>
      <c r="I512" s="151">
        <f t="shared" si="99"/>
        <v>2159.9574499999999</v>
      </c>
      <c r="J512" s="284">
        <f t="shared" si="103"/>
        <v>8.8411828884995547E-3</v>
      </c>
      <c r="K512" s="147"/>
      <c r="L512" s="147"/>
      <c r="M512" s="147"/>
    </row>
    <row r="513" spans="1:10" s="170" customFormat="1" x14ac:dyDescent="0.2">
      <c r="A513" s="147">
        <f t="shared" si="107"/>
        <v>2043</v>
      </c>
      <c r="B513" s="147">
        <v>8</v>
      </c>
      <c r="C513" s="147" t="str">
        <f t="shared" si="100"/>
        <v>20438</v>
      </c>
      <c r="D513" s="147" t="str">
        <f t="shared" si="105"/>
        <v>Q3</v>
      </c>
      <c r="E513" s="151">
        <f t="shared" si="108"/>
        <v>261282.93827596543</v>
      </c>
      <c r="F513" s="151">
        <f t="shared" si="108"/>
        <v>258993.13262357496</v>
      </c>
      <c r="G513" s="151">
        <f t="shared" si="101"/>
        <v>5004.6341573105274</v>
      </c>
      <c r="H513" s="151">
        <f t="shared" si="102"/>
        <v>5336.9449999999997</v>
      </c>
      <c r="I513" s="151">
        <f t="shared" si="99"/>
        <v>2159.9574499999999</v>
      </c>
      <c r="J513" s="284">
        <f t="shared" si="103"/>
        <v>8.8411828884995547E-3</v>
      </c>
    </row>
    <row r="514" spans="1:10" s="170" customFormat="1" x14ac:dyDescent="0.2">
      <c r="A514" s="147">
        <f t="shared" si="107"/>
        <v>2043</v>
      </c>
      <c r="B514" s="147">
        <v>9</v>
      </c>
      <c r="C514" s="147" t="str">
        <f t="shared" si="100"/>
        <v>20439</v>
      </c>
      <c r="D514" s="147" t="str">
        <f t="shared" si="105"/>
        <v>Q3</v>
      </c>
      <c r="E514" s="151">
        <f t="shared" si="108"/>
        <v>261282.93827596543</v>
      </c>
      <c r="F514" s="151">
        <f t="shared" si="108"/>
        <v>258993.13262357496</v>
      </c>
      <c r="G514" s="151">
        <f t="shared" si="101"/>
        <v>5004.6341573105274</v>
      </c>
      <c r="H514" s="151">
        <f t="shared" si="102"/>
        <v>5336.9449999999997</v>
      </c>
      <c r="I514" s="151">
        <f t="shared" si="99"/>
        <v>2159.9574499999999</v>
      </c>
      <c r="J514" s="284">
        <f t="shared" si="103"/>
        <v>8.8411828884995547E-3</v>
      </c>
    </row>
    <row r="515" spans="1:10" s="170" customFormat="1" x14ac:dyDescent="0.2">
      <c r="A515" s="147">
        <f t="shared" si="107"/>
        <v>2043</v>
      </c>
      <c r="B515" s="147">
        <v>10</v>
      </c>
      <c r="C515" s="147" t="str">
        <f t="shared" ref="C515:C517" si="109">A515&amp;B515</f>
        <v>204310</v>
      </c>
      <c r="D515" s="147" t="str">
        <f t="shared" si="105"/>
        <v>Q4</v>
      </c>
      <c r="E515" s="151">
        <f t="shared" si="108"/>
        <v>262195.20027214836</v>
      </c>
      <c r="F515" s="151">
        <f t="shared" si="108"/>
        <v>259986.99789264996</v>
      </c>
      <c r="G515" s="151">
        <f t="shared" si="101"/>
        <v>5008.3540209558669</v>
      </c>
      <c r="H515" s="151">
        <f t="shared" ref="H515:H517" si="110">VLOOKUP($A515&amp;$D515,$O$1:$AA$189,MATCH(H$1,$O$1:$AA$1,0),0)</f>
        <v>5344.9449999999997</v>
      </c>
      <c r="I515" s="151">
        <f t="shared" si="99"/>
        <v>2163.139428</v>
      </c>
      <c r="J515" s="284">
        <f t="shared" ref="J515:J517" si="111">E515/F515-1</f>
        <v>8.4935108193764375E-3</v>
      </c>
    </row>
    <row r="516" spans="1:10" s="170" customFormat="1" x14ac:dyDescent="0.2">
      <c r="A516" s="147">
        <f t="shared" si="107"/>
        <v>2043</v>
      </c>
      <c r="B516" s="147">
        <v>11</v>
      </c>
      <c r="C516" s="147" t="str">
        <f t="shared" si="109"/>
        <v>204311</v>
      </c>
      <c r="D516" s="147" t="str">
        <f t="shared" si="105"/>
        <v>Q4</v>
      </c>
      <c r="E516" s="151">
        <f t="shared" si="108"/>
        <v>262195.20027214836</v>
      </c>
      <c r="F516" s="151">
        <f t="shared" si="108"/>
        <v>259986.99789264996</v>
      </c>
      <c r="G516" s="151">
        <f t="shared" si="101"/>
        <v>5008.3540209558669</v>
      </c>
      <c r="H516" s="151">
        <f t="shared" si="110"/>
        <v>5344.9449999999997</v>
      </c>
      <c r="I516" s="151">
        <f t="shared" si="99"/>
        <v>2163.139428</v>
      </c>
      <c r="J516" s="284">
        <f t="shared" si="111"/>
        <v>8.4935108193764375E-3</v>
      </c>
    </row>
    <row r="517" spans="1:10" s="170" customFormat="1" x14ac:dyDescent="0.2">
      <c r="A517" s="147">
        <f t="shared" si="107"/>
        <v>2043</v>
      </c>
      <c r="B517" s="147">
        <v>12</v>
      </c>
      <c r="C517" s="147" t="str">
        <f t="shared" si="109"/>
        <v>204312</v>
      </c>
      <c r="D517" s="147" t="str">
        <f t="shared" si="105"/>
        <v>Q4</v>
      </c>
      <c r="E517" s="151">
        <f t="shared" si="108"/>
        <v>262195.20027214836</v>
      </c>
      <c r="F517" s="151">
        <f t="shared" si="108"/>
        <v>259986.99789264996</v>
      </c>
      <c r="G517" s="151">
        <f t="shared" si="101"/>
        <v>5008.3540209558669</v>
      </c>
      <c r="H517" s="151">
        <f t="shared" si="110"/>
        <v>5344.9449999999997</v>
      </c>
      <c r="I517" s="151">
        <f t="shared" si="99"/>
        <v>2163.139428</v>
      </c>
      <c r="J517" s="284">
        <f t="shared" si="111"/>
        <v>8.4935108193764375E-3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6"/>
  <sheetViews>
    <sheetView tabSelected="1" workbookViewId="0">
      <pane xSplit="1" ySplit="1" topLeftCell="B24" activePane="bottomRight" state="frozenSplit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.85546875" style="224" bestFit="1" customWidth="1"/>
    <col min="2" max="2" width="7.140625" style="224" customWidth="1"/>
    <col min="3" max="3" width="8.28515625" style="224" customWidth="1"/>
    <col min="4" max="4" width="9" style="153" customWidth="1"/>
    <col min="5" max="5" width="7.42578125" style="153" customWidth="1"/>
    <col min="6" max="6" width="9.140625" style="153" customWidth="1"/>
    <col min="7" max="7" width="7.42578125" style="153" customWidth="1"/>
    <col min="8" max="8" width="6.5703125" style="153" customWidth="1"/>
    <col min="9" max="9" width="7.28515625" style="153" customWidth="1"/>
    <col min="10" max="10" width="9.140625" style="153" customWidth="1"/>
    <col min="11" max="11" width="5.5703125" style="153" customWidth="1"/>
    <col min="12" max="12" width="8" style="153" customWidth="1"/>
    <col min="13" max="13" width="6.5703125" style="153" bestFit="1" customWidth="1"/>
    <col min="14" max="14" width="8.140625" style="153" bestFit="1" customWidth="1"/>
    <col min="15" max="16" width="6.5703125" style="153" bestFit="1" customWidth="1"/>
    <col min="17" max="17" width="6.140625" style="153" bestFit="1" customWidth="1"/>
    <col min="18" max="18" width="7.140625" style="153" bestFit="1" customWidth="1"/>
    <col min="19" max="20" width="6.5703125" style="153" bestFit="1" customWidth="1"/>
    <col min="21" max="21" width="8.5703125" style="153" bestFit="1" customWidth="1"/>
    <col min="22" max="23" width="8.140625" style="153" bestFit="1" customWidth="1"/>
    <col min="24" max="16384" width="9.140625" style="224"/>
  </cols>
  <sheetData>
    <row r="1" spans="1:45" x14ac:dyDescent="0.2">
      <c r="A1" s="184" t="s">
        <v>15</v>
      </c>
      <c r="B1" s="184" t="s">
        <v>16</v>
      </c>
      <c r="C1" s="184" t="s">
        <v>17</v>
      </c>
      <c r="D1" s="223" t="s">
        <v>0</v>
      </c>
      <c r="E1" s="223" t="s">
        <v>1</v>
      </c>
      <c r="F1" s="223" t="s">
        <v>164</v>
      </c>
      <c r="G1" s="223" t="s">
        <v>147</v>
      </c>
      <c r="H1" s="223" t="s">
        <v>2</v>
      </c>
      <c r="I1" s="223" t="s">
        <v>3</v>
      </c>
      <c r="J1" s="223" t="s">
        <v>166</v>
      </c>
      <c r="K1" s="223" t="s">
        <v>4</v>
      </c>
      <c r="L1" s="223" t="s">
        <v>5</v>
      </c>
      <c r="M1" s="223" t="s">
        <v>6</v>
      </c>
      <c r="N1" s="223" t="s">
        <v>7</v>
      </c>
      <c r="O1" s="223" t="s">
        <v>8</v>
      </c>
      <c r="P1" s="223" t="s">
        <v>9</v>
      </c>
      <c r="Q1" s="223" t="s">
        <v>10</v>
      </c>
      <c r="R1" s="223" t="s">
        <v>11</v>
      </c>
      <c r="S1" s="223" t="s">
        <v>12</v>
      </c>
      <c r="T1" s="223" t="s">
        <v>100</v>
      </c>
      <c r="U1" s="223" t="s">
        <v>174</v>
      </c>
      <c r="V1" s="223" t="s">
        <v>13</v>
      </c>
      <c r="W1" s="223" t="s">
        <v>14</v>
      </c>
      <c r="X1" s="224" t="s">
        <v>269</v>
      </c>
      <c r="Z1" s="223" t="s">
        <v>0</v>
      </c>
      <c r="AA1" s="223" t="s">
        <v>1</v>
      </c>
      <c r="AB1" s="223" t="s">
        <v>164</v>
      </c>
      <c r="AC1" s="223" t="s">
        <v>147</v>
      </c>
      <c r="AD1" s="223" t="s">
        <v>2</v>
      </c>
      <c r="AE1" s="223" t="s">
        <v>3</v>
      </c>
      <c r="AF1" s="223" t="s">
        <v>166</v>
      </c>
      <c r="AG1" s="223" t="s">
        <v>4</v>
      </c>
      <c r="AH1" s="223" t="s">
        <v>5</v>
      </c>
      <c r="AI1" s="223" t="s">
        <v>6</v>
      </c>
      <c r="AJ1" s="223" t="s">
        <v>7</v>
      </c>
      <c r="AK1" s="223" t="s">
        <v>8</v>
      </c>
      <c r="AL1" s="223" t="s">
        <v>9</v>
      </c>
      <c r="AM1" s="223" t="s">
        <v>10</v>
      </c>
      <c r="AN1" s="223" t="s">
        <v>11</v>
      </c>
      <c r="AO1" s="223" t="s">
        <v>12</v>
      </c>
      <c r="AP1" s="223" t="s">
        <v>100</v>
      </c>
      <c r="AQ1" s="223" t="s">
        <v>174</v>
      </c>
      <c r="AR1" s="223" t="s">
        <v>13</v>
      </c>
      <c r="AS1" s="223" t="s">
        <v>14</v>
      </c>
    </row>
    <row r="2" spans="1:45" hidden="1" x14ac:dyDescent="0.2">
      <c r="A2" s="225">
        <v>1995</v>
      </c>
      <c r="B2" s="226">
        <f>D2+E2+F2</f>
        <v>1653.0229976023777</v>
      </c>
      <c r="C2" s="226">
        <f>SUM(G2:I2)</f>
        <v>3914.4094064793139</v>
      </c>
      <c r="D2" s="227">
        <f>'LE Efficiencies'!B$60*'LE StructuralVars'!$Q2*('LE Shares'!B2/'LE Efficiencies'!B2)/('LE Shares'!B$12/'LE Efficiencies'!B$12)</f>
        <v>1108.0188587707214</v>
      </c>
      <c r="E2" s="227">
        <f>'LE Efficiencies'!C$60*'LE StructuralVars'!$Q2*('LE Shares'!C2/'LE Efficiencies'!C2)/('LE Shares'!C$12/'LE Efficiencies'!C$12)</f>
        <v>539.13521182392878</v>
      </c>
      <c r="F2" s="227">
        <f>'LE Efficiencies'!D$60*'LE StructuralVars'!$Q2*('LE Shares'!E2/'LE Efficiencies'!D2)/('LE Shares'!E$12/'LE Efficiencies'!D$12)</f>
        <v>5.8689270077275024</v>
      </c>
      <c r="G2" s="227">
        <f>'LE Efficiencies'!E$60*'LE StructuralVars'!$Q2*('LE Shares'!F2/(1/'LE Efficiencies'!E2))/('LE Shares'!F$12/(1/'LE Efficiencies'!E$12))</f>
        <v>60.493307766298372</v>
      </c>
      <c r="H2" s="227">
        <f>'LE Efficiencies'!F$60*'LE StructuralVars'!$R2*('LE Shares'!H2/'LE Efficiencies'!F2)/('LE Shares'!H$12/'LE Efficiencies'!F$12)</f>
        <v>3236.1996348483299</v>
      </c>
      <c r="I2" s="227">
        <f>'LE Efficiencies'!G$60*'LE StructuralVars'!$R2*('LE Shares'!J2/'LE Efficiencies'!G2)/('LE Shares'!J$12/'LE Efficiencies'!G$12)</f>
        <v>617.71646386468558</v>
      </c>
      <c r="J2" s="227">
        <f>'LE Efficiencies'!H$60*'LE StructuralVars'!$R2*('LE Shares'!M2/'LE Efficiencies'!H2)/('LE Shares'!M$12/'LE Efficiencies'!H$12)</f>
        <v>10.397677113024802</v>
      </c>
      <c r="K2" s="227">
        <f>'LE Efficiencies'!I$60*'LE StructuralVars'!$R2*('LE Shares'!N2/'LE Efficiencies'!I2)/('LE Shares'!N$12/'LE Efficiencies'!I$12)</f>
        <v>992.79570149729273</v>
      </c>
      <c r="L2" s="227">
        <f>'LE Efficiencies'!J$60*('LE Shares'!P2/'LE Efficiencies'!J2)/('LE Shares'!P$12/'LE Efficiencies'!J$12)</f>
        <v>2084.5471377976546</v>
      </c>
      <c r="M2" s="227">
        <f>'LE Efficiencies'!K$60*('LE Shares'!R2/(1/'LE Efficiencies'!K2))/('LE Shares'!R$12/(1/'LE Efficiencies'!K$12))</f>
        <v>460.44387113160218</v>
      </c>
      <c r="N2" s="227">
        <f>'LE Efficiencies'!L$60*('LE Shares'!T2/(1/'LE Efficiencies'!L2))/('LE Shares'!T$12/(1/'LE Efficiencies'!L$12))</f>
        <v>828.42931342085274</v>
      </c>
      <c r="O2" s="227">
        <f>'LE Efficiencies'!M$60*('LE Shares'!U2/(1/'LE Efficiencies'!M2))/('LE Shares'!U$12/(1/'LE Efficiencies'!M$12))</f>
        <v>149.11727641575334</v>
      </c>
      <c r="P2" s="227">
        <f>'LE Efficiencies'!N$60*('LE Shares'!W2/(1/'LE Efficiencies'!N2))/('LE Shares'!W$12/(1/'LE Efficiencies'!N$12))</f>
        <v>289.1818086899674</v>
      </c>
      <c r="Q2" s="227">
        <f>'LE Efficiencies'!O$60*('LE Shares'!Y2/(1/'LE Efficiencies'!O2))/('LE Shares'!Y$12/(1/'LE Efficiencies'!O$12))</f>
        <v>309.46556570033476</v>
      </c>
      <c r="R2" s="227">
        <f>'LE Efficiencies'!P$60*('LE Shares'!AA2/(1/'LE Efficiencies'!P2))/('LE Shares'!AA$12/(1/'LE Efficiencies'!P$12))</f>
        <v>110.93956592638811</v>
      </c>
      <c r="S2" s="227">
        <f>'LE Efficiencies'!Q$60*('LE Shares'!AC2/(1/'LE Efficiencies'!Q2))/('LE Shares'!AC$12/(1/'LE Efficiencies'!Q$12))</f>
        <v>827.65970546536016</v>
      </c>
      <c r="T2" s="227">
        <f>'LE Efficiencies'!R$60*('LE Shares'!AE2/(1/'LE Efficiencies'!R2))/('LE Shares'!AE$12/(1/'LE Efficiencies'!R$12))</f>
        <v>623.09495680708721</v>
      </c>
      <c r="U2" s="227">
        <f>'LE Efficiencies'!S$60*('LE Shares'!AG2/(1/'LE Efficiencies'!S2))/('LE Shares'!AG$12/(1/'LE Efficiencies'!S$12))</f>
        <v>211.02719168409553</v>
      </c>
      <c r="V2" s="227">
        <f>'LE Efficiencies'!T$60*('LE Shares'!AH2/(1/'LE Efficiencies'!T2))/('LE Shares'!AH$12/(1/'LE Efficiencies'!T$12))</f>
        <v>2103.645759810177</v>
      </c>
      <c r="W2" s="227" t="e">
        <f>'LE Efficiencies'!#REF!*('LE Shares'!AI2/(1/'LE Efficiencies'!U2))/('LE Shares'!AI$12/(1/'LE Efficiencies'!U$12))</f>
        <v>#REF!</v>
      </c>
      <c r="X2" s="153" t="e">
        <f>SUM(L2:V2)+W2</f>
        <v>#REF!</v>
      </c>
    </row>
    <row r="3" spans="1:45" hidden="1" x14ac:dyDescent="0.2">
      <c r="A3" s="225">
        <v>1996</v>
      </c>
      <c r="B3" s="226">
        <f t="shared" ref="B3" si="0">D3+E3+F3</f>
        <v>1619.6170154258689</v>
      </c>
      <c r="C3" s="226">
        <f t="shared" ref="C3:C7" si="1">SUM(G3:I3)</f>
        <v>3904.9544446472073</v>
      </c>
      <c r="D3" s="227">
        <f>'LE Efficiencies'!B$60*'LE StructuralVars'!$Q3*('LE Shares'!B3/'LE Efficiencies'!B3)/('LE Shares'!B$12/'LE Efficiencies'!B$12)</f>
        <v>1087.6887720336879</v>
      </c>
      <c r="E3" s="227">
        <f>'LE Efficiencies'!C$60*'LE StructuralVars'!$Q3*('LE Shares'!C3/'LE Efficiencies'!C3)/('LE Shares'!C$12/'LE Efficiencies'!C$12)</f>
        <v>525.6866911760402</v>
      </c>
      <c r="F3" s="227">
        <f>'LE Efficiencies'!D$60*'LE StructuralVars'!$Q3*('LE Shares'!E3/'LE Efficiencies'!D3)/('LE Shares'!E$12/'LE Efficiencies'!D$12)</f>
        <v>6.2415522161410193</v>
      </c>
      <c r="G3" s="227">
        <f>'LE Efficiencies'!E$60*'LE StructuralVars'!$Q3*('LE Shares'!F3/(1/'LE Efficiencies'!E3))/('LE Shares'!F$12/(1/'LE Efficiencies'!E$12))</f>
        <v>64.840622037820239</v>
      </c>
      <c r="H3" s="227">
        <f>'LE Efficiencies'!F$60*'LE StructuralVars'!$R3*('LE Shares'!H3/'LE Efficiencies'!F3)/('LE Shares'!H$12/'LE Efficiencies'!F$12)</f>
        <v>3217.5495695237887</v>
      </c>
      <c r="I3" s="227">
        <f>'LE Efficiencies'!G$60*'LE StructuralVars'!$R3*('LE Shares'!J3/'LE Efficiencies'!G3)/('LE Shares'!J$12/'LE Efficiencies'!G$12)</f>
        <v>622.56425308559858</v>
      </c>
      <c r="J3" s="227">
        <f>'LE Efficiencies'!H$60*'LE StructuralVars'!$R3*('LE Shares'!M3/'LE Efficiencies'!H3)/('LE Shares'!M$12/'LE Efficiencies'!H$12)</f>
        <v>11.038955212660253</v>
      </c>
      <c r="K3" s="227">
        <f>'LE Efficiencies'!I$60*'LE StructuralVars'!$R3*('LE Shares'!N3/'LE Efficiencies'!I3)/('LE Shares'!N$12/'LE Efficiencies'!I$12)</f>
        <v>887.61123089601654</v>
      </c>
      <c r="L3" s="227">
        <f>'LE Efficiencies'!J$60*('LE Shares'!P3/'LE Efficiencies'!J3)/('LE Shares'!P$12/'LE Efficiencies'!J$12)</f>
        <v>2090.2152792413035</v>
      </c>
      <c r="M3" s="227">
        <f>'LE Efficiencies'!K$60*('LE Shares'!R3/(1/'LE Efficiencies'!K3))/('LE Shares'!R$12/(1/'LE Efficiencies'!K$12))</f>
        <v>472.14713865940996</v>
      </c>
      <c r="N3" s="227">
        <f>'LE Efficiencies'!L$60*('LE Shares'!T3/(1/'LE Efficiencies'!L3))/('LE Shares'!T$12/(1/'LE Efficiencies'!L$12))</f>
        <v>815.85237651723071</v>
      </c>
      <c r="O3" s="227">
        <f>'LE Efficiencies'!M$60*('LE Shares'!U3/(1/'LE Efficiencies'!M3))/('LE Shares'!U$12/(1/'LE Efficiencies'!M$12))</f>
        <v>146.8534277731014</v>
      </c>
      <c r="P3" s="227">
        <f>'LE Efficiencies'!N$60*('LE Shares'!W3/(1/'LE Efficiencies'!N3))/('LE Shares'!W$12/(1/'LE Efficiencies'!N$12))</f>
        <v>286.1756825571623</v>
      </c>
      <c r="Q3" s="227">
        <f>'LE Efficiencies'!O$60*('LE Shares'!Y3/(1/'LE Efficiencies'!O3))/('LE Shares'!Y$12/(1/'LE Efficiencies'!O$12))</f>
        <v>305.72282217757123</v>
      </c>
      <c r="R3" s="227">
        <f>'LE Efficiencies'!P$60*('LE Shares'!AA3/(1/'LE Efficiencies'!P3))/('LE Shares'!AA$12/(1/'LE Efficiencies'!P$12))</f>
        <v>110.36415191550667</v>
      </c>
      <c r="S3" s="227">
        <f>'LE Efficiencies'!Q$60*('LE Shares'!AC3/(1/'LE Efficiencies'!Q3))/('LE Shares'!AC$12/(1/'LE Efficiencies'!Q$12))</f>
        <v>824.89469493805075</v>
      </c>
      <c r="T3" s="227">
        <f>'LE Efficiencies'!R$60*('LE Shares'!AE3/(1/'LE Efficiencies'!R3))/('LE Shares'!AE$12/(1/'LE Efficiencies'!R$12))</f>
        <v>632.79051236921896</v>
      </c>
      <c r="U3" s="227">
        <f>'LE Efficiencies'!S$60*('LE Shares'!AG3/(1/'LE Efficiencies'!S3))/('LE Shares'!AG$12/(1/'LE Efficiencies'!S$12))</f>
        <v>213.98985421270288</v>
      </c>
      <c r="V3" s="227">
        <f>'LE Efficiencies'!T$60*('LE Shares'!AH3/(1/'LE Efficiencies'!T3))/('LE Shares'!AH$12/(1/'LE Efficiencies'!T$12))</f>
        <v>2105.2237528737173</v>
      </c>
      <c r="W3" s="227" t="e">
        <f>'LE Efficiencies'!#REF!*('LE Shares'!AI3/(1/'LE Efficiencies'!U3))/('LE Shares'!AI$12/(1/'LE Efficiencies'!U$12))</f>
        <v>#REF!</v>
      </c>
      <c r="X3" s="153" t="e">
        <f t="shared" ref="X3:X50" si="2">SUM(L3:V3)+W3</f>
        <v>#REF!</v>
      </c>
    </row>
    <row r="4" spans="1:45" hidden="1" x14ac:dyDescent="0.2">
      <c r="A4" s="225">
        <v>1997</v>
      </c>
      <c r="B4" s="226">
        <f t="shared" ref="B4:B19" si="3">D4+E4+F4+G4</f>
        <v>1654.8684066532526</v>
      </c>
      <c r="C4" s="226">
        <f t="shared" si="1"/>
        <v>3896.5922793078903</v>
      </c>
      <c r="D4" s="227">
        <f>'LE Efficiencies'!B$60*'LE StructuralVars'!$Q4*('LE Shares'!B4/'LE Efficiencies'!B4)/('LE Shares'!B$12/'LE Efficiencies'!B$12)</f>
        <v>1066.9498944904315</v>
      </c>
      <c r="E4" s="227">
        <f>'LE Efficiencies'!C$60*'LE StructuralVars'!$Q4*('LE Shares'!C4/'LE Efficiencies'!C4)/('LE Shares'!C$12/'LE Efficiencies'!C$12)</f>
        <v>512.22145366185464</v>
      </c>
      <c r="F4" s="227">
        <f>'LE Efficiencies'!D$60*'LE StructuralVars'!$Q4*('LE Shares'!E4/'LE Efficiencies'!D4)/('LE Shares'!E$12/'LE Efficiencies'!D$12)</f>
        <v>6.6092909268007753</v>
      </c>
      <c r="G4" s="227">
        <f>'LE Efficiencies'!E$60*'LE StructuralVars'!$Q4*('LE Shares'!F4/(1/'LE Efficiencies'!E4))/('LE Shares'!F$12/(1/'LE Efficiencies'!E$12))</f>
        <v>69.087767574165895</v>
      </c>
      <c r="H4" s="227">
        <f>'LE Efficiencies'!F$60*'LE StructuralVars'!$R4*('LE Shares'!H4/'LE Efficiencies'!F4)/('LE Shares'!H$12/'LE Efficiencies'!F$12)</f>
        <v>3200.1358320721147</v>
      </c>
      <c r="I4" s="227">
        <f>'LE Efficiencies'!G$60*'LE StructuralVars'!$R4*('LE Shares'!J4/'LE Efficiencies'!G4)/('LE Shares'!J$12/'LE Efficiencies'!G$12)</f>
        <v>627.36867966160992</v>
      </c>
      <c r="J4" s="227">
        <f>'LE Efficiencies'!H$60*'LE StructuralVars'!$R4*('LE Shares'!M4/'LE Efficiencies'!H4)/('LE Shares'!M$12/'LE Efficiencies'!H$12)</f>
        <v>11.674868616987352</v>
      </c>
      <c r="K4" s="227">
        <f>'LE Efficiencies'!I$60*'LE StructuralVars'!$R4*('LE Shares'!N4/'LE Efficiencies'!I4)/('LE Shares'!N$12/'LE Efficiencies'!I$12)</f>
        <v>784.7746256458322</v>
      </c>
      <c r="L4" s="227">
        <f>'LE Efficiencies'!J$60*('LE Shares'!P4/'LE Efficiencies'!J4)/('LE Shares'!P$12/'LE Efficiencies'!J$12)</f>
        <v>2095.8555390668876</v>
      </c>
      <c r="M4" s="227">
        <f>'LE Efficiencies'!K$60*('LE Shares'!R4/(1/'LE Efficiencies'!K4))/('LE Shares'!R$12/(1/'LE Efficiencies'!K$12))</f>
        <v>483.84416261659106</v>
      </c>
      <c r="N4" s="227">
        <f>'LE Efficiencies'!L$60*('LE Shares'!T4/(1/'LE Efficiencies'!L4))/('LE Shares'!T$12/(1/'LE Efficiencies'!L$12))</f>
        <v>803.27543961360846</v>
      </c>
      <c r="O4" s="227">
        <f>'LE Efficiencies'!M$60*('LE Shares'!U4/(1/'LE Efficiencies'!M4))/('LE Shares'!U$12/(1/'LE Efficiencies'!M$12))</f>
        <v>144.58957913044941</v>
      </c>
      <c r="P4" s="227">
        <f>'LE Efficiencies'!N$60*('LE Shares'!W4/(1/'LE Efficiencies'!N4))/('LE Shares'!W$12/(1/'LE Efficiencies'!N$12))</f>
        <v>283.16955642435727</v>
      </c>
      <c r="Q4" s="227">
        <f>'LE Efficiencies'!O$60*('LE Shares'!Y4/(1/'LE Efficiencies'!O4))/('LE Shares'!Y$12/(1/'LE Efficiencies'!O$12))</f>
        <v>301.94154485411684</v>
      </c>
      <c r="R4" s="227">
        <f>'LE Efficiencies'!P$60*('LE Shares'!AA4/(1/'LE Efficiencies'!P4))/('LE Shares'!AA$12/(1/'LE Efficiencies'!P$12))</f>
        <v>109.7807090478378</v>
      </c>
      <c r="S4" s="227">
        <f>'LE Efficiencies'!Q$60*('LE Shares'!AC4/(1/'LE Efficiencies'!Q4))/('LE Shares'!AC$12/(1/'LE Efficiencies'!Q$12))</f>
        <v>822.11234029185698</v>
      </c>
      <c r="T4" s="227">
        <f>'LE Efficiencies'!R$60*('LE Shares'!AE4/(1/'LE Efficiencies'!R4))/('LE Shares'!AE$12/(1/'LE Efficiencies'!R$12))</f>
        <v>642.54827338923212</v>
      </c>
      <c r="U4" s="227">
        <f>'LE Efficiencies'!S$60*('LE Shares'!AG4/(1/'LE Efficiencies'!S4))/('LE Shares'!AG$12/(1/'LE Efficiencies'!S$12))</f>
        <v>216.94250216663121</v>
      </c>
      <c r="V4" s="227">
        <f>'LE Efficiencies'!T$60*('LE Shares'!AH4/(1/'LE Efficiencies'!T4))/('LE Shares'!AH$12/(1/'LE Efficiencies'!T$12))</f>
        <v>2106.8017459372586</v>
      </c>
      <c r="W4" s="227" t="e">
        <f>'LE Efficiencies'!#REF!*('LE Shares'!AI4/(1/'LE Efficiencies'!U4))/('LE Shares'!AI$12/(1/'LE Efficiencies'!U$12))</f>
        <v>#REF!</v>
      </c>
      <c r="X4" s="153" t="e">
        <f t="shared" si="2"/>
        <v>#REF!</v>
      </c>
    </row>
    <row r="5" spans="1:45" hidden="1" x14ac:dyDescent="0.2">
      <c r="A5" s="225">
        <v>1998</v>
      </c>
      <c r="B5" s="226">
        <f t="shared" si="3"/>
        <v>1624.8018249191173</v>
      </c>
      <c r="C5" s="226">
        <f t="shared" si="1"/>
        <v>3889.2409662783721</v>
      </c>
      <c r="D5" s="227">
        <f>'LE Efficiencies'!B$60*'LE StructuralVars'!$Q5*('LE Shares'!B5/'LE Efficiencies'!B5)/('LE Shares'!B$12/'LE Efficiencies'!B$12)</f>
        <v>1045.8409371935024</v>
      </c>
      <c r="E5" s="227">
        <f>'LE Efficiencies'!C$60*'LE StructuralVars'!$Q5*('LE Shares'!C5/'LE Efficiencies'!C5)/('LE Shares'!C$12/'LE Efficiencies'!C$12)</f>
        <v>498.75829299343451</v>
      </c>
      <c r="F5" s="227">
        <f>'LE Efficiencies'!D$60*'LE StructuralVars'!$Q5*('LE Shares'!E5/'LE Efficiencies'!D5)/('LE Shares'!E$12/'LE Efficiencies'!D$12)</f>
        <v>6.971811283470057</v>
      </c>
      <c r="G5" s="227">
        <f>'LE Efficiencies'!E$60*'LE StructuralVars'!$Q5*('LE Shares'!F5/(1/'LE Efficiencies'!E5))/('LE Shares'!F$12/(1/'LE Efficiencies'!E$12))</f>
        <v>73.230783448710426</v>
      </c>
      <c r="H5" s="227">
        <f>'LE Efficiencies'!F$60*'LE StructuralVars'!$R5*('LE Shares'!H5/'LE Efficiencies'!F5)/('LE Shares'!H$12/'LE Efficiencies'!F$12)</f>
        <v>3183.8779597456155</v>
      </c>
      <c r="I5" s="227">
        <f>'LE Efficiencies'!G$60*'LE StructuralVars'!$R5*('LE Shares'!J5/'LE Efficiencies'!G5)/('LE Shares'!J$12/'LE Efficiencies'!G$12)</f>
        <v>632.13222308404625</v>
      </c>
      <c r="J5" s="227">
        <f>'LE Efficiencies'!H$60*'LE StructuralVars'!$R5*('LE Shares'!M5/'LE Efficiencies'!H5)/('LE Shares'!M$12/'LE Efficiencies'!H$12)</f>
        <v>12.305588033030402</v>
      </c>
      <c r="K5" s="227">
        <f>'LE Efficiencies'!I$60*'LE StructuralVars'!$R5*('LE Shares'!N5/'LE Efficiencies'!I5)/('LE Shares'!N$12/'LE Efficiencies'!I$12)</f>
        <v>684.18230255821231</v>
      </c>
      <c r="L5" s="227">
        <f>'LE Efficiencies'!J$60*('LE Shares'!P5/'LE Efficiencies'!J5)/('LE Shares'!P$12/'LE Efficiencies'!J$12)</f>
        <v>2101.4681224944102</v>
      </c>
      <c r="M5" s="227">
        <f>'LE Efficiencies'!K$60*('LE Shares'!R5/(1/'LE Efficiencies'!K5))/('LE Shares'!R$12/(1/'LE Efficiencies'!K$12))</f>
        <v>495.53494300314566</v>
      </c>
      <c r="N5" s="227">
        <f>'LE Efficiencies'!L$60*('LE Shares'!T5/(1/'LE Efficiencies'!L5))/('LE Shares'!T$12/(1/'LE Efficiencies'!L$12))</f>
        <v>790.69850270998643</v>
      </c>
      <c r="O5" s="227">
        <f>'LE Efficiencies'!M$60*('LE Shares'!U5/(1/'LE Efficiencies'!M5))/('LE Shares'!U$12/(1/'LE Efficiencies'!M$12))</f>
        <v>142.32573048779747</v>
      </c>
      <c r="P5" s="227">
        <f>'LE Efficiencies'!N$60*('LE Shares'!W5/(1/'LE Efficiencies'!N5))/('LE Shares'!W$12/(1/'LE Efficiencies'!N$12))</f>
        <v>280.16343029155229</v>
      </c>
      <c r="Q5" s="227">
        <f>'LE Efficiencies'!O$60*('LE Shares'!Y5/(1/'LE Efficiencies'!O5))/('LE Shares'!Y$12/(1/'LE Efficiencies'!O$12))</f>
        <v>298.12173372997154</v>
      </c>
      <c r="R5" s="227">
        <f>'LE Efficiencies'!P$60*('LE Shares'!AA5/(1/'LE Efficiencies'!P5))/('LE Shares'!AA$12/(1/'LE Efficiencies'!P$12))</f>
        <v>109.18923732338159</v>
      </c>
      <c r="S5" s="227">
        <f>'LE Efficiencies'!Q$60*('LE Shares'!AC5/(1/'LE Efficiencies'!Q5))/('LE Shares'!AC$12/(1/'LE Efficiencies'!Q$12))</f>
        <v>819.31264152677795</v>
      </c>
      <c r="T5" s="227">
        <f>'LE Efficiencies'!R$60*('LE Shares'!AE5/(1/'LE Efficiencies'!R5))/('LE Shares'!AE$12/(1/'LE Efficiencies'!R$12))</f>
        <v>652.36823986712648</v>
      </c>
      <c r="U5" s="227">
        <f>'LE Efficiencies'!S$60*('LE Shares'!AG5/(1/'LE Efficiencies'!S5))/('LE Shares'!AG$12/(1/'LE Efficiencies'!S$12))</f>
        <v>219.88513554588056</v>
      </c>
      <c r="V5" s="227">
        <f>'LE Efficiencies'!T$60*('LE Shares'!AH5/(1/'LE Efficiencies'!T5))/('LE Shares'!AH$12/(1/'LE Efficiencies'!T$12))</f>
        <v>2108.3797390007985</v>
      </c>
      <c r="W5" s="227" t="e">
        <f>'LE Efficiencies'!#REF!*('LE Shares'!AI5/(1/'LE Efficiencies'!U5))/('LE Shares'!AI$12/(1/'LE Efficiencies'!U$12))</f>
        <v>#REF!</v>
      </c>
      <c r="X5" s="153" t="e">
        <f t="shared" si="2"/>
        <v>#REF!</v>
      </c>
    </row>
    <row r="6" spans="1:45" hidden="1" x14ac:dyDescent="0.2">
      <c r="A6" s="225">
        <v>1999</v>
      </c>
      <c r="B6" s="226">
        <f t="shared" si="3"/>
        <v>1594.3241149223836</v>
      </c>
      <c r="C6" s="226">
        <f t="shared" si="1"/>
        <v>3926.938512177238</v>
      </c>
      <c r="D6" s="227">
        <f>'LE Efficiencies'!B$60*'LE StructuralVars'!$Q6*('LE Shares'!B6/'LE Efficiencies'!B6)/('LE Shares'!B$12/'LE Efficiencies'!B$12)</f>
        <v>1024.408955445869</v>
      </c>
      <c r="E6" s="227">
        <f>'LE Efficiencies'!C$60*'LE StructuralVars'!$Q6*('LE Shares'!C6/'LE Efficiencies'!C6)/('LE Shares'!C$12/'LE Efficiencies'!C$12)</f>
        <v>485.31946084279349</v>
      </c>
      <c r="F6" s="227">
        <f>'LE Efficiencies'!D$60*'LE StructuralVars'!$Q6*('LE Shares'!E6/'LE Efficiencies'!D6)/('LE Shares'!E$12/'LE Efficiencies'!D$12)</f>
        <v>7.3288744585081176</v>
      </c>
      <c r="G6" s="227">
        <f>'LE Efficiencies'!E$60*'LE StructuralVars'!$Q6*('LE Shares'!F6/(1/'LE Efficiencies'!E6))/('LE Shares'!F$12/(1/'LE Efficiencies'!E$12))</f>
        <v>77.266824175212946</v>
      </c>
      <c r="H6" s="227">
        <f>'LE Efficiencies'!F$60*'LE StructuralVars'!$R6*('LE Shares'!H6/'LE Efficiencies'!F6)/('LE Shares'!H$12/'LE Efficiencies'!F$12)</f>
        <v>3212.8144538602014</v>
      </c>
      <c r="I6" s="227">
        <f>'LE Efficiencies'!G$60*'LE StructuralVars'!$R6*('LE Shares'!J6/'LE Efficiencies'!G6)/('LE Shares'!J$12/'LE Efficiencies'!G$12)</f>
        <v>636.85723414182337</v>
      </c>
      <c r="J6" s="227">
        <f>'LE Efficiencies'!H$60*'LE StructuralVars'!$R6*('LE Shares'!M6/'LE Efficiencies'!H6)/('LE Shares'!M$12/'LE Efficiencies'!H$12)</f>
        <v>12.931278983291643</v>
      </c>
      <c r="K6" s="227">
        <f>'LE Efficiencies'!I$60*'LE StructuralVars'!$R6*('LE Shares'!N6/'LE Efficiencies'!I6)/('LE Shares'!N$12/'LE Efficiencies'!I$12)</f>
        <v>585.73633634235784</v>
      </c>
      <c r="L6" s="227">
        <f>'LE Efficiencies'!J$60*('LE Shares'!P6/'LE Efficiencies'!J6)/('LE Shares'!P$12/'LE Efficiencies'!J$12)</f>
        <v>2107.053232734801</v>
      </c>
      <c r="M6" s="227">
        <f>'LE Efficiencies'!K$60*('LE Shares'!R6/(1/'LE Efficiencies'!K6))/('LE Shares'!R$12/(1/'LE Efficiencies'!K$12))</f>
        <v>507.21947981907363</v>
      </c>
      <c r="N6" s="227">
        <f>'LE Efficiencies'!L$60*('LE Shares'!T6/(1/'LE Efficiencies'!L6))/('LE Shares'!T$12/(1/'LE Efficiencies'!L$12))</f>
        <v>778.1215658063644</v>
      </c>
      <c r="O6" s="227">
        <f>'LE Efficiencies'!M$60*('LE Shares'!U6/(1/'LE Efficiencies'!M6))/('LE Shares'!U$12/(1/'LE Efficiencies'!M$12))</f>
        <v>140.06188184514551</v>
      </c>
      <c r="P6" s="227">
        <f>'LE Efficiencies'!N$60*('LE Shares'!W6/(1/'LE Efficiencies'!N6))/('LE Shares'!W$12/(1/'LE Efficiencies'!N$12))</f>
        <v>277.15730415874725</v>
      </c>
      <c r="Q6" s="227">
        <f>'LE Efficiencies'!O$60*('LE Shares'!Y6/(1/'LE Efficiencies'!O6))/('LE Shares'!Y$12/(1/'LE Efficiencies'!O$12))</f>
        <v>294.26338880513538</v>
      </c>
      <c r="R6" s="227">
        <f>'LE Efficiencies'!P$60*('LE Shares'!AA6/(1/'LE Efficiencies'!P6))/('LE Shares'!AA$12/(1/'LE Efficiencies'!P$12))</f>
        <v>108.58973674213796</v>
      </c>
      <c r="S6" s="227">
        <f>'LE Efficiencies'!Q$60*('LE Shares'!AC6/(1/'LE Efficiencies'!Q6))/('LE Shares'!AC$12/(1/'LE Efficiencies'!Q$12))</f>
        <v>816.49559864281412</v>
      </c>
      <c r="T6" s="227">
        <f>'LE Efficiencies'!R$60*('LE Shares'!AE6/(1/'LE Efficiencies'!R6))/('LE Shares'!AE$12/(1/'LE Efficiencies'!R$12))</f>
        <v>662.25041180290259</v>
      </c>
      <c r="U6" s="227">
        <f>'LE Efficiencies'!S$60*('LE Shares'!AG6/(1/'LE Efficiencies'!S6))/('LE Shares'!AG$12/(1/'LE Efficiencies'!S$12))</f>
        <v>222.81775435045088</v>
      </c>
      <c r="V6" s="227">
        <f>'LE Efficiencies'!T$60*('LE Shares'!AH6/(1/'LE Efficiencies'!T6))/('LE Shares'!AH$12/(1/'LE Efficiencies'!T$12))</f>
        <v>2109.9577320643389</v>
      </c>
      <c r="W6" s="227" t="e">
        <f>'LE Efficiencies'!#REF!*('LE Shares'!AI6/(1/'LE Efficiencies'!U6))/('LE Shares'!AI$12/(1/'LE Efficiencies'!U$12))</f>
        <v>#REF!</v>
      </c>
      <c r="X6" s="153" t="e">
        <f t="shared" si="2"/>
        <v>#REF!</v>
      </c>
    </row>
    <row r="7" spans="1:45" hidden="1" x14ac:dyDescent="0.2">
      <c r="A7" s="225">
        <v>2000</v>
      </c>
      <c r="B7" s="226">
        <f t="shared" si="3"/>
        <v>1585.1994990392582</v>
      </c>
      <c r="C7" s="226">
        <f t="shared" si="1"/>
        <v>3863.4472599115893</v>
      </c>
      <c r="D7" s="227">
        <f>'LE Efficiencies'!B$60*'LE StructuralVars'!$Q7*('LE Shares'!B7/'LE Efficiencies'!B7)/('LE Shares'!B$12/'LE Efficiencies'!B$12)</f>
        <v>1017.454397110499</v>
      </c>
      <c r="E7" s="227">
        <f>'LE Efficiencies'!C$60*'LE StructuralVars'!$Q7*('LE Shares'!C7/'LE Efficiencies'!C7)/('LE Shares'!C$12/'LE Efficiencies'!C$12)</f>
        <v>478.87039007529336</v>
      </c>
      <c r="F7" s="227">
        <f>'LE Efficiencies'!D$60*'LE StructuralVars'!$Q7*('LE Shares'!E7/'LE Efficiencies'!D7)/('LE Shares'!E$12/'LE Efficiencies'!D$12)</f>
        <v>7.680353155059418</v>
      </c>
      <c r="G7" s="227">
        <f>'LE Efficiencies'!E$60*'LE StructuralVars'!$Q7*('LE Shares'!F7/(1/'LE Efficiencies'!E7))/('LE Shares'!F$12/(1/'LE Efficiencies'!E$12))</f>
        <v>81.194358698406134</v>
      </c>
      <c r="H7" s="227">
        <f>'LE Efficiencies'!F$60*'LE StructuralVars'!$R7*('LE Shares'!H7/'LE Efficiencies'!F7)/('LE Shares'!H$12/'LE Efficiencies'!F$12)</f>
        <v>3140.7069578460842</v>
      </c>
      <c r="I7" s="227">
        <f>'LE Efficiencies'!G$60*'LE StructuralVars'!$R7*('LE Shares'!J7/'LE Efficiencies'!G7)/('LE Shares'!J$12/'LE Efficiencies'!G$12)</f>
        <v>641.54594336709908</v>
      </c>
      <c r="J7" s="227">
        <f>'LE Efficiencies'!H$60*'LE StructuralVars'!$R7*('LE Shares'!M7/'LE Efficiencies'!H7)/('LE Shares'!M$12/'LE Efficiencies'!H$12)</f>
        <v>13.552102008528236</v>
      </c>
      <c r="K7" s="227">
        <f>'LE Efficiencies'!I$60*'LE StructuralVars'!$R7*('LE Shares'!N7/'LE Efficiencies'!I7)/('LE Shares'!N$12/'LE Efficiencies'!I$12)</f>
        <v>540.7457654123665</v>
      </c>
      <c r="L7" s="227">
        <f>'LE Efficiencies'!J$60*('LE Shares'!P7/'LE Efficiencies'!J7)/('LE Shares'!P$12/'LE Efficiencies'!J$12)</f>
        <v>2112.6110710144403</v>
      </c>
      <c r="M7" s="227">
        <f>'LE Efficiencies'!K$60*('LE Shares'!R7/(1/'LE Efficiencies'!K7))/('LE Shares'!R$12/(1/'LE Efficiencies'!K$12))</f>
        <v>518.89777306437497</v>
      </c>
      <c r="N7" s="227">
        <f>'LE Efficiencies'!L$60*('LE Shares'!T7/(1/'LE Efficiencies'!L7))/('LE Shares'!T$12/(1/'LE Efficiencies'!L$12))</f>
        <v>765.54462890274226</v>
      </c>
      <c r="O7" s="227">
        <f>'LE Efficiencies'!M$60*('LE Shares'!U7/(1/'LE Efficiencies'!M7))/('LE Shares'!U$12/(1/'LE Efficiencies'!M$12))</f>
        <v>137.79803320249354</v>
      </c>
      <c r="P7" s="227">
        <f>'LE Efficiencies'!N$60*('LE Shares'!W7/(1/'LE Efficiencies'!N7))/('LE Shares'!W$12/(1/'LE Efficiencies'!N$12))</f>
        <v>274.15117802594227</v>
      </c>
      <c r="Q7" s="227">
        <f>'LE Efficiencies'!O$60*('LE Shares'!Y7/(1/'LE Efficiencies'!O7))/('LE Shares'!Y$12/(1/'LE Efficiencies'!O$12))</f>
        <v>290.3665100796083</v>
      </c>
      <c r="R7" s="227">
        <f>'LE Efficiencies'!P$60*('LE Shares'!AA7/(1/'LE Efficiencies'!P7))/('LE Shares'!AA$12/(1/'LE Efficiencies'!P$12))</f>
        <v>107.98220730410696</v>
      </c>
      <c r="S7" s="227">
        <f>'LE Efficiencies'!Q$60*('LE Shares'!AC7/(1/'LE Efficiencies'!Q7))/('LE Shares'!AC$12/(1/'LE Efficiencies'!Q$12))</f>
        <v>813.66121163996502</v>
      </c>
      <c r="T7" s="227">
        <f>'LE Efficiencies'!R$60*('LE Shares'!AE7/(1/'LE Efficiencies'!R7))/('LE Shares'!AE$12/(1/'LE Efficiencies'!R$12))</f>
        <v>672.19478919656001</v>
      </c>
      <c r="U7" s="227">
        <f>'LE Efficiencies'!S$60*('LE Shares'!AG7/(1/'LE Efficiencies'!S7))/('LE Shares'!AG$12/(1/'LE Efficiencies'!S$12))</f>
        <v>225.74035858034216</v>
      </c>
      <c r="V7" s="227">
        <f>'LE Efficiencies'!T$60*('LE Shares'!AH7/(1/'LE Efficiencies'!T7))/('LE Shares'!AH$12/(1/'LE Efficiencies'!T$12))</f>
        <v>2111.5357251278797</v>
      </c>
      <c r="W7" s="227" t="e">
        <f>'LE Efficiencies'!#REF!*('LE Shares'!AI7/(1/'LE Efficiencies'!U7))/('LE Shares'!AI$12/(1/'LE Efficiencies'!U$12))</f>
        <v>#REF!</v>
      </c>
      <c r="X7" s="153" t="e">
        <f t="shared" si="2"/>
        <v>#REF!</v>
      </c>
    </row>
    <row r="8" spans="1:45" x14ac:dyDescent="0.2">
      <c r="A8" s="225">
        <v>2001</v>
      </c>
      <c r="B8" s="226">
        <f t="shared" si="3"/>
        <v>1575.6418630800179</v>
      </c>
      <c r="C8" s="226">
        <f>SUM(H8:K8)</f>
        <v>4228.6775655130587</v>
      </c>
      <c r="D8" s="227">
        <f>'LE Efficiencies'!B$60*'LE StructuralVars'!$Q8*('LE Shares'!B8/'LE Efficiencies'!B8)/('LE Shares'!B$12/'LE Efficiencies'!B$12)</f>
        <v>1010.2254276738407</v>
      </c>
      <c r="E8" s="227">
        <f>'LE Efficiencies'!C$60*'LE StructuralVars'!$Q8*('LE Shares'!C8/'LE Efficiencies'!C8)/('LE Shares'!C$12/'LE Efficiencies'!C$12)</f>
        <v>472.37686101578845</v>
      </c>
      <c r="F8" s="227">
        <f>'LE Efficiencies'!D$60*'LE StructuralVars'!$Q8*('LE Shares'!E8/'LE Efficiencies'!D8)/('LE Shares'!E$12/'LE Efficiencies'!D$12)</f>
        <v>8.0262467865613338</v>
      </c>
      <c r="G8" s="227">
        <f>'LE Efficiencies'!E$60*'LE StructuralVars'!$Q8*('LE Shares'!F8/(1/'LE Efficiencies'!E8))/('LE Shares'!F$12/(1/'LE Efficiencies'!E$12))</f>
        <v>85.013327603827349</v>
      </c>
      <c r="H8" s="227">
        <f>'LE Efficiencies'!F$60*'LE StructuralVars'!$R8*('LE Shares'!H8/'LE Efficiencies'!F8)/('LE Shares'!H$12/'LE Efficiencies'!F$12)</f>
        <v>3071.6081506928008</v>
      </c>
      <c r="I8" s="227">
        <f>'LE Efficiencies'!G$60*'LE StructuralVars'!$R8*('LE Shares'!J8/'LE Efficiencies'!G8)/('LE Shares'!J$12/'LE Efficiencies'!G$12)</f>
        <v>646.20046882363442</v>
      </c>
      <c r="J8" s="227">
        <f>'LE Efficiencies'!H$60*'LE StructuralVars'!$R8*('LE Shares'!M8/'LE Efficiencies'!H8)/('LE Shares'!M$12/'LE Efficiencies'!H$12)</f>
        <v>14.16821286105275</v>
      </c>
      <c r="K8" s="227">
        <f>'LE Efficiencies'!I$60*'LE StructuralVars'!$R8*('LE Shares'!N8/'LE Efficiencies'!I8)/('LE Shares'!N$12/'LE Efficiencies'!I$12)</f>
        <v>496.70073313557032</v>
      </c>
      <c r="L8" s="227">
        <f>'LE Efficiencies'!J$60*('LE Shares'!P8/'LE Efficiencies'!J8)/('LE Shares'!P$12/'LE Efficiencies'!J$12)</f>
        <v>2118.1418365993291</v>
      </c>
      <c r="M8" s="227">
        <f>'LE Efficiencies'!K$60*('LE Shares'!R8/(1/'LE Efficiencies'!K8))/('LE Shares'!R$12/(1/'LE Efficiencies'!K$12))</f>
        <v>530.56982273904987</v>
      </c>
      <c r="N8" s="227">
        <f>'LE Efficiencies'!L$60*('LE Shares'!T8/(1/'LE Efficiencies'!L8))/('LE Shares'!T$12/(1/'LE Efficiencies'!L$12))</f>
        <v>752.96769199912012</v>
      </c>
      <c r="O8" s="227">
        <f>'LE Efficiencies'!M$60*('LE Shares'!U8/(1/'LE Efficiencies'!M8))/('LE Shares'!U$12/(1/'LE Efficiencies'!M$12))</f>
        <v>135.53418455984155</v>
      </c>
      <c r="P8" s="227">
        <f>'LE Efficiencies'!N$60*('LE Shares'!W8/(1/'LE Efficiencies'!N8))/('LE Shares'!W$12/(1/'LE Efficiencies'!N$12))</f>
        <v>271.14505189313718</v>
      </c>
      <c r="Q8" s="227">
        <f>'LE Efficiencies'!O$60*('LE Shares'!Y8/(1/'LE Efficiencies'!O8))/('LE Shares'!Y$12/(1/'LE Efficiencies'!O$12))</f>
        <v>286.43109755339026</v>
      </c>
      <c r="R8" s="227">
        <f>'LE Efficiencies'!P$60*('LE Shares'!AA8/(1/'LE Efficiencies'!P8))/('LE Shares'!AA$12/(1/'LE Efficiencies'!P$12))</f>
        <v>107.36664900928854</v>
      </c>
      <c r="S8" s="227">
        <f>'LE Efficiencies'!Q$60*('LE Shares'!AC8/(1/'LE Efficiencies'!Q8))/('LE Shares'!AC$12/(1/'LE Efficiencies'!Q$12))</f>
        <v>810.80948051823111</v>
      </c>
      <c r="T8" s="227">
        <f>'LE Efficiencies'!R$60*('LE Shares'!AE8/(1/'LE Efficiencies'!R8))/('LE Shares'!AE$12/(1/'LE Efficiencies'!R$12))</f>
        <v>682.41753217865892</v>
      </c>
      <c r="U8" s="227">
        <f>'LE Efficiencies'!S$60*('LE Shares'!AG8/(1/'LE Efficiencies'!S8))/('LE Shares'!AG$12/(1/'LE Efficiencies'!S$12))</f>
        <v>228.65294823555445</v>
      </c>
      <c r="V8" s="227">
        <f>'LE Efficiencies'!T$60*('LE Shares'!AH8/(1/'LE Efficiencies'!T8))/('LE Shares'!AH$12/(1/'LE Efficiencies'!T$12))</f>
        <v>2113.11371819142</v>
      </c>
      <c r="W8" s="227">
        <f>'LE Efficiencies'!U$60*('LE Shares'!AI8/(1/'LE Efficiencies'!U8))/('LE Shares'!AI$12/(1/'LE Efficiencies'!U$12))</f>
        <v>3708.1959829581037</v>
      </c>
      <c r="X8" s="153">
        <f t="shared" si="2"/>
        <v>11745.345996435124</v>
      </c>
    </row>
    <row r="9" spans="1:45" x14ac:dyDescent="0.2">
      <c r="A9" s="225">
        <v>2002</v>
      </c>
      <c r="B9" s="226">
        <f t="shared" si="3"/>
        <v>1565.7351947915038</v>
      </c>
      <c r="C9" s="226">
        <f t="shared" ref="C9:C49" si="4">SUM(H9:K9)</f>
        <v>4124.4952648619355</v>
      </c>
      <c r="D9" s="227">
        <f>'LE Efficiencies'!B$60*'LE StructuralVars'!$Q9*('LE Shares'!B9/'LE Efficiencies'!B9)/('LE Shares'!B$12/'LE Efficiencies'!B$12)</f>
        <v>1002.7776801741275</v>
      </c>
      <c r="E9" s="227">
        <f>'LE Efficiencies'!C$60*'LE StructuralVars'!$Q9*('LE Shares'!C9/'LE Efficiencies'!C9)/('LE Shares'!C$12/'LE Efficiencies'!C$12)</f>
        <v>465.86558090418657</v>
      </c>
      <c r="F9" s="227">
        <f>'LE Efficiencies'!D$60*'LE StructuralVars'!$Q9*('LE Shares'!E9/'LE Efficiencies'!D9)/('LE Shares'!E$12/'LE Efficiencies'!D$12)</f>
        <v>8.3666918208145251</v>
      </c>
      <c r="G9" s="227">
        <f>'LE Efficiencies'!E$60*'LE StructuralVars'!$Q9*('LE Shares'!F9/(1/'LE Efficiencies'!E9))/('LE Shares'!F$12/(1/'LE Efficiencies'!E$12))</f>
        <v>88.725241892375251</v>
      </c>
      <c r="H9" s="227">
        <f>'LE Efficiencies'!F$60*'LE StructuralVars'!$R9*('LE Shares'!H9/'LE Efficiencies'!F9)/('LE Shares'!H$12/'LE Efficiencies'!F$12)</f>
        <v>3005.3311311647099</v>
      </c>
      <c r="I9" s="227">
        <f>'LE Efficiencies'!G$60*'LE StructuralVars'!$R9*('LE Shares'!J9/'LE Efficiencies'!G9)/('LE Shares'!J$12/'LE Efficiencies'!G$12)</f>
        <v>650.82282329673967</v>
      </c>
      <c r="J9" s="227">
        <f>'LE Efficiencies'!H$60*'LE StructuralVars'!$R9*('LE Shares'!M9/'LE Efficiencies'!H9)/('LE Shares'!M$12/'LE Efficiencies'!H$12)</f>
        <v>14.779762689068471</v>
      </c>
      <c r="K9" s="227">
        <f>'LE Efficiencies'!I$60*'LE StructuralVars'!$R9*('LE Shares'!N9/'LE Efficiencies'!I9)/('LE Shares'!N$12/'LE Efficiencies'!I$12)</f>
        <v>453.5615477114178</v>
      </c>
      <c r="L9" s="227">
        <f>'LE Efficiencies'!J$60*('LE Shares'!P9/'LE Efficiencies'!J9)/('LE Shares'!P$12/'LE Efficiencies'!J$12)</f>
        <v>2123.645726818901</v>
      </c>
      <c r="M9" s="227">
        <f>'LE Efficiencies'!K$60*('LE Shares'!R9/(1/'LE Efficiencies'!K9))/('LE Shares'!R$12/(1/'LE Efficiencies'!K$12))</f>
        <v>542.23562884309808</v>
      </c>
      <c r="N9" s="227">
        <f>'LE Efficiencies'!L$60*('LE Shares'!T9/(1/'LE Efficiencies'!L9))/('LE Shares'!T$12/(1/'LE Efficiencies'!L$12))</f>
        <v>740.39075509549787</v>
      </c>
      <c r="O9" s="227">
        <f>'LE Efficiencies'!M$60*('LE Shares'!U9/(1/'LE Efficiencies'!M9))/('LE Shares'!U$12/(1/'LE Efficiencies'!M$12))</f>
        <v>133.27033591718958</v>
      </c>
      <c r="P9" s="227">
        <f>'LE Efficiencies'!N$60*('LE Shares'!W9/(1/'LE Efficiencies'!N9))/('LE Shares'!W$12/(1/'LE Efficiencies'!N$12))</f>
        <v>268.1389257603322</v>
      </c>
      <c r="Q9" s="227">
        <f>'LE Efficiencies'!O$60*('LE Shares'!Y9/(1/'LE Efficiencies'!O9))/('LE Shares'!Y$12/(1/'LE Efficiencies'!O$12))</f>
        <v>282.45715122648147</v>
      </c>
      <c r="R9" s="227">
        <f>'LE Efficiencies'!P$60*('LE Shares'!AA9/(1/'LE Efficiencies'!P9))/('LE Shares'!AA$12/(1/'LE Efficiencies'!P$12))</f>
        <v>106.74306185768275</v>
      </c>
      <c r="S9" s="227">
        <f>'LE Efficiencies'!Q$60*('LE Shares'!AC9/(1/'LE Efficiencies'!Q9))/('LE Shares'!AC$12/(1/'LE Efficiencies'!Q$12))</f>
        <v>807.94040527761217</v>
      </c>
      <c r="T9" s="227">
        <f>'LE Efficiencies'!R$60*('LE Shares'!AE9/(1/'LE Efficiencies'!R9))/('LE Shares'!AE$12/(1/'LE Efficiencies'!R$12))</f>
        <v>692.48854211157504</v>
      </c>
      <c r="U9" s="227">
        <f>'LE Efficiencies'!S$60*('LE Shares'!AG9/(1/'LE Efficiencies'!S9))/('LE Shares'!AG$12/(1/'LE Efficiencies'!S$12))</f>
        <v>231.55552331608774</v>
      </c>
      <c r="V9" s="227">
        <f>'LE Efficiencies'!T$60*('LE Shares'!AH9/(1/'LE Efficiencies'!T9))/('LE Shares'!AH$12/(1/'LE Efficiencies'!T$12))</f>
        <v>2114.6917112549604</v>
      </c>
      <c r="W9" s="227">
        <f>'LE Efficiencies'!U$60*('LE Shares'!AI9/(1/'LE Efficiencies'!U9))/('LE Shares'!AI$12/(1/'LE Efficiencies'!U$12))</f>
        <v>3815.4643058179176</v>
      </c>
      <c r="X9" s="153">
        <f t="shared" si="2"/>
        <v>11859.022073297336</v>
      </c>
    </row>
    <row r="10" spans="1:45" x14ac:dyDescent="0.2">
      <c r="A10" s="225">
        <v>2003</v>
      </c>
      <c r="B10" s="226">
        <f t="shared" si="3"/>
        <v>1555.5739227379361</v>
      </c>
      <c r="C10" s="226">
        <f t="shared" si="4"/>
        <v>4023.7965037965332</v>
      </c>
      <c r="D10" s="227">
        <f>'LE Efficiencies'!B$60*'LE StructuralVars'!$Q10*('LE Shares'!B10/'LE Efficiencies'!B10)/('LE Shares'!B$12/'LE Efficiencies'!B$12)</f>
        <v>995.17321058979155</v>
      </c>
      <c r="E10" s="227">
        <f>'LE Efficiencies'!C$60*'LE StructuralVars'!$Q10*('LE Shares'!C10/'LE Efficiencies'!C10)/('LE Shares'!C$12/'LE Efficiencies'!C$12)</f>
        <v>459.3655361524423</v>
      </c>
      <c r="F10" s="227">
        <f>'LE Efficiencies'!D$60*'LE StructuralVars'!$Q10*('LE Shares'!E10/'LE Efficiencies'!D10)/('LE Shares'!E$12/'LE Efficiencies'!D$12)</f>
        <v>8.7019660307266502</v>
      </c>
      <c r="G10" s="227">
        <f>'LE Efficiencies'!E$60*'LE StructuralVars'!$Q10*('LE Shares'!F10/(1/'LE Efficiencies'!E10))/('LE Shares'!F$12/(1/'LE Efficiencies'!E$12))</f>
        <v>92.333209964975552</v>
      </c>
      <c r="H10" s="227">
        <f>'LE Efficiencies'!F$60*'LE StructuralVars'!$R10*('LE Shares'!H10/'LE Efficiencies'!F10)/('LE Shares'!H$12/'LE Efficiencies'!F$12)</f>
        <v>2941.7041133376101</v>
      </c>
      <c r="I10" s="227">
        <f>'LE Efficiencies'!G$60*'LE StructuralVars'!$R10*('LE Shares'!J10/'LE Efficiencies'!G10)/('LE Shares'!J$12/'LE Efficiencies'!G$12)</f>
        <v>655.41492093772604</v>
      </c>
      <c r="J10" s="227">
        <f>'LE Efficiencies'!H$60*'LE StructuralVars'!$R10*('LE Shares'!M10/'LE Efficiencies'!H10)/('LE Shares'!M$12/'LE Efficiencies'!H$12)</f>
        <v>15.386898212519139</v>
      </c>
      <c r="K10" s="227">
        <f>'LE Efficiencies'!I$60*'LE StructuralVars'!$R10*('LE Shares'!N10/'LE Efficiencies'!I10)/('LE Shares'!N$12/'LE Efficiencies'!I$12)</f>
        <v>411.29057130867773</v>
      </c>
      <c r="L10" s="227">
        <f>'LE Efficiencies'!J$60*('LE Shares'!P10/'LE Efficiencies'!J10)/('LE Shares'!P$12/'LE Efficiencies'!J$12)</f>
        <v>2129.1229370894926</v>
      </c>
      <c r="M10" s="227">
        <f>'LE Efficiencies'!K$60*('LE Shares'!R10/(1/'LE Efficiencies'!K10))/('LE Shares'!R$12/(1/'LE Efficiencies'!K$12))</f>
        <v>553.89519137651962</v>
      </c>
      <c r="N10" s="227">
        <f>'LE Efficiencies'!L$60*('LE Shares'!T10/(1/'LE Efficiencies'!L10))/('LE Shares'!T$12/(1/'LE Efficiencies'!L$12))</f>
        <v>727.81381819187584</v>
      </c>
      <c r="O10" s="227">
        <f>'LE Efficiencies'!M$60*('LE Shares'!U10/(1/'LE Efficiencies'!M10))/('LE Shares'!U$12/(1/'LE Efficiencies'!M$12))</f>
        <v>131.00648727453762</v>
      </c>
      <c r="P10" s="227">
        <f>'LE Efficiencies'!N$60*('LE Shares'!W10/(1/'LE Efficiencies'!N10))/('LE Shares'!W$12/(1/'LE Efficiencies'!N$12))</f>
        <v>265.13279962752716</v>
      </c>
      <c r="Q10" s="227">
        <f>'LE Efficiencies'!O$60*('LE Shares'!Y10/(1/'LE Efficiencies'!O10))/('LE Shares'!Y$12/(1/'LE Efficiencies'!O$12))</f>
        <v>278.44467109888166</v>
      </c>
      <c r="R10" s="227">
        <f>'LE Efficiencies'!P$60*('LE Shares'!AA10/(1/'LE Efficiencies'!P10))/('LE Shares'!AA$12/(1/'LE Efficiencies'!P$12))</f>
        <v>106.11144584928955</v>
      </c>
      <c r="S10" s="227">
        <f>'LE Efficiencies'!Q$60*('LE Shares'!AC10/(1/'LE Efficiencies'!Q10))/('LE Shares'!AC$12/(1/'LE Efficiencies'!Q$12))</f>
        <v>805.05398591810865</v>
      </c>
      <c r="T10" s="227">
        <f>'LE Efficiencies'!R$60*('LE Shares'!AE10/(1/'LE Efficiencies'!R10))/('LE Shares'!AE$12/(1/'LE Efficiencies'!R$12))</f>
        <v>702.62175750237259</v>
      </c>
      <c r="U10" s="227">
        <f>'LE Efficiencies'!S$60*('LE Shares'!AG10/(1/'LE Efficiencies'!S10))/('LE Shares'!AG$12/(1/'LE Efficiencies'!S$12))</f>
        <v>234.44808382194199</v>
      </c>
      <c r="V10" s="227">
        <f>'LE Efficiencies'!T$60*('LE Shares'!AH10/(1/'LE Efficiencies'!T10))/('LE Shares'!AH$12/(1/'LE Efficiencies'!T$12))</f>
        <v>2116.2697043185008</v>
      </c>
      <c r="W10" s="227">
        <f>'LE Efficiencies'!U$60*('LE Shares'!AI10/(1/'LE Efficiencies'!U10))/('LE Shares'!AI$12/(1/'LE Efficiencies'!U$12))</f>
        <v>3922.7326286777329</v>
      </c>
      <c r="X10" s="153">
        <f t="shared" si="2"/>
        <v>11972.653510746783</v>
      </c>
    </row>
    <row r="11" spans="1:45" x14ac:dyDescent="0.2">
      <c r="A11" s="225">
        <v>2004</v>
      </c>
      <c r="B11" s="226">
        <f t="shared" si="3"/>
        <v>1500.9132756815516</v>
      </c>
      <c r="C11" s="226">
        <f t="shared" si="4"/>
        <v>3982.7571935649685</v>
      </c>
      <c r="D11" s="227">
        <f>'LE Efficiencies'!B$60*'LE StructuralVars'!$Q11*('LE Shares'!B11/'LE Efficiencies'!B11)/('LE Shares'!B$12/'LE Efficiencies'!B$12)</f>
        <v>957.0760054251117</v>
      </c>
      <c r="E11" s="227">
        <f>'LE Efficiencies'!C$60*'LE StructuralVars'!$Q11*('LE Shares'!C11/'LE Efficiencies'!C11)/('LE Shares'!C$12/'LE Efficiencies'!C$12)</f>
        <v>438.9628995560476</v>
      </c>
      <c r="F11" s="227">
        <f>'LE Efficiencies'!D$60*'LE StructuralVars'!$Q11*('LE Shares'!E11/'LE Efficiencies'!D11)/('LE Shares'!E$12/'LE Efficiencies'!D$12)</f>
        <v>9.032485838663181</v>
      </c>
      <c r="G11" s="227">
        <f>'LE Efficiencies'!E$60*'LE StructuralVars'!$Q11*('LE Shares'!F11/(1/'LE Efficiencies'!E11))/('LE Shares'!F$12/(1/'LE Efficiencies'!E$12))</f>
        <v>95.841884861729213</v>
      </c>
      <c r="H11" s="227">
        <f>'LE Efficiencies'!F$60*'LE StructuralVars'!$R11*('LE Shares'!H11/'LE Efficiencies'!F11)/('LE Shares'!H$12/'LE Efficiencies'!F$12)</f>
        <v>2880.5689284400451</v>
      </c>
      <c r="I11" s="227">
        <f>'LE Efficiencies'!G$60*'LE StructuralVars'!$R11*('LE Shares'!J11/'LE Efficiencies'!G11)/('LE Shares'!J$12/'LE Efficiencies'!G$12)</f>
        <v>659.97858341050846</v>
      </c>
      <c r="J11" s="227">
        <f>'LE Efficiencies'!H$60*'LE StructuralVars'!$R11*('LE Shares'!M11/'LE Efficiencies'!H11)/('LE Shares'!M$12/'LE Efficiencies'!H$12)</f>
        <v>15.989761890903926</v>
      </c>
      <c r="K11" s="227">
        <f>'LE Efficiencies'!I$60*'LE StructuralVars'!$R11*('LE Shares'!N11/'LE Efficiencies'!I11)/('LE Shares'!N$12/'LE Efficiencies'!I$12)</f>
        <v>426.21991982351085</v>
      </c>
      <c r="L11" s="227">
        <f>'LE Efficiencies'!J$60*('LE Shares'!P11/'LE Efficiencies'!J11)/('LE Shares'!P$12/'LE Efficiencies'!J$12)</f>
        <v>2134.5736609374708</v>
      </c>
      <c r="M11" s="227">
        <f>'LE Efficiencies'!K$60*('LE Shares'!R11/(1/'LE Efficiencies'!K11))/('LE Shares'!R$12/(1/'LE Efficiencies'!K$12))</f>
        <v>565.54851033931459</v>
      </c>
      <c r="N11" s="227">
        <f>'LE Efficiencies'!L$60*('LE Shares'!T11/(1/'LE Efficiencies'!L11))/('LE Shares'!T$12/(1/'LE Efficiencies'!L$12))</f>
        <v>715.2368812882537</v>
      </c>
      <c r="O11" s="227">
        <f>'LE Efficiencies'!M$60*('LE Shares'!U11/(1/'LE Efficiencies'!M11))/('LE Shares'!U$12/(1/'LE Efficiencies'!M$12))</f>
        <v>128.74263863188568</v>
      </c>
      <c r="P11" s="227">
        <f>'LE Efficiencies'!N$60*('LE Shares'!W11/(1/'LE Efficiencies'!N11))/('LE Shares'!W$12/(1/'LE Efficiencies'!N$12))</f>
        <v>262.12667349472218</v>
      </c>
      <c r="Q11" s="227">
        <f>'LE Efficiencies'!O$60*('LE Shares'!Y11/(1/'LE Efficiencies'!O11))/('LE Shares'!Y$12/(1/'LE Efficiencies'!O$12))</f>
        <v>274.39365717059104</v>
      </c>
      <c r="R11" s="227">
        <f>'LE Efficiencies'!P$60*('LE Shares'!AA11/(1/'LE Efficiencies'!P11))/('LE Shares'!AA$12/(1/'LE Efficiencies'!P$12))</f>
        <v>105.47180098410895</v>
      </c>
      <c r="S11" s="227">
        <f>'LE Efficiencies'!Q$60*('LE Shares'!AC11/(1/'LE Efficiencies'!Q11))/('LE Shares'!AC$12/(1/'LE Efficiencies'!Q$12))</f>
        <v>802.15022243971987</v>
      </c>
      <c r="T11" s="227">
        <f>'LE Efficiencies'!R$60*('LE Shares'!AE11/(1/'LE Efficiencies'!R11))/('LE Shares'!AE$12/(1/'LE Efficiencies'!R$12))</f>
        <v>712.81717835105144</v>
      </c>
      <c r="U11" s="227">
        <f>'LE Efficiencies'!S$60*('LE Shares'!AG11/(1/'LE Efficiencies'!S11))/('LE Shares'!AG$12/(1/'LE Efficiencies'!S$12))</f>
        <v>237.33062975311722</v>
      </c>
      <c r="V11" s="227">
        <f>'LE Efficiencies'!T$60*('LE Shares'!AH11/(1/'LE Efficiencies'!T11))/('LE Shares'!AH$12/(1/'LE Efficiencies'!T$12))</f>
        <v>2117.8476973820416</v>
      </c>
      <c r="W11" s="227">
        <f>'LE Efficiencies'!U$60*('LE Shares'!AI11/(1/'LE Efficiencies'!U11))/('LE Shares'!AI$12/(1/'LE Efficiencies'!U$12))</f>
        <v>4030.0009515375459</v>
      </c>
      <c r="X11" s="153">
        <f t="shared" si="2"/>
        <v>12086.240502309824</v>
      </c>
    </row>
    <row r="12" spans="1:45" x14ac:dyDescent="0.2">
      <c r="A12" s="225">
        <v>2005</v>
      </c>
      <c r="B12" s="226">
        <f t="shared" si="3"/>
        <v>1446.6400946788419</v>
      </c>
      <c r="C12" s="226">
        <f t="shared" si="4"/>
        <v>3943.7929126466183</v>
      </c>
      <c r="D12" s="227">
        <f>'LE Efficiencies'!B$60*'LE StructuralVars'!$Q12*('LE Shares'!B12/'LE Efficiencies'!B12)/('LE Shares'!B$12/'LE Efficiencies'!B$12)</f>
        <v>919.13428064024072</v>
      </c>
      <c r="E12" s="227">
        <f>'LE Efficiencies'!C$60*'LE StructuralVars'!$Q12*('LE Shares'!C12/'LE Efficiencies'!C12)/('LE Shares'!C$12/'LE Efficiencies'!C$12)</f>
        <v>418.88968674901753</v>
      </c>
      <c r="F12" s="227">
        <f>'LE Efficiencies'!D$60*'LE StructuralVars'!$Q12*('LE Shares'!E12/'LE Efficiencies'!D12)/('LE Shares'!E$12/'LE Efficiencies'!D$12)</f>
        <v>9.3587965337677108</v>
      </c>
      <c r="G12" s="227">
        <f>'LE Efficiencies'!E$60*'LE StructuralVars'!$Q12*('LE Shares'!F12/(1/'LE Efficiencies'!E12))/('LE Shares'!F$12/(1/'LE Efficiencies'!E$12))</f>
        <v>99.2573307558159</v>
      </c>
      <c r="H12" s="227">
        <f>'LE Efficiencies'!F$60*'LE StructuralVars'!$R12*('LE Shares'!H12/'LE Efficiencies'!F12)/('LE Shares'!H$12/'LE Efficiencies'!F$12)</f>
        <v>2821.7797014184434</v>
      </c>
      <c r="I12" s="227">
        <f>'LE Efficiencies'!G$60*'LE StructuralVars'!$R12*('LE Shares'!J12/'LE Efficiencies'!G12)/('LE Shares'!J$12/'LE Efficiencies'!G$12)</f>
        <v>664.51554558329576</v>
      </c>
      <c r="J12" s="227">
        <f>'LE Efficiencies'!H$60*'LE StructuralVars'!$R12*('LE Shares'!M12/'LE Efficiencies'!H12)/('LE Shares'!M$12/'LE Efficiencies'!H$12)</f>
        <v>16.588492083481007</v>
      </c>
      <c r="K12" s="227">
        <f>'LE Efficiencies'!I$60*'LE StructuralVars'!$R12*('LE Shares'!N12/'LE Efficiencies'!I12)/('LE Shares'!N$12/'LE Efficiencies'!I$12)</f>
        <v>440.90917356139818</v>
      </c>
      <c r="L12" s="227">
        <f>'LE Efficiencies'!J$60*('LE Shares'!P12/'LE Efficiencies'!J12)/('LE Shares'!P$12/'LE Efficiencies'!J$12)</f>
        <v>2139.998090022028</v>
      </c>
      <c r="M12" s="227">
        <f>'LE Efficiencies'!K$60*('LE Shares'!R12/(1/'LE Efficiencies'!K12))/('LE Shares'!R$12/(1/'LE Efficiencies'!K$12))</f>
        <v>577.19558573148345</v>
      </c>
      <c r="N12" s="227">
        <f>'LE Efficiencies'!L$60*('LE Shares'!T12/(1/'LE Efficiencies'!L12))/('LE Shares'!T$12/(1/'LE Efficiencies'!L$12))</f>
        <v>702.65994438463133</v>
      </c>
      <c r="O12" s="227">
        <f>'LE Efficiencies'!M$60*('LE Shares'!U12/(1/'LE Efficiencies'!M12))/('LE Shares'!U$12/(1/'LE Efficiencies'!M$12))</f>
        <v>127.37087069516286</v>
      </c>
      <c r="P12" s="227">
        <f>'LE Efficiencies'!N$60*('LE Shares'!W12/(1/'LE Efficiencies'!N12))/('LE Shares'!W$12/(1/'LE Efficiencies'!N$12))</f>
        <v>259.12054736191692</v>
      </c>
      <c r="Q12" s="227">
        <f>'LE Efficiencies'!O$60*('LE Shares'!Y12/(1/'LE Efficiencies'!O12))/('LE Shares'!Y$12/(1/'LE Efficiencies'!O$12))</f>
        <v>270.30410944160957</v>
      </c>
      <c r="R12" s="227">
        <f>'LE Efficiencies'!P$60*('LE Shares'!AA12/(1/'LE Efficiencies'!P12))/('LE Shares'!AA$12/(1/'LE Efficiencies'!P$12))</f>
        <v>104.82412726214095</v>
      </c>
      <c r="S12" s="227">
        <f>'LE Efficiencies'!Q$60*('LE Shares'!AC12/(1/'LE Efficiencies'!Q12))/('LE Shares'!AC$12/(1/'LE Efficiencies'!Q$12))</f>
        <v>799.22911484244662</v>
      </c>
      <c r="T12" s="227">
        <f>'LE Efficiencies'!R$60*('LE Shares'!AE12/(1/'LE Efficiencies'!R12))/('LE Shares'!AE$12/(1/'LE Efficiencies'!R$12))</f>
        <v>725.96154439582835</v>
      </c>
      <c r="U12" s="227">
        <f>'LE Efficiencies'!S$60*('LE Shares'!AG12/(1/'LE Efficiencies'!S12))/('LE Shares'!AG$12/(1/'LE Efficiencies'!S$12))</f>
        <v>240.20316110961355</v>
      </c>
      <c r="V12" s="227">
        <f>'LE Efficiencies'!T$60*('LE Shares'!AH12/(1/'LE Efficiencies'!T12))/('LE Shares'!AH$12/(1/'LE Efficiencies'!T$12))</f>
        <v>2119.4256904455815</v>
      </c>
      <c r="W12" s="227">
        <f>'LE Efficiencies'!U$60*('LE Shares'!AI12/(1/'LE Efficiencies'!U12))/('LE Shares'!AI$12/(1/'LE Efficiencies'!U$12))</f>
        <v>4216.7914405770534</v>
      </c>
      <c r="X12" s="153">
        <f t="shared" si="2"/>
        <v>12283.084226269497</v>
      </c>
      <c r="Y12" s="228"/>
    </row>
    <row r="13" spans="1:45" x14ac:dyDescent="0.2">
      <c r="A13" s="225">
        <v>2006</v>
      </c>
      <c r="B13" s="226">
        <f t="shared" si="3"/>
        <v>1381.8091263573117</v>
      </c>
      <c r="C13" s="226">
        <f t="shared" si="4"/>
        <v>3900.2566233281113</v>
      </c>
      <c r="D13" s="227">
        <f>'LE Efficiencies'!B$60*'LE StructuralVars'!$Q13*('LE Shares'!B13/'LE Efficiencies'!B13)/('LE Shares'!B$12/'LE Efficiencies'!B$12)</f>
        <v>877.11100437149992</v>
      </c>
      <c r="E13" s="227">
        <f>'LE Efficiencies'!C$60*'LE StructuralVars'!$Q13*('LE Shares'!C13/'LE Efficiencies'!C13)/('LE Shares'!C$12/'LE Efficiencies'!C$12)</f>
        <v>394.85743305976467</v>
      </c>
      <c r="F13" s="227">
        <f>'LE Efficiencies'!D$60*'LE StructuralVars'!$Q13*('LE Shares'!E13/'LE Efficiencies'!D13)/('LE Shares'!E$12/'LE Efficiencies'!D$12)</f>
        <v>9.823551806535697</v>
      </c>
      <c r="G13" s="227">
        <f>'LE Efficiencies'!E$60*'LE StructuralVars'!$Q13*('LE Shares'!F13/(1/'LE Efficiencies'!E13))/('LE Shares'!F$12/(1/'LE Efficiencies'!E$12))</f>
        <v>100.01713711951122</v>
      </c>
      <c r="H13" s="227">
        <f>'LE Efficiencies'!F$60*'LE StructuralVars'!$R13*('LE Shares'!H13/'LE Efficiencies'!F13)/('LE Shares'!H$12/'LE Efficiencies'!F$12)</f>
        <v>2773.1016673963786</v>
      </c>
      <c r="I13" s="227">
        <f>'LE Efficiencies'!G$60*'LE StructuralVars'!$R13*('LE Shares'!J13/'LE Efficiencies'!G13)/('LE Shares'!J$12/'LE Efficiencies'!G$12)</f>
        <v>657.58730733977995</v>
      </c>
      <c r="J13" s="227">
        <f>'LE Efficiencies'!H$60*'LE StructuralVars'!$R13*('LE Shares'!M13/'LE Efficiencies'!H13)/('LE Shares'!M$12/'LE Efficiencies'!H$12)</f>
        <v>17.317730629629853</v>
      </c>
      <c r="K13" s="227">
        <f>'LE Efficiencies'!I$60*'LE StructuralVars'!$R13*('LE Shares'!N13/'LE Efficiencies'!I13)/('LE Shares'!N$12/'LE Efficiencies'!I$12)</f>
        <v>452.24991796232325</v>
      </c>
      <c r="L13" s="227">
        <f>'LE Efficiencies'!J$60*('LE Shares'!P13/'LE Efficiencies'!J13)/('LE Shares'!P$12/'LE Efficiencies'!J$12)</f>
        <v>2144.4968479697081</v>
      </c>
      <c r="M13" s="227">
        <f>'LE Efficiencies'!K$60*('LE Shares'!R13/(1/'LE Efficiencies'!K13))/('LE Shares'!R$12/(1/'LE Efficiencies'!K$12))</f>
        <v>588.47181951586902</v>
      </c>
      <c r="N13" s="227">
        <f>'LE Efficiencies'!L$60*('LE Shares'!T13/(1/'LE Efficiencies'!L13))/('LE Shares'!T$12/(1/'LE Efficiencies'!L$12))</f>
        <v>689.63685689656893</v>
      </c>
      <c r="O13" s="227">
        <f>'LE Efficiencies'!M$60*('LE Shares'!U13/(1/'LE Efficiencies'!M13))/('LE Shares'!U$12/(1/'LE Efficiencies'!M$12))</f>
        <v>124.06479632082252</v>
      </c>
      <c r="P13" s="227">
        <f>'LE Efficiencies'!N$60*('LE Shares'!W13/(1/'LE Efficiencies'!N13))/('LE Shares'!W$12/(1/'LE Efficiencies'!N$12))</f>
        <v>256.54093959866611</v>
      </c>
      <c r="Q13" s="227">
        <f>'LE Efficiencies'!O$60*('LE Shares'!Y13/(1/'LE Efficiencies'!O13))/('LE Shares'!Y$12/(1/'LE Efficiencies'!O$12))</f>
        <v>270.60812033912282</v>
      </c>
      <c r="R13" s="227">
        <f>'LE Efficiencies'!P$60*('LE Shares'!AA13/(1/'LE Efficiencies'!P13))/('LE Shares'!AA$12/(1/'LE Efficiencies'!P$12))</f>
        <v>103.09485396534758</v>
      </c>
      <c r="S13" s="227">
        <f>'LE Efficiencies'!Q$60*('LE Shares'!AC13/(1/'LE Efficiencies'!Q13))/('LE Shares'!AC$12/(1/'LE Efficiencies'!Q$12))</f>
        <v>789.01835937653743</v>
      </c>
      <c r="T13" s="227">
        <f>'LE Efficiencies'!R$60*('LE Shares'!AE13/(1/'LE Efficiencies'!R13))/('LE Shares'!AE$12/(1/'LE Efficiencies'!R$12))</f>
        <v>765.48113533998401</v>
      </c>
      <c r="U13" s="227">
        <f>'LE Efficiencies'!S$60*('LE Shares'!AG13/(1/'LE Efficiencies'!S13))/('LE Shares'!AG$12/(1/'LE Efficiencies'!S$12))</f>
        <v>245.16228603977791</v>
      </c>
      <c r="V13" s="227">
        <f>'LE Efficiencies'!T$60*('LE Shares'!AH13/(1/'LE Efficiencies'!T13))/('LE Shares'!AH$12/(1/'LE Efficiencies'!T$12))</f>
        <v>2093.8772627174935</v>
      </c>
      <c r="W13" s="227">
        <f>'LE Efficiencies'!U$60*('LE Shares'!AI13/(1/'LE Efficiencies'!U13))/('LE Shares'!AI$12/(1/'LE Efficiencies'!U$12))</f>
        <v>4480.7550342244904</v>
      </c>
      <c r="X13" s="153">
        <f t="shared" si="2"/>
        <v>12551.208312304389</v>
      </c>
      <c r="Y13" s="228"/>
    </row>
    <row r="14" spans="1:45" x14ac:dyDescent="0.2">
      <c r="A14" s="225">
        <v>2007</v>
      </c>
      <c r="B14" s="226">
        <f t="shared" si="3"/>
        <v>1315.4960264878489</v>
      </c>
      <c r="C14" s="226">
        <f t="shared" si="4"/>
        <v>3848.7565296009298</v>
      </c>
      <c r="D14" s="227">
        <f>'LE Efficiencies'!B$60*'LE StructuralVars'!$Q14*('LE Shares'!B14/'LE Efficiencies'!B14)/('LE Shares'!B$12/'LE Efficiencies'!B$12)</f>
        <v>833.85096583539428</v>
      </c>
      <c r="E14" s="227">
        <f>'LE Efficiencies'!C$60*'LE StructuralVars'!$Q14*('LE Shares'!C14/'LE Efficiencies'!C14)/('LE Shares'!C$12/'LE Efficiencies'!C$12)</f>
        <v>370.79959277383153</v>
      </c>
      <c r="F14" s="227">
        <f>'LE Efficiencies'!D$60*'LE StructuralVars'!$Q14*('LE Shares'!E14/'LE Efficiencies'!D14)/('LE Shares'!E$12/'LE Efficiencies'!D$12)</f>
        <v>10.547274796412822</v>
      </c>
      <c r="G14" s="227">
        <f>'LE Efficiencies'!E$60*'LE StructuralVars'!$Q14*('LE Shares'!F14/(1/'LE Efficiencies'!E14))/('LE Shares'!F$12/(1/'LE Efficiencies'!E$12))</f>
        <v>100.29819308221018</v>
      </c>
      <c r="H14" s="227">
        <f>'LE Efficiencies'!F$60*'LE StructuralVars'!$R14*('LE Shares'!H14/'LE Efficiencies'!F14)/('LE Shares'!H$12/'LE Efficiencies'!F$12)</f>
        <v>2718.9729696978929</v>
      </c>
      <c r="I14" s="227">
        <f>'LE Efficiencies'!G$60*'LE StructuralVars'!$R14*('LE Shares'!J14/'LE Efficiencies'!G14)/('LE Shares'!J$12/'LE Efficiencies'!G$12)</f>
        <v>649.14988812045397</v>
      </c>
      <c r="J14" s="227">
        <f>'LE Efficiencies'!H$60*'LE StructuralVars'!$R14*('LE Shares'!M14/'LE Efficiencies'!H14)/('LE Shares'!M$12/'LE Efficiencies'!H$12)</f>
        <v>18.52874298405375</v>
      </c>
      <c r="K14" s="227">
        <f>'LE Efficiencies'!I$60*'LE StructuralVars'!$R14*('LE Shares'!N14/'LE Efficiencies'!I14)/('LE Shares'!N$12/'LE Efficiencies'!I$12)</f>
        <v>462.10492879852927</v>
      </c>
      <c r="L14" s="227">
        <f>'LE Efficiencies'!J$60*('LE Shares'!P14/'LE Efficiencies'!J14)/('LE Shares'!P$12/'LE Efficiencies'!J$12)</f>
        <v>2144.747731592638</v>
      </c>
      <c r="M14" s="227">
        <f>'LE Efficiencies'!K$60*('LE Shares'!R14/(1/'LE Efficiencies'!K14))/('LE Shares'!R$12/(1/'LE Efficiencies'!K$12))</f>
        <v>599.89884028201391</v>
      </c>
      <c r="N14" s="227">
        <f>'LE Efficiencies'!L$60*('LE Shares'!T14/(1/'LE Efficiencies'!L14))/('LE Shares'!T$12/(1/'LE Efficiencies'!L$12))</f>
        <v>676.85513909106351</v>
      </c>
      <c r="O14" s="227">
        <f>'LE Efficiencies'!M$60*('LE Shares'!U14/(1/'LE Efficiencies'!M14))/('LE Shares'!U$12/(1/'LE Efficiencies'!M$12))</f>
        <v>121.84954009919778</v>
      </c>
      <c r="P14" s="227">
        <f>'LE Efficiencies'!N$60*('LE Shares'!W14/(1/'LE Efficiencies'!N14))/('LE Shares'!W$12/(1/'LE Efficiencies'!N$12))</f>
        <v>253.9870124550342</v>
      </c>
      <c r="Q14" s="227">
        <f>'LE Efficiencies'!O$60*('LE Shares'!Y14/(1/'LE Efficiencies'!O14))/('LE Shares'!Y$12/(1/'LE Efficiencies'!O$12))</f>
        <v>271.62297606195381</v>
      </c>
      <c r="R14" s="227">
        <f>'LE Efficiencies'!P$60*('LE Shares'!AA14/(1/'LE Efficiencies'!P14))/('LE Shares'!AA$12/(1/'LE Efficiencies'!P$12))</f>
        <v>101.34938777588829</v>
      </c>
      <c r="S14" s="227">
        <f>'LE Efficiencies'!Q$60*('LE Shares'!AC14/(1/'LE Efficiencies'!Q14))/('LE Shares'!AC$12/(1/'LE Efficiencies'!Q$12))</f>
        <v>779.26295688434004</v>
      </c>
      <c r="T14" s="227">
        <f>'LE Efficiencies'!R$60*('LE Shares'!AE14/(1/'LE Efficiencies'!R14))/('LE Shares'!AE$12/(1/'LE Efficiencies'!R$12))</f>
        <v>823.22572188146478</v>
      </c>
      <c r="U14" s="227">
        <f>'LE Efficiencies'!S$60*('LE Shares'!AG14/(1/'LE Efficiencies'!S14))/('LE Shares'!AG$12/(1/'LE Efficiencies'!S$12))</f>
        <v>249.82009723556976</v>
      </c>
      <c r="V14" s="227">
        <f>'LE Efficiencies'!T$60*('LE Shares'!AH14/(1/'LE Efficiencies'!T14))/('LE Shares'!AH$12/(1/'LE Efficiencies'!T$12))</f>
        <v>2046.1536762452954</v>
      </c>
      <c r="W14" s="227">
        <f>'LE Efficiencies'!U$60*('LE Shares'!AI14/(1/'LE Efficiencies'!U14))/('LE Shares'!AI$12/(1/'LE Efficiencies'!U$12))</f>
        <v>4821.7724515413111</v>
      </c>
      <c r="X14" s="153">
        <f t="shared" si="2"/>
        <v>12890.54553114577</v>
      </c>
      <c r="Y14" s="228"/>
    </row>
    <row r="15" spans="1:45" x14ac:dyDescent="0.2">
      <c r="A15" s="225">
        <v>2008</v>
      </c>
      <c r="B15" s="226">
        <f t="shared" si="3"/>
        <v>1456.9197978258956</v>
      </c>
      <c r="C15" s="226">
        <f t="shared" si="4"/>
        <v>3959.5376684570533</v>
      </c>
      <c r="D15" s="227">
        <f>'LE Efficiencies'!B$60*'LE StructuralVars'!$Q15*('LE Shares'!B15/'LE Efficiencies'!B15)/('LE Shares'!B$12/'LE Efficiencies'!B$12)</f>
        <v>936.72760698706895</v>
      </c>
      <c r="E15" s="227">
        <f>'LE Efficiencies'!C$60*'LE StructuralVars'!$Q15*('LE Shares'!C15/'LE Efficiencies'!C15)/('LE Shares'!C$12/'LE Efficiencies'!C$12)</f>
        <v>413.24470834145632</v>
      </c>
      <c r="F15" s="227">
        <f>'LE Efficiencies'!D$60*'LE StructuralVars'!$Q15*('LE Shares'!E15/'LE Efficiencies'!D15)/('LE Shares'!E$12/'LE Efficiencies'!D$12)</f>
        <v>11.985427076974638</v>
      </c>
      <c r="G15" s="227">
        <f>'LE Efficiencies'!E$60*'LE StructuralVars'!$Q15*('LE Shares'!F15/(1/'LE Efficiencies'!E15))/('LE Shares'!F$12/(1/'LE Efficiencies'!E$12))</f>
        <v>94.962055420395558</v>
      </c>
      <c r="H15" s="227">
        <f>'LE Efficiencies'!F$60*'LE StructuralVars'!$R15*('LE Shares'!H15/'LE Efficiencies'!F15)/('LE Shares'!H$12/'LE Efficiencies'!F$12)</f>
        <v>2700.9327969988608</v>
      </c>
      <c r="I15" s="227">
        <f>'LE Efficiencies'!G$60*'LE StructuralVars'!$R15*('LE Shares'!J15/'LE Efficiencies'!G15)/('LE Shares'!J$12/'LE Efficiencies'!G$12)</f>
        <v>835.87751008900739</v>
      </c>
      <c r="J15" s="227">
        <f>'LE Efficiencies'!H$60*'LE StructuralVars'!$R15*('LE Shares'!M15/'LE Efficiencies'!H15)/('LE Shares'!M$12/'LE Efficiencies'!H$12)</f>
        <v>21.091207016763359</v>
      </c>
      <c r="K15" s="227">
        <f>'LE Efficiencies'!I$60*'LE StructuralVars'!$R15*('LE Shares'!N15/'LE Efficiencies'!I15)/('LE Shares'!N$12/'LE Efficiencies'!I$12)</f>
        <v>401.63615435242167</v>
      </c>
      <c r="L15" s="227">
        <f>'LE Efficiencies'!J$60*('LE Shares'!P15/'LE Efficiencies'!J15)/('LE Shares'!P$12/'LE Efficiencies'!J$12)</f>
        <v>2422.865622803427</v>
      </c>
      <c r="M15" s="227">
        <f>'LE Efficiencies'!K$60*('LE Shares'!R15/(1/'LE Efficiencies'!K15))/('LE Shares'!R$12/(1/'LE Efficiencies'!K$12))</f>
        <v>597.20859254594939</v>
      </c>
      <c r="N15" s="227">
        <f>'LE Efficiencies'!L$60*('LE Shares'!T15/(1/'LE Efficiencies'!L15))/('LE Shares'!T$12/(1/'LE Efficiencies'!L$12))</f>
        <v>665.57728780466834</v>
      </c>
      <c r="O15" s="227">
        <f>'LE Efficiencies'!M$60*('LE Shares'!U15/(1/'LE Efficiencies'!M15))/('LE Shares'!U$12/(1/'LE Efficiencies'!M$12))</f>
        <v>119.73831431462803</v>
      </c>
      <c r="P15" s="227">
        <f>'LE Efficiencies'!N$60*('LE Shares'!W15/(1/'LE Efficiencies'!N15))/('LE Shares'!W$12/(1/'LE Efficiencies'!N$12))</f>
        <v>256.47216678441612</v>
      </c>
      <c r="Q15" s="227">
        <f>'LE Efficiencies'!O$60*('LE Shares'!Y15/(1/'LE Efficiencies'!O15))/('LE Shares'!Y$12/(1/'LE Efficiencies'!O$12))</f>
        <v>280.71018049235988</v>
      </c>
      <c r="R15" s="227">
        <f>'LE Efficiencies'!P$60*('LE Shares'!AA15/(1/'LE Efficiencies'!P15))/('LE Shares'!AA$12/(1/'LE Efficiencies'!P$12))</f>
        <v>101.09093969291406</v>
      </c>
      <c r="S15" s="227">
        <f>'LE Efficiencies'!Q$60*('LE Shares'!AC15/(1/'LE Efficiencies'!Q15))/('LE Shares'!AC$12/(1/'LE Efficiencies'!Q$12))</f>
        <v>761.88400276243965</v>
      </c>
      <c r="T15" s="227">
        <f>'LE Efficiencies'!R$60*('LE Shares'!AE15/(1/'LE Efficiencies'!R15))/('LE Shares'!AE$12/(1/'LE Efficiencies'!R$12))</f>
        <v>882.26780057381688</v>
      </c>
      <c r="U15" s="227">
        <f>'LE Efficiencies'!S$60*('LE Shares'!AG15/(1/'LE Efficiencies'!S15))/('LE Shares'!AG$12/(1/'LE Efficiencies'!S$12))</f>
        <v>254.46849954674735</v>
      </c>
      <c r="V15" s="227">
        <f>'LE Efficiencies'!T$60*('LE Shares'!AH15/(1/'LE Efficiencies'!T15))/('LE Shares'!AH$12/(1/'LE Efficiencies'!T$12))</f>
        <v>2006.5582988027245</v>
      </c>
      <c r="W15" s="227">
        <f>'LE Efficiencies'!U$60*('LE Shares'!AI15/(1/'LE Efficiencies'!U15))/('LE Shares'!AI$12/(1/'LE Efficiencies'!U$12))</f>
        <v>5071.3192510206054</v>
      </c>
      <c r="X15" s="153">
        <f t="shared" si="2"/>
        <v>13420.160957144697</v>
      </c>
      <c r="Y15" s="228"/>
    </row>
    <row r="16" spans="1:45" x14ac:dyDescent="0.2">
      <c r="A16" s="225">
        <v>2009</v>
      </c>
      <c r="B16" s="226">
        <f t="shared" si="3"/>
        <v>1587.1697099190635</v>
      </c>
      <c r="C16" s="226">
        <f t="shared" si="4"/>
        <v>4004.6285752727554</v>
      </c>
      <c r="D16" s="227">
        <f>'LE Efficiencies'!B$60*'LE StructuralVars'!$Q16*('LE Shares'!B16/'LE Efficiencies'!B16)/('LE Shares'!B$12/'LE Efficiencies'!B$12)</f>
        <v>1035.6144445660614</v>
      </c>
      <c r="E16" s="227">
        <f>'LE Efficiencies'!C$60*'LE StructuralVars'!$Q16*('LE Shares'!C16/'LE Efficiencies'!C16)/('LE Shares'!C$12/'LE Efficiencies'!C$12)</f>
        <v>448.77462200723409</v>
      </c>
      <c r="F16" s="227">
        <f>'LE Efficiencies'!D$60*'LE StructuralVars'!$Q16*('LE Shares'!E16/'LE Efficiencies'!D16)/('LE Shares'!E$12/'LE Efficiencies'!D$12)</f>
        <v>13.258794321748516</v>
      </c>
      <c r="G16" s="227">
        <f>'LE Efficiencies'!E$60*'LE StructuralVars'!$Q16*('LE Shares'!F16/(1/'LE Efficiencies'!E16))/('LE Shares'!F$12/(1/'LE Efficiencies'!E$12))</f>
        <v>89.521849024019446</v>
      </c>
      <c r="H16" s="227">
        <f>'LE Efficiencies'!F$60*'LE StructuralVars'!$R16*('LE Shares'!H16/'LE Efficiencies'!F16)/('LE Shares'!H$12/'LE Efficiencies'!F$12)</f>
        <v>2641.2710896711687</v>
      </c>
      <c r="I16" s="227">
        <f>'LE Efficiencies'!G$60*'LE StructuralVars'!$R16*('LE Shares'!J16/'LE Efficiencies'!G16)/('LE Shares'!J$12/'LE Efficiencies'!G$12)</f>
        <v>998.54421375858294</v>
      </c>
      <c r="J16" s="227">
        <f>'LE Efficiencies'!H$60*'LE StructuralVars'!$R16*('LE Shares'!M16/'LE Efficiencies'!H16)/('LE Shares'!M$12/'LE Efficiencies'!H$12)</f>
        <v>23.410293270619828</v>
      </c>
      <c r="K16" s="227">
        <f>'LE Efficiencies'!I$60*'LE StructuralVars'!$R16*('LE Shares'!N16/'LE Efficiencies'!I16)/('LE Shares'!N$12/'LE Efficiencies'!I$12)</f>
        <v>341.40297857238437</v>
      </c>
      <c r="L16" s="227">
        <f>'LE Efficiencies'!J$60*('LE Shares'!P16/'LE Efficiencies'!J16)/('LE Shares'!P$12/'LE Efficiencies'!J$12)</f>
        <v>2698.8402952031443</v>
      </c>
      <c r="M16" s="227">
        <f>'LE Efficiencies'!K$60*('LE Shares'!R16/(1/'LE Efficiencies'!K16))/('LE Shares'!R$12/(1/'LE Efficiencies'!K$12))</f>
        <v>591.69632608133281</v>
      </c>
      <c r="N16" s="227">
        <f>'LE Efficiencies'!L$60*('LE Shares'!T16/(1/'LE Efficiencies'!L16))/('LE Shares'!T$12/(1/'LE Efficiencies'!L$12))</f>
        <v>655.17255832937224</v>
      </c>
      <c r="O16" s="227">
        <f>'LE Efficiencies'!M$60*('LE Shares'!U16/(1/'LE Efficiencies'!M16))/('LE Shares'!U$12/(1/'LE Efficiencies'!M$12))</f>
        <v>117.95238861837264</v>
      </c>
      <c r="P16" s="227">
        <f>'LE Efficiencies'!N$60*('LE Shares'!W16/(1/'LE Efficiencies'!N16))/('LE Shares'!W$12/(1/'LE Efficiencies'!N$12))</f>
        <v>259.37161161119712</v>
      </c>
      <c r="Q16" s="227">
        <f>'LE Efficiencies'!O$60*('LE Shares'!Y16/(1/'LE Efficiencies'!O16))/('LE Shares'!Y$12/(1/'LE Efficiencies'!O$12))</f>
        <v>288.83830214904702</v>
      </c>
      <c r="R16" s="227">
        <f>'LE Efficiencies'!P$60*('LE Shares'!AA16/(1/'LE Efficiencies'!P16))/('LE Shares'!AA$12/(1/'LE Efficiencies'!P$12))</f>
        <v>100.75152714660982</v>
      </c>
      <c r="S16" s="227">
        <f>'LE Efficiencies'!Q$60*('LE Shares'!AC16/(1/'LE Efficiencies'!Q16))/('LE Shares'!AC$12/(1/'LE Efficiencies'!Q$12))</f>
        <v>744.676781489213</v>
      </c>
      <c r="T16" s="227">
        <f>'LE Efficiencies'!R$60*('LE Shares'!AE16/(1/'LE Efficiencies'!R16))/('LE Shares'!AE$12/(1/'LE Efficiencies'!R$12))</f>
        <v>924.25643620816902</v>
      </c>
      <c r="U16" s="227">
        <f>'LE Efficiencies'!S$60*('LE Shares'!AG16/(1/'LE Efficiencies'!S16))/('LE Shares'!AG$12/(1/'LE Efficiencies'!S$12))</f>
        <v>259.07165440302265</v>
      </c>
      <c r="V16" s="227">
        <f>'LE Efficiencies'!T$60*('LE Shares'!AH16/(1/'LE Efficiencies'!T16))/('LE Shares'!AH$12/(1/'LE Efficiencies'!T$12))</f>
        <v>1951.7035463311204</v>
      </c>
      <c r="W16" s="227">
        <f>'LE Efficiencies'!U$60*('LE Shares'!AI16/(1/'LE Efficiencies'!U16))/('LE Shares'!AI$12/(1/'LE Efficiencies'!U$12))</f>
        <v>4926.9241694501861</v>
      </c>
      <c r="X16" s="153">
        <f t="shared" si="2"/>
        <v>13519.255597020787</v>
      </c>
      <c r="Y16" s="228"/>
    </row>
    <row r="17" spans="1:45" x14ac:dyDescent="0.2">
      <c r="A17" s="225">
        <v>2010</v>
      </c>
      <c r="B17" s="226">
        <f t="shared" si="3"/>
        <v>1723.6105816910672</v>
      </c>
      <c r="C17" s="226">
        <f t="shared" si="4"/>
        <v>4078.4982453291409</v>
      </c>
      <c r="D17" s="227">
        <f>'LE Efficiencies'!B$60*'LE StructuralVars'!$Q17*('LE Shares'!B17/'LE Efficiencies'!B17)/('LE Shares'!B$12/'LE Efficiencies'!B$12)</f>
        <v>1135.6404575484182</v>
      </c>
      <c r="E17" s="227">
        <f>'LE Efficiencies'!C$60*'LE StructuralVars'!$Q17*('LE Shares'!C17/'LE Efficiencies'!C17)/('LE Shares'!C$12/'LE Efficiencies'!C$12)</f>
        <v>489.3140294738908</v>
      </c>
      <c r="F17" s="227">
        <f>'LE Efficiencies'!D$60*'LE StructuralVars'!$Q17*('LE Shares'!E17/'LE Efficiencies'!D17)/('LE Shares'!E$12/'LE Efficiencies'!D$12)</f>
        <v>14.423848306130973</v>
      </c>
      <c r="G17" s="227">
        <f>'LE Efficiencies'!E$60*'LE StructuralVars'!$Q17*('LE Shares'!F17/(1/'LE Efficiencies'!E17))/('LE Shares'!F$12/(1/'LE Efficiencies'!E$12))</f>
        <v>84.23224636262718</v>
      </c>
      <c r="H17" s="227">
        <f>'LE Efficiencies'!F$60*'LE StructuralVars'!$R17*('LE Shares'!H17/'LE Efficiencies'!F17)/('LE Shares'!H$12/'LE Efficiencies'!F$12)</f>
        <v>2596.6419399938382</v>
      </c>
      <c r="I17" s="227">
        <f>'LE Efficiencies'!G$60*'LE StructuralVars'!$R17*('LE Shares'!J17/'LE Efficiencies'!G17)/('LE Shares'!J$12/'LE Efficiencies'!G$12)</f>
        <v>1174.1109813044236</v>
      </c>
      <c r="J17" s="227">
        <f>'LE Efficiencies'!H$60*'LE StructuralVars'!$R17*('LE Shares'!M17/'LE Efficiencies'!H17)/('LE Shares'!M$12/'LE Efficiencies'!H$12)</f>
        <v>25.566919717179136</v>
      </c>
      <c r="K17" s="227">
        <f>'LE Efficiencies'!I$60*'LE StructuralVars'!$R17*('LE Shares'!N17/'LE Efficiencies'!I17)/('LE Shares'!N$12/'LE Efficiencies'!I$12)</f>
        <v>282.17840431369996</v>
      </c>
      <c r="L17" s="227">
        <f>'LE Efficiencies'!J$60*('LE Shares'!P17/'LE Efficiencies'!J17)/('LE Shares'!P$12/'LE Efficiencies'!J$12)</f>
        <v>2975.0033520097386</v>
      </c>
      <c r="M17" s="227">
        <f>'LE Efficiencies'!K$60*('LE Shares'!R17/(1/'LE Efficiencies'!K17))/('LE Shares'!R$12/(1/'LE Efficiencies'!K$12))</f>
        <v>588.30248572342157</v>
      </c>
      <c r="N17" s="227">
        <f>'LE Efficiencies'!L$60*('LE Shares'!T17/(1/'LE Efficiencies'!L17))/('LE Shares'!T$12/(1/'LE Efficiencies'!L$12))</f>
        <v>646.24737230840537</v>
      </c>
      <c r="O17" s="227">
        <f>'LE Efficiencies'!M$60*('LE Shares'!U17/(1/'LE Efficiencies'!M17))/('LE Shares'!U$12/(1/'LE Efficiencies'!M$12))</f>
        <v>116.51318714968953</v>
      </c>
      <c r="P17" s="227">
        <f>'LE Efficiencies'!N$60*('LE Shares'!W17/(1/'LE Efficiencies'!N17))/('LE Shares'!W$12/(1/'LE Efficiencies'!N$12))</f>
        <v>262.74566502048992</v>
      </c>
      <c r="Q17" s="227">
        <f>'LE Efficiencies'!O$60*('LE Shares'!Y17/(1/'LE Efficiencies'!O17))/('LE Shares'!Y$12/(1/'LE Efficiencies'!O$12))</f>
        <v>292.54985020878445</v>
      </c>
      <c r="R17" s="227">
        <f>'LE Efficiencies'!P$60*('LE Shares'!AA17/(1/'LE Efficiencies'!P17))/('LE Shares'!AA$12/(1/'LE Efficiencies'!P$12))</f>
        <v>100.33115013697551</v>
      </c>
      <c r="S17" s="227">
        <f>'LE Efficiencies'!Q$60*('LE Shares'!AC17/(1/'LE Efficiencies'!Q17))/('LE Shares'!AC$12/(1/'LE Efficiencies'!Q$12))</f>
        <v>727.64129306465941</v>
      </c>
      <c r="T17" s="227">
        <f>'LE Efficiencies'!R$60*('LE Shares'!AE17/(1/'LE Efficiencies'!R17))/('LE Shares'!AE$12/(1/'LE Efficiencies'!R$12))</f>
        <v>957.79521065626932</v>
      </c>
      <c r="U17" s="227">
        <f>'LE Efficiencies'!S$60*('LE Shares'!AG17/(1/'LE Efficiencies'!S17))/('LE Shares'!AG$12/(1/'LE Efficiencies'!S$12))</f>
        <v>263.82856820064166</v>
      </c>
      <c r="V17" s="227">
        <f>'LE Efficiencies'!T$60*('LE Shares'!AH17/(1/'LE Efficiencies'!T17))/('LE Shares'!AH$12/(1/'LE Efficiencies'!T$12))</f>
        <v>1908.341992840747</v>
      </c>
      <c r="W17" s="227">
        <f>'LE Efficiencies'!U$60*('LE Shares'!AI17/(1/'LE Efficiencies'!U17))/('LE Shares'!AI$12/(1/'LE Efficiencies'!U$12))</f>
        <v>5085.2529181225309</v>
      </c>
      <c r="X17" s="153">
        <f t="shared" si="2"/>
        <v>13924.553045442353</v>
      </c>
      <c r="Y17" s="228"/>
    </row>
    <row r="18" spans="1:45" x14ac:dyDescent="0.2">
      <c r="A18" s="225">
        <v>2011</v>
      </c>
      <c r="B18" s="226">
        <f t="shared" si="3"/>
        <v>1720.7643010066349</v>
      </c>
      <c r="C18" s="226">
        <f t="shared" si="4"/>
        <v>4109.7056574049884</v>
      </c>
      <c r="D18" s="227">
        <f>'LE Efficiencies'!B$60*'LE StructuralVars'!$Q18*('LE Shares'!B18/'LE Efficiencies'!B18)/('LE Shares'!B$12/'LE Efficiencies'!B$12)</f>
        <v>1116.4250586448584</v>
      </c>
      <c r="E18" s="227">
        <f>'LE Efficiencies'!C$60*'LE StructuralVars'!$Q18*('LE Shares'!C18/'LE Efficiencies'!C18)/('LE Shares'!C$12/'LE Efficiencies'!C$12)</f>
        <v>508.41376314409041</v>
      </c>
      <c r="F18" s="227">
        <f>'LE Efficiencies'!D$60*'LE StructuralVars'!$Q18*('LE Shares'!E18/'LE Efficiencies'!D18)/('LE Shares'!E$12/'LE Efficiencies'!D$12)</f>
        <v>17.643174556478371</v>
      </c>
      <c r="G18" s="227">
        <f>'LE Efficiencies'!E$60*'LE StructuralVars'!$Q18*('LE Shares'!F18/(1/'LE Efficiencies'!E18))/('LE Shares'!F$12/(1/'LE Efficiencies'!E$12))</f>
        <v>78.282304661207689</v>
      </c>
      <c r="H18" s="227">
        <f>'LE Efficiencies'!F$60*'LE StructuralVars'!$R18*('LE Shares'!H18/'LE Efficiencies'!F18)/('LE Shares'!H$12/'LE Efficiencies'!F$12)</f>
        <v>2570.0595320096818</v>
      </c>
      <c r="I18" s="227">
        <f>'LE Efficiencies'!G$60*'LE StructuralVars'!$R18*('LE Shares'!J18/'LE Efficiencies'!G18)/('LE Shares'!J$12/'LE Efficiencies'!G$12)</f>
        <v>1230.4317101335371</v>
      </c>
      <c r="J18" s="227">
        <f>'LE Efficiencies'!H$60*'LE StructuralVars'!$R18*('LE Shares'!M18/'LE Efficiencies'!H18)/('LE Shares'!M$12/'LE Efficiencies'!H$12)</f>
        <v>31.345965463385262</v>
      </c>
      <c r="K18" s="227">
        <f>'LE Efficiencies'!I$60*'LE StructuralVars'!$R18*('LE Shares'!N18/'LE Efficiencies'!I18)/('LE Shares'!N$12/'LE Efficiencies'!I$12)</f>
        <v>277.86844979838429</v>
      </c>
      <c r="L18" s="227">
        <f>'LE Efficiencies'!J$60*('LE Shares'!P18/'LE Efficiencies'!J18)/('LE Shares'!P$12/'LE Efficiencies'!J$12)</f>
        <v>2981.7596736050414</v>
      </c>
      <c r="M18" s="227">
        <f>'LE Efficiencies'!K$60*('LE Shares'!R18/(1/'LE Efficiencies'!K18))/('LE Shares'!R$12/(1/'LE Efficiencies'!K$12))</f>
        <v>587.7046607205823</v>
      </c>
      <c r="N18" s="227">
        <f>'LE Efficiencies'!L$60*('LE Shares'!T18/(1/'LE Efficiencies'!L18))/('LE Shares'!T$12/(1/'LE Efficiencies'!L$12))</f>
        <v>640.36316440541725</v>
      </c>
      <c r="O18" s="227">
        <f>'LE Efficiencies'!M$60*('LE Shares'!U18/(1/'LE Efficiencies'!M18))/('LE Shares'!U$12/(1/'LE Efficiencies'!M$12))</f>
        <v>115.65318537770028</v>
      </c>
      <c r="P18" s="227">
        <f>'LE Efficiencies'!N$60*('LE Shares'!W18/(1/'LE Efficiencies'!N18))/('LE Shares'!W$12/(1/'LE Efficiencies'!N$12))</f>
        <v>262.19493221641176</v>
      </c>
      <c r="Q18" s="227">
        <f>'LE Efficiencies'!O$60*('LE Shares'!Y18/(1/'LE Efficiencies'!O18))/('LE Shares'!Y$12/(1/'LE Efficiencies'!O$12))</f>
        <v>290.45661845218524</v>
      </c>
      <c r="R18" s="227">
        <f>'LE Efficiencies'!P$60*('LE Shares'!AA18/(1/'LE Efficiencies'!P18))/('LE Shares'!AA$12/(1/'LE Efficiencies'!P$12))</f>
        <v>101.54520632992408</v>
      </c>
      <c r="S18" s="227">
        <f>'LE Efficiencies'!Q$60*('LE Shares'!AC18/(1/'LE Efficiencies'!Q18))/('LE Shares'!AC$12/(1/'LE Efficiencies'!Q$12))</f>
        <v>717.89558773190015</v>
      </c>
      <c r="T18" s="227">
        <f>'LE Efficiencies'!R$60*('LE Shares'!AE18/(1/'LE Efficiencies'!R18))/('LE Shares'!AE$12/(1/'LE Efficiencies'!R$12))</f>
        <v>957.06873278044179</v>
      </c>
      <c r="U18" s="227">
        <f>'LE Efficiencies'!S$60*('LE Shares'!AG18/(1/'LE Efficiencies'!S18))/('LE Shares'!AG$12/(1/'LE Efficiencies'!S$12))</f>
        <v>268.37431218124556</v>
      </c>
      <c r="V18" s="227">
        <f>'LE Efficiencies'!T$60*('LE Shares'!AH18/(1/'LE Efficiencies'!T18))/('LE Shares'!AH$12/(1/'LE Efficiencies'!T$12))</f>
        <v>1826.5150765667127</v>
      </c>
      <c r="W18" s="227">
        <f>'LE Efficiencies'!U$60*('LE Shares'!AI18/(1/'LE Efficiencies'!U18))/('LE Shares'!AI$12/(1/'LE Efficiencies'!U$12))</f>
        <v>5014.1642232146287</v>
      </c>
      <c r="X18" s="153">
        <f t="shared" si="2"/>
        <v>13763.695373582192</v>
      </c>
      <c r="Y18" s="228"/>
    </row>
    <row r="19" spans="1:45" x14ac:dyDescent="0.2">
      <c r="A19" s="225">
        <v>2012</v>
      </c>
      <c r="B19" s="226">
        <f t="shared" si="3"/>
        <v>1727.7954086663087</v>
      </c>
      <c r="C19" s="226">
        <f t="shared" si="4"/>
        <v>4158.7982112820928</v>
      </c>
      <c r="D19" s="227">
        <f>'LE Efficiencies'!B$60*'LE StructuralVars'!$Q19*('LE Shares'!B19/'LE Efficiencies'!B19)/('LE Shares'!B$12/'LE Efficiencies'!B$12)</f>
        <v>1090.7924590372875</v>
      </c>
      <c r="E19" s="227">
        <f>'LE Efficiencies'!C$60*'LE StructuralVars'!$Q19*('LE Shares'!C19/'LE Efficiencies'!C19)/('LE Shares'!C$12/'LE Efficiencies'!C$12)</f>
        <v>538.08103215083497</v>
      </c>
      <c r="F19" s="227">
        <f>'LE Efficiencies'!D$60*'LE StructuralVars'!$Q19*('LE Shares'!E19/'LE Efficiencies'!D19)/('LE Shares'!E$12/'LE Efficiencies'!D$12)</f>
        <v>22.620733775807473</v>
      </c>
      <c r="G19" s="227">
        <f>'LE Efficiencies'!E$60*'LE StructuralVars'!$Q19*('LE Shares'!F19/(1/'LE Efficiencies'!E19))/('LE Shares'!F$12/(1/'LE Efficiencies'!E$12))</f>
        <v>76.301183702378864</v>
      </c>
      <c r="H19" s="227">
        <f>'LE Efficiencies'!F$60*'LE StructuralVars'!$R19*('LE Shares'!H19/'LE Efficiencies'!F19)/('LE Shares'!H$12/'LE Efficiencies'!F$12)</f>
        <v>2530.0967845487407</v>
      </c>
      <c r="I19" s="227">
        <f>'LE Efficiencies'!G$60*'LE StructuralVars'!$R19*('LE Shares'!J19/'LE Efficiencies'!G19)/('LE Shares'!J$12/'LE Efficiencies'!G$12)</f>
        <v>1314.6302942857178</v>
      </c>
      <c r="J19" s="227">
        <f>'LE Efficiencies'!H$60*'LE StructuralVars'!$R19*('LE Shares'!M19/'LE Efficiencies'!H19)/('LE Shares'!M$12/'LE Efficiencies'!H$12)</f>
        <v>40.33066215845259</v>
      </c>
      <c r="K19" s="227">
        <f>'LE Efficiencies'!I$60*'LE StructuralVars'!$R19*('LE Shares'!N19/'LE Efficiencies'!I19)/('LE Shares'!N$12/'LE Efficiencies'!I$12)</f>
        <v>273.74047028918159</v>
      </c>
      <c r="L19" s="227">
        <f>'LE Efficiencies'!J$60*('LE Shares'!P19/'LE Efficiencies'!J19)/('LE Shares'!P$12/'LE Efficiencies'!J$12)</f>
        <v>2990.9974760422319</v>
      </c>
      <c r="M19" s="227">
        <f>'LE Efficiencies'!K$60*('LE Shares'!R19/(1/'LE Efficiencies'!K19))/('LE Shares'!R$12/(1/'LE Efficiencies'!K$12))</f>
        <v>591.45078390464801</v>
      </c>
      <c r="N19" s="227">
        <f>'LE Efficiencies'!L$60*('LE Shares'!T19/(1/'LE Efficiencies'!L19))/('LE Shares'!T$12/(1/'LE Efficiencies'!L$12))</f>
        <v>635.01964747909551</v>
      </c>
      <c r="O19" s="227">
        <f>'LE Efficiencies'!M$60*('LE Shares'!U19/(1/'LE Efficiencies'!M19))/('LE Shares'!U$12/(1/'LE Efficiencies'!M$12))</f>
        <v>114.81805267284038</v>
      </c>
      <c r="P19" s="227">
        <f>'LE Efficiencies'!N$60*('LE Shares'!W19/(1/'LE Efficiencies'!N19))/('LE Shares'!W$12/(1/'LE Efficiencies'!N$12))</f>
        <v>262.14238058168263</v>
      </c>
      <c r="Q19" s="227">
        <f>'LE Efficiencies'!O$60*('LE Shares'!Y19/(1/'LE Efficiencies'!O19))/('LE Shares'!Y$12/(1/'LE Efficiencies'!O$12))</f>
        <v>289.88827988982462</v>
      </c>
      <c r="R19" s="227">
        <f>'LE Efficiencies'!P$60*('LE Shares'!AA19/(1/'LE Efficiencies'!P19))/('LE Shares'!AA$12/(1/'LE Efficiencies'!P$12))</f>
        <v>101.52058311061717</v>
      </c>
      <c r="S19" s="227">
        <f>'LE Efficiencies'!Q$60*('LE Shares'!AC19/(1/'LE Efficiencies'!Q19))/('LE Shares'!AC$12/(1/'LE Efficiencies'!Q$12))</f>
        <v>746.70835046834645</v>
      </c>
      <c r="T19" s="227">
        <f>'LE Efficiencies'!R$60*('LE Shares'!AE19/(1/'LE Efficiencies'!R19))/('LE Shares'!AE$12/(1/'LE Efficiencies'!R$12))</f>
        <v>814.14476268550573</v>
      </c>
      <c r="U19" s="227">
        <f>'LE Efficiencies'!S$60*('LE Shares'!AG19/(1/'LE Efficiencies'!S19))/('LE Shares'!AG$12/(1/'LE Efficiencies'!S$12))</f>
        <v>267.68778238641084</v>
      </c>
      <c r="V19" s="227">
        <f>'LE Efficiencies'!T$60*('LE Shares'!AH19/(1/'LE Efficiencies'!T19))/('LE Shares'!AH$12/(1/'LE Efficiencies'!T$12))</f>
        <v>1786.8529595316215</v>
      </c>
      <c r="W19" s="227">
        <f>'LE Efficiencies'!U$60*('LE Shares'!AI19/(1/'LE Efficiencies'!U19))/('LE Shares'!AI$12/(1/'LE Efficiencies'!U$12))</f>
        <v>5086.2375661677415</v>
      </c>
      <c r="X19" s="153">
        <f t="shared" si="2"/>
        <v>13687.468624920566</v>
      </c>
      <c r="Y19" s="225">
        <v>2012</v>
      </c>
      <c r="Z19" s="192">
        <f>D19/$X$19</f>
        <v>7.9692782422258718E-2</v>
      </c>
      <c r="AA19" s="192">
        <f t="shared" ref="AA19:AP32" si="5">E19/$X$19</f>
        <v>3.9311946342741495E-2</v>
      </c>
      <c r="AB19" s="192">
        <f t="shared" si="5"/>
        <v>1.6526601372164789E-3</v>
      </c>
      <c r="AC19" s="192">
        <f t="shared" si="5"/>
        <v>5.5745284824586525E-3</v>
      </c>
      <c r="AD19" s="192">
        <f t="shared" si="5"/>
        <v>0.18484767738150149</v>
      </c>
      <c r="AE19" s="192">
        <f t="shared" si="5"/>
        <v>9.6046269058998268E-2</v>
      </c>
      <c r="AF19" s="192">
        <f t="shared" si="5"/>
        <v>2.9465391493225536E-3</v>
      </c>
      <c r="AG19" s="192">
        <f t="shared" si="5"/>
        <v>1.999934960879373E-2</v>
      </c>
      <c r="AH19" s="192">
        <f t="shared" si="5"/>
        <v>0.21852086444944013</v>
      </c>
      <c r="AI19" s="192">
        <f t="shared" si="5"/>
        <v>4.3211115226069088E-2</v>
      </c>
      <c r="AJ19" s="192">
        <f t="shared" si="5"/>
        <v>4.6394235843063403E-2</v>
      </c>
      <c r="AK19" s="192">
        <f t="shared" si="5"/>
        <v>8.3885527572127461E-3</v>
      </c>
      <c r="AL19" s="192">
        <f t="shared" si="5"/>
        <v>1.9151998646733261E-2</v>
      </c>
      <c r="AM19" s="192">
        <f t="shared" si="5"/>
        <v>2.1179100959693119E-2</v>
      </c>
      <c r="AN19" s="192">
        <f t="shared" si="5"/>
        <v>7.4170459047321708E-3</v>
      </c>
      <c r="AO19" s="192">
        <f t="shared" si="5"/>
        <v>5.4554159788817773E-2</v>
      </c>
      <c r="AP19" s="192">
        <f t="shared" si="5"/>
        <v>5.9481032248958343E-2</v>
      </c>
      <c r="AQ19" s="192">
        <f t="shared" ref="AI19:AS34" si="6">U19/$X$19</f>
        <v>1.9557143086270587E-2</v>
      </c>
      <c r="AR19" s="192">
        <f t="shared" si="6"/>
        <v>0.13054663418759008</v>
      </c>
      <c r="AS19" s="192">
        <f t="shared" si="6"/>
        <v>0.37159811690141931</v>
      </c>
    </row>
    <row r="20" spans="1:45" x14ac:dyDescent="0.2">
      <c r="A20" s="225">
        <v>2013</v>
      </c>
      <c r="B20" s="226">
        <f>D20+E20+F20+G20</f>
        <v>1727.7741573057936</v>
      </c>
      <c r="C20" s="226">
        <f t="shared" si="4"/>
        <v>4178.6346955190838</v>
      </c>
      <c r="D20" s="227">
        <f>'LE Efficiencies'!B$60*'LE StructuralVars'!$Q20*('LE Shares'!B20/'LE Efficiencies'!B20)/('LE Shares'!B$12/'LE Efficiencies'!B$12)</f>
        <v>1076.5163244906696</v>
      </c>
      <c r="E20" s="227">
        <f>'LE Efficiencies'!C$60*'LE StructuralVars'!$Q20*('LE Shares'!C20/'LE Efficiencies'!C20)/('LE Shares'!C$12/'LE Efficiencies'!C$12)</f>
        <v>553.86382547338769</v>
      </c>
      <c r="F20" s="227">
        <f>'LE Efficiencies'!D$60*'LE StructuralVars'!$Q20*('LE Shares'!E20/'LE Efficiencies'!D20)/('LE Shares'!E$12/'LE Efficiencies'!D$12)</f>
        <v>25.305201831338465</v>
      </c>
      <c r="G20" s="227">
        <f>'LE Efficiencies'!E$60*'LE StructuralVars'!$Q20*('LE Shares'!F20/(1/'LE Efficiencies'!E20))/('LE Shares'!F$12/(1/'LE Efficiencies'!E$12))</f>
        <v>72.088805510397748</v>
      </c>
      <c r="H20" s="227">
        <f>'LE Efficiencies'!F$60*'LE StructuralVars'!$R20*('LE Shares'!H20/'LE Efficiencies'!F20)/('LE Shares'!H$12/'LE Efficiencies'!F$12)</f>
        <v>2501.8389623260819</v>
      </c>
      <c r="I20" s="227">
        <f>'LE Efficiencies'!G$60*'LE StructuralVars'!$R20*('LE Shares'!J20/'LE Efficiencies'!G20)/('LE Shares'!J$12/'LE Efficiencies'!G$12)</f>
        <v>1361.5871026743769</v>
      </c>
      <c r="J20" s="227">
        <f>'LE Efficiencies'!H$60*'LE StructuralVars'!$R20*('LE Shares'!M20/'LE Efficiencies'!H20)/('LE Shares'!M$12/'LE Efficiencies'!H$12)</f>
        <v>45.291273125964331</v>
      </c>
      <c r="K20" s="227">
        <f>'LE Efficiencies'!I$60*'LE StructuralVars'!$R20*('LE Shares'!N20/'LE Efficiencies'!I20)/('LE Shares'!N$12/'LE Efficiencies'!I$12)</f>
        <v>269.9173573926609</v>
      </c>
      <c r="L20" s="227">
        <f>'LE Efficiencies'!J$60*('LE Shares'!P20/'LE Efficiencies'!J20)/('LE Shares'!P$12/'LE Efficiencies'!J$12)</f>
        <v>2997.5005763948147</v>
      </c>
      <c r="M20" s="227">
        <f>'LE Efficiencies'!K$60*('LE Shares'!R20/(1/'LE Efficiencies'!K20))/('LE Shares'!R$12/(1/'LE Efficiencies'!K$12))</f>
        <v>590.92457349707934</v>
      </c>
      <c r="N20" s="227">
        <f>'LE Efficiencies'!L$60*('LE Shares'!T20/(1/'LE Efficiencies'!L20))/('LE Shares'!T$12/(1/'LE Efficiencies'!L$12))</f>
        <v>631.00791927501734</v>
      </c>
      <c r="O20" s="227">
        <f>'LE Efficiencies'!M$60*('LE Shares'!U20/(1/'LE Efficiencies'!M20))/('LE Shares'!U$12/(1/'LE Efficiencies'!M$12))</f>
        <v>114.09998316831808</v>
      </c>
      <c r="P20" s="227">
        <f>'LE Efficiencies'!N$60*('LE Shares'!W20/(1/'LE Efficiencies'!N20))/('LE Shares'!W$12/(1/'LE Efficiencies'!N$12))</f>
        <v>261.496222605323</v>
      </c>
      <c r="Q20" s="227">
        <f>'LE Efficiencies'!O$60*('LE Shares'!Y20/(1/'LE Efficiencies'!O20))/('LE Shares'!Y$12/(1/'LE Efficiencies'!O$12))</f>
        <v>285.12404066427922</v>
      </c>
      <c r="R20" s="227">
        <f>'LE Efficiencies'!P$60*('LE Shares'!AA20/(1/'LE Efficiencies'!P20))/('LE Shares'!AA$12/(1/'LE Efficiencies'!P$12))</f>
        <v>100.91605784605402</v>
      </c>
      <c r="S20" s="227">
        <f>'LE Efficiencies'!Q$60*('LE Shares'!AC20/(1/'LE Efficiencies'!Q20))/('LE Shares'!AC$12/(1/'LE Efficiencies'!Q$12))</f>
        <v>744.00920370172616</v>
      </c>
      <c r="T20" s="227">
        <f>'LE Efficiencies'!R$60*('LE Shares'!AE20/(1/'LE Efficiencies'!R20))/('LE Shares'!AE$12/(1/'LE Efficiencies'!R$12))</f>
        <v>805.1828010697285</v>
      </c>
      <c r="U20" s="227">
        <f>'LE Efficiencies'!S$60*('LE Shares'!AG20/(1/'LE Efficiencies'!S20))/('LE Shares'!AG$12/(1/'LE Efficiencies'!S$12))</f>
        <v>264.64379138770693</v>
      </c>
      <c r="V20" s="229">
        <f>'LE Efficiencies'!T$60*('LE Shares'!AH20/(1/'LE Efficiencies'!T20))/('LE Shares'!AH$12/(1/'LE Efficiencies'!T$12))</f>
        <v>1555.9497441393216</v>
      </c>
      <c r="W20" s="227">
        <f>'LE Efficiencies'!U$60*('LE Shares'!AI20/(1/'LE Efficiencies'!U20))/('LE Shares'!AI$12/(1/'LE Efficiencies'!U$12))</f>
        <v>5081.6424274111505</v>
      </c>
      <c r="X20" s="153">
        <f t="shared" si="2"/>
        <v>13432.497341160519</v>
      </c>
      <c r="Y20" s="225">
        <v>2013</v>
      </c>
      <c r="Z20" s="192">
        <f t="shared" ref="Z20:AO49" si="7">D20/$X$19</f>
        <v>7.8649774767751632E-2</v>
      </c>
      <c r="AA20" s="192">
        <f t="shared" si="5"/>
        <v>4.0465029776577989E-2</v>
      </c>
      <c r="AB20" s="192">
        <f t="shared" si="5"/>
        <v>1.8487861068237021E-3</v>
      </c>
      <c r="AC20" s="192">
        <f t="shared" si="5"/>
        <v>5.2667741191491577E-3</v>
      </c>
      <c r="AD20" s="192">
        <f t="shared" si="5"/>
        <v>0.18278317422193185</v>
      </c>
      <c r="AE20" s="192">
        <f t="shared" si="5"/>
        <v>9.9476911325689241E-2</v>
      </c>
      <c r="AF20" s="192">
        <f t="shared" si="5"/>
        <v>3.3089590461966938E-3</v>
      </c>
      <c r="AG20" s="192">
        <f t="shared" si="5"/>
        <v>1.9720034784315523E-2</v>
      </c>
      <c r="AH20" s="192">
        <f t="shared" si="5"/>
        <v>0.21899597789304232</v>
      </c>
      <c r="AI20" s="192">
        <f t="shared" si="5"/>
        <v>4.3172670541957767E-2</v>
      </c>
      <c r="AJ20" s="192">
        <f t="shared" si="5"/>
        <v>4.6101140873203598E-2</v>
      </c>
      <c r="AK20" s="192">
        <f t="shared" si="5"/>
        <v>8.3360909379969622E-3</v>
      </c>
      <c r="AL20" s="192">
        <f t="shared" si="5"/>
        <v>1.910479064983724E-2</v>
      </c>
      <c r="AM20" s="192">
        <f t="shared" si="5"/>
        <v>2.083102788963901E-2</v>
      </c>
      <c r="AN20" s="192">
        <f t="shared" si="5"/>
        <v>7.372879574117721E-3</v>
      </c>
      <c r="AO20" s="192">
        <f t="shared" si="5"/>
        <v>5.4356961399503773E-2</v>
      </c>
      <c r="AP20" s="192">
        <f t="shared" si="5"/>
        <v>5.8826275561555952E-2</v>
      </c>
      <c r="AQ20" s="192">
        <f t="shared" si="6"/>
        <v>1.9334750540057788E-2</v>
      </c>
      <c r="AR20" s="192">
        <f t="shared" si="6"/>
        <v>0.11367695421098008</v>
      </c>
      <c r="AS20" s="192">
        <f t="shared" si="6"/>
        <v>0.37126239823184554</v>
      </c>
    </row>
    <row r="21" spans="1:45" x14ac:dyDescent="0.2">
      <c r="A21" s="225">
        <v>2014</v>
      </c>
      <c r="B21" s="226">
        <f t="shared" ref="B21:B50" si="8">D21+E21+F21+G21</f>
        <v>1732.8582408067684</v>
      </c>
      <c r="C21" s="226">
        <f t="shared" si="4"/>
        <v>4211.1893622873458</v>
      </c>
      <c r="D21" s="227">
        <f>'LE Efficiencies'!B$60*'LE StructuralVars'!$Q21*('LE Shares'!B21/'LE Efficiencies'!B21)/('LE Shares'!B$12/'LE Efficiencies'!B$12)</f>
        <v>1059.5066146706356</v>
      </c>
      <c r="E21" s="227">
        <f>'LE Efficiencies'!C$60*'LE StructuralVars'!$Q21*('LE Shares'!C21/'LE Efficiencies'!C21)/('LE Shares'!C$12/'LE Efficiencies'!C$12)</f>
        <v>575.10314707883583</v>
      </c>
      <c r="F21" s="227">
        <f>'LE Efficiencies'!D$60*'LE StructuralVars'!$Q21*('LE Shares'!E21/'LE Efficiencies'!D21)/('LE Shares'!E$12/'LE Efficiencies'!D$12)</f>
        <v>29.182363365475616</v>
      </c>
      <c r="G21" s="227">
        <f>'LE Efficiencies'!E$60*'LE StructuralVars'!$Q21*('LE Shares'!F21/(1/'LE Efficiencies'!E21))/('LE Shares'!F$12/(1/'LE Efficiencies'!E$12))</f>
        <v>69.066115691821224</v>
      </c>
      <c r="H21" s="227">
        <f>'LE Efficiencies'!F$60*'LE StructuralVars'!$R21*('LE Shares'!H21/'LE Efficiencies'!F21)/('LE Shares'!H$12/'LE Efficiencies'!F$12)</f>
        <v>2472.1544304778295</v>
      </c>
      <c r="I21" s="227">
        <f>'LE Efficiencies'!G$60*'LE StructuralVars'!$R21*('LE Shares'!J21/'LE Efficiencies'!G21)/('LE Shares'!J$12/'LE Efficiencies'!G$12)</f>
        <v>1423.6784612785116</v>
      </c>
      <c r="J21" s="227">
        <f>'LE Efficiencies'!H$60*'LE StructuralVars'!$R21*('LE Shares'!M21/'LE Efficiencies'!H21)/('LE Shares'!M$12/'LE Efficiencies'!H$12)</f>
        <v>52.432186187152801</v>
      </c>
      <c r="K21" s="227">
        <f>'LE Efficiencies'!I$60*'LE StructuralVars'!$R21*('LE Shares'!N21/'LE Efficiencies'!I21)/('LE Shares'!N$12/'LE Efficiencies'!I$12)</f>
        <v>262.92428434385192</v>
      </c>
      <c r="L21" s="227">
        <f>'LE Efficiencies'!J$60*('LE Shares'!P21/'LE Efficiencies'!J21)/('LE Shares'!P$12/'LE Efficiencies'!J$12)</f>
        <v>3004.6187260676816</v>
      </c>
      <c r="M21" s="227">
        <f>'LE Efficiencies'!K$60*('LE Shares'!R21/(1/'LE Efficiencies'!K21))/('LE Shares'!R$12/(1/'LE Efficiencies'!K$12))</f>
        <v>591.93686799469685</v>
      </c>
      <c r="N21" s="227">
        <f>'LE Efficiencies'!L$60*('LE Shares'!T21/(1/'LE Efficiencies'!L21))/('LE Shares'!T$12/(1/'LE Efficiencies'!L$12))</f>
        <v>618.82651387697592</v>
      </c>
      <c r="O21" s="227">
        <f>'LE Efficiencies'!M$60*('LE Shares'!U21/(1/'LE Efficiencies'!M21))/('LE Shares'!U$12/(1/'LE Efficiencies'!M$12))</f>
        <v>111.87055889931112</v>
      </c>
      <c r="P21" s="227">
        <f>'LE Efficiencies'!N$60*('LE Shares'!W21/(1/'LE Efficiencies'!N21))/('LE Shares'!W$12/(1/'LE Efficiencies'!N$12))</f>
        <v>254.24507701952703</v>
      </c>
      <c r="Q21" s="227">
        <f>'LE Efficiencies'!O$60*('LE Shares'!Y21/(1/'LE Efficiencies'!O21))/('LE Shares'!Y$12/(1/'LE Efficiencies'!O$12))</f>
        <v>281.52692473498882</v>
      </c>
      <c r="R21" s="227">
        <f>'LE Efficiencies'!P$60*('LE Shares'!AA21/(1/'LE Efficiencies'!P21))/('LE Shares'!AA$12/(1/'LE Efficiencies'!P$12))</f>
        <v>100.59513316667305</v>
      </c>
      <c r="S21" s="227">
        <f>'LE Efficiencies'!Q$60*('LE Shares'!AC21/(1/'LE Efficiencies'!Q21))/('LE Shares'!AC$12/(1/'LE Efficiencies'!Q$12))</f>
        <v>741.96445313034906</v>
      </c>
      <c r="T21" s="227">
        <f>'LE Efficiencies'!R$60*('LE Shares'!AE21/(1/'LE Efficiencies'!R21))/('LE Shares'!AE$12/(1/'LE Efficiencies'!R$12))</f>
        <v>797.2496296421017</v>
      </c>
      <c r="U21" s="227">
        <f>'LE Efficiencies'!S$60*('LE Shares'!AG21/(1/'LE Efficiencies'!S21))/('LE Shares'!AG$12/(1/'LE Efficiencies'!S$12))</f>
        <v>265.25316051731937</v>
      </c>
      <c r="V21" s="227">
        <f>'LE Efficiencies'!T$60*('LE Shares'!AH21/(1/'LE Efficiencies'!T21))/('LE Shares'!AH$12/(1/'LE Efficiencies'!T$12))</f>
        <v>1455.3203400262073</v>
      </c>
      <c r="W21" s="227">
        <f>'LE Efficiencies'!U$60*('LE Shares'!AI21/(1/'LE Efficiencies'!U21))/('LE Shares'!AI$12/(1/'LE Efficiencies'!U$12))</f>
        <v>5154.1708797864248</v>
      </c>
      <c r="X21" s="153">
        <f t="shared" si="2"/>
        <v>13377.578264862257</v>
      </c>
      <c r="Y21" s="225">
        <v>2014</v>
      </c>
      <c r="Z21" s="192">
        <f t="shared" si="7"/>
        <v>7.7407053393467359E-2</v>
      </c>
      <c r="AA21" s="192">
        <f t="shared" si="5"/>
        <v>4.2016764592377166E-2</v>
      </c>
      <c r="AB21" s="192">
        <f t="shared" si="5"/>
        <v>2.1320496992660665E-3</v>
      </c>
      <c r="AC21" s="192">
        <f t="shared" si="5"/>
        <v>5.0459378271065841E-3</v>
      </c>
      <c r="AD21" s="192">
        <f t="shared" si="5"/>
        <v>0.1806144363302368</v>
      </c>
      <c r="AE21" s="192">
        <f t="shared" si="5"/>
        <v>0.10401327669065424</v>
      </c>
      <c r="AF21" s="192">
        <f t="shared" si="5"/>
        <v>3.8306707853700806E-3</v>
      </c>
      <c r="AG21" s="192">
        <f t="shared" si="5"/>
        <v>1.9209124166695783E-2</v>
      </c>
      <c r="AH21" s="192">
        <f t="shared" si="5"/>
        <v>0.21951602654980468</v>
      </c>
      <c r="AI21" s="192">
        <f t="shared" si="5"/>
        <v>4.3246628300353973E-2</v>
      </c>
      <c r="AJ21" s="192">
        <f t="shared" si="5"/>
        <v>4.5211173141999968E-2</v>
      </c>
      <c r="AK21" s="192">
        <f t="shared" si="5"/>
        <v>8.173210252743892E-3</v>
      </c>
      <c r="AL21" s="192">
        <f t="shared" si="5"/>
        <v>1.8575025374423643E-2</v>
      </c>
      <c r="AM21" s="192">
        <f t="shared" si="5"/>
        <v>2.0568224296961458E-2</v>
      </c>
      <c r="AN21" s="192">
        <f t="shared" si="5"/>
        <v>7.349432968454154E-3</v>
      </c>
      <c r="AO21" s="192">
        <f t="shared" si="5"/>
        <v>5.4207572887470634E-2</v>
      </c>
      <c r="AP21" s="192">
        <f t="shared" si="5"/>
        <v>5.8246681799917439E-2</v>
      </c>
      <c r="AQ21" s="192">
        <f t="shared" si="6"/>
        <v>1.9379270761167407E-2</v>
      </c>
      <c r="AR21" s="192">
        <f t="shared" si="6"/>
        <v>0.10632501742334793</v>
      </c>
      <c r="AS21" s="192">
        <f t="shared" si="6"/>
        <v>0.37656129274351757</v>
      </c>
    </row>
    <row r="22" spans="1:45" x14ac:dyDescent="0.2">
      <c r="A22" s="225">
        <v>2015</v>
      </c>
      <c r="B22" s="226">
        <f t="shared" si="8"/>
        <v>1735.5553857600428</v>
      </c>
      <c r="C22" s="226">
        <f t="shared" si="4"/>
        <v>4224.8681244027593</v>
      </c>
      <c r="D22" s="227">
        <f>'LE Efficiencies'!B$60*'LE StructuralVars'!$Q22*('LE Shares'!B22/'LE Efficiencies'!B22)/('LE Shares'!B$12/'LE Efficiencies'!B$12)</f>
        <v>1041.341889064106</v>
      </c>
      <c r="E22" s="227">
        <f>'LE Efficiencies'!C$60*'LE StructuralVars'!$Q22*('LE Shares'!C22/'LE Efficiencies'!C22)/('LE Shares'!C$12/'LE Efficiencies'!C$12)</f>
        <v>594.57544927561571</v>
      </c>
      <c r="F22" s="227">
        <f>'LE Efficiencies'!D$60*'LE StructuralVars'!$Q22*('LE Shares'!E22/'LE Efficiencies'!D22)/('LE Shares'!E$12/'LE Efficiencies'!D$12)</f>
        <v>33.723451938151065</v>
      </c>
      <c r="G22" s="227">
        <f>'LE Efficiencies'!E$60*'LE StructuralVars'!$Q22*('LE Shares'!F22/(1/'LE Efficiencies'!E22))/('LE Shares'!F$12/(1/'LE Efficiencies'!E$12))</f>
        <v>65.914595482170014</v>
      </c>
      <c r="H22" s="227">
        <f>'LE Efficiencies'!F$60*'LE StructuralVars'!$R22*('LE Shares'!H22/'LE Efficiencies'!F22)/('LE Shares'!H$12/'LE Efficiencies'!F$12)</f>
        <v>2431.4061035738277</v>
      </c>
      <c r="I22" s="227">
        <f>'LE Efficiencies'!G$60*'LE StructuralVars'!$R22*('LE Shares'!J22/'LE Efficiencies'!G22)/('LE Shares'!J$12/'LE Efficiencies'!G$12)</f>
        <v>1474.3952504169658</v>
      </c>
      <c r="J22" s="227">
        <f>'LE Efficiencies'!H$60*'LE StructuralVars'!$R22*('LE Shares'!M22/'LE Efficiencies'!H22)/('LE Shares'!M$12/'LE Efficiencies'!H$12)</f>
        <v>60.855338101108913</v>
      </c>
      <c r="K22" s="227">
        <f>'LE Efficiencies'!I$60*'LE StructuralVars'!$R22*('LE Shares'!N22/'LE Efficiencies'!I22)/('LE Shares'!N$12/'LE Efficiencies'!I$12)</f>
        <v>258.21143231085739</v>
      </c>
      <c r="L22" s="227">
        <f>'LE Efficiencies'!J$60*('LE Shares'!P22/'LE Efficiencies'!J22)/('LE Shares'!P$12/'LE Efficiencies'!J$12)</f>
        <v>2969.9986173601392</v>
      </c>
      <c r="M22" s="227">
        <f>'LE Efficiencies'!K$60*('LE Shares'!R22/(1/'LE Efficiencies'!K22))/('LE Shares'!R$12/(1/'LE Efficiencies'!K$12))</f>
        <v>593.08678287006705</v>
      </c>
      <c r="N22" s="227">
        <f>'LE Efficiencies'!L$60*('LE Shares'!T22/(1/'LE Efficiencies'!L22))/('LE Shares'!T$12/(1/'LE Efficiencies'!L$12))</f>
        <v>611.94459986574839</v>
      </c>
      <c r="O22" s="227">
        <f>'LE Efficiencies'!M$60*('LE Shares'!U22/(1/'LE Efficiencies'!M22))/('LE Shares'!U$12/(1/'LE Efficiencies'!M$12))</f>
        <v>110.5344165445361</v>
      </c>
      <c r="P22" s="227">
        <f>'LE Efficiencies'!N$60*('LE Shares'!W22/(1/'LE Efficiencies'!N22))/('LE Shares'!W$12/(1/'LE Efficiencies'!N$12))</f>
        <v>250.97557321742434</v>
      </c>
      <c r="Q22" s="227">
        <f>'LE Efficiencies'!O$60*('LE Shares'!Y22/(1/'LE Efficiencies'!O22))/('LE Shares'!Y$12/(1/'LE Efficiencies'!O$12))</f>
        <v>278.29027036899436</v>
      </c>
      <c r="R22" s="227">
        <f>'LE Efficiencies'!P$60*('LE Shares'!AA22/(1/'LE Efficiencies'!P22))/('LE Shares'!AA$12/(1/'LE Efficiencies'!P$12))</f>
        <v>96.930954486485106</v>
      </c>
      <c r="S22" s="227">
        <f>'LE Efficiencies'!Q$60*('LE Shares'!AC22/(1/'LE Efficiencies'!Q22))/('LE Shares'!AC$12/(1/'LE Efficiencies'!Q$12))</f>
        <v>725.08193536776105</v>
      </c>
      <c r="T22" s="227">
        <f>'LE Efficiencies'!R$60*('LE Shares'!AE22/(1/'LE Efficiencies'!R22))/('LE Shares'!AE$12/(1/'LE Efficiencies'!R$12))</f>
        <v>790.18936785240965</v>
      </c>
      <c r="U22" s="227">
        <f>'LE Efficiencies'!S$60*('LE Shares'!AG22/(1/'LE Efficiencies'!S22))/('LE Shares'!AG$12/(1/'LE Efficiencies'!S$12))</f>
        <v>265.20351138988639</v>
      </c>
      <c r="V22" s="227">
        <f>'LE Efficiencies'!T$60*('LE Shares'!AH22/(1/'LE Efficiencies'!T22))/('LE Shares'!AH$12/(1/'LE Efficiencies'!T$12))</f>
        <v>1392.7936548362388</v>
      </c>
      <c r="W22" s="227">
        <f>'LE Efficiencies'!U$60*('LE Shares'!AI22/(1/'LE Efficiencies'!U22))/('LE Shares'!AI$12/(1/'LE Efficiencies'!U$12))</f>
        <v>5223.2424404114336</v>
      </c>
      <c r="X22" s="153">
        <f t="shared" si="2"/>
        <v>13308.272124571122</v>
      </c>
      <c r="Y22" s="225">
        <v>2015</v>
      </c>
      <c r="Z22" s="192">
        <f t="shared" si="7"/>
        <v>7.6079947110757259E-2</v>
      </c>
      <c r="AA22" s="192">
        <f t="shared" si="5"/>
        <v>4.3439401803857379E-2</v>
      </c>
      <c r="AB22" s="192">
        <f t="shared" si="5"/>
        <v>2.4638194879037963E-3</v>
      </c>
      <c r="AC22" s="192">
        <f t="shared" si="5"/>
        <v>4.8156892474741685E-3</v>
      </c>
      <c r="AD22" s="192">
        <f t="shared" si="5"/>
        <v>0.17763738279165833</v>
      </c>
      <c r="AE22" s="192">
        <f t="shared" si="5"/>
        <v>0.10771862137696936</v>
      </c>
      <c r="AF22" s="192">
        <f t="shared" si="5"/>
        <v>4.4460622901674107E-3</v>
      </c>
      <c r="AG22" s="192">
        <f t="shared" si="5"/>
        <v>1.8864805420685003E-2</v>
      </c>
      <c r="AH22" s="192">
        <f t="shared" si="5"/>
        <v>0.21698669774137111</v>
      </c>
      <c r="AI22" s="192">
        <f t="shared" si="5"/>
        <v>4.3330640538619611E-2</v>
      </c>
      <c r="AJ22" s="192">
        <f t="shared" si="5"/>
        <v>4.470838375122118E-2</v>
      </c>
      <c r="AK22" s="192">
        <f t="shared" si="5"/>
        <v>8.0755923226949189E-3</v>
      </c>
      <c r="AL22" s="192">
        <f t="shared" si="5"/>
        <v>1.8336156969191289E-2</v>
      </c>
      <c r="AM22" s="192">
        <f t="shared" si="5"/>
        <v>2.0331755856032831E-2</v>
      </c>
      <c r="AN22" s="192">
        <f t="shared" si="5"/>
        <v>7.0817298028361788E-3</v>
      </c>
      <c r="AO22" s="192">
        <f t="shared" si="5"/>
        <v>5.2974144104894268E-2</v>
      </c>
      <c r="AP22" s="192">
        <f t="shared" si="5"/>
        <v>5.7730862404588378E-2</v>
      </c>
      <c r="AQ22" s="192">
        <f t="shared" si="6"/>
        <v>1.937564341934157E-2</v>
      </c>
      <c r="AR22" s="192">
        <f t="shared" si="6"/>
        <v>0.10175684730340866</v>
      </c>
      <c r="AS22" s="192">
        <f t="shared" si="6"/>
        <v>0.38160762837487389</v>
      </c>
    </row>
    <row r="23" spans="1:45" x14ac:dyDescent="0.2">
      <c r="A23" s="225">
        <v>2016</v>
      </c>
      <c r="B23" s="226">
        <f t="shared" si="8"/>
        <v>1742.2036962595505</v>
      </c>
      <c r="C23" s="226">
        <f t="shared" si="4"/>
        <v>4257.2398528373751</v>
      </c>
      <c r="D23" s="227">
        <f>'LE Efficiencies'!B$60*'LE StructuralVars'!$Q23*('LE Shares'!B23/'LE Efficiencies'!B23)/('LE Shares'!B$12/'LE Efficiencies'!B$12)</f>
        <v>1025.1605295519541</v>
      </c>
      <c r="E23" s="227">
        <f>'LE Efficiencies'!C$60*'LE StructuralVars'!$Q23*('LE Shares'!C23/'LE Efficiencies'!C23)/('LE Shares'!C$12/'LE Efficiencies'!C$12)</f>
        <v>615.78332025787734</v>
      </c>
      <c r="F23" s="227">
        <f>'LE Efficiencies'!D$60*'LE StructuralVars'!$Q23*('LE Shares'!E23/'LE Efficiencies'!D23)/('LE Shares'!E$12/'LE Efficiencies'!D$12)</f>
        <v>38.328133746241186</v>
      </c>
      <c r="G23" s="227">
        <f>'LE Efficiencies'!E$60*'LE StructuralVars'!$Q23*('LE Shares'!F23/(1/'LE Efficiencies'!E23))/('LE Shares'!F$12/(1/'LE Efficiencies'!E$12))</f>
        <v>62.931712703477508</v>
      </c>
      <c r="H23" s="227">
        <f>'LE Efficiencies'!F$60*'LE StructuralVars'!$R23*('LE Shares'!H23/'LE Efficiencies'!F23)/('LE Shares'!H$12/'LE Efficiencies'!F$12)</f>
        <v>2399.2157035784739</v>
      </c>
      <c r="I23" s="227">
        <f>'LE Efficiencies'!G$60*'LE StructuralVars'!$R23*('LE Shares'!J23/'LE Efficiencies'!G23)/('LE Shares'!J$12/'LE Efficiencies'!G$12)</f>
        <v>1534.5848107016709</v>
      </c>
      <c r="J23" s="227">
        <f>'LE Efficiencies'!H$60*'LE StructuralVars'!$R23*('LE Shares'!M23/'LE Efficiencies'!H23)/('LE Shares'!M$12/'LE Efficiencies'!H$12)</f>
        <v>69.475654434713491</v>
      </c>
      <c r="K23" s="227">
        <f>'LE Efficiencies'!I$60*'LE StructuralVars'!$R23*('LE Shares'!N23/'LE Efficiencies'!I23)/('LE Shares'!N$12/'LE Efficiencies'!I$12)</f>
        <v>253.96368412251667</v>
      </c>
      <c r="L23" s="227">
        <f>'LE Efficiencies'!J$60*('LE Shares'!P23/'LE Efficiencies'!J23)/('LE Shares'!P$12/'LE Efficiencies'!J$12)</f>
        <v>2959.8584505785484</v>
      </c>
      <c r="M23" s="227">
        <f>'LE Efficiencies'!K$60*('LE Shares'!R23/(1/'LE Efficiencies'!K23))/('LE Shares'!R$12/(1/'LE Efficiencies'!K$12))</f>
        <v>594.18996065085082</v>
      </c>
      <c r="N23" s="227">
        <f>'LE Efficiencies'!L$60*('LE Shares'!T23/(1/'LE Efficiencies'!L23))/('LE Shares'!T$12/(1/'LE Efficiencies'!L$12))</f>
        <v>605.94621895850787</v>
      </c>
      <c r="O23" s="227">
        <f>'LE Efficiencies'!M$60*('LE Shares'!U23/(1/'LE Efficiencies'!M23))/('LE Shares'!U$12/(1/'LE Efficiencies'!M$12))</f>
        <v>109.23363747282662</v>
      </c>
      <c r="P23" s="227">
        <f>'LE Efficiencies'!N$60*('LE Shares'!W23/(1/'LE Efficiencies'!N23))/('LE Shares'!W$12/(1/'LE Efficiencies'!N$12))</f>
        <v>247.97187402757288</v>
      </c>
      <c r="Q23" s="227">
        <f>'LE Efficiencies'!O$60*('LE Shares'!Y23/(1/'LE Efficiencies'!O23))/('LE Shares'!Y$12/(1/'LE Efficiencies'!O$12))</f>
        <v>275.49972535387991</v>
      </c>
      <c r="R23" s="227">
        <f>'LE Efficiencies'!P$60*('LE Shares'!AA23/(1/'LE Efficiencies'!P23))/('LE Shares'!AA$12/(1/'LE Efficiencies'!P$12))</f>
        <v>93.067944617533058</v>
      </c>
      <c r="S23" s="227">
        <f>'LE Efficiencies'!Q$60*('LE Shares'!AC23/(1/'LE Efficiencies'!Q23))/('LE Shares'!AC$12/(1/'LE Efficiencies'!Q$12))</f>
        <v>709.87399260979373</v>
      </c>
      <c r="T23" s="227">
        <f>'LE Efficiencies'!R$60*('LE Shares'!AE23/(1/'LE Efficiencies'!R23))/('LE Shares'!AE$12/(1/'LE Efficiencies'!R$12))</f>
        <v>785.95493522564232</v>
      </c>
      <c r="U23" s="227">
        <f>'LE Efficiencies'!S$60*('LE Shares'!AG23/(1/'LE Efficiencies'!S23))/('LE Shares'!AG$12/(1/'LE Efficiencies'!S$12))</f>
        <v>264.61937574533363</v>
      </c>
      <c r="V23" s="227">
        <f>'LE Efficiencies'!T$60*('LE Shares'!AH23/(1/'LE Efficiencies'!T23))/('LE Shares'!AH$12/(1/'LE Efficiencies'!T$12))</f>
        <v>1350.2718579032801</v>
      </c>
      <c r="W23" s="227">
        <f>'LE Efficiencies'!U$60*('LE Shares'!AI23/(1/'LE Efficiencies'!U23))/('LE Shares'!AI$12/(1/'LE Efficiencies'!U$12))</f>
        <v>5324.3697136053715</v>
      </c>
      <c r="X23" s="153">
        <f t="shared" si="2"/>
        <v>13320.857686749141</v>
      </c>
      <c r="Y23" s="225">
        <v>2016</v>
      </c>
      <c r="Z23" s="192">
        <f t="shared" si="7"/>
        <v>7.4897744619151857E-2</v>
      </c>
      <c r="AA23" s="192">
        <f t="shared" si="5"/>
        <v>4.4988838851964925E-2</v>
      </c>
      <c r="AB23" s="192">
        <f t="shared" si="5"/>
        <v>2.800235368317684E-3</v>
      </c>
      <c r="AC23" s="192">
        <f t="shared" si="5"/>
        <v>4.5977612389845914E-3</v>
      </c>
      <c r="AD23" s="192">
        <f t="shared" si="5"/>
        <v>0.17528556735540263</v>
      </c>
      <c r="AE23" s="192">
        <f t="shared" si="5"/>
        <v>0.11211604225398374</v>
      </c>
      <c r="AF23" s="192">
        <f t="shared" si="5"/>
        <v>5.075858534442243E-3</v>
      </c>
      <c r="AG23" s="192">
        <f t="shared" si="5"/>
        <v>1.8554466942129009E-2</v>
      </c>
      <c r="AH23" s="192">
        <f t="shared" si="5"/>
        <v>0.21624586194043061</v>
      </c>
      <c r="AI23" s="192">
        <f t="shared" si="5"/>
        <v>4.3411238186805277E-2</v>
      </c>
      <c r="AJ23" s="192">
        <f t="shared" si="5"/>
        <v>4.427014487216948E-2</v>
      </c>
      <c r="AK23" s="192">
        <f t="shared" si="5"/>
        <v>7.9805580174223435E-3</v>
      </c>
      <c r="AL23" s="192">
        <f t="shared" si="5"/>
        <v>1.8116708123523603E-2</v>
      </c>
      <c r="AM23" s="192">
        <f t="shared" si="5"/>
        <v>2.0127879953805463E-2</v>
      </c>
      <c r="AN23" s="192">
        <f t="shared" si="5"/>
        <v>6.7995001243754934E-3</v>
      </c>
      <c r="AO23" s="192">
        <f t="shared" si="5"/>
        <v>5.1863058982092348E-2</v>
      </c>
      <c r="AP23" s="192">
        <f t="shared" si="5"/>
        <v>5.7421496754678662E-2</v>
      </c>
      <c r="AQ23" s="192">
        <f t="shared" si="6"/>
        <v>1.9332966744745272E-2</v>
      </c>
      <c r="AR23" s="192">
        <f t="shared" si="6"/>
        <v>9.8650224881236301E-2</v>
      </c>
      <c r="AS23" s="192">
        <f t="shared" si="6"/>
        <v>0.3889959392426568</v>
      </c>
    </row>
    <row r="24" spans="1:45" x14ac:dyDescent="0.2">
      <c r="A24" s="225">
        <v>2017</v>
      </c>
      <c r="B24" s="226">
        <f t="shared" si="8"/>
        <v>1750.7867247979239</v>
      </c>
      <c r="C24" s="226">
        <f t="shared" si="4"/>
        <v>4294.4132746545029</v>
      </c>
      <c r="D24" s="227">
        <f>'LE Efficiencies'!B$60*'LE StructuralVars'!$Q24*('LE Shares'!B24/'LE Efficiencies'!B24)/('LE Shares'!B$12/'LE Efficiencies'!B$12)</f>
        <v>1011.6080626929962</v>
      </c>
      <c r="E24" s="227">
        <f>'LE Efficiencies'!C$60*'LE StructuralVars'!$Q24*('LE Shares'!C24/'LE Efficiencies'!C24)/('LE Shares'!C$12/'LE Efficiencies'!C$12)</f>
        <v>636.79772717631874</v>
      </c>
      <c r="F24" s="227">
        <f>'LE Efficiencies'!D$60*'LE StructuralVars'!$Q24*('LE Shares'!E24/'LE Efficiencies'!D24)/('LE Shares'!E$12/'LE Efficiencies'!D$12)</f>
        <v>42.313181554907949</v>
      </c>
      <c r="G24" s="227">
        <f>'LE Efficiencies'!E$60*'LE StructuralVars'!$Q24*('LE Shares'!F24/(1/'LE Efficiencies'!E24))/('LE Shares'!F$12/(1/'LE Efficiencies'!E$12))</f>
        <v>60.067753373701038</v>
      </c>
      <c r="H24" s="227">
        <f>'LE Efficiencies'!F$60*'LE StructuralVars'!$R24*('LE Shares'!H24/'LE Efficiencies'!F24)/('LE Shares'!H$12/'LE Efficiencies'!F$12)</f>
        <v>2372.1904064965929</v>
      </c>
      <c r="I24" s="227">
        <f>'LE Efficiencies'!G$60*'LE StructuralVars'!$R24*('LE Shares'!J24/'LE Efficiencies'!G24)/('LE Shares'!J$12/'LE Efficiencies'!G$12)</f>
        <v>1595.0552035324147</v>
      </c>
      <c r="J24" s="227">
        <f>'LE Efficiencies'!H$60*'LE StructuralVars'!$R24*('LE Shares'!M24/'LE Efficiencies'!H24)/('LE Shares'!M$12/'LE Efficiencies'!H$12)</f>
        <v>77.063555924210519</v>
      </c>
      <c r="K24" s="227">
        <f>'LE Efficiencies'!I$60*'LE StructuralVars'!$R24*('LE Shares'!N24/'LE Efficiencies'!I24)/('LE Shares'!N$12/'LE Efficiencies'!I$12)</f>
        <v>250.10410870128516</v>
      </c>
      <c r="L24" s="227">
        <f>'LE Efficiencies'!J$60*('LE Shares'!P24/'LE Efficiencies'!J24)/('LE Shares'!P$12/'LE Efficiencies'!J$12)</f>
        <v>2954.5323165886111</v>
      </c>
      <c r="M24" s="227">
        <f>'LE Efficiencies'!K$60*('LE Shares'!R24/(1/'LE Efficiencies'!K24))/('LE Shares'!R$12/(1/'LE Efficiencies'!K$12))</f>
        <v>595.37475056651829</v>
      </c>
      <c r="N24" s="227">
        <f>'LE Efficiencies'!L$60*('LE Shares'!T24/(1/'LE Efficiencies'!L24))/('LE Shares'!T$12/(1/'LE Efficiencies'!L$12))</f>
        <v>600.79025231191804</v>
      </c>
      <c r="O24" s="227">
        <f>'LE Efficiencies'!M$60*('LE Shares'!U24/(1/'LE Efficiencies'!M24))/('LE Shares'!U$12/(1/'LE Efficiencies'!M$12))</f>
        <v>108.00195233918161</v>
      </c>
      <c r="P24" s="227">
        <f>'LE Efficiencies'!N$60*('LE Shares'!W24/(1/'LE Efficiencies'!N24))/('LE Shares'!W$12/(1/'LE Efficiencies'!N$12))</f>
        <v>245.2709245785415</v>
      </c>
      <c r="Q24" s="227">
        <f>'LE Efficiencies'!O$60*('LE Shares'!Y24/(1/'LE Efficiencies'!O24))/('LE Shares'!Y$12/(1/'LE Efficiencies'!O$12))</f>
        <v>273.055631045013</v>
      </c>
      <c r="R24" s="227">
        <f>'LE Efficiencies'!P$60*('LE Shares'!AA24/(1/'LE Efficiencies'!P24))/('LE Shares'!AA$12/(1/'LE Efficiencies'!P$12))</f>
        <v>89.198970352511552</v>
      </c>
      <c r="S24" s="227">
        <f>'LE Efficiencies'!Q$60*('LE Shares'!AC24/(1/'LE Efficiencies'!Q24))/('LE Shares'!AC$12/(1/'LE Efficiencies'!Q$12))</f>
        <v>695.26911462929843</v>
      </c>
      <c r="T24" s="227">
        <f>'LE Efficiencies'!R$60*('LE Shares'!AE24/(1/'LE Efficiencies'!R24))/('LE Shares'!AE$12/(1/'LE Efficiencies'!R$12))</f>
        <v>783.59566998775006</v>
      </c>
      <c r="U24" s="227">
        <f>'LE Efficiencies'!S$60*('LE Shares'!AG24/(1/'LE Efficiencies'!S24))/('LE Shares'!AG$12/(1/'LE Efficiencies'!S$12))</f>
        <v>263.45918990756621</v>
      </c>
      <c r="V24" s="227">
        <f>'LE Efficiencies'!T$60*('LE Shares'!AH24/(1/'LE Efficiencies'!T24))/('LE Shares'!AH$12/(1/'LE Efficiencies'!T$12))</f>
        <v>1319.4499547731796</v>
      </c>
      <c r="W24" s="227">
        <f>'LE Efficiencies'!U$60*('LE Shares'!AI24/(1/'LE Efficiencies'!U24))/('LE Shares'!AI$12/(1/'LE Efficiencies'!U$12))</f>
        <v>5422.3231057467183</v>
      </c>
      <c r="X24" s="153">
        <f t="shared" si="2"/>
        <v>13350.321832826807</v>
      </c>
      <c r="Y24" s="225">
        <v>2017</v>
      </c>
      <c r="Z24" s="192">
        <f t="shared" si="7"/>
        <v>7.3907607784479357E-2</v>
      </c>
      <c r="AA24" s="192">
        <f t="shared" si="5"/>
        <v>4.6524141506845966E-2</v>
      </c>
      <c r="AB24" s="192">
        <f t="shared" si="5"/>
        <v>3.0913810810765247E-3</v>
      </c>
      <c r="AC24" s="192">
        <f t="shared" si="5"/>
        <v>4.3885217215648325E-3</v>
      </c>
      <c r="AD24" s="192">
        <f t="shared" si="5"/>
        <v>0.17331111190111384</v>
      </c>
      <c r="AE24" s="192">
        <f t="shared" si="5"/>
        <v>0.11653398062431514</v>
      </c>
      <c r="AF24" s="192">
        <f t="shared" si="5"/>
        <v>5.6302270372990716E-3</v>
      </c>
      <c r="AG24" s="192">
        <f t="shared" si="5"/>
        <v>1.8272488182798419E-2</v>
      </c>
      <c r="AH24" s="192">
        <f t="shared" si="5"/>
        <v>0.21585673710399153</v>
      </c>
      <c r="AI24" s="192">
        <f t="shared" si="5"/>
        <v>4.3497798379061016E-2</v>
      </c>
      <c r="AJ24" s="192">
        <f t="shared" si="5"/>
        <v>4.3893452381550548E-2</v>
      </c>
      <c r="AK24" s="192">
        <f t="shared" si="5"/>
        <v>7.8905716826662975E-3</v>
      </c>
      <c r="AL24" s="192">
        <f t="shared" si="5"/>
        <v>1.791937803108315E-2</v>
      </c>
      <c r="AM24" s="192">
        <f t="shared" si="5"/>
        <v>1.9949315576721378E-2</v>
      </c>
      <c r="AN24" s="192">
        <f t="shared" si="5"/>
        <v>6.5168346899519714E-3</v>
      </c>
      <c r="AO24" s="192">
        <f t="shared" si="5"/>
        <v>5.079603348740705E-2</v>
      </c>
      <c r="AP24" s="192">
        <f t="shared" si="5"/>
        <v>5.7249129949497699E-2</v>
      </c>
      <c r="AQ24" s="192">
        <f t="shared" si="6"/>
        <v>1.9248204114812734E-2</v>
      </c>
      <c r="AR24" s="192">
        <f t="shared" si="6"/>
        <v>9.6398391180300289E-2</v>
      </c>
      <c r="AS24" s="192">
        <f t="shared" si="6"/>
        <v>0.39615236785817187</v>
      </c>
    </row>
    <row r="25" spans="1:45" x14ac:dyDescent="0.2">
      <c r="A25" s="225">
        <v>2018</v>
      </c>
      <c r="B25" s="226">
        <f t="shared" si="8"/>
        <v>1759.2508106323351</v>
      </c>
      <c r="C25" s="226">
        <f t="shared" si="4"/>
        <v>4333.0506123204532</v>
      </c>
      <c r="D25" s="227">
        <f>'LE Efficiencies'!B$60*'LE StructuralVars'!$Q25*('LE Shares'!B25/'LE Efficiencies'!B25)/('LE Shares'!B$12/'LE Efficiencies'!B$12)</f>
        <v>999.66852283801734</v>
      </c>
      <c r="E25" s="227">
        <f>'LE Efficiencies'!C$60*'LE StructuralVars'!$Q25*('LE Shares'!C25/'LE Efficiencies'!C25)/('LE Shares'!C$12/'LE Efficiencies'!C$12)</f>
        <v>656.5732876326839</v>
      </c>
      <c r="F25" s="227">
        <f>'LE Efficiencies'!D$60*'LE StructuralVars'!$Q25*('LE Shares'!E25/'LE Efficiencies'!D25)/('LE Shares'!E$12/'LE Efficiencies'!D$12)</f>
        <v>45.692354487676994</v>
      </c>
      <c r="G25" s="227">
        <f>'LE Efficiencies'!E$60*'LE StructuralVars'!$Q25*('LE Shares'!F25/(1/'LE Efficiencies'!E25))/('LE Shares'!F$12/(1/'LE Efficiencies'!E$12))</f>
        <v>57.31664567395682</v>
      </c>
      <c r="H25" s="227">
        <f>'LE Efficiencies'!F$60*'LE StructuralVars'!$R25*('LE Shares'!H25/'LE Efficiencies'!F25)/('LE Shares'!H$12/'LE Efficiencies'!F$12)</f>
        <v>2350.1275687810498</v>
      </c>
      <c r="I25" s="227">
        <f>'LE Efficiencies'!G$60*'LE StructuralVars'!$R25*('LE Shares'!J25/'LE Efficiencies'!G25)/('LE Shares'!J$12/'LE Efficiencies'!G$12)</f>
        <v>1652.9004622995278</v>
      </c>
      <c r="J25" s="227">
        <f>'LE Efficiencies'!H$60*'LE StructuralVars'!$R25*('LE Shares'!M25/'LE Efficiencies'!H25)/('LE Shares'!M$12/'LE Efficiencies'!H$12)</f>
        <v>83.609408128860451</v>
      </c>
      <c r="K25" s="227">
        <f>'LE Efficiencies'!I$60*'LE StructuralVars'!$R25*('LE Shares'!N25/'LE Efficiencies'!I25)/('LE Shares'!N$12/'LE Efficiencies'!I$12)</f>
        <v>246.41317311101486</v>
      </c>
      <c r="L25" s="227">
        <f>'LE Efficiencies'!J$60*('LE Shares'!P25/'LE Efficiencies'!J25)/('LE Shares'!P$12/'LE Efficiencies'!J$12)</f>
        <v>2949.2416483528727</v>
      </c>
      <c r="M25" s="227">
        <f>'LE Efficiencies'!K$60*('LE Shares'!R25/(1/'LE Efficiencies'!K25))/('LE Shares'!R$12/(1/'LE Efficiencies'!K$12))</f>
        <v>596.51304235518785</v>
      </c>
      <c r="N25" s="227">
        <f>'LE Efficiencies'!L$60*('LE Shares'!T25/(1/'LE Efficiencies'!L25))/('LE Shares'!T$12/(1/'LE Efficiencies'!L$12))</f>
        <v>596.29191469341379</v>
      </c>
      <c r="O25" s="227">
        <f>'LE Efficiencies'!M$60*('LE Shares'!U25/(1/'LE Efficiencies'!M25))/('LE Shares'!U$12/(1/'LE Efficiencies'!M$12))</f>
        <v>106.87039387710081</v>
      </c>
      <c r="P25" s="227">
        <f>'LE Efficiencies'!N$60*('LE Shares'!W25/(1/'LE Efficiencies'!N25))/('LE Shares'!W$12/(1/'LE Efficiencies'!N$12))</f>
        <v>242.79676412921327</v>
      </c>
      <c r="Q25" s="227">
        <f>'LE Efficiencies'!O$60*('LE Shares'!Y25/(1/'LE Efficiencies'!O25))/('LE Shares'!Y$12/(1/'LE Efficiencies'!O$12))</f>
        <v>270.43543277105493</v>
      </c>
      <c r="R25" s="227">
        <f>'LE Efficiencies'!P$60*('LE Shares'!AA25/(1/'LE Efficiencies'!P25))/('LE Shares'!AA$12/(1/'LE Efficiencies'!P$12))</f>
        <v>85.349584172886523</v>
      </c>
      <c r="S25" s="227">
        <f>'LE Efficiencies'!Q$60*('LE Shares'!AC25/(1/'LE Efficiencies'!Q25))/('LE Shares'!AC$12/(1/'LE Efficiencies'!Q$12))</f>
        <v>681.34594003996108</v>
      </c>
      <c r="T25" s="227">
        <f>'LE Efficiencies'!R$60*('LE Shares'!AE25/(1/'LE Efficiencies'!R25))/('LE Shares'!AE$12/(1/'LE Efficiencies'!R$12))</f>
        <v>782.07887152051296</v>
      </c>
      <c r="U25" s="227">
        <f>'LE Efficiencies'!S$60*('LE Shares'!AG25/(1/'LE Efficiencies'!S25))/('LE Shares'!AG$12/(1/'LE Efficiencies'!S$12))</f>
        <v>262.1169594831</v>
      </c>
      <c r="V25" s="227">
        <f>'LE Efficiencies'!T$60*('LE Shares'!AH25/(1/'LE Efficiencies'!T25))/('LE Shares'!AH$12/(1/'LE Efficiencies'!T$12))</f>
        <v>1294.9258898385308</v>
      </c>
      <c r="W25" s="227">
        <f>'LE Efficiencies'!U$60*('LE Shares'!AI25/(1/'LE Efficiencies'!U25))/('LE Shares'!AI$12/(1/'LE Efficiencies'!U$12))</f>
        <v>5528.4739847108585</v>
      </c>
      <c r="X25" s="153">
        <f t="shared" si="2"/>
        <v>13396.440425944693</v>
      </c>
      <c r="Y25" s="225">
        <v>2018</v>
      </c>
      <c r="Z25" s="192">
        <f t="shared" si="7"/>
        <v>7.3035310635739911E-2</v>
      </c>
      <c r="AA25" s="192">
        <f t="shared" si="5"/>
        <v>4.7968934623694469E-2</v>
      </c>
      <c r="AB25" s="192">
        <f t="shared" si="5"/>
        <v>3.3382618612535571E-3</v>
      </c>
      <c r="AC25" s="192">
        <f t="shared" si="5"/>
        <v>4.1875270909919222E-3</v>
      </c>
      <c r="AD25" s="192">
        <f t="shared" si="5"/>
        <v>0.17169921138684535</v>
      </c>
      <c r="AE25" s="192">
        <f t="shared" si="5"/>
        <v>0.12076012793849383</v>
      </c>
      <c r="AF25" s="192">
        <f t="shared" si="5"/>
        <v>6.1084639110429865E-3</v>
      </c>
      <c r="AG25" s="192">
        <f t="shared" si="5"/>
        <v>1.8002830169953715E-2</v>
      </c>
      <c r="AH25" s="192">
        <f t="shared" si="5"/>
        <v>0.2154702033788215</v>
      </c>
      <c r="AI25" s="192">
        <f t="shared" si="5"/>
        <v>4.3580961440096058E-2</v>
      </c>
      <c r="AJ25" s="192">
        <f t="shared" si="5"/>
        <v>4.3564805957454704E-2</v>
      </c>
      <c r="AK25" s="192">
        <f t="shared" si="5"/>
        <v>7.8079005552950465E-3</v>
      </c>
      <c r="AL25" s="192">
        <f t="shared" si="5"/>
        <v>1.7738617035962141E-2</v>
      </c>
      <c r="AM25" s="192">
        <f t="shared" si="5"/>
        <v>1.9757885127033442E-2</v>
      </c>
      <c r="AN25" s="192">
        <f t="shared" si="5"/>
        <v>6.2356003518058726E-3</v>
      </c>
      <c r="AO25" s="192">
        <f t="shared" si="5"/>
        <v>4.977881292085265E-2</v>
      </c>
      <c r="AP25" s="192">
        <f t="shared" si="5"/>
        <v>5.7138313369105652E-2</v>
      </c>
      <c r="AQ25" s="192">
        <f t="shared" si="6"/>
        <v>1.9150141393264465E-2</v>
      </c>
      <c r="AR25" s="192">
        <f t="shared" si="6"/>
        <v>9.460667456660897E-2</v>
      </c>
      <c r="AS25" s="192">
        <f t="shared" si="6"/>
        <v>0.40390770099339257</v>
      </c>
    </row>
    <row r="26" spans="1:45" x14ac:dyDescent="0.2">
      <c r="A26" s="225">
        <v>2019</v>
      </c>
      <c r="B26" s="226">
        <f t="shared" si="8"/>
        <v>1767.3626462665891</v>
      </c>
      <c r="C26" s="226">
        <f t="shared" si="4"/>
        <v>4372.680728740982</v>
      </c>
      <c r="D26" s="227">
        <f>'LE Efficiencies'!B$60*'LE StructuralVars'!$Q26*('LE Shares'!B26/'LE Efficiencies'!B26)/('LE Shares'!B$12/'LE Efficiencies'!B$12)</f>
        <v>988.64375455580182</v>
      </c>
      <c r="E26" s="227">
        <f>'LE Efficiencies'!C$60*'LE StructuralVars'!$Q26*('LE Shares'!C26/'LE Efficiencies'!C26)/('LE Shares'!C$12/'LE Efficiencies'!C$12)</f>
        <v>675.41549454432254</v>
      </c>
      <c r="F26" s="227">
        <f>'LE Efficiencies'!D$60*'LE StructuralVars'!$Q26*('LE Shares'!E26/'LE Efficiencies'!D26)/('LE Shares'!E$12/'LE Efficiencies'!D$12)</f>
        <v>48.60082877302942</v>
      </c>
      <c r="G26" s="227">
        <f>'LE Efficiencies'!E$60*'LE StructuralVars'!$Q26*('LE Shares'!F26/(1/'LE Efficiencies'!E26))/('LE Shares'!F$12/(1/'LE Efficiencies'!E$12))</f>
        <v>54.702568393435264</v>
      </c>
      <c r="H26" s="227">
        <f>'LE Efficiencies'!F$60*'LE StructuralVars'!$R26*('LE Shares'!H26/'LE Efficiencies'!F26)/('LE Shares'!H$12/'LE Efficiencies'!F$12)</f>
        <v>2331.7582475097029</v>
      </c>
      <c r="I26" s="227">
        <f>'LE Efficiencies'!G$60*'LE StructuralVars'!$R26*('LE Shares'!J26/'LE Efficiencies'!G26)/('LE Shares'!J$12/'LE Efficiencies'!G$12)</f>
        <v>1708.588511285207</v>
      </c>
      <c r="J26" s="227">
        <f>'LE Efficiencies'!H$60*'LE StructuralVars'!$R26*('LE Shares'!M26/'LE Efficiencies'!H26)/('LE Shares'!M$12/'LE Efficiencies'!H$12)</f>
        <v>89.342404902139663</v>
      </c>
      <c r="K26" s="227">
        <f>'LE Efficiencies'!I$60*'LE StructuralVars'!$R26*('LE Shares'!N26/'LE Efficiencies'!I26)/('LE Shares'!N$12/'LE Efficiencies'!I$12)</f>
        <v>242.99156504393213</v>
      </c>
      <c r="L26" s="227">
        <f>'LE Efficiencies'!J$60*('LE Shares'!P26/'LE Efficiencies'!J26)/('LE Shares'!P$12/'LE Efficiencies'!J$12)</f>
        <v>2944.1273486841351</v>
      </c>
      <c r="M26" s="227">
        <f>'LE Efficiencies'!K$60*('LE Shares'!R26/(1/'LE Efficiencies'!K26))/('LE Shares'!R$12/(1/'LE Efficiencies'!K$12))</f>
        <v>597.64166196384974</v>
      </c>
      <c r="N26" s="227">
        <f>'LE Efficiencies'!L$60*('LE Shares'!T26/(1/'LE Efficiencies'!L26))/('LE Shares'!T$12/(1/'LE Efficiencies'!L$12))</f>
        <v>592.32591256628587</v>
      </c>
      <c r="O26" s="227">
        <f>'LE Efficiencies'!M$60*('LE Shares'!U26/(1/'LE Efficiencies'!M26))/('LE Shares'!U$12/(1/'LE Efficiencies'!M$12))</f>
        <v>105.84715007441547</v>
      </c>
      <c r="P26" s="227">
        <f>'LE Efficiencies'!N$60*('LE Shares'!W26/(1/'LE Efficiencies'!N26))/('LE Shares'!W$12/(1/'LE Efficiencies'!N$12))</f>
        <v>240.44072132375405</v>
      </c>
      <c r="Q26" s="227">
        <f>'LE Efficiencies'!O$60*('LE Shares'!Y26/(1/'LE Efficiencies'!O26))/('LE Shares'!Y$12/(1/'LE Efficiencies'!O$12))</f>
        <v>267.56885825608833</v>
      </c>
      <c r="R26" s="227">
        <f>'LE Efficiencies'!P$60*('LE Shares'!AA26/(1/'LE Efficiencies'!P26))/('LE Shares'!AA$12/(1/'LE Efficiencies'!P$12))</f>
        <v>81.630839017285837</v>
      </c>
      <c r="S26" s="227">
        <f>'LE Efficiencies'!Q$60*('LE Shares'!AC26/(1/'LE Efficiencies'!Q26))/('LE Shares'!AC$12/(1/'LE Efficiencies'!Q$12))</f>
        <v>668.40383699523352</v>
      </c>
      <c r="T26" s="227">
        <f>'LE Efficiencies'!R$60*('LE Shares'!AE26/(1/'LE Efficiencies'!R26))/('LE Shares'!AE$12/(1/'LE Efficiencies'!R$12))</f>
        <v>782.14046303609018</v>
      </c>
      <c r="U26" s="227">
        <f>'LE Efficiencies'!S$60*('LE Shares'!AG26/(1/'LE Efficiencies'!S26))/('LE Shares'!AG$12/(1/'LE Efficiencies'!S$12))</f>
        <v>257.51565936807594</v>
      </c>
      <c r="V26" s="227">
        <f>'LE Efficiencies'!T$60*('LE Shares'!AH26/(1/'LE Efficiencies'!T26))/('LE Shares'!AH$12/(1/'LE Efficiencies'!T$12))</f>
        <v>1275.4504621636438</v>
      </c>
      <c r="W26" s="227">
        <f>'LE Efficiencies'!U$60*('LE Shares'!AI26/(1/'LE Efficiencies'!U26))/('LE Shares'!AI$12/(1/'LE Efficiencies'!U$12))</f>
        <v>5639.4926147087635</v>
      </c>
      <c r="X26" s="153">
        <f t="shared" si="2"/>
        <v>13452.585528157622</v>
      </c>
      <c r="Y26" s="225">
        <v>2019</v>
      </c>
      <c r="Z26" s="192">
        <f t="shared" si="7"/>
        <v>7.2229846266518058E-2</v>
      </c>
      <c r="AA26" s="192">
        <f t="shared" si="5"/>
        <v>4.9345537370920713E-2</v>
      </c>
      <c r="AB26" s="192">
        <f t="shared" si="5"/>
        <v>3.550753620325575E-3</v>
      </c>
      <c r="AC26" s="192">
        <f t="shared" si="5"/>
        <v>3.9965438381965772E-3</v>
      </c>
      <c r="AD26" s="192">
        <f t="shared" si="5"/>
        <v>0.17035715744139177</v>
      </c>
      <c r="AE26" s="192">
        <f t="shared" si="5"/>
        <v>0.1248286705238108</v>
      </c>
      <c r="AF26" s="192">
        <f t="shared" si="5"/>
        <v>6.5273139504754959E-3</v>
      </c>
      <c r="AG26" s="192">
        <f t="shared" si="5"/>
        <v>1.7752849098884586E-2</v>
      </c>
      <c r="AH26" s="192">
        <f t="shared" si="5"/>
        <v>0.215096555057946</v>
      </c>
      <c r="AI26" s="192">
        <f t="shared" si="5"/>
        <v>4.3663417856223075E-2</v>
      </c>
      <c r="AJ26" s="192">
        <f t="shared" si="5"/>
        <v>4.3275051713203352E-2</v>
      </c>
      <c r="AK26" s="192">
        <f t="shared" si="5"/>
        <v>7.7331428458364583E-3</v>
      </c>
      <c r="AL26" s="192">
        <f t="shared" si="5"/>
        <v>1.7566485660174394E-2</v>
      </c>
      <c r="AM26" s="192">
        <f t="shared" si="5"/>
        <v>1.9548454545417534E-2</v>
      </c>
      <c r="AN26" s="192">
        <f t="shared" si="5"/>
        <v>5.9639105852386616E-3</v>
      </c>
      <c r="AO26" s="192">
        <f t="shared" si="5"/>
        <v>4.8833268978478665E-2</v>
      </c>
      <c r="AP26" s="192">
        <f t="shared" si="5"/>
        <v>5.7142813216174898E-2</v>
      </c>
      <c r="AQ26" s="192">
        <f t="shared" si="6"/>
        <v>1.8813972577750505E-2</v>
      </c>
      <c r="AR26" s="192">
        <f t="shared" si="6"/>
        <v>9.3183809009172849E-2</v>
      </c>
      <c r="AS26" s="192">
        <f t="shared" si="6"/>
        <v>0.41201866972253914</v>
      </c>
    </row>
    <row r="27" spans="1:45" x14ac:dyDescent="0.2">
      <c r="A27" s="225">
        <v>2020</v>
      </c>
      <c r="B27" s="226">
        <f t="shared" si="8"/>
        <v>1774.5484001150546</v>
      </c>
      <c r="C27" s="226">
        <f t="shared" si="4"/>
        <v>4410.1128978762363</v>
      </c>
      <c r="D27" s="227">
        <f>'LE Efficiencies'!B$60*'LE StructuralVars'!$Q27*('LE Shares'!B27/'LE Efficiencies'!B27)/('LE Shares'!B$12/'LE Efficiencies'!B$12)</f>
        <v>978.13541422859669</v>
      </c>
      <c r="E27" s="227">
        <f>'LE Efficiencies'!C$60*'LE StructuralVars'!$Q27*('LE Shares'!C27/'LE Efficiencies'!C27)/('LE Shares'!C$12/'LE Efficiencies'!C$12)</f>
        <v>693.09254461338526</v>
      </c>
      <c r="F27" s="227">
        <f>'LE Efficiencies'!D$60*'LE StructuralVars'!$Q27*('LE Shares'!E27/'LE Efficiencies'!D27)/('LE Shares'!E$12/'LE Efficiencies'!D$12)</f>
        <v>51.095594607036219</v>
      </c>
      <c r="G27" s="227">
        <f>'LE Efficiencies'!E$60*'LE StructuralVars'!$Q27*('LE Shares'!F27/(1/'LE Efficiencies'!E27))/('LE Shares'!F$12/(1/'LE Efficiencies'!E$12))</f>
        <v>52.224846666036477</v>
      </c>
      <c r="H27" s="227">
        <f>'LE Efficiencies'!F$60*'LE StructuralVars'!$R27*('LE Shares'!H27/'LE Efficiencies'!F27)/('LE Shares'!H$12/'LE Efficiencies'!F$12)</f>
        <v>2314.4002725974287</v>
      </c>
      <c r="I27" s="227">
        <f>'LE Efficiencies'!G$60*'LE StructuralVars'!$R27*('LE Shares'!J27/'LE Efficiencies'!G27)/('LE Shares'!J$12/'LE Efficiencies'!G$12)</f>
        <v>1762.0732831947023</v>
      </c>
      <c r="J27" s="227">
        <f>'LE Efficiencies'!H$60*'LE StructuralVars'!$R27*('LE Shares'!M27/'LE Efficiencies'!H27)/('LE Shares'!M$12/'LE Efficiencies'!H$12)</f>
        <v>94.286043685720514</v>
      </c>
      <c r="K27" s="227">
        <f>'LE Efficiencies'!I$60*'LE StructuralVars'!$R27*('LE Shares'!N27/'LE Efficiencies'!I27)/('LE Shares'!N$12/'LE Efficiencies'!I$12)</f>
        <v>239.35329839838448</v>
      </c>
      <c r="L27" s="227">
        <f>'LE Efficiencies'!J$60*('LE Shares'!P27/'LE Efficiencies'!J27)/('LE Shares'!P$12/'LE Efficiencies'!J$12)</f>
        <v>2939.1874430697117</v>
      </c>
      <c r="M27" s="227">
        <f>'LE Efficiencies'!K$60*('LE Shares'!R27/(1/'LE Efficiencies'!K27))/('LE Shares'!R$12/(1/'LE Efficiencies'!K$12))</f>
        <v>598.6889737829614</v>
      </c>
      <c r="N27" s="227">
        <f>'LE Efficiencies'!L$60*('LE Shares'!T27/(1/'LE Efficiencies'!L27))/('LE Shares'!T$12/(1/'LE Efficiencies'!L$12))</f>
        <v>588.55422219293143</v>
      </c>
      <c r="O27" s="227">
        <f>'LE Efficiencies'!M$60*('LE Shares'!U27/(1/'LE Efficiencies'!M27))/('LE Shares'!U$12/(1/'LE Efficiencies'!M$12))</f>
        <v>104.88512126978124</v>
      </c>
      <c r="P27" s="227">
        <f>'LE Efficiencies'!N$60*('LE Shares'!W27/(1/'LE Efficiencies'!N27))/('LE Shares'!W$12/(1/'LE Efficiencies'!N$12))</f>
        <v>238.23409081006645</v>
      </c>
      <c r="Q27" s="227">
        <f>'LE Efficiencies'!O$60*('LE Shares'!Y27/(1/'LE Efficiencies'!O27))/('LE Shares'!Y$12/(1/'LE Efficiencies'!O$12))</f>
        <v>264.42174587699026</v>
      </c>
      <c r="R27" s="227">
        <f>'LE Efficiencies'!P$60*('LE Shares'!AA27/(1/'LE Efficiencies'!P27))/('LE Shares'!AA$12/(1/'LE Efficiencies'!P$12))</f>
        <v>78.307805334866615</v>
      </c>
      <c r="S27" s="227">
        <f>'LE Efficiencies'!Q$60*('LE Shares'!AC27/(1/'LE Efficiencies'!Q27))/('LE Shares'!AC$12/(1/'LE Efficiencies'!Q$12))</f>
        <v>656.05075625749873</v>
      </c>
      <c r="T27" s="227">
        <f>'LE Efficiencies'!R$60*('LE Shares'!AE27/(1/'LE Efficiencies'!R27))/('LE Shares'!AE$12/(1/'LE Efficiencies'!R$12))</f>
        <v>782.9019882327965</v>
      </c>
      <c r="U27" s="227">
        <f>'LE Efficiencies'!S$60*('LE Shares'!AG27/(1/'LE Efficiencies'!S27))/('LE Shares'!AG$12/(1/'LE Efficiencies'!S$12))</f>
        <v>255.43067484557434</v>
      </c>
      <c r="V27" s="227">
        <f>'LE Efficiencies'!T$60*('LE Shares'!AH27/(1/'LE Efficiencies'!T27))/('LE Shares'!AH$12/(1/'LE Efficiencies'!T$12))</f>
        <v>1219.437973335891</v>
      </c>
      <c r="W27" s="227">
        <f>'LE Efficiencies'!U$60*('LE Shares'!AI27/(1/'LE Efficiencies'!U27))/('LE Shares'!AI$12/(1/'LE Efficiencies'!U$12))</f>
        <v>5743.9294731013133</v>
      </c>
      <c r="X27" s="153">
        <f t="shared" si="2"/>
        <v>13470.030268110382</v>
      </c>
      <c r="Y27" s="225">
        <v>2020</v>
      </c>
      <c r="Z27" s="192">
        <f t="shared" si="7"/>
        <v>7.1462111880038967E-2</v>
      </c>
      <c r="AA27" s="192">
        <f t="shared" si="5"/>
        <v>5.0637014308948416E-2</v>
      </c>
      <c r="AB27" s="192">
        <f t="shared" si="5"/>
        <v>3.7330200351295964E-3</v>
      </c>
      <c r="AC27" s="192">
        <f t="shared" si="5"/>
        <v>3.8155226577799412E-3</v>
      </c>
      <c r="AD27" s="192">
        <f t="shared" si="5"/>
        <v>0.16908899198377964</v>
      </c>
      <c r="AE27" s="192">
        <f t="shared" si="5"/>
        <v>0.12873624272544612</v>
      </c>
      <c r="AF27" s="192">
        <f t="shared" si="5"/>
        <v>6.8884938675991079E-3</v>
      </c>
      <c r="AG27" s="192">
        <f t="shared" si="5"/>
        <v>1.7487039054292153E-2</v>
      </c>
      <c r="AH27" s="192">
        <f t="shared" si="5"/>
        <v>0.21473564788439972</v>
      </c>
      <c r="AI27" s="192">
        <f t="shared" si="5"/>
        <v>4.3739933963606495E-2</v>
      </c>
      <c r="AJ27" s="192">
        <f t="shared" si="5"/>
        <v>4.2999493794006562E-2</v>
      </c>
      <c r="AK27" s="192">
        <f t="shared" si="5"/>
        <v>7.6628574752542989E-3</v>
      </c>
      <c r="AL27" s="192">
        <f t="shared" si="5"/>
        <v>1.7405270275930879E-2</v>
      </c>
      <c r="AM27" s="192">
        <f t="shared" si="5"/>
        <v>1.9318527999805719E-2</v>
      </c>
      <c r="AN27" s="192">
        <f t="shared" si="5"/>
        <v>5.7211313122057343E-3</v>
      </c>
      <c r="AO27" s="192">
        <f t="shared" si="5"/>
        <v>4.7930758727953326E-2</v>
      </c>
      <c r="AP27" s="192">
        <f t="shared" si="5"/>
        <v>5.7198449887759288E-2</v>
      </c>
      <c r="AQ27" s="192">
        <f t="shared" si="6"/>
        <v>1.8661644592230561E-2</v>
      </c>
      <c r="AR27" s="192">
        <f t="shared" si="6"/>
        <v>8.9091563002064444E-2</v>
      </c>
      <c r="AS27" s="192">
        <f t="shared" si="6"/>
        <v>0.41964877732347294</v>
      </c>
    </row>
    <row r="28" spans="1:45" x14ac:dyDescent="0.2">
      <c r="A28" s="198">
        <v>2021</v>
      </c>
      <c r="B28" s="226">
        <f t="shared" si="8"/>
        <v>1780.739715341447</v>
      </c>
      <c r="C28" s="226">
        <f t="shared" si="4"/>
        <v>4449.2085448123698</v>
      </c>
      <c r="D28" s="227">
        <f>'LE Efficiencies'!B$60*'LE StructuralVars'!$Q28*('LE Shares'!B28/'LE Efficiencies'!B28)/('LE Shares'!B$12/'LE Efficiencies'!B$12)</f>
        <v>968.06977241562549</v>
      </c>
      <c r="E28" s="227">
        <f>'LE Efficiencies'!C$60*'LE StructuralVars'!$Q28*('LE Shares'!C28/'LE Efficiencies'!C28)/('LE Shares'!C$12/'LE Efficiencies'!C$12)</f>
        <v>709.59948337791604</v>
      </c>
      <c r="F28" s="227">
        <f>'LE Efficiencies'!D$60*'LE StructuralVars'!$Q28*('LE Shares'!E28/'LE Efficiencies'!D28)/('LE Shares'!E$12/'LE Efficiencies'!D$12)</f>
        <v>53.20171648037212</v>
      </c>
      <c r="G28" s="227">
        <f>'LE Efficiencies'!E$60*'LE StructuralVars'!$Q28*('LE Shares'!F28/(1/'LE Efficiencies'!E28))/('LE Shares'!F$12/(1/'LE Efficiencies'!E$12))</f>
        <v>49.868743067533188</v>
      </c>
      <c r="H28" s="227">
        <f>'LE Efficiencies'!F$60*'LE StructuralVars'!$R28*('LE Shares'!H28/'LE Efficiencies'!F28)/('LE Shares'!H$12/'LE Efficiencies'!F$12)</f>
        <v>2301.7777849986896</v>
      </c>
      <c r="I28" s="227">
        <f>'LE Efficiencies'!G$60*'LE StructuralVars'!$R28*('LE Shares'!J28/'LE Efficiencies'!G28)/('LE Shares'!J$12/'LE Efficiencies'!G$12)</f>
        <v>1812.4888935682511</v>
      </c>
      <c r="J28" s="227">
        <f>'LE Efficiencies'!H$60*'LE StructuralVars'!$R28*('LE Shares'!M28/'LE Efficiencies'!H28)/('LE Shares'!M$12/'LE Efficiencies'!H$12)</f>
        <v>98.553154334462235</v>
      </c>
      <c r="K28" s="227">
        <f>'LE Efficiencies'!I$60*'LE StructuralVars'!$R28*('LE Shares'!N28/'LE Efficiencies'!I28)/('LE Shares'!N$12/'LE Efficiencies'!I$12)</f>
        <v>236.38871191096652</v>
      </c>
      <c r="L28" s="227">
        <f>'LE Efficiencies'!J$60*('LE Shares'!P28/'LE Efficiencies'!J28)/('LE Shares'!P$12/'LE Efficiencies'!J$12)</f>
        <v>2934.2289421210576</v>
      </c>
      <c r="M28" s="227">
        <f>'LE Efficiencies'!K$60*('LE Shares'!R28/(1/'LE Efficiencies'!K28))/('LE Shares'!R$12/(1/'LE Efficiencies'!K$12))</f>
        <v>600.00295170194863</v>
      </c>
      <c r="N28" s="227">
        <f>'LE Efficiencies'!L$60*('LE Shares'!T28/(1/'LE Efficiencies'!L28))/('LE Shares'!T$12/(1/'LE Efficiencies'!L$12))</f>
        <v>585.05635404387829</v>
      </c>
      <c r="O28" s="227">
        <f>'LE Efficiencies'!M$60*('LE Shares'!U28/(1/'LE Efficiencies'!M28))/('LE Shares'!U$12/(1/'LE Efficiencies'!M$12))</f>
        <v>104.00074494133425</v>
      </c>
      <c r="P28" s="227">
        <f>'LE Efficiencies'!N$60*('LE Shares'!W28/(1/'LE Efficiencies'!N28))/('LE Shares'!W$12/(1/'LE Efficiencies'!N$12))</f>
        <v>236.09584961774391</v>
      </c>
      <c r="Q28" s="227">
        <f>'LE Efficiencies'!O$60*('LE Shares'!Y28/(1/'LE Efficiencies'!O28))/('LE Shares'!Y$12/(1/'LE Efficiencies'!O$12))</f>
        <v>260.93079474814044</v>
      </c>
      <c r="R28" s="227">
        <f>'LE Efficiencies'!P$60*('LE Shares'!AA28/(1/'LE Efficiencies'!P28))/('LE Shares'!AA$12/(1/'LE Efficiencies'!P$12))</f>
        <v>75.446932024384367</v>
      </c>
      <c r="S28" s="227">
        <f>'LE Efficiencies'!Q$60*('LE Shares'!AC28/(1/'LE Efficiencies'!Q28))/('LE Shares'!AC$12/(1/'LE Efficiencies'!Q$12))</f>
        <v>644.79819613092059</v>
      </c>
      <c r="T28" s="227">
        <f>'LE Efficiencies'!R$60*('LE Shares'!AE28/(1/'LE Efficiencies'!R28))/('LE Shares'!AE$12/(1/'LE Efficiencies'!R$12))</f>
        <v>785.02969862992461</v>
      </c>
      <c r="U28" s="227">
        <f>'LE Efficiencies'!S$60*('LE Shares'!AG28/(1/'LE Efficiencies'!S28))/('LE Shares'!AG$12/(1/'LE Efficiencies'!S$12))</f>
        <v>251.04357167057768</v>
      </c>
      <c r="V28" s="227">
        <f>'LE Efficiencies'!T$60*('LE Shares'!AH28/(1/'LE Efficiencies'!T28))/('LE Shares'!AH$12/(1/'LE Efficiencies'!T$12))</f>
        <v>1190.9081045694013</v>
      </c>
      <c r="W28" s="227">
        <f>'LE Efficiencies'!U$60*('LE Shares'!AI28/(1/'LE Efficiencies'!U28))/('LE Shares'!AI$12/(1/'LE Efficiencies'!U$12))</f>
        <v>5843.2362727413247</v>
      </c>
      <c r="X28" s="153">
        <f t="shared" si="2"/>
        <v>13510.778412940635</v>
      </c>
      <c r="Y28" s="198">
        <v>2021</v>
      </c>
      <c r="Z28" s="192">
        <f t="shared" si="7"/>
        <v>7.0726720838145019E-2</v>
      </c>
      <c r="AA28" s="192">
        <f t="shared" si="5"/>
        <v>5.1843003467124595E-2</v>
      </c>
      <c r="AB28" s="192">
        <f t="shared" si="5"/>
        <v>3.8868923055289102E-3</v>
      </c>
      <c r="AC28" s="192">
        <f t="shared" si="5"/>
        <v>3.6433868404810751E-3</v>
      </c>
      <c r="AD28" s="192">
        <f t="shared" si="5"/>
        <v>0.16816679899509526</v>
      </c>
      <c r="AE28" s="192">
        <f t="shared" si="5"/>
        <v>0.13241958343329316</v>
      </c>
      <c r="AF28" s="192">
        <f t="shared" si="5"/>
        <v>7.2002469583768037E-3</v>
      </c>
      <c r="AG28" s="192">
        <f t="shared" si="5"/>
        <v>1.7270447764210922E-2</v>
      </c>
      <c r="AH28" s="192">
        <f t="shared" si="5"/>
        <v>0.21437338214450782</v>
      </c>
      <c r="AI28" s="192">
        <f t="shared" si="5"/>
        <v>4.3835932570433979E-2</v>
      </c>
      <c r="AJ28" s="192">
        <f t="shared" si="5"/>
        <v>4.274394119732812E-2</v>
      </c>
      <c r="AK28" s="192">
        <f t="shared" si="5"/>
        <v>7.5982453579460027E-3</v>
      </c>
      <c r="AL28" s="192">
        <f t="shared" si="5"/>
        <v>1.7249051383240271E-2</v>
      </c>
      <c r="AM28" s="192">
        <f t="shared" si="5"/>
        <v>1.9063480757359891E-2</v>
      </c>
      <c r="AN28" s="192">
        <f t="shared" si="5"/>
        <v>5.51211725789963E-3</v>
      </c>
      <c r="AO28" s="192">
        <f t="shared" si="5"/>
        <v>4.7108651994054354E-2</v>
      </c>
      <c r="AP28" s="192">
        <f t="shared" si="5"/>
        <v>5.7353899405521408E-2</v>
      </c>
      <c r="AQ28" s="192">
        <f t="shared" si="6"/>
        <v>1.8341124904097054E-2</v>
      </c>
      <c r="AR28" s="192">
        <f t="shared" si="6"/>
        <v>8.7007184250353864E-2</v>
      </c>
      <c r="AS28" s="192">
        <f t="shared" si="6"/>
        <v>0.42690408525230394</v>
      </c>
    </row>
    <row r="29" spans="1:45" x14ac:dyDescent="0.2">
      <c r="A29" s="198">
        <v>2022</v>
      </c>
      <c r="B29" s="226">
        <f t="shared" si="8"/>
        <v>1785.6986149835311</v>
      </c>
      <c r="C29" s="226">
        <f t="shared" si="4"/>
        <v>4488.3726002615922</v>
      </c>
      <c r="D29" s="227">
        <f>'LE Efficiencies'!B$60*'LE StructuralVars'!$Q29*('LE Shares'!B29/'LE Efficiencies'!B29)/('LE Shares'!B$12/'LE Efficiencies'!B$12)</f>
        <v>957.87428409291749</v>
      </c>
      <c r="E29" s="227">
        <f>'LE Efficiencies'!C$60*'LE StructuralVars'!$Q29*('LE Shares'!C29/'LE Efficiencies'!C29)/('LE Shares'!C$12/'LE Efficiencies'!C$12)</f>
        <v>725.21282541500943</v>
      </c>
      <c r="F29" s="227">
        <f>'LE Efficiencies'!D$60*'LE StructuralVars'!$Q29*('LE Shares'!E29/'LE Efficiencies'!D29)/('LE Shares'!E$12/'LE Efficiencies'!D$12)</f>
        <v>55.021301308035156</v>
      </c>
      <c r="G29" s="227">
        <f>'LE Efficiencies'!E$60*'LE StructuralVars'!$Q29*('LE Shares'!F29/(1/'LE Efficiencies'!E29))/('LE Shares'!F$12/(1/'LE Efficiencies'!E$12))</f>
        <v>47.590204167568999</v>
      </c>
      <c r="H29" s="227">
        <f>'LE Efficiencies'!F$60*'LE StructuralVars'!$R29*('LE Shares'!H29/'LE Efficiencies'!F29)/('LE Shares'!H$12/'LE Efficiencies'!F$12)</f>
        <v>2291.5121380007781</v>
      </c>
      <c r="I29" s="227">
        <f>'LE Efficiencies'!G$60*'LE StructuralVars'!$R29*('LE Shares'!J29/'LE Efficiencies'!G29)/('LE Shares'!J$12/'LE Efficiencies'!G$12)</f>
        <v>1860.9203443689014</v>
      </c>
      <c r="J29" s="227">
        <f>'LE Efficiencies'!H$60*'LE StructuralVars'!$R29*('LE Shares'!M29/'LE Efficiencies'!H29)/('LE Shares'!M$12/'LE Efficiencies'!H$12)</f>
        <v>102.32298864659303</v>
      </c>
      <c r="K29" s="227">
        <f>'LE Efficiencies'!I$60*'LE StructuralVars'!$R29*('LE Shares'!N29/'LE Efficiencies'!I29)/('LE Shares'!N$12/'LE Efficiencies'!I$12)</f>
        <v>233.61712924531875</v>
      </c>
      <c r="L29" s="227">
        <f>'LE Efficiencies'!J$60*('LE Shares'!P29/'LE Efficiencies'!J29)/('LE Shares'!P$12/'LE Efficiencies'!J$12)</f>
        <v>2929.3673556982212</v>
      </c>
      <c r="M29" s="227">
        <f>'LE Efficiencies'!K$60*('LE Shares'!R29/(1/'LE Efficiencies'!K29))/('LE Shares'!R$12/(1/'LE Efficiencies'!K$12))</f>
        <v>601.24121609954636</v>
      </c>
      <c r="N29" s="227">
        <f>'LE Efficiencies'!L$60*('LE Shares'!T29/(1/'LE Efficiencies'!L29))/('LE Shares'!T$12/(1/'LE Efficiencies'!L$12))</f>
        <v>581.93805999698759</v>
      </c>
      <c r="O29" s="227">
        <f>'LE Efficiencies'!M$60*('LE Shares'!U29/(1/'LE Efficiencies'!M29))/('LE Shares'!U$12/(1/'LE Efficiencies'!M$12))</f>
        <v>103.21435299283351</v>
      </c>
      <c r="P29" s="227">
        <f>'LE Efficiencies'!N$60*('LE Shares'!W29/(1/'LE Efficiencies'!N29))/('LE Shares'!W$12/(1/'LE Efficiencies'!N$12))</f>
        <v>234.00591228378121</v>
      </c>
      <c r="Q29" s="227">
        <f>'LE Efficiencies'!O$60*('LE Shares'!Y29/(1/'LE Efficiencies'!O29))/('LE Shares'!Y$12/(1/'LE Efficiencies'!O$12))</f>
        <v>257.84088756970039</v>
      </c>
      <c r="R29" s="227">
        <f>'LE Efficiencies'!P$60*('LE Shares'!AA29/(1/'LE Efficiencies'!P29))/('LE Shares'!AA$12/(1/'LE Efficiencies'!P$12))</f>
        <v>73.09044366384812</v>
      </c>
      <c r="S29" s="227">
        <f>'LE Efficiencies'!Q$60*('LE Shares'!AC29/(1/'LE Efficiencies'!Q29))/('LE Shares'!AC$12/(1/'LE Efficiencies'!Q$12))</f>
        <v>634.21763847880459</v>
      </c>
      <c r="T29" s="227">
        <f>'LE Efficiencies'!R$60*('LE Shares'!AE29/(1/'LE Efficiencies'!R29))/('LE Shares'!AE$12/(1/'LE Efficiencies'!R$12))</f>
        <v>787.87866863641875</v>
      </c>
      <c r="U29" s="227">
        <f>'LE Efficiencies'!S$60*('LE Shares'!AG29/(1/'LE Efficiencies'!S29))/('LE Shares'!AG$12/(1/'LE Efficiencies'!S$12))</f>
        <v>247.95168769004783</v>
      </c>
      <c r="V29" s="227">
        <f>'LE Efficiencies'!T$60*('LE Shares'!AH29/(1/'LE Efficiencies'!T29))/('LE Shares'!AH$12/(1/'LE Efficiencies'!T$12))</f>
        <v>1168.9136198859158</v>
      </c>
      <c r="W29" s="227">
        <f>'LE Efficiencies'!U$60*('LE Shares'!AI29/(1/'LE Efficiencies'!U29))/('LE Shares'!AI$12/(1/'LE Efficiencies'!U$12))</f>
        <v>5953.5609952959539</v>
      </c>
      <c r="X29" s="153">
        <f t="shared" si="2"/>
        <v>13573.22083829206</v>
      </c>
      <c r="Y29" s="198">
        <v>2022</v>
      </c>
      <c r="Z29" s="192">
        <f t="shared" si="7"/>
        <v>6.9981843271511163E-2</v>
      </c>
      <c r="AA29" s="192">
        <f t="shared" si="5"/>
        <v>5.2983706869992417E-2</v>
      </c>
      <c r="AB29" s="192">
        <f t="shared" si="5"/>
        <v>4.019830314559312E-3</v>
      </c>
      <c r="AC29" s="192">
        <f t="shared" si="5"/>
        <v>3.4769178634625132E-3</v>
      </c>
      <c r="AD29" s="192">
        <f t="shared" si="5"/>
        <v>0.16741679566875184</v>
      </c>
      <c r="AE29" s="192">
        <f t="shared" si="5"/>
        <v>0.13595796237886909</v>
      </c>
      <c r="AF29" s="192">
        <f t="shared" si="5"/>
        <v>7.475669274616281E-3</v>
      </c>
      <c r="AG29" s="192">
        <f t="shared" si="5"/>
        <v>1.706795724228917E-2</v>
      </c>
      <c r="AH29" s="192">
        <f t="shared" si="5"/>
        <v>0.21401819693414798</v>
      </c>
      <c r="AI29" s="192">
        <f t="shared" si="5"/>
        <v>4.3926399583110322E-2</v>
      </c>
      <c r="AJ29" s="192">
        <f t="shared" si="5"/>
        <v>4.2516120105470914E-2</v>
      </c>
      <c r="AK29" s="192">
        <f t="shared" si="5"/>
        <v>7.5407919332076282E-3</v>
      </c>
      <c r="AL29" s="192">
        <f t="shared" si="5"/>
        <v>1.7096361547651713E-2</v>
      </c>
      <c r="AM29" s="192">
        <f t="shared" si="5"/>
        <v>1.8837733596718784E-2</v>
      </c>
      <c r="AN29" s="192">
        <f t="shared" si="5"/>
        <v>5.3399533300681661E-3</v>
      </c>
      <c r="AO29" s="192">
        <f t="shared" si="5"/>
        <v>4.6335641443889353E-2</v>
      </c>
      <c r="AP29" s="192">
        <f t="shared" si="5"/>
        <v>5.7562043810054114E-2</v>
      </c>
      <c r="AQ29" s="192">
        <f t="shared" si="6"/>
        <v>1.8115233319227923E-2</v>
      </c>
      <c r="AR29" s="192">
        <f t="shared" si="6"/>
        <v>8.540027757635861E-2</v>
      </c>
      <c r="AS29" s="192">
        <f t="shared" si="6"/>
        <v>0.43496435743102974</v>
      </c>
    </row>
    <row r="30" spans="1:45" x14ac:dyDescent="0.2">
      <c r="A30" s="198">
        <v>2023</v>
      </c>
      <c r="B30" s="226">
        <f t="shared" si="8"/>
        <v>1790.0816116947933</v>
      </c>
      <c r="C30" s="226">
        <f t="shared" si="4"/>
        <v>4530.1273618043524</v>
      </c>
      <c r="D30" s="227">
        <f>'LE Efficiencies'!B$60*'LE StructuralVars'!$Q30*('LE Shares'!B30/'LE Efficiencies'!B30)/('LE Shares'!B$12/'LE Efficiencies'!B$12)</f>
        <v>947.19854993180661</v>
      </c>
      <c r="E30" s="227">
        <f>'LE Efficiencies'!C$60*'LE StructuralVars'!$Q30*('LE Shares'!C30/'LE Efficiencies'!C30)/('LE Shares'!C$12/'LE Efficiencies'!C$12)</f>
        <v>740.81294940381713</v>
      </c>
      <c r="F30" s="227">
        <f>'LE Efficiencies'!D$60*'LE StructuralVars'!$Q30*('LE Shares'!E30/'LE Efficiencies'!D30)/('LE Shares'!E$12/'LE Efficiencies'!D$12)</f>
        <v>56.682965063363511</v>
      </c>
      <c r="G30" s="227">
        <f>'LE Efficiencies'!E$60*'LE StructuralVars'!$Q30*('LE Shares'!F30/(1/'LE Efficiencies'!E30))/('LE Shares'!F$12/(1/'LE Efficiencies'!E$12))</f>
        <v>45.387147295806002</v>
      </c>
      <c r="H30" s="227">
        <f>'LE Efficiencies'!F$60*'LE StructuralVars'!$R30*('LE Shares'!H30/'LE Efficiencies'!F30)/('LE Shares'!H$12/'LE Efficiencies'!F$12)</f>
        <v>2283.6225449065005</v>
      </c>
      <c r="I30" s="227">
        <f>'LE Efficiencies'!G$60*'LE StructuralVars'!$R30*('LE Shares'!J30/'LE Efficiencies'!G30)/('LE Shares'!J$12/'LE Efficiencies'!G$12)</f>
        <v>1909.7717067213835</v>
      </c>
      <c r="J30" s="227">
        <f>'LE Efficiencies'!H$60*'LE StructuralVars'!$R30*('LE Shares'!M30/'LE Efficiencies'!H30)/('LE Shares'!M$12/'LE Efficiencies'!H$12)</f>
        <v>105.81166279864445</v>
      </c>
      <c r="K30" s="227">
        <f>'LE Efficiencies'!I$60*'LE StructuralVars'!$R30*('LE Shares'!N30/'LE Efficiencies'!I30)/('LE Shares'!N$12/'LE Efficiencies'!I$12)</f>
        <v>230.92144737782357</v>
      </c>
      <c r="L30" s="227">
        <f>'LE Efficiencies'!J$60*('LE Shares'!P30/'LE Efficiencies'!J30)/('LE Shares'!P$12/'LE Efficiencies'!J$12)</f>
        <v>2924.5404564250384</v>
      </c>
      <c r="M30" s="227">
        <f>'LE Efficiencies'!K$60*('LE Shares'!R30/(1/'LE Efficiencies'!K30))/('LE Shares'!R$12/(1/'LE Efficiencies'!K$12))</f>
        <v>602.47058997288696</v>
      </c>
      <c r="N30" s="227">
        <f>'LE Efficiencies'!L$60*('LE Shares'!T30/(1/'LE Efficiencies'!L30))/('LE Shares'!T$12/(1/'LE Efficiencies'!L$12))</f>
        <v>579.23243156263243</v>
      </c>
      <c r="O30" s="227">
        <f>'LE Efficiencies'!M$60*('LE Shares'!U30/(1/'LE Efficiencies'!M30))/('LE Shares'!U$12/(1/'LE Efficiencies'!M$12))</f>
        <v>102.54663976455659</v>
      </c>
      <c r="P30" s="227">
        <f>'LE Efficiencies'!N$60*('LE Shares'!W30/(1/'LE Efficiencies'!N30))/('LE Shares'!W$12/(1/'LE Efficiencies'!N$12))</f>
        <v>232.02076675673453</v>
      </c>
      <c r="Q30" s="227">
        <f>'LE Efficiencies'!O$60*('LE Shares'!Y30/(1/'LE Efficiencies'!O30))/('LE Shares'!Y$12/(1/'LE Efficiencies'!O$12))</f>
        <v>254.99528292694251</v>
      </c>
      <c r="R30" s="227">
        <f>'LE Efficiencies'!P$60*('LE Shares'!AA30/(1/'LE Efficiencies'!P30))/('LE Shares'!AA$12/(1/'LE Efficiencies'!P$12))</f>
        <v>71.106963714814754</v>
      </c>
      <c r="S30" s="227">
        <f>'LE Efficiencies'!Q$60*('LE Shares'!AC30/(1/'LE Efficiencies'!Q30))/('LE Shares'!AC$12/(1/'LE Efficiencies'!Q$12))</f>
        <v>624.38748467457754</v>
      </c>
      <c r="T30" s="227">
        <f>'LE Efficiencies'!R$60*('LE Shares'!AE30/(1/'LE Efficiencies'!R30))/('LE Shares'!AE$12/(1/'LE Efficiencies'!R$12))</f>
        <v>791.50229891177992</v>
      </c>
      <c r="U30" s="227">
        <f>'LE Efficiencies'!S$60*('LE Shares'!AG30/(1/'LE Efficiencies'!S30))/('LE Shares'!AG$12/(1/'LE Efficiencies'!S$12))</f>
        <v>243.70358327595437</v>
      </c>
      <c r="V30" s="227">
        <f>'LE Efficiencies'!T$60*('LE Shares'!AH30/(1/'LE Efficiencies'!T30))/('LE Shares'!AH$12/(1/'LE Efficiencies'!T$12))</f>
        <v>1151.5081740756818</v>
      </c>
      <c r="W30" s="227">
        <f>'LE Efficiencies'!U$60*('LE Shares'!AI30/(1/'LE Efficiencies'!U30))/('LE Shares'!AI$12/(1/'LE Efficiencies'!U$12))</f>
        <v>6067.353117244108</v>
      </c>
      <c r="X30" s="153">
        <f t="shared" si="2"/>
        <v>13645.367789305707</v>
      </c>
      <c r="Y30" s="198">
        <v>2023</v>
      </c>
      <c r="Z30" s="192">
        <f t="shared" si="7"/>
        <v>6.9201879170503203E-2</v>
      </c>
      <c r="AA30" s="192">
        <f t="shared" si="5"/>
        <v>5.4123444568488749E-2</v>
      </c>
      <c r="AB30" s="192">
        <f t="shared" si="5"/>
        <v>4.1412306845519777E-3</v>
      </c>
      <c r="AC30" s="192">
        <f t="shared" si="5"/>
        <v>3.3159635678119701E-3</v>
      </c>
      <c r="AD30" s="192">
        <f t="shared" si="5"/>
        <v>0.16684038571958759</v>
      </c>
      <c r="AE30" s="192">
        <f t="shared" si="5"/>
        <v>0.13952701986430793</v>
      </c>
      <c r="AF30" s="192">
        <f t="shared" si="5"/>
        <v>7.7305501622114961E-3</v>
      </c>
      <c r="AG30" s="192">
        <f t="shared" si="5"/>
        <v>1.6871011996870508E-2</v>
      </c>
      <c r="AH30" s="192">
        <f t="shared" si="5"/>
        <v>0.21366554595057644</v>
      </c>
      <c r="AI30" s="192">
        <f t="shared" si="5"/>
        <v>4.4016217058278982E-2</v>
      </c>
      <c r="AJ30" s="192">
        <f t="shared" si="5"/>
        <v>4.2318448168570243E-2</v>
      </c>
      <c r="AK30" s="192">
        <f t="shared" si="5"/>
        <v>7.4920091197762809E-3</v>
      </c>
      <c r="AL30" s="192">
        <f t="shared" si="5"/>
        <v>1.6951327752035745E-2</v>
      </c>
      <c r="AM30" s="192">
        <f t="shared" si="5"/>
        <v>1.8629835064072876E-2</v>
      </c>
      <c r="AN30" s="192">
        <f t="shared" si="5"/>
        <v>5.1950412207960343E-3</v>
      </c>
      <c r="AO30" s="192">
        <f t="shared" si="5"/>
        <v>4.5617455044811191E-2</v>
      </c>
      <c r="AP30" s="192">
        <f t="shared" si="5"/>
        <v>5.7826784528346151E-2</v>
      </c>
      <c r="AQ30" s="192">
        <f t="shared" si="6"/>
        <v>1.7804868814986503E-2</v>
      </c>
      <c r="AR30" s="192">
        <f t="shared" si="6"/>
        <v>8.4128643917338264E-2</v>
      </c>
      <c r="AS30" s="192">
        <f t="shared" si="6"/>
        <v>0.44327795617353016</v>
      </c>
    </row>
    <row r="31" spans="1:45" x14ac:dyDescent="0.2">
      <c r="A31" s="198">
        <v>2024</v>
      </c>
      <c r="B31" s="226">
        <f t="shared" si="8"/>
        <v>1794.3651507229742</v>
      </c>
      <c r="C31" s="226">
        <f t="shared" si="4"/>
        <v>4574.7685474563968</v>
      </c>
      <c r="D31" s="227">
        <f>'LE Efficiencies'!B$60*'LE StructuralVars'!$Q31*('LE Shares'!B31/'LE Efficiencies'!B31)/('LE Shares'!B$12/'LE Efficiencies'!B$12)</f>
        <v>936.3054740836842</v>
      </c>
      <c r="E31" s="227">
        <f>'LE Efficiencies'!C$60*'LE StructuralVars'!$Q31*('LE Shares'!C31/'LE Efficiencies'!C31)/('LE Shares'!C$12/'LE Efficiencies'!C$12)</f>
        <v>756.59611282953574</v>
      </c>
      <c r="F31" s="227">
        <f>'LE Efficiencies'!D$60*'LE StructuralVars'!$Q31*('LE Shares'!E31/'LE Efficiencies'!D31)/('LE Shares'!E$12/'LE Efficiencies'!D$12)</f>
        <v>58.21580126313966</v>
      </c>
      <c r="G31" s="227">
        <f>'LE Efficiencies'!E$60*'LE StructuralVars'!$Q31*('LE Shares'!F31/(1/'LE Efficiencies'!E31))/('LE Shares'!F$12/(1/'LE Efficiencies'!E$12))</f>
        <v>43.247762546614744</v>
      </c>
      <c r="H31" s="227">
        <f>'LE Efficiencies'!F$60*'LE StructuralVars'!$R31*('LE Shares'!H31/'LE Efficiencies'!F31)/('LE Shares'!H$12/'LE Efficiencies'!F$12)</f>
        <v>2277.9432369620226</v>
      </c>
      <c r="I31" s="227">
        <f>'LE Efficiencies'!G$60*'LE StructuralVars'!$R31*('LE Shares'!J31/'LE Efficiencies'!G31)/('LE Shares'!J$12/'LE Efficiencies'!G$12)</f>
        <v>1959.3868725678406</v>
      </c>
      <c r="J31" s="227">
        <f>'LE Efficiencies'!H$60*'LE StructuralVars'!$R31*('LE Shares'!M31/'LE Efficiencies'!H31)/('LE Shares'!M$12/'LE Efficiencies'!H$12)</f>
        <v>109.06531334223997</v>
      </c>
      <c r="K31" s="227">
        <f>'LE Efficiencies'!I$60*'LE StructuralVars'!$R31*('LE Shares'!N31/'LE Efficiencies'!I31)/('LE Shares'!N$12/'LE Efficiencies'!I$12)</f>
        <v>228.37312458429352</v>
      </c>
      <c r="L31" s="227">
        <f>'LE Efficiencies'!J$60*('LE Shares'!P31/'LE Efficiencies'!J31)/('LE Shares'!P$12/'LE Efficiencies'!J$12)</f>
        <v>2919.7715334849563</v>
      </c>
      <c r="M31" s="227">
        <f>'LE Efficiencies'!K$60*('LE Shares'!R31/(1/'LE Efficiencies'!K31))/('LE Shares'!R$12/(1/'LE Efficiencies'!K$12))</f>
        <v>603.65846700641873</v>
      </c>
      <c r="N31" s="227">
        <f>'LE Efficiencies'!L$60*('LE Shares'!T31/(1/'LE Efficiencies'!L31))/('LE Shares'!T$12/(1/'LE Efficiencies'!L$12))</f>
        <v>576.94255574684121</v>
      </c>
      <c r="O31" s="227">
        <f>'LE Efficiencies'!M$60*('LE Shares'!U31/(1/'LE Efficiencies'!M31))/('LE Shares'!U$12/(1/'LE Efficiencies'!M$12))</f>
        <v>101.98632707878008</v>
      </c>
      <c r="P31" s="227">
        <f>'LE Efficiencies'!N$60*('LE Shares'!W31/(1/'LE Efficiencies'!N31))/('LE Shares'!W$12/(1/'LE Efficiencies'!N$12))</f>
        <v>230.09912565851309</v>
      </c>
      <c r="Q31" s="227">
        <f>'LE Efficiencies'!O$60*('LE Shares'!Y31/(1/'LE Efficiencies'!O31))/('LE Shares'!Y$12/(1/'LE Efficiencies'!O$12))</f>
        <v>252.36784554447141</v>
      </c>
      <c r="R31" s="227">
        <f>'LE Efficiencies'!P$60*('LE Shares'!AA31/(1/'LE Efficiencies'!P31))/('LE Shares'!AA$12/(1/'LE Efficiencies'!P$12))</f>
        <v>69.244582004629507</v>
      </c>
      <c r="S31" s="227">
        <f>'LE Efficiencies'!Q$60*('LE Shares'!AC31/(1/'LE Efficiencies'!Q31))/('LE Shares'!AC$12/(1/'LE Efficiencies'!Q$12))</f>
        <v>614.8628853379472</v>
      </c>
      <c r="T31" s="227">
        <f>'LE Efficiencies'!R$60*('LE Shares'!AE31/(1/'LE Efficiencies'!R31))/('LE Shares'!AE$12/(1/'LE Efficiencies'!R$12))</f>
        <v>795.47179068203002</v>
      </c>
      <c r="U31" s="227">
        <f>'LE Efficiencies'!S$60*('LE Shares'!AG31/(1/'LE Efficiencies'!S31))/('LE Shares'!AG$12/(1/'LE Efficiencies'!S$12))</f>
        <v>239.88786914477984</v>
      </c>
      <c r="V31" s="227">
        <f>'LE Efficiencies'!T$60*('LE Shares'!AH31/(1/'LE Efficiencies'!T31))/('LE Shares'!AH$12/(1/'LE Efficiencies'!T$12))</f>
        <v>1136.7273452200893</v>
      </c>
      <c r="W31" s="227">
        <f>'LE Efficiencies'!U$60*('LE Shares'!AI31/(1/'LE Efficiencies'!U31))/('LE Shares'!AI$12/(1/'LE Efficiencies'!U$12))</f>
        <v>6185.3192897158742</v>
      </c>
      <c r="X31" s="153">
        <f t="shared" si="2"/>
        <v>13726.33961662533</v>
      </c>
      <c r="Y31" s="198">
        <v>2024</v>
      </c>
      <c r="Z31" s="192">
        <f t="shared" si="7"/>
        <v>6.8406036188383812E-2</v>
      </c>
      <c r="AA31" s="192">
        <f t="shared" si="5"/>
        <v>5.5276555041887929E-2</v>
      </c>
      <c r="AB31" s="192">
        <f t="shared" si="5"/>
        <v>4.2532189741167356E-3</v>
      </c>
      <c r="AC31" s="192">
        <f t="shared" si="5"/>
        <v>3.1596611273960623E-3</v>
      </c>
      <c r="AD31" s="192">
        <f t="shared" si="5"/>
        <v>0.16642545816065696</v>
      </c>
      <c r="AE31" s="192">
        <f t="shared" si="5"/>
        <v>0.14315188047265473</v>
      </c>
      <c r="AF31" s="192">
        <f t="shared" si="5"/>
        <v>7.9682603358568731E-3</v>
      </c>
      <c r="AG31" s="192">
        <f t="shared" si="5"/>
        <v>1.668483273587185E-2</v>
      </c>
      <c r="AH31" s="192">
        <f t="shared" si="5"/>
        <v>0.21331713069054806</v>
      </c>
      <c r="AI31" s="192">
        <f t="shared" si="5"/>
        <v>4.4103002793909385E-2</v>
      </c>
      <c r="AJ31" s="192">
        <f t="shared" si="5"/>
        <v>4.2151150921830111E-2</v>
      </c>
      <c r="AK31" s="192">
        <f t="shared" si="5"/>
        <v>7.4510729393085237E-3</v>
      </c>
      <c r="AL31" s="192">
        <f t="shared" si="5"/>
        <v>1.6810933560028413E-2</v>
      </c>
      <c r="AM31" s="192">
        <f t="shared" si="5"/>
        <v>1.8437875728532383E-2</v>
      </c>
      <c r="AN31" s="192">
        <f t="shared" si="5"/>
        <v>5.0589764917200941E-3</v>
      </c>
      <c r="AO31" s="192">
        <f t="shared" si="5"/>
        <v>4.492159231097529E-2</v>
      </c>
      <c r="AP31" s="192">
        <f t="shared" si="5"/>
        <v>5.8116793724277596E-2</v>
      </c>
      <c r="AQ31" s="192">
        <f t="shared" si="6"/>
        <v>1.752609454081375E-2</v>
      </c>
      <c r="AR31" s="192">
        <f t="shared" si="6"/>
        <v>8.304876353473184E-2</v>
      </c>
      <c r="AS31" s="192">
        <f t="shared" si="6"/>
        <v>0.45189650907797208</v>
      </c>
    </row>
    <row r="32" spans="1:45" x14ac:dyDescent="0.2">
      <c r="A32" s="198">
        <v>2025</v>
      </c>
      <c r="B32" s="226">
        <f t="shared" si="8"/>
        <v>1798.3703197798977</v>
      </c>
      <c r="C32" s="226">
        <f t="shared" si="4"/>
        <v>4620.9466283572601</v>
      </c>
      <c r="D32" s="227">
        <f>'LE Efficiencies'!B$60*'LE StructuralVars'!$Q32*('LE Shares'!B32/'LE Efficiencies'!B32)/('LE Shares'!B$12/'LE Efficiencies'!B$12)</f>
        <v>925.26171923478387</v>
      </c>
      <c r="E32" s="227">
        <f>'LE Efficiencies'!C$60*'LE StructuralVars'!$Q32*('LE Shares'!C32/'LE Efficiencies'!C32)/('LE Shares'!C$12/'LE Efficiencies'!C$12)</f>
        <v>772.34255015854501</v>
      </c>
      <c r="F32" s="227">
        <f>'LE Efficiencies'!D$60*'LE StructuralVars'!$Q32*('LE Shares'!E32/'LE Efficiencies'!D32)/('LE Shares'!E$12/'LE Efficiencies'!D$12)</f>
        <v>59.597511837284294</v>
      </c>
      <c r="G32" s="227">
        <f>'LE Efficiencies'!E$60*'LE StructuralVars'!$Q32*('LE Shares'!F32/(1/'LE Efficiencies'!E32))/('LE Shares'!F$12/(1/'LE Efficiencies'!E$12))</f>
        <v>41.168538549284428</v>
      </c>
      <c r="H32" s="227">
        <f>'LE Efficiencies'!F$60*'LE StructuralVars'!$R32*('LE Shares'!H32/'LE Efficiencies'!F32)/('LE Shares'!H$12/'LE Efficiencies'!F$12)</f>
        <v>2273.7792767157307</v>
      </c>
      <c r="I32" s="227">
        <f>'LE Efficiencies'!G$60*'LE StructuralVars'!$R32*('LE Shares'!J32/'LE Efficiencies'!G32)/('LE Shares'!J$12/'LE Efficiencies'!G$12)</f>
        <v>2009.1770648768027</v>
      </c>
      <c r="J32" s="227">
        <f>'LE Efficiencies'!H$60*'LE StructuralVars'!$R32*('LE Shares'!M32/'LE Efficiencies'!H32)/('LE Shares'!M$12/'LE Efficiencies'!H$12)</f>
        <v>112.03634583317073</v>
      </c>
      <c r="K32" s="227">
        <f>'LE Efficiencies'!I$60*'LE StructuralVars'!$R32*('LE Shares'!N32/'LE Efficiencies'!I32)/('LE Shares'!N$12/'LE Efficiencies'!I$12)</f>
        <v>225.95394093155622</v>
      </c>
      <c r="L32" s="227">
        <f>'LE Efficiencies'!J$60*('LE Shares'!P32/'LE Efficiencies'!J32)/('LE Shares'!P$12/'LE Efficiencies'!J$12)</f>
        <v>2915.3317832187495</v>
      </c>
      <c r="M32" s="227">
        <f>'LE Efficiencies'!K$60*('LE Shares'!R32/(1/'LE Efficiencies'!K32))/('LE Shares'!R$12/(1/'LE Efficiencies'!K$12))</f>
        <v>604.74377134826864</v>
      </c>
      <c r="N32" s="227">
        <f>'LE Efficiencies'!L$60*('LE Shares'!T32/(1/'LE Efficiencies'!L32))/('LE Shares'!T$12/(1/'LE Efficiencies'!L$12))</f>
        <v>575.07235132209826</v>
      </c>
      <c r="O32" s="227">
        <f>'LE Efficiencies'!M$60*('LE Shares'!U32/(1/'LE Efficiencies'!M32))/('LE Shares'!U$12/(1/'LE Efficiencies'!M$12))</f>
        <v>101.52197907375911</v>
      </c>
      <c r="P32" s="227">
        <f>'LE Efficiencies'!N$60*('LE Shares'!W32/(1/'LE Efficiencies'!N32))/('LE Shares'!W$12/(1/'LE Efficiencies'!N$12))</f>
        <v>228.12739543742057</v>
      </c>
      <c r="Q32" s="227">
        <f>'LE Efficiencies'!O$60*('LE Shares'!Y32/(1/'LE Efficiencies'!O32))/('LE Shares'!Y$12/(1/'LE Efficiencies'!O$12))</f>
        <v>250.72181300247266</v>
      </c>
      <c r="R32" s="227">
        <f>'LE Efficiencies'!P$60*('LE Shares'!AA32/(1/'LE Efficiencies'!P32))/('LE Shares'!AA$12/(1/'LE Efficiencies'!P$12))</f>
        <v>67.422608634959431</v>
      </c>
      <c r="S32" s="227">
        <f>'LE Efficiencies'!Q$60*('LE Shares'!AC32/(1/'LE Efficiencies'!Q32))/('LE Shares'!AC$12/(1/'LE Efficiencies'!Q$12))</f>
        <v>605.91313896015981</v>
      </c>
      <c r="T32" s="227">
        <f>'LE Efficiencies'!R$60*('LE Shares'!AE32/(1/'LE Efficiencies'!R32))/('LE Shares'!AE$12/(1/'LE Efficiencies'!R$12))</f>
        <v>799.62171395288271</v>
      </c>
      <c r="U32" s="227">
        <f>'LE Efficiencies'!S$60*('LE Shares'!AG32/(1/'LE Efficiencies'!S32))/('LE Shares'!AG$12/(1/'LE Efficiencies'!S$12))</f>
        <v>236.27984320911676</v>
      </c>
      <c r="V32" s="227">
        <f>'LE Efficiencies'!T$60*('LE Shares'!AH32/(1/'LE Efficiencies'!T32))/('LE Shares'!AH$12/(1/'LE Efficiencies'!T$12))</f>
        <v>1123.7507872972535</v>
      </c>
      <c r="W32" s="227">
        <f>'LE Efficiencies'!U$60*('LE Shares'!AI32/(1/'LE Efficiencies'!U32))/('LE Shares'!AI$12/(1/'LE Efficiencies'!U$12))</f>
        <v>6309.611994470235</v>
      </c>
      <c r="X32" s="153">
        <f t="shared" si="2"/>
        <v>13818.119179927377</v>
      </c>
      <c r="Y32" s="198">
        <v>2025</v>
      </c>
      <c r="Z32" s="192">
        <f t="shared" si="7"/>
        <v>6.7599184669557805E-2</v>
      </c>
      <c r="AA32" s="192">
        <f t="shared" si="5"/>
        <v>5.6426982323988871E-2</v>
      </c>
      <c r="AB32" s="192">
        <f t="shared" si="5"/>
        <v>4.3541660967738047E-3</v>
      </c>
      <c r="AC32" s="192">
        <f t="shared" si="5"/>
        <v>3.0077540031273201E-3</v>
      </c>
      <c r="AD32" s="192">
        <f t="shared" si="5"/>
        <v>0.16612124118961596</v>
      </c>
      <c r="AE32" s="192">
        <f t="shared" si="5"/>
        <v>0.14678952843177479</v>
      </c>
      <c r="AF32" s="192">
        <f t="shared" si="5"/>
        <v>8.185322567913534E-3</v>
      </c>
      <c r="AG32" s="192">
        <f t="shared" si="5"/>
        <v>1.6508088319571766E-2</v>
      </c>
      <c r="AH32" s="192">
        <f t="shared" si="5"/>
        <v>0.21299276463076958</v>
      </c>
      <c r="AI32" s="192">
        <f t="shared" si="5"/>
        <v>4.4182294617079218E-2</v>
      </c>
      <c r="AJ32" s="192">
        <f t="shared" si="5"/>
        <v>4.2014514668919332E-2</v>
      </c>
      <c r="AK32" s="192">
        <f t="shared" si="5"/>
        <v>7.417147893140707E-3</v>
      </c>
      <c r="AL32" s="192">
        <f t="shared" si="5"/>
        <v>1.6666879880336126E-2</v>
      </c>
      <c r="AM32" s="192">
        <f t="shared" si="5"/>
        <v>1.8317617367610783E-2</v>
      </c>
      <c r="AN32" s="192">
        <f t="shared" si="5"/>
        <v>4.9258639769375698E-3</v>
      </c>
      <c r="AO32" s="192">
        <f t="shared" si="5"/>
        <v>4.4267728063097291E-2</v>
      </c>
      <c r="AP32" s="192">
        <f t="shared" si="5"/>
        <v>5.8419985160515629E-2</v>
      </c>
      <c r="AQ32" s="192">
        <f t="shared" si="6"/>
        <v>1.7262493868217942E-2</v>
      </c>
      <c r="AR32" s="192">
        <f t="shared" si="6"/>
        <v>8.2100702335219058E-2</v>
      </c>
      <c r="AS32" s="192">
        <f t="shared" si="6"/>
        <v>0.46097727544612743</v>
      </c>
    </row>
    <row r="33" spans="1:45" x14ac:dyDescent="0.2">
      <c r="A33" s="198">
        <f t="shared" ref="A33:A50" si="9">A32+1</f>
        <v>2026</v>
      </c>
      <c r="B33" s="226">
        <f t="shared" si="8"/>
        <v>1802.0454231763674</v>
      </c>
      <c r="C33" s="226">
        <f t="shared" si="4"/>
        <v>4668.0943254045533</v>
      </c>
      <c r="D33" s="227">
        <f>'LE Efficiencies'!B$60*'LE StructuralVars'!$Q33*('LE Shares'!B33/'LE Efficiencies'!B33)/('LE Shares'!B$12/'LE Efficiencies'!B$12)</f>
        <v>914.35246785099503</v>
      </c>
      <c r="E33" s="227">
        <f>'LE Efficiencies'!C$60*'LE StructuralVars'!$Q33*('LE Shares'!C33/'LE Efficiencies'!C33)/('LE Shares'!C$12/'LE Efficiencies'!C$12)</f>
        <v>787.72488599306348</v>
      </c>
      <c r="F33" s="227">
        <f>'LE Efficiencies'!D$60*'LE StructuralVars'!$Q33*('LE Shares'!E33/'LE Efficiencies'!D33)/('LE Shares'!E$12/'LE Efficiencies'!D$12)</f>
        <v>60.804302419077125</v>
      </c>
      <c r="G33" s="227">
        <f>'LE Efficiencies'!E$60*'LE StructuralVars'!$Q33*('LE Shares'!F33/(1/'LE Efficiencies'!E33))/('LE Shares'!F$12/(1/'LE Efficiencies'!E$12))</f>
        <v>39.16376691323179</v>
      </c>
      <c r="H33" s="227">
        <f>'LE Efficiencies'!F$60*'LE StructuralVars'!$R33*('LE Shares'!H33/'LE Efficiencies'!F33)/('LE Shares'!H$12/'LE Efficiencies'!F$12)</f>
        <v>2271.1649171761974</v>
      </c>
      <c r="I33" s="227">
        <f>'LE Efficiencies'!G$60*'LE StructuralVars'!$R33*('LE Shares'!J33/'LE Efficiencies'!G33)/('LE Shares'!J$12/'LE Efficiencies'!G$12)</f>
        <v>2058.5627344336963</v>
      </c>
      <c r="J33" s="227">
        <f>'LE Efficiencies'!H$60*'LE StructuralVars'!$R33*('LE Shares'!M33/'LE Efficiencies'!H33)/('LE Shares'!M$12/'LE Efficiencies'!H$12)</f>
        <v>114.69190641806959</v>
      </c>
      <c r="K33" s="227">
        <f>'LE Efficiencies'!I$60*'LE StructuralVars'!$R33*('LE Shares'!N33/'LE Efficiencies'!I33)/('LE Shares'!N$12/'LE Efficiencies'!I$12)</f>
        <v>223.67476737659069</v>
      </c>
      <c r="L33" s="227">
        <f>'LE Efficiencies'!J$60*('LE Shares'!P33/'LE Efficiencies'!J33)/('LE Shares'!P$12/'LE Efficiencies'!J$12)</f>
        <v>2912.0082564561053</v>
      </c>
      <c r="M33" s="227">
        <f>'LE Efficiencies'!K$60*('LE Shares'!R33/(1/'LE Efficiencies'!K33))/('LE Shares'!R$12/(1/'LE Efficiencies'!K$12))</f>
        <v>605.75464776858769</v>
      </c>
      <c r="N33" s="227">
        <f>'LE Efficiencies'!L$60*('LE Shares'!T33/(1/'LE Efficiencies'!L33))/('LE Shares'!T$12/(1/'LE Efficiencies'!L$12))</f>
        <v>573.64285235436159</v>
      </c>
      <c r="O33" s="227">
        <f>'LE Efficiencies'!M$60*('LE Shares'!U33/(1/'LE Efficiencies'!M33))/('LE Shares'!U$12/(1/'LE Efficiencies'!M$12))</f>
        <v>101.14431090926981</v>
      </c>
      <c r="P33" s="227">
        <f>'LE Efficiencies'!N$60*('LE Shares'!W33/(1/'LE Efficiencies'!N33))/('LE Shares'!W$12/(1/'LE Efficiencies'!N$12))</f>
        <v>226.22782121380834</v>
      </c>
      <c r="Q33" s="227">
        <f>'LE Efficiencies'!O$60*('LE Shares'!Y33/(1/'LE Efficiencies'!O33))/('LE Shares'!Y$12/(1/'LE Efficiencies'!O$12))</f>
        <v>250.08247564301959</v>
      </c>
      <c r="R33" s="227">
        <f>'LE Efficiencies'!P$60*('LE Shares'!AA33/(1/'LE Efficiencies'!P33))/('LE Shares'!AA$12/(1/'LE Efficiencies'!P$12))</f>
        <v>65.640863465269703</v>
      </c>
      <c r="S33" s="227">
        <f>'LE Efficiencies'!Q$60*('LE Shares'!AC33/(1/'LE Efficiencies'!Q33))/('LE Shares'!AC$12/(1/'LE Efficiencies'!Q$12))</f>
        <v>597.47187925882429</v>
      </c>
      <c r="T33" s="227">
        <f>'LE Efficiencies'!R$60*('LE Shares'!AE33/(1/'LE Efficiencies'!R33))/('LE Shares'!AE$12/(1/'LE Efficiencies'!R$12))</f>
        <v>804.01732039148385</v>
      </c>
      <c r="U33" s="227">
        <f>'LE Efficiencies'!S$60*('LE Shares'!AG33/(1/'LE Efficiencies'!S33))/('LE Shares'!AG$12/(1/'LE Efficiencies'!S$12))</f>
        <v>231.74872423997607</v>
      </c>
      <c r="V33" s="227">
        <f>'LE Efficiencies'!T$60*('LE Shares'!AH33/(1/'LE Efficiencies'!T33))/('LE Shares'!AH$12/(1/'LE Efficiencies'!T$12))</f>
        <v>1112.1648571325104</v>
      </c>
      <c r="W33" s="227">
        <f>'LE Efficiencies'!U$60*('LE Shares'!AI33/(1/'LE Efficiencies'!U33))/('LE Shares'!AI$12/(1/'LE Efficiencies'!U$12))</f>
        <v>6426.869311762347</v>
      </c>
      <c r="X33" s="153">
        <f t="shared" si="2"/>
        <v>13906.773320595563</v>
      </c>
      <c r="Y33" s="198">
        <f t="shared" ref="Y33:Y50" si="10">Y32+1</f>
        <v>2026</v>
      </c>
      <c r="Z33" s="192">
        <f t="shared" si="7"/>
        <v>6.6802159910434228E-2</v>
      </c>
      <c r="AA33" s="192">
        <f t="shared" si="7"/>
        <v>5.7550808522685105E-2</v>
      </c>
      <c r="AB33" s="192">
        <f t="shared" si="7"/>
        <v>4.4423336473167624E-3</v>
      </c>
      <c r="AC33" s="192">
        <f t="shared" si="7"/>
        <v>2.8612863332469611E-3</v>
      </c>
      <c r="AD33" s="192">
        <f t="shared" si="7"/>
        <v>0.16593023731511039</v>
      </c>
      <c r="AE33" s="192">
        <f t="shared" si="7"/>
        <v>0.15039762214948221</v>
      </c>
      <c r="AF33" s="192">
        <f t="shared" si="7"/>
        <v>8.3793365713548951E-3</v>
      </c>
      <c r="AG33" s="192">
        <f t="shared" si="7"/>
        <v>1.6341572974958238E-2</v>
      </c>
      <c r="AH33" s="192">
        <f t="shared" si="7"/>
        <v>0.21274994933352806</v>
      </c>
      <c r="AI33" s="192">
        <f t="shared" si="6"/>
        <v>4.425614877141705E-2</v>
      </c>
      <c r="AJ33" s="192">
        <f t="shared" si="6"/>
        <v>4.1910076148772957E-2</v>
      </c>
      <c r="AK33" s="192">
        <f t="shared" si="6"/>
        <v>7.389555635226655E-3</v>
      </c>
      <c r="AL33" s="192">
        <f t="shared" si="6"/>
        <v>1.6528097883776609E-2</v>
      </c>
      <c r="AM33" s="192">
        <f t="shared" si="6"/>
        <v>1.8270907681767996E-2</v>
      </c>
      <c r="AN33" s="192">
        <f t="shared" si="6"/>
        <v>4.7956905154659772E-3</v>
      </c>
      <c r="AO33" s="192">
        <f t="shared" si="6"/>
        <v>4.3651013611897257E-2</v>
      </c>
      <c r="AP33" s="192">
        <f t="shared" si="6"/>
        <v>5.8741126093076239E-2</v>
      </c>
      <c r="AQ33" s="192">
        <f t="shared" si="6"/>
        <v>1.6931452454110811E-2</v>
      </c>
      <c r="AR33" s="192">
        <f t="shared" si="6"/>
        <v>8.1254239743615467E-2</v>
      </c>
      <c r="AS33" s="192">
        <f t="shared" si="6"/>
        <v>0.46954403972558106</v>
      </c>
    </row>
    <row r="34" spans="1:45" x14ac:dyDescent="0.2">
      <c r="A34" s="198">
        <f t="shared" si="9"/>
        <v>2027</v>
      </c>
      <c r="B34" s="226">
        <f t="shared" si="8"/>
        <v>1805.3798786192676</v>
      </c>
      <c r="C34" s="226">
        <f t="shared" si="4"/>
        <v>4715.0414571387473</v>
      </c>
      <c r="D34" s="227">
        <f>'LE Efficiencies'!B$60*'LE StructuralVars'!$Q34*('LE Shares'!B34/'LE Efficiencies'!B34)/('LE Shares'!B$12/'LE Efficiencies'!B$12)</f>
        <v>903.91379172047959</v>
      </c>
      <c r="E34" s="227">
        <f>'LE Efficiencies'!C$60*'LE StructuralVars'!$Q34*('LE Shares'!C34/'LE Efficiencies'!C34)/('LE Shares'!C$12/'LE Efficiencies'!C$12)</f>
        <v>802.41346162774516</v>
      </c>
      <c r="F34" s="227">
        <f>'LE Efficiencies'!D$60*'LE StructuralVars'!$Q34*('LE Shares'!E34/'LE Efficiencies'!D34)/('LE Shares'!E$12/'LE Efficiencies'!D$12)</f>
        <v>61.827102947577714</v>
      </c>
      <c r="G34" s="227">
        <f>'LE Efficiencies'!E$60*'LE StructuralVars'!$Q34*('LE Shares'!F34/(1/'LE Efficiencies'!E34))/('LE Shares'!F$12/(1/'LE Efficiencies'!E$12))</f>
        <v>37.225522323465128</v>
      </c>
      <c r="H34" s="227">
        <f>'LE Efficiencies'!F$60*'LE StructuralVars'!$R34*('LE Shares'!H34/'LE Efficiencies'!F34)/('LE Shares'!H$12/'LE Efficiencies'!F$12)</f>
        <v>2270.0483018252139</v>
      </c>
      <c r="I34" s="227">
        <f>'LE Efficiencies'!G$60*'LE StructuralVars'!$R34*('LE Shares'!J34/'LE Efficiencies'!G34)/('LE Shares'!J$12/'LE Efficiencies'!G$12)</f>
        <v>2106.4807683462614</v>
      </c>
      <c r="J34" s="227">
        <f>'LE Efficiencies'!H$60*'LE StructuralVars'!$R34*('LE Shares'!M34/'LE Efficiencies'!H34)/('LE Shares'!M$12/'LE Efficiencies'!H$12)</f>
        <v>117.0026340319736</v>
      </c>
      <c r="K34" s="227">
        <f>'LE Efficiencies'!I$60*'LE StructuralVars'!$R34*('LE Shares'!N34/'LE Efficiencies'!I34)/('LE Shares'!N$12/'LE Efficiencies'!I$12)</f>
        <v>221.50975293529845</v>
      </c>
      <c r="L34" s="227">
        <f>'LE Efficiencies'!J$60*('LE Shares'!P34/'LE Efficiencies'!J34)/('LE Shares'!P$12/'LE Efficiencies'!J$12)</f>
        <v>2909.8862830610424</v>
      </c>
      <c r="M34" s="227">
        <f>'LE Efficiencies'!K$60*('LE Shares'!R34/(1/'LE Efficiencies'!K34))/('LE Shares'!R$12/(1/'LE Efficiencies'!K$12))</f>
        <v>606.70548937709952</v>
      </c>
      <c r="N34" s="227">
        <f>'LE Efficiencies'!L$60*('LE Shares'!T34/(1/'LE Efficiencies'!L34))/('LE Shares'!T$12/(1/'LE Efficiencies'!L$12))</f>
        <v>572.6778057083352</v>
      </c>
      <c r="O34" s="227">
        <f>'LE Efficiencies'!M$60*('LE Shares'!U34/(1/'LE Efficiencies'!M34))/('LE Shares'!U$12/(1/'LE Efficiencies'!M$12))</f>
        <v>100.85092569561874</v>
      </c>
      <c r="P34" s="227">
        <f>'LE Efficiencies'!N$60*('LE Shares'!W34/(1/'LE Efficiencies'!N34))/('LE Shares'!W$12/(1/'LE Efficiencies'!N$12))</f>
        <v>224.37037702273457</v>
      </c>
      <c r="Q34" s="227">
        <f>'LE Efficiencies'!O$60*('LE Shares'!Y34/(1/'LE Efficiencies'!O34))/('LE Shares'!Y$12/(1/'LE Efficiencies'!O$12))</f>
        <v>250.28436307148772</v>
      </c>
      <c r="R34" s="227">
        <f>'LE Efficiencies'!P$60*('LE Shares'!AA34/(1/'LE Efficiencies'!P34))/('LE Shares'!AA$12/(1/'LE Efficiencies'!P$12))</f>
        <v>64.003960506910616</v>
      </c>
      <c r="S34" s="227">
        <f>'LE Efficiencies'!Q$60*('LE Shares'!AC34/(1/'LE Efficiencies'!Q34))/('LE Shares'!AC$12/(1/'LE Efficiencies'!Q$12))</f>
        <v>590.15466402330128</v>
      </c>
      <c r="T34" s="227">
        <f>'LE Efficiencies'!R$60*('LE Shares'!AE34/(1/'LE Efficiencies'!R34))/('LE Shares'!AE$12/(1/'LE Efficiencies'!R$12))</f>
        <v>808.57141054642909</v>
      </c>
      <c r="U34" s="227">
        <f>'LE Efficiencies'!S$60*('LE Shares'!AG34/(1/'LE Efficiencies'!S34))/('LE Shares'!AG$12/(1/'LE Efficiencies'!S$12))</f>
        <v>228.66313796325844</v>
      </c>
      <c r="V34" s="227">
        <f>'LE Efficiencies'!T$60*('LE Shares'!AH34/(1/'LE Efficiencies'!T34))/('LE Shares'!AH$12/(1/'LE Efficiencies'!T$12))</f>
        <v>1101.6097313953412</v>
      </c>
      <c r="W34" s="227">
        <f>'LE Efficiencies'!U$60*('LE Shares'!AI34/(1/'LE Efficiencies'!U34))/('LE Shares'!AI$12/(1/'LE Efficiencies'!U$12))</f>
        <v>6548.6158684911543</v>
      </c>
      <c r="X34" s="153">
        <f t="shared" si="2"/>
        <v>14006.394016862712</v>
      </c>
      <c r="Y34" s="198">
        <f t="shared" si="10"/>
        <v>2027</v>
      </c>
      <c r="Z34" s="192">
        <f t="shared" si="7"/>
        <v>6.6039515157297779E-2</v>
      </c>
      <c r="AA34" s="192">
        <f t="shared" si="7"/>
        <v>5.8623948928496768E-2</v>
      </c>
      <c r="AB34" s="192">
        <f t="shared" si="7"/>
        <v>4.5170589713725475E-3</v>
      </c>
      <c r="AC34" s="192">
        <f t="shared" si="7"/>
        <v>2.7196790979808483E-3</v>
      </c>
      <c r="AD34" s="192">
        <f t="shared" si="7"/>
        <v>0.16584865792438577</v>
      </c>
      <c r="AE34" s="192">
        <f t="shared" si="7"/>
        <v>0.15389849109944434</v>
      </c>
      <c r="AF34" s="192">
        <f t="shared" si="7"/>
        <v>8.5481572406272896E-3</v>
      </c>
      <c r="AG34" s="192">
        <f t="shared" si="7"/>
        <v>1.6183398041329497E-2</v>
      </c>
      <c r="AH34" s="192">
        <f t="shared" si="7"/>
        <v>0.21259491895843011</v>
      </c>
      <c r="AI34" s="192">
        <f t="shared" si="6"/>
        <v>4.4325616810728614E-2</v>
      </c>
      <c r="AJ34" s="192">
        <f t="shared" si="6"/>
        <v>4.1839570296122501E-2</v>
      </c>
      <c r="AK34" s="192">
        <f t="shared" si="6"/>
        <v>7.3681210499362167E-3</v>
      </c>
      <c r="AL34" s="192">
        <f t="shared" si="6"/>
        <v>1.6392393887517436E-2</v>
      </c>
      <c r="AM34" s="192">
        <f t="shared" si="6"/>
        <v>1.8285657482041549E-2</v>
      </c>
      <c r="AN34" s="192">
        <f t="shared" si="6"/>
        <v>4.676099157617763E-3</v>
      </c>
      <c r="AO34" s="192">
        <f t="shared" si="6"/>
        <v>4.3116421319046215E-2</v>
      </c>
      <c r="AP34" s="192">
        <f t="shared" si="6"/>
        <v>5.9073845771180467E-2</v>
      </c>
      <c r="AQ34" s="192">
        <f t="shared" si="6"/>
        <v>1.6706020976510947E-2</v>
      </c>
      <c r="AR34" s="192">
        <f t="shared" si="6"/>
        <v>8.0483087237157719E-2</v>
      </c>
      <c r="AS34" s="192">
        <f t="shared" si="6"/>
        <v>0.47843878572026011</v>
      </c>
    </row>
    <row r="35" spans="1:45" x14ac:dyDescent="0.2">
      <c r="A35" s="198">
        <f t="shared" si="9"/>
        <v>2028</v>
      </c>
      <c r="B35" s="226">
        <f t="shared" si="8"/>
        <v>1808.6204272963294</v>
      </c>
      <c r="C35" s="226">
        <f t="shared" si="4"/>
        <v>4760.9754077851694</v>
      </c>
      <c r="D35" s="227">
        <f>'LE Efficiencies'!B$60*'LE StructuralVars'!$Q35*('LE Shares'!B35/'LE Efficiencies'!B35)/('LE Shares'!B$12/'LE Efficiencies'!B$12)</f>
        <v>894.08696443053088</v>
      </c>
      <c r="E35" s="227">
        <f>'LE Efficiencies'!C$60*'LE StructuralVars'!$Q35*('LE Shares'!C35/'LE Efficiencies'!C35)/('LE Shares'!C$12/'LE Efficiencies'!C$12)</f>
        <v>816.44832239856146</v>
      </c>
      <c r="F35" s="227">
        <f>'LE Efficiencies'!D$60*'LE StructuralVars'!$Q35*('LE Shares'!E35/'LE Efficiencies'!D35)/('LE Shares'!E$12/'LE Efficiencies'!D$12)</f>
        <v>62.697561616099435</v>
      </c>
      <c r="G35" s="227">
        <f>'LE Efficiencies'!E$60*'LE StructuralVars'!$Q35*('LE Shares'!F35/(1/'LE Efficiencies'!E35))/('LE Shares'!F$12/(1/'LE Efficiencies'!E$12))</f>
        <v>35.387578851137462</v>
      </c>
      <c r="H35" s="227">
        <f>'LE Efficiencies'!F$60*'LE StructuralVars'!$R35*('LE Shares'!H35/'LE Efficiencies'!F35)/('LE Shares'!H$12/'LE Efficiencies'!F$12)</f>
        <v>2269.7654060730674</v>
      </c>
      <c r="I35" s="227">
        <f>'LE Efficiencies'!G$60*'LE StructuralVars'!$R35*('LE Shares'!J35/'LE Efficiencies'!G35)/('LE Shares'!J$12/'LE Efficiencies'!G$12)</f>
        <v>2152.7091353445717</v>
      </c>
      <c r="J35" s="227">
        <f>'LE Efficiencies'!H$60*'LE StructuralVars'!$R35*('LE Shares'!M35/'LE Efficiencies'!H35)/('LE Shares'!M$12/'LE Efficiencies'!H$12)</f>
        <v>119.01418868563508</v>
      </c>
      <c r="K35" s="227">
        <f>'LE Efficiencies'!I$60*'LE StructuralVars'!$R35*('LE Shares'!N35/'LE Efficiencies'!I35)/('LE Shares'!N$12/'LE Efficiencies'!I$12)</f>
        <v>219.48667768189415</v>
      </c>
      <c r="L35" s="227">
        <f>'LE Efficiencies'!J$60*('LE Shares'!P35/'LE Efficiencies'!J35)/('LE Shares'!P$12/'LE Efficiencies'!J$12)</f>
        <v>2908.7978025078723</v>
      </c>
      <c r="M35" s="227">
        <f>'LE Efficiencies'!K$60*('LE Shares'!R35/(1/'LE Efficiencies'!K35))/('LE Shares'!R$12/(1/'LE Efficiencies'!K$12))</f>
        <v>607.64190026452331</v>
      </c>
      <c r="N35" s="227">
        <f>'LE Efficiencies'!L$60*('LE Shares'!T35/(1/'LE Efficiencies'!L35))/('LE Shares'!T$12/(1/'LE Efficiencies'!L$12))</f>
        <v>571.82009510002104</v>
      </c>
      <c r="O35" s="227">
        <f>'LE Efficiencies'!M$60*('LE Shares'!U35/(1/'LE Efficiencies'!M35))/('LE Shares'!U$12/(1/'LE Efficiencies'!M$12))</f>
        <v>100.57822766614211</v>
      </c>
      <c r="P35" s="227">
        <f>'LE Efficiencies'!N$60*('LE Shares'!W35/(1/'LE Efficiencies'!N35))/('LE Shares'!W$12/(1/'LE Efficiencies'!N$12))</f>
        <v>222.5538661912521</v>
      </c>
      <c r="Q35" s="227">
        <f>'LE Efficiencies'!O$60*('LE Shares'!Y35/(1/'LE Efficiencies'!O35))/('LE Shares'!Y$12/(1/'LE Efficiencies'!O$12))</f>
        <v>251.30876270829748</v>
      </c>
      <c r="R35" s="227">
        <f>'LE Efficiencies'!P$60*('LE Shares'!AA35/(1/'LE Efficiencies'!P35))/('LE Shares'!AA$12/(1/'LE Efficiencies'!P$12))</f>
        <v>62.496810364960396</v>
      </c>
      <c r="S35" s="227">
        <f>'LE Efficiencies'!Q$60*('LE Shares'!AC35/(1/'LE Efficiencies'!Q35))/('LE Shares'!AC$12/(1/'LE Efficiencies'!Q$12))</f>
        <v>584.40096581271257</v>
      </c>
      <c r="T35" s="227">
        <f>'LE Efficiencies'!R$60*('LE Shares'!AE35/(1/'LE Efficiencies'!R35))/('LE Shares'!AE$12/(1/'LE Efficiencies'!R$12))</f>
        <v>813.85238751807788</v>
      </c>
      <c r="U35" s="227">
        <f>'LE Efficiencies'!S$60*('LE Shares'!AG35/(1/'LE Efficiencies'!S35))/('LE Shares'!AG$12/(1/'LE Efficiencies'!S$12))</f>
        <v>223.76907417574455</v>
      </c>
      <c r="V35" s="227">
        <f>'LE Efficiencies'!T$60*('LE Shares'!AH35/(1/'LE Efficiencies'!T35))/('LE Shares'!AH$12/(1/'LE Efficiencies'!T$12))</f>
        <v>1092.6090021244163</v>
      </c>
      <c r="W35" s="227">
        <f>'LE Efficiencies'!U$60*('LE Shares'!AI35/(1/'LE Efficiencies'!U35))/('LE Shares'!AI$12/(1/'LE Efficiencies'!U$12))</f>
        <v>6670.507696535763</v>
      </c>
      <c r="X35" s="153">
        <f t="shared" si="2"/>
        <v>14110.336590969784</v>
      </c>
      <c r="Y35" s="198">
        <f t="shared" si="10"/>
        <v>2028</v>
      </c>
      <c r="Z35" s="192">
        <f t="shared" si="7"/>
        <v>6.5321571791783356E-2</v>
      </c>
      <c r="AA35" s="192">
        <f t="shared" si="7"/>
        <v>5.9649329234776574E-2</v>
      </c>
      <c r="AB35" s="192">
        <f t="shared" si="7"/>
        <v>4.5806542710130444E-3</v>
      </c>
      <c r="AC35" s="192">
        <f t="shared" si="7"/>
        <v>2.5853998150328424E-3</v>
      </c>
      <c r="AD35" s="192">
        <f t="shared" si="7"/>
        <v>0.16582798969420395</v>
      </c>
      <c r="AE35" s="192">
        <f t="shared" si="7"/>
        <v>0.1572759137818345</v>
      </c>
      <c r="AF35" s="192">
        <f t="shared" si="7"/>
        <v>8.6951204745739294E-3</v>
      </c>
      <c r="AG35" s="192">
        <f t="shared" si="7"/>
        <v>1.6035593117801058E-2</v>
      </c>
      <c r="AH35" s="192">
        <f t="shared" si="7"/>
        <v>0.21251539508275974</v>
      </c>
      <c r="AI35" s="192">
        <f t="shared" si="7"/>
        <v>4.4394030548365895E-2</v>
      </c>
      <c r="AJ35" s="192">
        <f t="shared" si="7"/>
        <v>4.1776906363746244E-2</v>
      </c>
      <c r="AK35" s="192">
        <f t="shared" si="7"/>
        <v>7.3481978605613651E-3</v>
      </c>
      <c r="AL35" s="192">
        <f t="shared" si="7"/>
        <v>1.6259680463197677E-2</v>
      </c>
      <c r="AM35" s="192">
        <f t="shared" si="7"/>
        <v>1.8360499636195945E-2</v>
      </c>
      <c r="AN35" s="192">
        <f t="shared" si="7"/>
        <v>4.5659874793191049E-3</v>
      </c>
      <c r="AO35" s="192">
        <f t="shared" si="7"/>
        <v>4.2696058842370793E-2</v>
      </c>
      <c r="AP35" s="192">
        <f t="shared" ref="AI35:AS50" si="11">T35/$X$19</f>
        <v>5.9459671457168434E-2</v>
      </c>
      <c r="AQ35" s="192">
        <f t="shared" si="11"/>
        <v>1.6348462985210546E-2</v>
      </c>
      <c r="AR35" s="192">
        <f t="shared" si="11"/>
        <v>7.9825498203160788E-2</v>
      </c>
      <c r="AS35" s="192">
        <f t="shared" si="11"/>
        <v>0.48734414516873276</v>
      </c>
    </row>
    <row r="36" spans="1:45" x14ac:dyDescent="0.2">
      <c r="A36" s="198">
        <f t="shared" si="9"/>
        <v>2029</v>
      </c>
      <c r="B36" s="226">
        <f t="shared" si="8"/>
        <v>1812.0608840026307</v>
      </c>
      <c r="C36" s="226">
        <f t="shared" si="4"/>
        <v>4807.2112701217493</v>
      </c>
      <c r="D36" s="227">
        <f>'LE Efficiencies'!B$60*'LE StructuralVars'!$Q36*('LE Shares'!B36/'LE Efficiencies'!B36)/('LE Shares'!B$12/'LE Efficiencies'!B$12)</f>
        <v>884.74855805081449</v>
      </c>
      <c r="E36" s="227">
        <f>'LE Efficiencies'!C$60*'LE StructuralVars'!$Q36*('LE Shares'!C36/'LE Efficiencies'!C36)/('LE Shares'!C$12/'LE Efficiencies'!C$12)</f>
        <v>830.20366685853446</v>
      </c>
      <c r="F36" s="227">
        <f>'LE Efficiencies'!D$60*'LE StructuralVars'!$Q36*('LE Shares'!E36/'LE Efficiencies'!D36)/('LE Shares'!E$12/'LE Efficiencies'!D$12)</f>
        <v>63.464725062795701</v>
      </c>
      <c r="G36" s="227">
        <f>'LE Efficiencies'!E$60*'LE StructuralVars'!$Q36*('LE Shares'!F36/(1/'LE Efficiencies'!E36))/('LE Shares'!F$12/(1/'LE Efficiencies'!E$12))</f>
        <v>33.643934030486115</v>
      </c>
      <c r="H36" s="227">
        <f>'LE Efficiencies'!F$60*'LE StructuralVars'!$R36*('LE Shares'!H36/'LE Efficiencies'!F36)/('LE Shares'!H$12/'LE Efficiencies'!F$12)</f>
        <v>2270.4901625103794</v>
      </c>
      <c r="I36" s="227">
        <f>'LE Efficiencies'!G$60*'LE StructuralVars'!$R36*('LE Shares'!J36/'LE Efficiencies'!G36)/('LE Shares'!J$12/'LE Efficiencies'!G$12)</f>
        <v>2198.2304605810191</v>
      </c>
      <c r="J36" s="227">
        <f>'LE Efficiencies'!H$60*'LE StructuralVars'!$R36*('LE Shares'!M36/'LE Efficiencies'!H36)/('LE Shares'!M$12/'LE Efficiencies'!H$12)</f>
        <v>120.81506026212007</v>
      </c>
      <c r="K36" s="227">
        <f>'LE Efficiencies'!I$60*'LE StructuralVars'!$R36*('LE Shares'!N36/'LE Efficiencies'!I36)/('LE Shares'!N$12/'LE Efficiencies'!I$12)</f>
        <v>217.67558676823163</v>
      </c>
      <c r="L36" s="227">
        <f>'LE Efficiencies'!J$60*('LE Shares'!P36/'LE Efficiencies'!J36)/('LE Shares'!P$12/'LE Efficiencies'!J$12)</f>
        <v>2908.4585337599892</v>
      </c>
      <c r="M36" s="227">
        <f>'LE Efficiencies'!K$60*('LE Shares'!R36/(1/'LE Efficiencies'!K36))/('LE Shares'!R$12/(1/'LE Efficiencies'!K$12))</f>
        <v>608.64918649116237</v>
      </c>
      <c r="N36" s="227">
        <f>'LE Efficiencies'!L$60*('LE Shares'!T36/(1/'LE Efficiencies'!L36))/('LE Shares'!T$12/(1/'LE Efficiencies'!L$12))</f>
        <v>570.95610279841981</v>
      </c>
      <c r="O36" s="227">
        <f>'LE Efficiencies'!M$60*('LE Shares'!U36/(1/'LE Efficiencies'!M36))/('LE Shares'!U$12/(1/'LE Efficiencies'!M$12))</f>
        <v>100.31203566665351</v>
      </c>
      <c r="P36" s="227">
        <f>'LE Efficiencies'!N$60*('LE Shares'!W36/(1/'LE Efficiencies'!N36))/('LE Shares'!W$12/(1/'LE Efficiencies'!N$12))</f>
        <v>220.79087775791237</v>
      </c>
      <c r="Q36" s="227">
        <f>'LE Efficiencies'!O$60*('LE Shares'!Y36/(1/'LE Efficiencies'!O36))/('LE Shares'!Y$12/(1/'LE Efficiencies'!O$12))</f>
        <v>252.5183882354282</v>
      </c>
      <c r="R36" s="227">
        <f>'LE Efficiencies'!P$60*('LE Shares'!AA36/(1/'LE Efficiencies'!P36))/('LE Shares'!AA$12/(1/'LE Efficiencies'!P$12))</f>
        <v>61.113504564762593</v>
      </c>
      <c r="S36" s="227">
        <f>'LE Efficiencies'!Q$60*('LE Shares'!AC36/(1/'LE Efficiencies'!Q36))/('LE Shares'!AC$12/(1/'LE Efficiencies'!Q$12))</f>
        <v>580.24508614327021</v>
      </c>
      <c r="T36" s="227">
        <f>'LE Efficiencies'!R$60*('LE Shares'!AE36/(1/'LE Efficiencies'!R36))/('LE Shares'!AE$12/(1/'LE Efficiencies'!R$12))</f>
        <v>819.9613343283512</v>
      </c>
      <c r="U36" s="227">
        <f>'LE Efficiencies'!S$60*('LE Shares'!AG36/(1/'LE Efficiencies'!S36))/('LE Shares'!AG$12/(1/'LE Efficiencies'!S$12))</f>
        <v>221.92669772443145</v>
      </c>
      <c r="V36" s="227">
        <f>'LE Efficiencies'!T$60*('LE Shares'!AH36/(1/'LE Efficiencies'!T36))/('LE Shares'!AH$12/(1/'LE Efficiencies'!T$12))</f>
        <v>1085.2043944378738</v>
      </c>
      <c r="W36" s="227">
        <f>'LE Efficiencies'!U$60*('LE Shares'!AI36/(1/'LE Efficiencies'!U36))/('LE Shares'!AI$12/(1/'LE Efficiencies'!U$12))</f>
        <v>6788.54700616836</v>
      </c>
      <c r="X36" s="153">
        <f t="shared" si="2"/>
        <v>14218.683148076614</v>
      </c>
      <c r="Y36" s="198">
        <f t="shared" si="10"/>
        <v>2029</v>
      </c>
      <c r="Z36" s="192">
        <f t="shared" si="7"/>
        <v>6.4639312227533899E-2</v>
      </c>
      <c r="AA36" s="192">
        <f t="shared" si="7"/>
        <v>6.0654288211261745E-2</v>
      </c>
      <c r="AB36" s="192">
        <f t="shared" si="7"/>
        <v>4.6367028704815761E-3</v>
      </c>
      <c r="AC36" s="192">
        <f t="shared" si="7"/>
        <v>2.4580099470862798E-3</v>
      </c>
      <c r="AD36" s="192">
        <f t="shared" si="7"/>
        <v>0.16588094005757445</v>
      </c>
      <c r="AE36" s="192">
        <f t="shared" si="7"/>
        <v>0.16060168032668468</v>
      </c>
      <c r="AF36" s="192">
        <f t="shared" si="7"/>
        <v>8.8266913023021601E-3</v>
      </c>
      <c r="AG36" s="192">
        <f t="shared" si="7"/>
        <v>1.5903275670120114E-2</v>
      </c>
      <c r="AH36" s="192">
        <f t="shared" si="7"/>
        <v>0.21249060826810612</v>
      </c>
      <c r="AI36" s="192">
        <f t="shared" si="11"/>
        <v>4.4467622404847307E-2</v>
      </c>
      <c r="AJ36" s="192">
        <f t="shared" si="11"/>
        <v>4.1713783493822133E-2</v>
      </c>
      <c r="AK36" s="192">
        <f t="shared" si="11"/>
        <v>7.3287499986678991E-3</v>
      </c>
      <c r="AL36" s="192">
        <f t="shared" si="11"/>
        <v>1.6130877360034403E-2</v>
      </c>
      <c r="AM36" s="192">
        <f t="shared" si="11"/>
        <v>1.8448874306507764E-2</v>
      </c>
      <c r="AN36" s="192">
        <f t="shared" si="11"/>
        <v>4.4649238101992185E-3</v>
      </c>
      <c r="AO36" s="192">
        <f t="shared" si="11"/>
        <v>4.2392432234462027E-2</v>
      </c>
      <c r="AP36" s="192">
        <f t="shared" si="11"/>
        <v>5.9905988228930812E-2</v>
      </c>
      <c r="AQ36" s="192">
        <f t="shared" si="11"/>
        <v>1.6213859830909338E-2</v>
      </c>
      <c r="AR36" s="192">
        <f t="shared" si="11"/>
        <v>7.9284521059069954E-2</v>
      </c>
      <c r="AS36" s="192">
        <f t="shared" si="11"/>
        <v>0.49596804143963885</v>
      </c>
    </row>
    <row r="37" spans="1:45" x14ac:dyDescent="0.2">
      <c r="A37" s="198">
        <f t="shared" si="9"/>
        <v>2030</v>
      </c>
      <c r="B37" s="226">
        <f t="shared" si="8"/>
        <v>1815.0842586892111</v>
      </c>
      <c r="C37" s="226">
        <f t="shared" si="4"/>
        <v>4852.5698717163405</v>
      </c>
      <c r="D37" s="227">
        <f>'LE Efficiencies'!B$60*'LE StructuralVars'!$Q37*('LE Shares'!B37/'LE Efficiencies'!B37)/('LE Shares'!B$12/'LE Efficiencies'!B$12)</f>
        <v>875.37380925352511</v>
      </c>
      <c r="E37" s="227">
        <f>'LE Efficiencies'!C$60*'LE StructuralVars'!$Q37*('LE Shares'!C37/'LE Efficiencies'!C37)/('LE Shares'!C$12/'LE Efficiencies'!C$12)</f>
        <v>843.60127989982743</v>
      </c>
      <c r="F37" s="227">
        <f>'LE Efficiencies'!D$60*'LE StructuralVars'!$Q37*('LE Shares'!E37/'LE Efficiencies'!D37)/('LE Shares'!E$12/'LE Efficiencies'!D$12)</f>
        <v>64.147689668401384</v>
      </c>
      <c r="G37" s="227">
        <f>'LE Efficiencies'!E$60*'LE StructuralVars'!$Q37*('LE Shares'!F37/(1/'LE Efficiencies'!E37))/('LE Shares'!F$12/(1/'LE Efficiencies'!E$12))</f>
        <v>31.961479867457065</v>
      </c>
      <c r="H37" s="227">
        <f>'LE Efficiencies'!F$60*'LE StructuralVars'!$R37*('LE Shares'!H37/'LE Efficiencies'!F37)/('LE Shares'!H$12/'LE Efficiencies'!F$12)</f>
        <v>2271.5988034970896</v>
      </c>
      <c r="I37" s="227">
        <f>'LE Efficiencies'!G$60*'LE StructuralVars'!$R37*('LE Shares'!J37/'LE Efficiencies'!G37)/('LE Shares'!J$12/'LE Efficiencies'!G$12)</f>
        <v>2242.9495929638392</v>
      </c>
      <c r="J37" s="227">
        <f>'LE Efficiencies'!H$60*'LE StructuralVars'!$R37*('LE Shares'!M37/'LE Efficiencies'!H37)/('LE Shares'!M$12/'LE Efficiencies'!H$12)</f>
        <v>122.45426976196921</v>
      </c>
      <c r="K37" s="227">
        <f>'LE Efficiencies'!I$60*'LE StructuralVars'!$R37*('LE Shares'!N37/'LE Efficiencies'!I37)/('LE Shares'!N$12/'LE Efficiencies'!I$12)</f>
        <v>215.56720549344283</v>
      </c>
      <c r="L37" s="227">
        <f>'LE Efficiencies'!J$60*('LE Shares'!P37/'LE Efficiencies'!J37)/('LE Shares'!P$12/'LE Efficiencies'!J$12)</f>
        <v>2909.0156988013323</v>
      </c>
      <c r="M37" s="227">
        <f>'LE Efficiencies'!K$60*('LE Shares'!R37/(1/'LE Efficiencies'!K37))/('LE Shares'!R$12/(1/'LE Efficiencies'!K$12))</f>
        <v>609.66328798493157</v>
      </c>
      <c r="N37" s="227">
        <f>'LE Efficiencies'!L$60*('LE Shares'!T37/(1/'LE Efficiencies'!L37))/('LE Shares'!T$12/(1/'LE Efficiencies'!L$12))</f>
        <v>570.06415061512087</v>
      </c>
      <c r="O37" s="227">
        <f>'LE Efficiencies'!M$60*('LE Shares'!U37/(1/'LE Efficiencies'!M37))/('LE Shares'!U$12/(1/'LE Efficiencies'!M$12))</f>
        <v>100.05263884647238</v>
      </c>
      <c r="P37" s="227">
        <f>'LE Efficiencies'!N$60*('LE Shares'!W37/(1/'LE Efficiencies'!N37))/('LE Shares'!W$12/(1/'LE Efficiencies'!N$12))</f>
        <v>219.10221633558919</v>
      </c>
      <c r="Q37" s="227">
        <f>'LE Efficiencies'!O$60*('LE Shares'!Y37/(1/'LE Efficiencies'!O37))/('LE Shares'!Y$12/(1/'LE Efficiencies'!O$12))</f>
        <v>253.94281222951633</v>
      </c>
      <c r="R37" s="227">
        <f>'LE Efficiencies'!P$60*('LE Shares'!AA37/(1/'LE Efficiencies'!P37))/('LE Shares'!AA$12/(1/'LE Efficiencies'!P$12))</f>
        <v>60.047760241865447</v>
      </c>
      <c r="S37" s="227">
        <f>'LE Efficiencies'!Q$60*('LE Shares'!AC37/(1/'LE Efficiencies'!Q37))/('LE Shares'!AC$12/(1/'LE Efficiencies'!Q$12))</f>
        <v>577.4782541881342</v>
      </c>
      <c r="T37" s="227">
        <f>'LE Efficiencies'!R$60*('LE Shares'!AE37/(1/'LE Efficiencies'!R37))/('LE Shares'!AE$12/(1/'LE Efficiencies'!R$12))</f>
        <v>826.70591060252605</v>
      </c>
      <c r="U37" s="227">
        <f>'LE Efficiencies'!S$60*('LE Shares'!AG37/(1/'LE Efficiencies'!S37))/('LE Shares'!AG$12/(1/'LE Efficiencies'!S$12))</f>
        <v>216.35286772764073</v>
      </c>
      <c r="V37" s="227">
        <f>'LE Efficiencies'!T$60*('LE Shares'!AH37/(1/'LE Efficiencies'!T37))/('LE Shares'!AH$12/(1/'LE Efficiencies'!T$12))</f>
        <v>1078.9100266001583</v>
      </c>
      <c r="W37" s="227">
        <f>'LE Efficiencies'!U$60*('LE Shares'!AI37/(1/'LE Efficiencies'!U37))/('LE Shares'!AI$12/(1/'LE Efficiencies'!U$12))</f>
        <v>6916.0520254682824</v>
      </c>
      <c r="X37" s="153">
        <f t="shared" si="2"/>
        <v>14337.387649641569</v>
      </c>
      <c r="Y37" s="198">
        <f t="shared" si="10"/>
        <v>2030</v>
      </c>
      <c r="Z37" s="192">
        <f t="shared" si="7"/>
        <v>6.3954397503402885E-2</v>
      </c>
      <c r="AA37" s="192">
        <f t="shared" si="7"/>
        <v>6.1633111499075542E-2</v>
      </c>
      <c r="AB37" s="192">
        <f t="shared" si="7"/>
        <v>4.6865999423449751E-3</v>
      </c>
      <c r="AC37" s="192">
        <f t="shared" si="7"/>
        <v>2.3350906397158993E-3</v>
      </c>
      <c r="AD37" s="192">
        <f t="shared" si="7"/>
        <v>0.16596193684500757</v>
      </c>
      <c r="AE37" s="192">
        <f t="shared" si="7"/>
        <v>0.16386883904012281</v>
      </c>
      <c r="AF37" s="192">
        <f t="shared" si="7"/>
        <v>8.9464511749834143E-3</v>
      </c>
      <c r="AG37" s="192">
        <f t="shared" si="7"/>
        <v>1.5749238328916632E-2</v>
      </c>
      <c r="AH37" s="192">
        <f t="shared" si="7"/>
        <v>0.21253131448315662</v>
      </c>
      <c r="AI37" s="192">
        <f t="shared" si="11"/>
        <v>4.4541712181529816E-2</v>
      </c>
      <c r="AJ37" s="192">
        <f t="shared" si="11"/>
        <v>4.1648617888132636E-2</v>
      </c>
      <c r="AK37" s="192">
        <f t="shared" si="11"/>
        <v>7.3097985893686764E-3</v>
      </c>
      <c r="AL37" s="192">
        <f t="shared" si="11"/>
        <v>1.6007504553228573E-2</v>
      </c>
      <c r="AM37" s="192">
        <f t="shared" si="11"/>
        <v>1.8552942051473748E-2</v>
      </c>
      <c r="AN37" s="192">
        <f t="shared" si="11"/>
        <v>4.3870610327856685E-3</v>
      </c>
      <c r="AO37" s="192">
        <f t="shared" si="11"/>
        <v>4.2190288797208882E-2</v>
      </c>
      <c r="AP37" s="192">
        <f t="shared" si="11"/>
        <v>6.0398743789436361E-2</v>
      </c>
      <c r="AQ37" s="192">
        <f t="shared" si="11"/>
        <v>1.5806638441072322E-2</v>
      </c>
      <c r="AR37" s="192">
        <f t="shared" si="11"/>
        <v>7.8824657514524138E-2</v>
      </c>
      <c r="AS37" s="192">
        <f t="shared" si="11"/>
        <v>0.5052834979929256</v>
      </c>
    </row>
    <row r="38" spans="1:45" x14ac:dyDescent="0.2">
      <c r="A38" s="198">
        <f t="shared" si="9"/>
        <v>2031</v>
      </c>
      <c r="B38" s="226">
        <f t="shared" si="8"/>
        <v>1817.2840395126191</v>
      </c>
      <c r="C38" s="226">
        <f t="shared" si="4"/>
        <v>4895.9354402767412</v>
      </c>
      <c r="D38" s="227">
        <f>'LE Efficiencies'!B$60*'LE StructuralVars'!$Q38*('LE Shares'!B38/'LE Efficiencies'!B38)/('LE Shares'!B$12/'LE Efficiencies'!B$12)</f>
        <v>866.00628184904201</v>
      </c>
      <c r="E38" s="227">
        <f>'LE Efficiencies'!C$60*'LE StructuralVars'!$Q38*('LE Shares'!C38/'LE Efficiencies'!C38)/('LE Shares'!C$12/'LE Efficiencies'!C$12)</f>
        <v>856.2299921563116</v>
      </c>
      <c r="F38" s="227">
        <f>'LE Efficiencies'!D$60*'LE StructuralVars'!$Q38*('LE Shares'!E38/'LE Efficiencies'!D38)/('LE Shares'!E$12/'LE Efficiencies'!D$12)</f>
        <v>64.726404736187632</v>
      </c>
      <c r="G38" s="227">
        <f>'LE Efficiencies'!E$60*'LE StructuralVars'!$Q38*('LE Shares'!F38/(1/'LE Efficiencies'!E38))/('LE Shares'!F$12/(1/'LE Efficiencies'!E$12))</f>
        <v>30.321360771077988</v>
      </c>
      <c r="H38" s="227">
        <f>'LE Efficiencies'!F$60*'LE StructuralVars'!$R38*('LE Shares'!H38/'LE Efficiencies'!F38)/('LE Shares'!H$12/'LE Efficiencies'!F$12)</f>
        <v>2272.265213302062</v>
      </c>
      <c r="I38" s="227">
        <f>'LE Efficiencies'!G$60*'LE StructuralVars'!$R38*('LE Shares'!J38/'LE Efficiencies'!G38)/('LE Shares'!J$12/'LE Efficiencies'!G$12)</f>
        <v>2286.0214333358363</v>
      </c>
      <c r="J38" s="227">
        <f>'LE Efficiencies'!H$60*'LE StructuralVars'!$R38*('LE Shares'!M38/'LE Efficiencies'!H38)/('LE Shares'!M$12/'LE Efficiencies'!H$12)</f>
        <v>123.91150589806801</v>
      </c>
      <c r="K38" s="227">
        <f>'LE Efficiencies'!I$60*'LE StructuralVars'!$R38*('LE Shares'!N38/'LE Efficiencies'!I38)/('LE Shares'!N$12/'LE Efficiencies'!I$12)</f>
        <v>213.73728774077486</v>
      </c>
      <c r="L38" s="227">
        <f>'LE Efficiencies'!J$60*('LE Shares'!P38/'LE Efficiencies'!J38)/('LE Shares'!P$12/'LE Efficiencies'!J$12)</f>
        <v>2910.4427884177289</v>
      </c>
      <c r="M38" s="227">
        <f>'LE Efficiencies'!K$60*('LE Shares'!R38/(1/'LE Efficiencies'!K38))/('LE Shares'!R$12/(1/'LE Efficiencies'!K$12))</f>
        <v>610.52291252712075</v>
      </c>
      <c r="N38" s="227">
        <f>'LE Efficiencies'!L$60*('LE Shares'!T38/(1/'LE Efficiencies'!L38))/('LE Shares'!T$12/(1/'LE Efficiencies'!L$12))</f>
        <v>569.10062047913743</v>
      </c>
      <c r="O38" s="227">
        <f>'LE Efficiencies'!M$60*('LE Shares'!U38/(1/'LE Efficiencies'!M38))/('LE Shares'!U$12/(1/'LE Efficiencies'!M$12))</f>
        <v>99.786894897038508</v>
      </c>
      <c r="P38" s="227">
        <f>'LE Efficiencies'!N$60*('LE Shares'!W38/(1/'LE Efficiencies'!N38))/('LE Shares'!W$12/(1/'LE Efficiencies'!N$12))</f>
        <v>217.49718081269125</v>
      </c>
      <c r="Q38" s="227">
        <f>'LE Efficiencies'!O$60*('LE Shares'!Y38/(1/'LE Efficiencies'!O38))/('LE Shares'!Y$12/(1/'LE Efficiencies'!O$12))</f>
        <v>255.60224498207933</v>
      </c>
      <c r="R38" s="227">
        <f>'LE Efficiencies'!P$60*('LE Shares'!AA38/(1/'LE Efficiencies'!P38))/('LE Shares'!AA$12/(1/'LE Efficiencies'!P$12))</f>
        <v>59.368126019578689</v>
      </c>
      <c r="S38" s="227">
        <f>'LE Efficiencies'!Q$60*('LE Shares'!AC38/(1/'LE Efficiencies'!Q38))/('LE Shares'!AC$12/(1/'LE Efficiencies'!Q$12))</f>
        <v>575.62783333299922</v>
      </c>
      <c r="T38" s="227">
        <f>'LE Efficiencies'!R$60*('LE Shares'!AE38/(1/'LE Efficiencies'!R38))/('LE Shares'!AE$12/(1/'LE Efficiencies'!R$12))</f>
        <v>833.57452269672297</v>
      </c>
      <c r="U38" s="227">
        <f>'LE Efficiencies'!S$60*('LE Shares'!AG38/(1/'LE Efficiencies'!S38))/('LE Shares'!AG$12/(1/'LE Efficiencies'!S$12))</f>
        <v>215.1109551984824</v>
      </c>
      <c r="V38" s="227">
        <f>'LE Efficiencies'!T$60*('LE Shares'!AH38/(1/'LE Efficiencies'!T38))/('LE Shares'!AH$12/(1/'LE Efficiencies'!T$12))</f>
        <v>1074.1971761602467</v>
      </c>
      <c r="W38" s="227">
        <f>'LE Efficiencies'!U$60*('LE Shares'!AI38/(1/'LE Efficiencies'!U38))/('LE Shares'!AI$12/(1/'LE Efficiencies'!U$12))</f>
        <v>7033.6667283835241</v>
      </c>
      <c r="X38" s="153">
        <f t="shared" si="2"/>
        <v>14454.497983907349</v>
      </c>
      <c r="Y38" s="198">
        <f t="shared" si="10"/>
        <v>2031</v>
      </c>
      <c r="Z38" s="192">
        <f t="shared" si="7"/>
        <v>6.3270010370823249E-2</v>
      </c>
      <c r="AA38" s="192">
        <f t="shared" si="7"/>
        <v>6.2555759258317981E-2</v>
      </c>
      <c r="AB38" s="192">
        <f t="shared" si="7"/>
        <v>4.7288805921601347E-3</v>
      </c>
      <c r="AC38" s="192">
        <f t="shared" si="7"/>
        <v>2.2152643123413153E-3</v>
      </c>
      <c r="AD38" s="192">
        <f t="shared" si="7"/>
        <v>0.16601062443094725</v>
      </c>
      <c r="AE38" s="192">
        <f t="shared" si="7"/>
        <v>0.16701564737644123</v>
      </c>
      <c r="AF38" s="192">
        <f t="shared" si="7"/>
        <v>9.0529161595639552E-3</v>
      </c>
      <c r="AG38" s="192">
        <f t="shared" si="7"/>
        <v>1.5615545401260436E-2</v>
      </c>
      <c r="AH38" s="192">
        <f t="shared" si="7"/>
        <v>0.21263557697723084</v>
      </c>
      <c r="AI38" s="192">
        <f t="shared" si="11"/>
        <v>4.460451594501199E-2</v>
      </c>
      <c r="AJ38" s="192">
        <f t="shared" si="11"/>
        <v>4.1578222830990427E-2</v>
      </c>
      <c r="AK38" s="192">
        <f t="shared" si="11"/>
        <v>7.2903834618008199E-3</v>
      </c>
      <c r="AL38" s="192">
        <f t="shared" si="11"/>
        <v>1.5890241415180119E-2</v>
      </c>
      <c r="AM38" s="192">
        <f t="shared" si="11"/>
        <v>1.867417942545696E-2</v>
      </c>
      <c r="AN38" s="192">
        <f t="shared" si="11"/>
        <v>4.3374072771562777E-3</v>
      </c>
      <c r="AO38" s="192">
        <f t="shared" si="11"/>
        <v>4.2055097922559792E-2</v>
      </c>
      <c r="AP38" s="192">
        <f t="shared" si="11"/>
        <v>6.0900561348432719E-2</v>
      </c>
      <c r="AQ38" s="192">
        <f t="shared" si="11"/>
        <v>1.5715904897625348E-2</v>
      </c>
      <c r="AR38" s="192">
        <f t="shared" si="11"/>
        <v>7.8480338884903245E-2</v>
      </c>
      <c r="AS38" s="192">
        <f t="shared" si="11"/>
        <v>0.51387637269739084</v>
      </c>
    </row>
    <row r="39" spans="1:45" x14ac:dyDescent="0.2">
      <c r="A39" s="198">
        <f t="shared" si="9"/>
        <v>2032</v>
      </c>
      <c r="B39" s="226">
        <f t="shared" si="8"/>
        <v>1818.5028265828009</v>
      </c>
      <c r="C39" s="226">
        <f t="shared" si="4"/>
        <v>4935.9681708853304</v>
      </c>
      <c r="D39" s="227">
        <f>'LE Efficiencies'!B$60*'LE StructuralVars'!$Q39*('LE Shares'!B39/'LE Efficiencies'!B39)/('LE Shares'!B$12/'LE Efficiencies'!B$12)</f>
        <v>856.78181287934024</v>
      </c>
      <c r="E39" s="227">
        <f>'LE Efficiencies'!C$60*'LE StructuralVars'!$Q39*('LE Shares'!C39/'LE Efficiencies'!C39)/('LE Shares'!C$12/'LE Efficiencies'!C$12)</f>
        <v>867.81804962345041</v>
      </c>
      <c r="F39" s="227">
        <f>'LE Efficiencies'!D$60*'LE StructuralVars'!$Q39*('LE Shares'!E39/'LE Efficiencies'!D39)/('LE Shares'!E$12/'LE Efficiencies'!D$12)</f>
        <v>65.187494474076217</v>
      </c>
      <c r="G39" s="227">
        <f>'LE Efficiencies'!E$60*'LE StructuralVars'!$Q39*('LE Shares'!F39/(1/'LE Efficiencies'!E39))/('LE Shares'!F$12/(1/'LE Efficiencies'!E$12))</f>
        <v>28.715469605934217</v>
      </c>
      <c r="H39" s="227">
        <f>'LE Efficiencies'!F$60*'LE StructuralVars'!$R39*('LE Shares'!H39/'LE Efficiencies'!F39)/('LE Shares'!H$12/'LE Efficiencies'!F$12)</f>
        <v>2272.17623411663</v>
      </c>
      <c r="I39" s="227">
        <f>'LE Efficiencies'!G$60*'LE StructuralVars'!$R39*('LE Shares'!J39/'LE Efficiencies'!G39)/('LE Shares'!J$12/'LE Efficiencies'!G$12)</f>
        <v>2326.733682900935</v>
      </c>
      <c r="J39" s="227">
        <f>'LE Efficiencies'!H$60*'LE StructuralVars'!$R39*('LE Shares'!M39/'LE Efficiencies'!H39)/('LE Shares'!M$12/'LE Efficiencies'!H$12)</f>
        <v>125.16341846256181</v>
      </c>
      <c r="K39" s="227">
        <f>'LE Efficiencies'!I$60*'LE StructuralVars'!$R39*('LE Shares'!N39/'LE Efficiencies'!I39)/('LE Shares'!N$12/'LE Efficiencies'!I$12)</f>
        <v>211.89483540520317</v>
      </c>
      <c r="L39" s="227">
        <f>'LE Efficiencies'!J$60*('LE Shares'!P39/'LE Efficiencies'!J39)/('LE Shares'!P$12/'LE Efficiencies'!J$12)</f>
        <v>2912.7361744498735</v>
      </c>
      <c r="M39" s="227">
        <f>'LE Efficiencies'!K$60*('LE Shares'!R39/(1/'LE Efficiencies'!K39))/('LE Shares'!R$12/(1/'LE Efficiencies'!K$12))</f>
        <v>611.37908138938906</v>
      </c>
      <c r="N39" s="227">
        <f>'LE Efficiencies'!L$60*('LE Shares'!T39/(1/'LE Efficiencies'!L39))/('LE Shares'!T$12/(1/'LE Efficiencies'!L$12))</f>
        <v>568.03927203988712</v>
      </c>
      <c r="O39" s="227">
        <f>'LE Efficiencies'!M$60*('LE Shares'!U39/(1/'LE Efficiencies'!M39))/('LE Shares'!U$12/(1/'LE Efficiencies'!M$12))</f>
        <v>99.503638349400276</v>
      </c>
      <c r="P39" s="227">
        <f>'LE Efficiencies'!N$60*('LE Shares'!W39/(1/'LE Efficiencies'!N39))/('LE Shares'!W$12/(1/'LE Efficiencies'!N$12))</f>
        <v>215.96625706724535</v>
      </c>
      <c r="Q39" s="227">
        <f>'LE Efficiencies'!O$60*('LE Shares'!Y39/(1/'LE Efficiencies'!O39))/('LE Shares'!Y$12/(1/'LE Efficiencies'!O$12))</f>
        <v>257.20182183489732</v>
      </c>
      <c r="R39" s="227">
        <f>'LE Efficiencies'!P$60*('LE Shares'!AA39/(1/'LE Efficiencies'!P39))/('LE Shares'!AA$12/(1/'LE Efficiencies'!P$12))</f>
        <v>59.027379497665358</v>
      </c>
      <c r="S39" s="227">
        <f>'LE Efficiencies'!Q$60*('LE Shares'!AC39/(1/'LE Efficiencies'!Q39))/('LE Shares'!AC$12/(1/'LE Efficiencies'!Q$12))</f>
        <v>574.55710535142225</v>
      </c>
      <c r="T39" s="227">
        <f>'LE Efficiencies'!R$60*('LE Shares'!AE39/(1/'LE Efficiencies'!R39))/('LE Shares'!AE$12/(1/'LE Efficiencies'!R$12))</f>
        <v>840.25024874904545</v>
      </c>
      <c r="U39" s="227">
        <f>'LE Efficiencies'!S$60*('LE Shares'!AG39/(1/'LE Efficiencies'!S39))/('LE Shares'!AG$12/(1/'LE Efficiencies'!S$12))</f>
        <v>213.60966528106684</v>
      </c>
      <c r="V39" s="227">
        <f>'LE Efficiencies'!T$60*('LE Shares'!AH39/(1/'LE Efficiencies'!T39))/('LE Shares'!AH$12/(1/'LE Efficiencies'!T$12))</f>
        <v>1070.0692847796925</v>
      </c>
      <c r="W39" s="227">
        <f>'LE Efficiencies'!U$60*('LE Shares'!AI39/(1/'LE Efficiencies'!U39))/('LE Shares'!AI$12/(1/'LE Efficiencies'!U$12))</f>
        <v>7138.8838803119252</v>
      </c>
      <c r="X39" s="153">
        <f t="shared" si="2"/>
        <v>14561.22380910151</v>
      </c>
      <c r="Y39" s="198">
        <f t="shared" si="10"/>
        <v>2032</v>
      </c>
      <c r="Z39" s="192">
        <f t="shared" si="7"/>
        <v>6.2596075019993883E-2</v>
      </c>
      <c r="AA39" s="192">
        <f t="shared" si="7"/>
        <v>6.3402377269630938E-2</v>
      </c>
      <c r="AB39" s="192">
        <f t="shared" si="7"/>
        <v>4.7625675908685074E-3</v>
      </c>
      <c r="AC39" s="192">
        <f t="shared" si="7"/>
        <v>2.0979386614740727E-3</v>
      </c>
      <c r="AD39" s="192">
        <f t="shared" si="7"/>
        <v>0.1660041236536399</v>
      </c>
      <c r="AE39" s="192">
        <f t="shared" si="7"/>
        <v>0.16999006512166073</v>
      </c>
      <c r="AF39" s="192">
        <f t="shared" si="7"/>
        <v>9.144380300874529E-3</v>
      </c>
      <c r="AG39" s="192">
        <f t="shared" si="7"/>
        <v>1.54809367028911E-2</v>
      </c>
      <c r="AH39" s="192">
        <f t="shared" si="7"/>
        <v>0.21280313067872164</v>
      </c>
      <c r="AI39" s="192">
        <f t="shared" si="11"/>
        <v>4.4667067238149533E-2</v>
      </c>
      <c r="AJ39" s="192">
        <f t="shared" si="11"/>
        <v>4.1500681214762143E-2</v>
      </c>
      <c r="AK39" s="192">
        <f t="shared" si="11"/>
        <v>7.2696888720705823E-3</v>
      </c>
      <c r="AL39" s="192">
        <f t="shared" si="11"/>
        <v>1.5778392848626435E-2</v>
      </c>
      <c r="AM39" s="192">
        <f t="shared" si="11"/>
        <v>1.8791043755644769E-2</v>
      </c>
      <c r="AN39" s="192">
        <f t="shared" si="11"/>
        <v>4.3125124970292243E-3</v>
      </c>
      <c r="AO39" s="192">
        <f t="shared" si="11"/>
        <v>4.197687104139438E-2</v>
      </c>
      <c r="AP39" s="192">
        <f t="shared" si="11"/>
        <v>6.1388286744213212E-2</v>
      </c>
      <c r="AQ39" s="192">
        <f t="shared" si="11"/>
        <v>1.5606221364566342E-2</v>
      </c>
      <c r="AR39" s="192">
        <f t="shared" si="11"/>
        <v>7.8178757088175788E-2</v>
      </c>
      <c r="AS39" s="192">
        <f t="shared" si="11"/>
        <v>0.52156348817591203</v>
      </c>
    </row>
    <row r="40" spans="1:45" x14ac:dyDescent="0.2">
      <c r="A40" s="198">
        <f t="shared" si="9"/>
        <v>2033</v>
      </c>
      <c r="B40" s="226">
        <f t="shared" si="8"/>
        <v>1819.3114855305255</v>
      </c>
      <c r="C40" s="226">
        <f t="shared" si="4"/>
        <v>4974.8480311534086</v>
      </c>
      <c r="D40" s="227">
        <f>'LE Efficiencies'!B$60*'LE StructuralVars'!$Q40*('LE Shares'!B40/'LE Efficiencies'!B40)/('LE Shares'!B$12/'LE Efficiencies'!B$12)</f>
        <v>847.62844361667521</v>
      </c>
      <c r="E40" s="227">
        <f>'LE Efficiencies'!C$60*'LE StructuralVars'!$Q40*('LE Shares'!C40/'LE Efficiencies'!C40)/('LE Shares'!C$12/'LE Efficiencies'!C$12)</f>
        <v>878.94571966623232</v>
      </c>
      <c r="F40" s="227">
        <f>'LE Efficiencies'!D$60*'LE StructuralVars'!$Q40*('LE Shares'!E40/'LE Efficiencies'!D40)/('LE Shares'!E$12/'LE Efficiencies'!D$12)</f>
        <v>65.584579373213373</v>
      </c>
      <c r="G40" s="227">
        <f>'LE Efficiencies'!E$60*'LE StructuralVars'!$Q40*('LE Shares'!F40/(1/'LE Efficiencies'!E40))/('LE Shares'!F$12/(1/'LE Efficiencies'!E$12))</f>
        <v>27.152742874404517</v>
      </c>
      <c r="H40" s="227">
        <f>'LE Efficiencies'!F$60*'LE StructuralVars'!$R40*('LE Shares'!H40/'LE Efficiencies'!F40)/('LE Shares'!H$12/'LE Efficiencies'!F$12)</f>
        <v>2272.0170725914891</v>
      </c>
      <c r="I40" s="227">
        <f>'LE Efficiencies'!G$60*'LE StructuralVars'!$R40*('LE Shares'!J40/'LE Efficiencies'!G40)/('LE Shares'!J$12/'LE Efficiencies'!G$12)</f>
        <v>2366.4699506510542</v>
      </c>
      <c r="J40" s="227">
        <f>'LE Efficiencies'!H$60*'LE StructuralVars'!$R40*('LE Shares'!M40/'LE Efficiencies'!H40)/('LE Shares'!M$12/'LE Efficiencies'!H$12)</f>
        <v>126.2944274607365</v>
      </c>
      <c r="K40" s="227">
        <f>'LE Efficiencies'!I$60*'LE StructuralVars'!$R40*('LE Shares'!N40/'LE Efficiencies'!I40)/('LE Shares'!N$12/'LE Efficiencies'!I$12)</f>
        <v>210.06658045012892</v>
      </c>
      <c r="L40" s="227">
        <f>'LE Efficiencies'!J$60*('LE Shares'!P40/'LE Efficiencies'!J40)/('LE Shares'!P$12/'LE Efficiencies'!J$12)</f>
        <v>2916.0118769204619</v>
      </c>
      <c r="M40" s="227">
        <f>'LE Efficiencies'!K$60*('LE Shares'!R40/(1/'LE Efficiencies'!K40))/('LE Shares'!R$12/(1/'LE Efficiencies'!K$12))</f>
        <v>612.08899473488282</v>
      </c>
      <c r="N40" s="227">
        <f>'LE Efficiencies'!L$60*('LE Shares'!T40/(1/'LE Efficiencies'!L40))/('LE Shares'!T$12/(1/'LE Efficiencies'!L$12))</f>
        <v>567.10119969701395</v>
      </c>
      <c r="O40" s="227">
        <f>'LE Efficiencies'!M$60*('LE Shares'!U40/(1/'LE Efficiencies'!M40))/('LE Shares'!U$12/(1/'LE Efficiencies'!M$12))</f>
        <v>99.249581510436244</v>
      </c>
      <c r="P40" s="227">
        <f>'LE Efficiencies'!N$60*('LE Shares'!W40/(1/'LE Efficiencies'!N40))/('LE Shares'!W$12/(1/'LE Efficiencies'!N$12))</f>
        <v>214.4992311037997</v>
      </c>
      <c r="Q40" s="227">
        <f>'LE Efficiencies'!O$60*('LE Shares'!Y40/(1/'LE Efficiencies'!O40))/('LE Shares'!Y$12/(1/'LE Efficiencies'!O$12))</f>
        <v>258.76812789021369</v>
      </c>
      <c r="R40" s="227">
        <f>'LE Efficiencies'!P$60*('LE Shares'!AA40/(1/'LE Efficiencies'!P40))/('LE Shares'!AA$12/(1/'LE Efficiencies'!P$12))</f>
        <v>59.037294754723249</v>
      </c>
      <c r="S40" s="227">
        <f>'LE Efficiencies'!Q$60*('LE Shares'!AC40/(1/'LE Efficiencies'!Q40))/('LE Shares'!AC$12/(1/'LE Efficiencies'!Q$12))</f>
        <v>574.09301249586599</v>
      </c>
      <c r="T40" s="227">
        <f>'LE Efficiencies'!R$60*('LE Shares'!AE40/(1/'LE Efficiencies'!R40))/('LE Shares'!AE$12/(1/'LE Efficiencies'!R$12))</f>
        <v>846.21242150180751</v>
      </c>
      <c r="U40" s="227">
        <f>'LE Efficiencies'!S$60*('LE Shares'!AG40/(1/'LE Efficiencies'!S40))/('LE Shares'!AG$12/(1/'LE Efficiencies'!S$12))</f>
        <v>212.24683225019928</v>
      </c>
      <c r="V40" s="227">
        <f>'LE Efficiencies'!T$60*('LE Shares'!AH40/(1/'LE Efficiencies'!T40))/('LE Shares'!AH$12/(1/'LE Efficiencies'!T$12))</f>
        <v>1065.7162464199123</v>
      </c>
      <c r="W40" s="227">
        <f>'LE Efficiencies'!U$60*('LE Shares'!AI40/(1/'LE Efficiencies'!U40))/('LE Shares'!AI$12/(1/'LE Efficiencies'!U$12))</f>
        <v>7234.6442703003386</v>
      </c>
      <c r="X40" s="153">
        <f t="shared" si="2"/>
        <v>14659.669089579656</v>
      </c>
      <c r="Y40" s="198">
        <f t="shared" si="10"/>
        <v>2033</v>
      </c>
      <c r="Z40" s="192">
        <f t="shared" si="7"/>
        <v>6.1927334180215836E-2</v>
      </c>
      <c r="AA40" s="192">
        <f t="shared" si="7"/>
        <v>6.4215359592930801E-2</v>
      </c>
      <c r="AB40" s="192">
        <f t="shared" si="7"/>
        <v>4.7915784262551313E-3</v>
      </c>
      <c r="AC40" s="192">
        <f t="shared" si="7"/>
        <v>1.9837665837617287E-3</v>
      </c>
      <c r="AD40" s="192">
        <f t="shared" si="7"/>
        <v>0.16599249538770539</v>
      </c>
      <c r="AE40" s="192">
        <f t="shared" si="7"/>
        <v>0.17289317809594523</v>
      </c>
      <c r="AF40" s="192">
        <f t="shared" si="7"/>
        <v>9.2270112846720362E-3</v>
      </c>
      <c r="AG40" s="192">
        <f t="shared" si="7"/>
        <v>1.5347365258442594E-2</v>
      </c>
      <c r="AH40" s="192">
        <f t="shared" si="7"/>
        <v>0.21304245195574903</v>
      </c>
      <c r="AI40" s="192">
        <f t="shared" si="11"/>
        <v>4.4718933172234764E-2</v>
      </c>
      <c r="AJ40" s="192">
        <f t="shared" si="11"/>
        <v>4.1432146091973605E-2</v>
      </c>
      <c r="AK40" s="192">
        <f t="shared" si="11"/>
        <v>7.2511275992796827E-3</v>
      </c>
      <c r="AL40" s="192">
        <f t="shared" si="11"/>
        <v>1.5671212623878765E-2</v>
      </c>
      <c r="AM40" s="192">
        <f t="shared" si="11"/>
        <v>1.8905477337064248E-2</v>
      </c>
      <c r="AN40" s="192">
        <f t="shared" si="11"/>
        <v>4.3132369010318635E-3</v>
      </c>
      <c r="AO40" s="192">
        <f t="shared" si="11"/>
        <v>4.1942964636326074E-2</v>
      </c>
      <c r="AP40" s="192">
        <f t="shared" si="11"/>
        <v>6.1823880272581698E-2</v>
      </c>
      <c r="AQ40" s="192">
        <f t="shared" si="11"/>
        <v>1.5506653426314687E-2</v>
      </c>
      <c r="AR40" s="192">
        <f t="shared" si="11"/>
        <v>7.7860726159370258E-2</v>
      </c>
      <c r="AS40" s="192">
        <f t="shared" si="11"/>
        <v>0.52855969708879047</v>
      </c>
    </row>
    <row r="41" spans="1:45" x14ac:dyDescent="0.2">
      <c r="A41" s="198">
        <f t="shared" si="9"/>
        <v>2034</v>
      </c>
      <c r="B41" s="226">
        <f t="shared" si="8"/>
        <v>1820.1108995766144</v>
      </c>
      <c r="C41" s="226">
        <f t="shared" si="4"/>
        <v>5014.2806029356498</v>
      </c>
      <c r="D41" s="227">
        <f>'LE Efficiencies'!B$60*'LE StructuralVars'!$Q41*('LE Shares'!B41/'LE Efficiencies'!B41)/('LE Shares'!B$12/'LE Efficiencies'!B$12)</f>
        <v>838.52413962666594</v>
      </c>
      <c r="E41" s="227">
        <f>'LE Efficiencies'!C$60*'LE StructuralVars'!$Q41*('LE Shares'!C41/'LE Efficiencies'!C41)/('LE Shares'!C$12/'LE Efficiencies'!C$12)</f>
        <v>890.00087198889219</v>
      </c>
      <c r="F41" s="227">
        <f>'LE Efficiencies'!D$60*'LE StructuralVars'!$Q41*('LE Shares'!E41/'LE Efficiencies'!D41)/('LE Shares'!E$12/'LE Efficiencies'!D$12)</f>
        <v>65.949730917891642</v>
      </c>
      <c r="G41" s="227">
        <f>'LE Efficiencies'!E$60*'LE StructuralVars'!$Q41*('LE Shares'!F41/(1/'LE Efficiencies'!E41))/('LE Shares'!F$12/(1/'LE Efficiencies'!E$12))</f>
        <v>25.636157043164726</v>
      </c>
      <c r="H41" s="227">
        <f>'LE Efficiencies'!F$60*'LE StructuralVars'!$R41*('LE Shares'!H41/'LE Efficiencies'!F41)/('LE Shares'!H$12/'LE Efficiencies'!F$12)</f>
        <v>2272.2558907742</v>
      </c>
      <c r="I41" s="227">
        <f>'LE Efficiencies'!G$60*'LE StructuralVars'!$R41*('LE Shares'!J41/'LE Efficiencies'!G41)/('LE Shares'!J$12/'LE Efficiencies'!G$12)</f>
        <v>2406.3644703426003</v>
      </c>
      <c r="J41" s="227">
        <f>'LE Efficiencies'!H$60*'LE StructuralVars'!$R41*('LE Shares'!M41/'LE Efficiencies'!H41)/('LE Shares'!M$12/'LE Efficiencies'!H$12)</f>
        <v>127.36418001303996</v>
      </c>
      <c r="K41" s="227">
        <f>'LE Efficiencies'!I$60*'LE StructuralVars'!$R41*('LE Shares'!N41/'LE Efficiencies'!I41)/('LE Shares'!N$12/'LE Efficiencies'!I$12)</f>
        <v>208.2960618058093</v>
      </c>
      <c r="L41" s="227">
        <f>'LE Efficiencies'!J$60*('LE Shares'!P41/'LE Efficiencies'!J41)/('LE Shares'!P$12/'LE Efficiencies'!J$12)</f>
        <v>2919.8523712821566</v>
      </c>
      <c r="M41" s="227">
        <f>'LE Efficiencies'!K$60*('LE Shares'!R41/(1/'LE Efficiencies'!K41))/('LE Shares'!R$12/(1/'LE Efficiencies'!K$12))</f>
        <v>612.70437251087435</v>
      </c>
      <c r="N41" s="227">
        <f>'LE Efficiencies'!L$60*('LE Shares'!T41/(1/'LE Efficiencies'!L41))/('LE Shares'!T$12/(1/'LE Efficiencies'!L$12))</f>
        <v>566.29896325139157</v>
      </c>
      <c r="O41" s="227">
        <f>'LE Efficiencies'!M$60*('LE Shares'!U41/(1/'LE Efficiencies'!M41))/('LE Shares'!U$12/(1/'LE Efficiencies'!M$12))</f>
        <v>99.029970393275335</v>
      </c>
      <c r="P41" s="227">
        <f>'LE Efficiencies'!N$60*('LE Shares'!W41/(1/'LE Efficiencies'!N41))/('LE Shares'!W$12/(1/'LE Efficiencies'!N$12))</f>
        <v>213.11373782002943</v>
      </c>
      <c r="Q41" s="227">
        <f>'LE Efficiencies'!O$60*('LE Shares'!Y41/(1/'LE Efficiencies'!O41))/('LE Shares'!Y$12/(1/'LE Efficiencies'!O$12))</f>
        <v>260.3155987600158</v>
      </c>
      <c r="R41" s="227">
        <f>'LE Efficiencies'!P$60*('LE Shares'!AA41/(1/'LE Efficiencies'!P41))/('LE Shares'!AA$12/(1/'LE Efficiencies'!P$12))</f>
        <v>59.059590700381179</v>
      </c>
      <c r="S41" s="227">
        <f>'LE Efficiencies'!Q$60*('LE Shares'!AC41/(1/'LE Efficiencies'!Q41))/('LE Shares'!AC$12/(1/'LE Efficiencies'!Q$12))</f>
        <v>574.30149834406461</v>
      </c>
      <c r="T41" s="227">
        <f>'LE Efficiencies'!R$60*('LE Shares'!AE41/(1/'LE Efficiencies'!R41))/('LE Shares'!AE$12/(1/'LE Efficiencies'!R$12))</f>
        <v>851.90103695682535</v>
      </c>
      <c r="U41" s="227">
        <f>'LE Efficiencies'!S$60*('LE Shares'!AG41/(1/'LE Efficiencies'!S41))/('LE Shares'!AG$12/(1/'LE Efficiencies'!S$12))</f>
        <v>210.90073326274137</v>
      </c>
      <c r="V41" s="227">
        <f>'LE Efficiencies'!T$60*('LE Shares'!AH41/(1/'LE Efficiencies'!T41))/('LE Shares'!AH$12/(1/'LE Efficiencies'!T$12))</f>
        <v>1061.3461516007064</v>
      </c>
      <c r="W41" s="227">
        <f>'LE Efficiencies'!U$60*('LE Shares'!AI41/(1/'LE Efficiencies'!U41))/('LE Shares'!AI$12/(1/'LE Efficiencies'!U$12))</f>
        <v>7322.9266832172179</v>
      </c>
      <c r="X41" s="153">
        <f t="shared" si="2"/>
        <v>14751.750708099678</v>
      </c>
      <c r="Y41" s="198">
        <f t="shared" si="10"/>
        <v>2034</v>
      </c>
      <c r="Z41" s="192">
        <f t="shared" si="7"/>
        <v>6.1262178026109067E-2</v>
      </c>
      <c r="AA41" s="192">
        <f t="shared" si="7"/>
        <v>6.502304380581235E-2</v>
      </c>
      <c r="AB41" s="192">
        <f t="shared" si="7"/>
        <v>4.8182562258311202E-3</v>
      </c>
      <c r="AC41" s="192">
        <f t="shared" si="7"/>
        <v>1.8729655384553258E-3</v>
      </c>
      <c r="AD41" s="192">
        <f t="shared" si="7"/>
        <v>0.16600994333146002</v>
      </c>
      <c r="AE41" s="192">
        <f t="shared" si="7"/>
        <v>0.17580785288240727</v>
      </c>
      <c r="AF41" s="192">
        <f t="shared" si="7"/>
        <v>9.305166901434932E-3</v>
      </c>
      <c r="AG41" s="192">
        <f t="shared" si="7"/>
        <v>1.5218012001617875E-2</v>
      </c>
      <c r="AH41" s="192">
        <f t="shared" si="7"/>
        <v>0.2133230366618723</v>
      </c>
      <c r="AI41" s="192">
        <f t="shared" si="11"/>
        <v>4.4763892382213961E-2</v>
      </c>
      <c r="AJ41" s="192">
        <f t="shared" si="11"/>
        <v>4.1373535075750943E-2</v>
      </c>
      <c r="AK41" s="192">
        <f t="shared" si="11"/>
        <v>7.2350829146722549E-3</v>
      </c>
      <c r="AL41" s="192">
        <f t="shared" si="11"/>
        <v>1.5569989138241126E-2</v>
      </c>
      <c r="AM41" s="192">
        <f t="shared" si="11"/>
        <v>1.9018534828716478E-2</v>
      </c>
      <c r="AN41" s="192">
        <f t="shared" si="11"/>
        <v>4.3148658323024234E-3</v>
      </c>
      <c r="AO41" s="192">
        <f t="shared" si="11"/>
        <v>4.1958196514032008E-2</v>
      </c>
      <c r="AP41" s="192">
        <f t="shared" si="11"/>
        <v>6.2239487833841103E-2</v>
      </c>
      <c r="AQ41" s="192">
        <f t="shared" si="11"/>
        <v>1.5408308069379434E-2</v>
      </c>
      <c r="AR41" s="192">
        <f t="shared" si="11"/>
        <v>7.7541449093686293E-2</v>
      </c>
      <c r="AS41" s="192">
        <f t="shared" si="11"/>
        <v>0.53500956852492632</v>
      </c>
    </row>
    <row r="42" spans="1:45" x14ac:dyDescent="0.2">
      <c r="A42" s="198">
        <f t="shared" si="9"/>
        <v>2035</v>
      </c>
      <c r="B42" s="226">
        <f t="shared" si="8"/>
        <v>1820.5633233432191</v>
      </c>
      <c r="C42" s="226">
        <f t="shared" si="4"/>
        <v>5052.7357981144451</v>
      </c>
      <c r="D42" s="227">
        <f>'LE Efficiencies'!B$60*'LE StructuralVars'!$Q42*('LE Shares'!B42/'LE Efficiencies'!B42)/('LE Shares'!B$12/'LE Efficiencies'!B$12)</f>
        <v>829.34734496852775</v>
      </c>
      <c r="E42" s="227">
        <f>'LE Efficiencies'!C$60*'LE StructuralVars'!$Q42*('LE Shares'!C42/'LE Efficiencies'!C42)/('LE Shares'!C$12/'LE Efficiencies'!C$12)</f>
        <v>900.78109530999552</v>
      </c>
      <c r="F42" s="227">
        <f>'LE Efficiencies'!D$60*'LE StructuralVars'!$Q42*('LE Shares'!E42/'LE Efficiencies'!D42)/('LE Shares'!E$12/'LE Efficiencies'!D$12)</f>
        <v>66.267971577454432</v>
      </c>
      <c r="G42" s="227">
        <f>'LE Efficiencies'!E$60*'LE StructuralVars'!$Q42*('LE Shares'!F42/(1/'LE Efficiencies'!E42))/('LE Shares'!F$12/(1/'LE Efficiencies'!E$12))</f>
        <v>24.166911487241666</v>
      </c>
      <c r="H42" s="227">
        <f>'LE Efficiencies'!F$60*'LE StructuralVars'!$R42*('LE Shares'!H42/'LE Efficiencies'!F42)/('LE Shares'!H$12/'LE Efficiencies'!F$12)</f>
        <v>2272.36730051432</v>
      </c>
      <c r="I42" s="227">
        <f>'LE Efficiencies'!G$60*'LE StructuralVars'!$R42*('LE Shares'!J42/'LE Efficiencies'!G42)/('LE Shares'!J$12/'LE Efficiencies'!G$12)</f>
        <v>2445.4862511448978</v>
      </c>
      <c r="J42" s="227">
        <f>'LE Efficiencies'!H$60*'LE StructuralVars'!$R42*('LE Shares'!M42/'LE Efficiencies'!H42)/('LE Shares'!M$12/'LE Efficiencies'!H$12)</f>
        <v>128.34601228660981</v>
      </c>
      <c r="K42" s="227">
        <f>'LE Efficiencies'!I$60*'LE StructuralVars'!$R42*('LE Shares'!N42/'LE Efficiencies'!I42)/('LE Shares'!N$12/'LE Efficiencies'!I$12)</f>
        <v>206.53623416861669</v>
      </c>
      <c r="L42" s="227">
        <f>'LE Efficiencies'!J$60*('LE Shares'!P42/'LE Efficiencies'!J42)/('LE Shares'!P$12/'LE Efficiencies'!J$12)</f>
        <v>2924.7700424505465</v>
      </c>
      <c r="M42" s="227">
        <f>'LE Efficiencies'!K$60*('LE Shares'!R42/(1/'LE Efficiencies'!K42))/('LE Shares'!R$12/(1/'LE Efficiencies'!K$12))</f>
        <v>613.30956684162345</v>
      </c>
      <c r="N42" s="227">
        <f>'LE Efficiencies'!L$60*('LE Shares'!T42/(1/'LE Efficiencies'!L42))/('LE Shares'!T$12/(1/'LE Efficiencies'!L$12))</f>
        <v>565.62080311254908</v>
      </c>
      <c r="O42" s="227">
        <f>'LE Efficiencies'!M$60*('LE Shares'!U42/(1/'LE Efficiencies'!M42))/('LE Shares'!U$12/(1/'LE Efficiencies'!M$12))</f>
        <v>98.839685542935541</v>
      </c>
      <c r="P42" s="227">
        <f>'LE Efficiencies'!N$60*('LE Shares'!W42/(1/'LE Efficiencies'!N42))/('LE Shares'!W$12/(1/'LE Efficiencies'!N$12))</f>
        <v>211.80093298014756</v>
      </c>
      <c r="Q42" s="227">
        <f>'LE Efficiencies'!O$60*('LE Shares'!Y42/(1/'LE Efficiencies'!O42))/('LE Shares'!Y$12/(1/'LE Efficiencies'!O$12))</f>
        <v>261.8476348810496</v>
      </c>
      <c r="R42" s="227">
        <f>'LE Efficiencies'!P$60*('LE Shares'!AA42/(1/'LE Efficiencies'!P42))/('LE Shares'!AA$12/(1/'LE Efficiencies'!P$12))</f>
        <v>59.094755352452381</v>
      </c>
      <c r="S42" s="227">
        <f>'LE Efficiencies'!Q$60*('LE Shares'!AC42/(1/'LE Efficiencies'!Q42))/('LE Shares'!AC$12/(1/'LE Efficiencies'!Q$12))</f>
        <v>575.68406576671839</v>
      </c>
      <c r="T42" s="227">
        <f>'LE Efficiencies'!R$60*('LE Shares'!AE42/(1/'LE Efficiencies'!R42))/('LE Shares'!AE$12/(1/'LE Efficiencies'!R$12))</f>
        <v>857.79390910068753</v>
      </c>
      <c r="U42" s="227">
        <f>'LE Efficiencies'!S$60*('LE Shares'!AG42/(1/'LE Efficiencies'!S42))/('LE Shares'!AG$12/(1/'LE Efficiencies'!S$12))</f>
        <v>209.5324238392264</v>
      </c>
      <c r="V42" s="227">
        <f>'LE Efficiencies'!T$60*('LE Shares'!AH42/(1/'LE Efficiencies'!T42))/('LE Shares'!AH$12/(1/'LE Efficiencies'!T$12))</f>
        <v>1057.629380394337</v>
      </c>
      <c r="W42" s="227">
        <f>'LE Efficiencies'!U$60*('LE Shares'!AI42/(1/'LE Efficiencies'!U42))/('LE Shares'!AI$12/(1/'LE Efficiencies'!U$12))</f>
        <v>7411.1565088000598</v>
      </c>
      <c r="X42" s="153">
        <f t="shared" si="2"/>
        <v>14847.079709062335</v>
      </c>
      <c r="Y42" s="198">
        <f t="shared" si="10"/>
        <v>2035</v>
      </c>
      <c r="Z42" s="192">
        <f t="shared" si="7"/>
        <v>6.0591725737989828E-2</v>
      </c>
      <c r="AA42" s="192">
        <f t="shared" si="7"/>
        <v>6.5810641835551464E-2</v>
      </c>
      <c r="AB42" s="192">
        <f t="shared" si="7"/>
        <v>4.8415067382730909E-3</v>
      </c>
      <c r="AC42" s="192">
        <f t="shared" si="7"/>
        <v>1.7656231513284595E-3</v>
      </c>
      <c r="AD42" s="192">
        <f t="shared" si="7"/>
        <v>0.16601808287451014</v>
      </c>
      <c r="AE42" s="192">
        <f t="shared" si="7"/>
        <v>0.17866607173019838</v>
      </c>
      <c r="AF42" s="192">
        <f t="shared" si="7"/>
        <v>9.3768991041142686E-3</v>
      </c>
      <c r="AG42" s="192">
        <f t="shared" si="7"/>
        <v>1.5089439824729848E-2</v>
      </c>
      <c r="AH42" s="192">
        <f t="shared" si="7"/>
        <v>0.21368231939728155</v>
      </c>
      <c r="AI42" s="192">
        <f t="shared" si="11"/>
        <v>4.4808107594488292E-2</v>
      </c>
      <c r="AJ42" s="192">
        <f t="shared" si="11"/>
        <v>4.1323989015962521E-2</v>
      </c>
      <c r="AK42" s="192">
        <f t="shared" si="11"/>
        <v>7.2211807932826694E-3</v>
      </c>
      <c r="AL42" s="192">
        <f t="shared" si="11"/>
        <v>1.5474076236019627E-2</v>
      </c>
      <c r="AM42" s="192">
        <f t="shared" si="11"/>
        <v>1.9130464664905793E-2</v>
      </c>
      <c r="AN42" s="192">
        <f t="shared" si="11"/>
        <v>4.3174349451920906E-3</v>
      </c>
      <c r="AO42" s="192">
        <f t="shared" si="11"/>
        <v>4.2059206237636898E-2</v>
      </c>
      <c r="AP42" s="192">
        <f t="shared" si="11"/>
        <v>6.2670018292419333E-2</v>
      </c>
      <c r="AQ42" s="192">
        <f t="shared" si="11"/>
        <v>1.5308340028464715E-2</v>
      </c>
      <c r="AR42" s="192">
        <f t="shared" si="11"/>
        <v>7.7269903542918614E-2</v>
      </c>
      <c r="AS42" s="192">
        <f t="shared" si="11"/>
        <v>0.54145559795524789</v>
      </c>
    </row>
    <row r="43" spans="1:45" x14ac:dyDescent="0.2">
      <c r="A43" s="198">
        <f t="shared" si="9"/>
        <v>2036</v>
      </c>
      <c r="B43" s="226">
        <f t="shared" si="8"/>
        <v>1820.7232156672183</v>
      </c>
      <c r="C43" s="226">
        <f t="shared" si="4"/>
        <v>5089.9993793191516</v>
      </c>
      <c r="D43" s="227">
        <f>'LE Efficiencies'!B$60*'LE StructuralVars'!$Q43*('LE Shares'!B43/'LE Efficiencies'!B43)/('LE Shares'!B$12/'LE Efficiencies'!B$12)</f>
        <v>820.21975866268383</v>
      </c>
      <c r="E43" s="227">
        <f>'LE Efficiencies'!C$60*'LE StructuralVars'!$Q43*('LE Shares'!C43/'LE Efficiencies'!C43)/('LE Shares'!C$12/'LE Efficiencies'!C$12)</f>
        <v>911.46724990187533</v>
      </c>
      <c r="F43" s="227">
        <f t="shared" ref="F43:N50" si="12">F42</f>
        <v>66.267971577454432</v>
      </c>
      <c r="G43" s="227">
        <f>'LE Efficiencies'!E$60*'LE StructuralVars'!$Q43*('LE Shares'!F43/(1/'LE Efficiencies'!E43))/('LE Shares'!F$12/(1/'LE Efficiencies'!E$12))</f>
        <v>22.76823552520484</v>
      </c>
      <c r="H43" s="227">
        <f>'LE Efficiencies'!F$60*'LE StructuralVars'!$R43*('LE Shares'!H43/'LE Efficiencies'!F43)/('LE Shares'!H$12/'LE Efficiencies'!F$12)</f>
        <v>2272.4729728962429</v>
      </c>
      <c r="I43" s="227">
        <f>'LE Efficiencies'!G$60*'LE StructuralVars'!$R43*('LE Shares'!J43/'LE Efficiencies'!G43)/('LE Shares'!J$12/'LE Efficiencies'!G$12)</f>
        <v>2484.5730358781907</v>
      </c>
      <c r="J43" s="227">
        <f>'LE Efficiencies'!H$60*'LE StructuralVars'!$R43*('LE Shares'!M43/'LE Efficiencies'!H43)/('LE Shares'!M$12/'LE Efficiencies'!H$12)</f>
        <v>128.1747438664446</v>
      </c>
      <c r="K43" s="227">
        <f>'LE Efficiencies'!I$60*'LE StructuralVars'!$R43*('LE Shares'!N43/'LE Efficiencies'!I43)/('LE Shares'!N$12/'LE Efficiencies'!I$12)</f>
        <v>204.77862667827287</v>
      </c>
      <c r="L43" s="227">
        <f>'LE Efficiencies'!J$60*('LE Shares'!P43/'LE Efficiencies'!J43)/('LE Shares'!P$12/'LE Efficiencies'!J$12)</f>
        <v>2929.6807281258184</v>
      </c>
      <c r="M43" s="227">
        <f>'LE Efficiencies'!K$60*('LE Shares'!R43/(1/'LE Efficiencies'!K43))/('LE Shares'!R$12/(1/'LE Efficiencies'!K$12))</f>
        <v>613.91387727093695</v>
      </c>
      <c r="N43" s="227">
        <f t="shared" si="12"/>
        <v>565.62080311254908</v>
      </c>
      <c r="O43" s="227">
        <f>'LE Efficiencies'!M$60*('LE Shares'!U43/(1/'LE Efficiencies'!M43))/('LE Shares'!U$12/(1/'LE Efficiencies'!M$12))</f>
        <v>98.649581052806198</v>
      </c>
      <c r="P43" s="227">
        <f>'LE Efficiencies'!N$60*('LE Shares'!W43/(1/'LE Efficiencies'!N43))/('LE Shares'!W$12/(1/'LE Efficiencies'!N$12))</f>
        <v>210.49056016633179</v>
      </c>
      <c r="Q43" s="227">
        <f>'LE Efficiencies'!O$60*('LE Shares'!Y43/(1/'LE Efficiencies'!O43))/('LE Shares'!Y$12/(1/'LE Efficiencies'!O$12))</f>
        <v>263.37967083880903</v>
      </c>
      <c r="R43" s="227">
        <f>'LE Efficiencies'!P$60*('LE Shares'!AA43/(1/'LE Efficiencies'!P43))/('LE Shares'!AA$12/(1/'LE Efficiencies'!P$12))</f>
        <v>59.129901394695878</v>
      </c>
      <c r="S43" s="227">
        <f>'LE Efficiencies'!Q$60*('LE Shares'!AC43/(1/'LE Efficiencies'!Q43))/('LE Shares'!AC$12/(1/'LE Efficiencies'!Q$12))</f>
        <v>577.06806459860263</v>
      </c>
      <c r="T43" s="227">
        <f>'LE Efficiencies'!R$60*('LE Shares'!AE43/(1/'LE Efficiencies'!R43))/('LE Shares'!AE$12/(1/'LE Efficiencies'!R$12))</f>
        <v>863.72754412732309</v>
      </c>
      <c r="U43" s="227">
        <f>'LE Efficiencies'!S$60*('LE Shares'!AG43/(1/'LE Efficiencies'!S43))/('LE Shares'!AG$12/(1/'LE Efficiencies'!S$12))</f>
        <v>208.17299191295635</v>
      </c>
      <c r="V43" s="227">
        <f>'LE Efficiencies'!T$60*('LE Shares'!AH43/(1/'LE Efficiencies'!T43))/('LE Shares'!AH$12/(1/'LE Efficiencies'!T$12))</f>
        <v>1053.925625100052</v>
      </c>
      <c r="W43" s="227">
        <f>'LE Efficiencies'!U$60*('LE Shares'!AI43/(1/'LE Efficiencies'!U43))/('LE Shares'!AI$12/(1/'LE Efficiencies'!U$12))</f>
        <v>7500.4493659356003</v>
      </c>
      <c r="X43" s="153">
        <f t="shared" si="2"/>
        <v>14944.208713636483</v>
      </c>
      <c r="Y43" s="198">
        <f t="shared" si="10"/>
        <v>2036</v>
      </c>
      <c r="Z43" s="192">
        <f t="shared" si="7"/>
        <v>5.9924868588872755E-2</v>
      </c>
      <c r="AA43" s="192">
        <f t="shared" si="7"/>
        <v>6.6591367248315061E-2</v>
      </c>
      <c r="AB43" s="192">
        <f t="shared" si="7"/>
        <v>4.8415067382730909E-3</v>
      </c>
      <c r="AC43" s="192">
        <f t="shared" si="7"/>
        <v>1.6634365454362438E-3</v>
      </c>
      <c r="AD43" s="192">
        <f t="shared" si="7"/>
        <v>0.16602580324887728</v>
      </c>
      <c r="AE43" s="192">
        <f t="shared" si="7"/>
        <v>0.18152173378169914</v>
      </c>
      <c r="AF43" s="192">
        <f t="shared" si="7"/>
        <v>9.3643863141413004E-3</v>
      </c>
      <c r="AG43" s="192">
        <f t="shared" si="7"/>
        <v>1.4961029850723132E-2</v>
      </c>
      <c r="AH43" s="192">
        <f t="shared" si="7"/>
        <v>0.21404109177585937</v>
      </c>
      <c r="AI43" s="192">
        <f t="shared" si="11"/>
        <v>4.4852258229340761E-2</v>
      </c>
      <c r="AJ43" s="192">
        <f t="shared" si="11"/>
        <v>4.1323989015962521E-2</v>
      </c>
      <c r="AK43" s="192">
        <f t="shared" si="11"/>
        <v>7.2072918489249653E-3</v>
      </c>
      <c r="AL43" s="192">
        <f t="shared" si="11"/>
        <v>1.5378341016475085E-2</v>
      </c>
      <c r="AM43" s="192">
        <f t="shared" si="11"/>
        <v>1.9242394489166367E-2</v>
      </c>
      <c r="AN43" s="192">
        <f t="shared" si="11"/>
        <v>4.320002698456526E-3</v>
      </c>
      <c r="AO43" s="192">
        <f t="shared" si="11"/>
        <v>4.2160320539324822E-2</v>
      </c>
      <c r="AP43" s="192">
        <f t="shared" si="11"/>
        <v>6.3103526867981083E-2</v>
      </c>
      <c r="AQ43" s="192">
        <f t="shared" si="11"/>
        <v>1.5209020573310316E-2</v>
      </c>
      <c r="AR43" s="192">
        <f t="shared" si="11"/>
        <v>7.6999308928546922E-2</v>
      </c>
      <c r="AS43" s="192">
        <f t="shared" si="11"/>
        <v>0.54797929196927231</v>
      </c>
    </row>
    <row r="44" spans="1:45" x14ac:dyDescent="0.2">
      <c r="A44" s="198">
        <f t="shared" si="9"/>
        <v>2037</v>
      </c>
      <c r="B44" s="226">
        <f t="shared" si="8"/>
        <v>1820.9059487713564</v>
      </c>
      <c r="C44" s="226">
        <f t="shared" si="4"/>
        <v>5127.2242702000303</v>
      </c>
      <c r="D44" s="227">
        <f>'LE Efficiencies'!B$60*'LE StructuralVars'!$Q44*('LE Shares'!B44/'LE Efficiencies'!B44)/('LE Shares'!B$12/'LE Efficiencies'!B$12)</f>
        <v>811.14119523430577</v>
      </c>
      <c r="E44" s="227">
        <f>'LE Efficiencies'!C$60*'LE StructuralVars'!$Q44*('LE Shares'!C44/'LE Efficiencies'!C44)/('LE Shares'!C$12/'LE Efficiencies'!C$12)</f>
        <v>922.05975926135648</v>
      </c>
      <c r="F44" s="227">
        <f t="shared" si="12"/>
        <v>66.267971577454432</v>
      </c>
      <c r="G44" s="227">
        <f>'LE Efficiencies'!E$60*'LE StructuralVars'!$Q44*('LE Shares'!F44/(1/'LE Efficiencies'!E44))/('LE Shares'!F$12/(1/'LE Efficiencies'!E$12))</f>
        <v>21.43702269823995</v>
      </c>
      <c r="H44" s="227">
        <f>'LE Efficiencies'!F$60*'LE StructuralVars'!$R44*('LE Shares'!H44/'LE Efficiencies'!F44)/('LE Shares'!H$12/'LE Efficiencies'!F$12)</f>
        <v>2272.5728483689395</v>
      </c>
      <c r="I44" s="227">
        <f>'LE Efficiencies'!G$60*'LE StructuralVars'!$R44*('LE Shares'!J44/'LE Efficiencies'!G44)/('LE Shares'!J$12/'LE Efficiencies'!G$12)</f>
        <v>2523.6245014574038</v>
      </c>
      <c r="J44" s="227">
        <f>'LE Efficiencies'!H$60*'LE StructuralVars'!$R44*('LE Shares'!M44/'LE Efficiencies'!H44)/('LE Shares'!M$12/'LE Efficiencies'!H$12)</f>
        <v>128.00368077616201</v>
      </c>
      <c r="K44" s="227">
        <f>'LE Efficiencies'!I$60*'LE StructuralVars'!$R44*('LE Shares'!N44/'LE Efficiencies'!I44)/('LE Shares'!N$12/'LE Efficiencies'!I$12)</f>
        <v>203.02323959752499</v>
      </c>
      <c r="L44" s="227">
        <f>'LE Efficiencies'!J$60*('LE Shares'!P44/'LE Efficiencies'!J44)/('LE Shares'!P$12/'LE Efficiencies'!J$12)</f>
        <v>2934.5844431816236</v>
      </c>
      <c r="M44" s="227">
        <f>'LE Efficiencies'!K$60*('LE Shares'!R44/(1/'LE Efficiencies'!K44))/('LE Shares'!R$12/(1/'LE Efficiencies'!K$12))</f>
        <v>614.51730460695569</v>
      </c>
      <c r="N44" s="227">
        <f t="shared" si="12"/>
        <v>565.62080311254908</v>
      </c>
      <c r="O44" s="227">
        <f>'LE Efficiencies'!M$60*('LE Shares'!U44/(1/'LE Efficiencies'!M44))/('LE Shares'!U$12/(1/'LE Efficiencies'!M$12))</f>
        <v>98.459656891483533</v>
      </c>
      <c r="P44" s="227">
        <f>'LE Efficiencies'!N$60*('LE Shares'!W44/(1/'LE Efficiencies'!N44))/('LE Shares'!W$12/(1/'LE Efficiencies'!N$12))</f>
        <v>209.18261937858219</v>
      </c>
      <c r="Q44" s="227">
        <f>'LE Efficiencies'!O$60*('LE Shares'!Y44/(1/'LE Efficiencies'!O44))/('LE Shares'!Y$12/(1/'LE Efficiencies'!O$12))</f>
        <v>264.91170663329416</v>
      </c>
      <c r="R44" s="227">
        <f>'LE Efficiencies'!P$60*('LE Shares'!AA44/(1/'LE Efficiencies'!P44))/('LE Shares'!AA$12/(1/'LE Efficiencies'!P$12))</f>
        <v>59.165028833660628</v>
      </c>
      <c r="S44" s="227">
        <f>'LE Efficiencies'!Q$60*('LE Shares'!AC44/(1/'LE Efficiencies'!Q44))/('LE Shares'!AC$12/(1/'LE Efficiencies'!Q$12))</f>
        <v>578.45349604744547</v>
      </c>
      <c r="T44" s="227">
        <f>'LE Efficiencies'!R$60*('LE Shares'!AE44/(1/'LE Efficiencies'!R44))/('LE Shares'!AE$12/(1/'LE Efficiencies'!R$12))</f>
        <v>869.7022240066392</v>
      </c>
      <c r="U44" s="227">
        <f>'LE Efficiencies'!S$60*('LE Shares'!AG44/(1/'LE Efficiencies'!S44))/('LE Shares'!AG$12/(1/'LE Efficiencies'!S$12))</f>
        <v>206.82237988734076</v>
      </c>
      <c r="V44" s="227">
        <f>'LE Efficiencies'!T$60*('LE Shares'!AH44/(1/'LE Efficiencies'!T44))/('LE Shares'!AH$12/(1/'LE Efficiencies'!T$12))</f>
        <v>1050.2348401369002</v>
      </c>
      <c r="W44" s="227">
        <f>'LE Efficiencies'!U$60*('LE Shares'!AI44/(1/'LE Efficiencies'!U44))/('LE Shares'!AI$12/(1/'LE Efficiencies'!U$12))</f>
        <v>7590.8180624932311</v>
      </c>
      <c r="X44" s="153">
        <f t="shared" si="2"/>
        <v>15042.472565209704</v>
      </c>
      <c r="Y44" s="198">
        <f t="shared" si="10"/>
        <v>2037</v>
      </c>
      <c r="Z44" s="192">
        <f t="shared" si="7"/>
        <v>5.9261593028054387E-2</v>
      </c>
      <c r="AA44" s="192">
        <f t="shared" si="7"/>
        <v>6.7365250984581349E-2</v>
      </c>
      <c r="AB44" s="192">
        <f t="shared" si="7"/>
        <v>4.8415067382730909E-3</v>
      </c>
      <c r="AC44" s="192">
        <f t="shared" si="7"/>
        <v>1.5661787643633308E-3</v>
      </c>
      <c r="AD44" s="192">
        <f t="shared" si="7"/>
        <v>0.16603310010379133</v>
      </c>
      <c r="AE44" s="192">
        <f t="shared" si="7"/>
        <v>0.18437481543246639</v>
      </c>
      <c r="AF44" s="192">
        <f t="shared" si="7"/>
        <v>9.3518885254726836E-3</v>
      </c>
      <c r="AG44" s="192">
        <f t="shared" si="7"/>
        <v>1.4832782098793905E-2</v>
      </c>
      <c r="AH44" s="192">
        <f t="shared" si="7"/>
        <v>0.21439935488426767</v>
      </c>
      <c r="AI44" s="192">
        <f t="shared" si="11"/>
        <v>4.4896344345813757E-2</v>
      </c>
      <c r="AJ44" s="192">
        <f t="shared" si="11"/>
        <v>4.1323989015962521E-2</v>
      </c>
      <c r="AK44" s="192">
        <f t="shared" si="11"/>
        <v>7.1934160793047982E-3</v>
      </c>
      <c r="AL44" s="192">
        <f t="shared" si="11"/>
        <v>1.5282783479607513E-2</v>
      </c>
      <c r="AM44" s="192">
        <f t="shared" si="11"/>
        <v>1.9354324301498194E-2</v>
      </c>
      <c r="AN44" s="192">
        <f t="shared" si="11"/>
        <v>4.3225690925741932E-3</v>
      </c>
      <c r="AO44" s="192">
        <f t="shared" si="11"/>
        <v>4.2261539507331837E-2</v>
      </c>
      <c r="AP44" s="192">
        <f t="shared" si="11"/>
        <v>6.3540034161114756E-2</v>
      </c>
      <c r="AQ44" s="192">
        <f t="shared" si="11"/>
        <v>1.511034549593651E-2</v>
      </c>
      <c r="AR44" s="192">
        <f t="shared" si="11"/>
        <v>7.672966192044843E-2</v>
      </c>
      <c r="AS44" s="192">
        <f t="shared" si="11"/>
        <v>0.55458158630389431</v>
      </c>
    </row>
    <row r="45" spans="1:45" x14ac:dyDescent="0.2">
      <c r="A45" s="198">
        <f t="shared" si="9"/>
        <v>2038</v>
      </c>
      <c r="B45" s="226">
        <f t="shared" si="8"/>
        <v>1827.4527624740522</v>
      </c>
      <c r="C45" s="226">
        <f t="shared" si="4"/>
        <v>5164.4100805126491</v>
      </c>
      <c r="D45" s="227">
        <f>'LE Efficiencies'!B$60*'LE StructuralVars'!$Q45*('LE Shares'!B45/'LE Efficiencies'!B45)/('LE Shares'!B$12/'LE Efficiencies'!B$12)</f>
        <v>808.45544996268586</v>
      </c>
      <c r="E45" s="227">
        <f>'LE Efficiencies'!C$60*'LE StructuralVars'!$Q45*('LE Shares'!C45/'LE Efficiencies'!C45)/('LE Shares'!C$12/'LE Efficiencies'!C$12)</f>
        <v>932.55904459818055</v>
      </c>
      <c r="F45" s="227">
        <f t="shared" si="12"/>
        <v>66.267971577454432</v>
      </c>
      <c r="G45" s="227">
        <f>'LE Efficiencies'!E$60*'LE StructuralVars'!$Q45*('LE Shares'!F45/(1/'LE Efficiencies'!E45))/('LE Shares'!F$12/(1/'LE Efficiencies'!E$12))</f>
        <v>20.170296335731468</v>
      </c>
      <c r="H45" s="227">
        <f>'LE Efficiencies'!F$60*'LE StructuralVars'!$R45*('LE Shares'!H45/'LE Efficiencies'!F45)/('LE Shares'!H$12/'LE Efficiencies'!F$12)</f>
        <v>2272.6668674516036</v>
      </c>
      <c r="I45" s="227">
        <f>'LE Efficiencies'!G$60*'LE StructuralVars'!$R45*('LE Shares'!J45/'LE Efficiencies'!G45)/('LE Shares'!J$12/'LE Efficiencies'!G$12)</f>
        <v>2562.6403212186151</v>
      </c>
      <c r="J45" s="227">
        <f>'LE Efficiencies'!H$60*'LE StructuralVars'!$R45*('LE Shares'!M45/'LE Efficiencies'!H45)/('LE Shares'!M$12/'LE Efficiencies'!H$12)</f>
        <v>127.8328184750891</v>
      </c>
      <c r="K45" s="227">
        <f>'LE Efficiencies'!I$60*'LE StructuralVars'!$R45*('LE Shares'!N45/'LE Efficiencies'!I45)/('LE Shares'!N$12/'LE Efficiencies'!I$12)</f>
        <v>201.27007336734175</v>
      </c>
      <c r="L45" s="227">
        <f>'LE Efficiencies'!J$60*('LE Shares'!P45/'LE Efficiencies'!J45)/('LE Shares'!P$12/'LE Efficiencies'!J$12)</f>
        <v>2939.4812024494154</v>
      </c>
      <c r="M45" s="227">
        <f>'LE Efficiencies'!K$60*('LE Shares'!R45/(1/'LE Efficiencies'!K45))/('LE Shares'!R$12/(1/'LE Efficiencies'!K$12))</f>
        <v>615.1198496571875</v>
      </c>
      <c r="N45" s="227">
        <f t="shared" si="12"/>
        <v>565.62080311254908</v>
      </c>
      <c r="O45" s="227">
        <f>'LE Efficiencies'!M$60*('LE Shares'!U45/(1/'LE Efficiencies'!M45))/('LE Shares'!U$12/(1/'LE Efficiencies'!M$12))</f>
        <v>98.269913027568776</v>
      </c>
      <c r="P45" s="227">
        <f>'LE Efficiencies'!N$60*('LE Shares'!W45/(1/'LE Efficiencies'!N45))/('LE Shares'!W$12/(1/'LE Efficiencies'!N$12))</f>
        <v>207.87711061689853</v>
      </c>
      <c r="Q45" s="227">
        <f>'LE Efficiencies'!O$60*('LE Shares'!Y45/(1/'LE Efficiencies'!O45))/('LE Shares'!Y$12/(1/'LE Efficiencies'!O$12))</f>
        <v>266.44374226450503</v>
      </c>
      <c r="R45" s="227">
        <f>'LE Efficiencies'!P$60*('LE Shares'!AA45/(1/'LE Efficiencies'!P45))/('LE Shares'!AA$12/(1/'LE Efficiencies'!P$12))</f>
        <v>59.200137675893522</v>
      </c>
      <c r="S45" s="227">
        <f>'LE Efficiencies'!Q$60*('LE Shares'!AC45/(1/'LE Efficiencies'!Q45))/('LE Shares'!AC$12/(1/'LE Efficiencies'!Q$12))</f>
        <v>579.84036132190215</v>
      </c>
      <c r="T45" s="227">
        <f>'LE Efficiencies'!R$60*('LE Shares'!AE45/(1/'LE Efficiencies'!R45))/('LE Shares'!AE$12/(1/'LE Efficiencies'!R$12))</f>
        <v>875.71823265901946</v>
      </c>
      <c r="U45" s="227">
        <f>'LE Efficiencies'!S$60*('LE Shares'!AG45/(1/'LE Efficiencies'!S45))/('LE Shares'!AG$12/(1/'LE Efficiencies'!S$12))</f>
        <v>205.48053053947214</v>
      </c>
      <c r="V45" s="227">
        <f>'LE Efficiencies'!T$60*('LE Shares'!AH45/(1/'LE Efficiencies'!T45))/('LE Shares'!AH$12/(1/'LE Efficiencies'!T$12))</f>
        <v>1046.5569800835522</v>
      </c>
      <c r="W45" s="227">
        <f>'LE Efficiencies'!U$60*('LE Shares'!AI45/(1/'LE Efficiencies'!U45))/('LE Shares'!AI$12/(1/'LE Efficiencies'!U$12))</f>
        <v>7682.2755606571518</v>
      </c>
      <c r="X45" s="153">
        <f t="shared" si="2"/>
        <v>15141.884424065116</v>
      </c>
      <c r="Y45" s="198">
        <f t="shared" si="10"/>
        <v>2038</v>
      </c>
      <c r="Z45" s="192">
        <f t="shared" si="7"/>
        <v>5.9065373745642295E-2</v>
      </c>
      <c r="AA45" s="192">
        <f t="shared" si="7"/>
        <v>6.8132323817735332E-2</v>
      </c>
      <c r="AB45" s="192">
        <f t="shared" si="7"/>
        <v>4.8415067382730909E-3</v>
      </c>
      <c r="AC45" s="192">
        <f t="shared" si="7"/>
        <v>1.4736323339589409E-3</v>
      </c>
      <c r="AD45" s="192">
        <f t="shared" si="7"/>
        <v>0.16603996909361265</v>
      </c>
      <c r="AE45" s="192">
        <f t="shared" si="7"/>
        <v>0.18722529281658806</v>
      </c>
      <c r="AF45" s="192">
        <f t="shared" si="7"/>
        <v>9.3394054063689926E-3</v>
      </c>
      <c r="AG45" s="192">
        <f t="shared" si="7"/>
        <v>1.4704696601159136E-2</v>
      </c>
      <c r="AH45" s="192">
        <f t="shared" si="7"/>
        <v>0.21475710980608545</v>
      </c>
      <c r="AI45" s="192">
        <f t="shared" si="11"/>
        <v>4.4940366002903423E-2</v>
      </c>
      <c r="AJ45" s="192">
        <f t="shared" si="11"/>
        <v>4.1323989015962521E-2</v>
      </c>
      <c r="AK45" s="192">
        <f t="shared" si="11"/>
        <v>7.179553482128188E-3</v>
      </c>
      <c r="AL45" s="192">
        <f t="shared" si="11"/>
        <v>1.5187403625416889E-2</v>
      </c>
      <c r="AM45" s="192">
        <f t="shared" si="11"/>
        <v>1.9466254101901278E-2</v>
      </c>
      <c r="AN45" s="192">
        <f t="shared" si="11"/>
        <v>4.3251341280234048E-3</v>
      </c>
      <c r="AO45" s="192">
        <f t="shared" si="11"/>
        <v>4.2362863229961717E-2</v>
      </c>
      <c r="AP45" s="192">
        <f t="shared" si="11"/>
        <v>6.3979560914909611E-2</v>
      </c>
      <c r="AQ45" s="192">
        <f t="shared" si="11"/>
        <v>1.5012310615664671E-2</v>
      </c>
      <c r="AR45" s="192">
        <f t="shared" si="11"/>
        <v>7.6460959200162243E-2</v>
      </c>
      <c r="AS45" s="192">
        <f t="shared" si="11"/>
        <v>0.56126342797017625</v>
      </c>
    </row>
    <row r="46" spans="1:45" x14ac:dyDescent="0.2">
      <c r="A46" s="198">
        <f t="shared" si="9"/>
        <v>2039</v>
      </c>
      <c r="B46" s="226">
        <f t="shared" si="8"/>
        <v>1833.9750141919444</v>
      </c>
      <c r="C46" s="226">
        <f t="shared" si="4"/>
        <v>5201.556416745073</v>
      </c>
      <c r="D46" s="227">
        <f>'LE Efficiencies'!B$60*'LE StructuralVars'!$Q46*('LE Shares'!B46/'LE Efficiencies'!B46)/('LE Shares'!B$12/'LE Efficiencies'!B$12)</f>
        <v>805.77631343472717</v>
      </c>
      <c r="E46" s="227">
        <f>'LE Efficiencies'!C$60*'LE StructuralVars'!$Q46*('LE Shares'!C46/'LE Efficiencies'!C46)/('LE Shares'!C$12/'LE Efficiencies'!C$12)</f>
        <v>942.96552486236999</v>
      </c>
      <c r="F46" s="227">
        <f t="shared" si="12"/>
        <v>66.267971577454432</v>
      </c>
      <c r="G46" s="227">
        <f>'LE Efficiencies'!E$60*'LE StructuralVars'!$Q46*('LE Shares'!F46/(1/'LE Efficiencies'!E46))/('LE Shares'!F$12/(1/'LE Efficiencies'!E$12))</f>
        <v>18.965204317392732</v>
      </c>
      <c r="H46" s="227">
        <f>'LE Efficiencies'!F$60*'LE StructuralVars'!$R46*('LE Shares'!H46/'LE Efficiencies'!F46)/('LE Shares'!H$12/'LE Efficiencies'!F$12)</f>
        <v>2272.7549707423746</v>
      </c>
      <c r="I46" s="227">
        <f>'LE Efficiencies'!G$60*'LE StructuralVars'!$R46*('LE Shares'!J46/'LE Efficiencies'!G46)/('LE Shares'!J$12/'LE Efficiencies'!G$12)</f>
        <v>2601.6201649426466</v>
      </c>
      <c r="J46" s="227">
        <f>'LE Efficiencies'!H$60*'LE StructuralVars'!$R46*('LE Shares'!M46/'LE Efficiencies'!H46)/('LE Shares'!M$12/'LE Efficiencies'!H$12)</f>
        <v>127.66215245335557</v>
      </c>
      <c r="K46" s="227">
        <f>'LE Efficiencies'!I$60*'LE StructuralVars'!$R46*('LE Shares'!N46/'LE Efficiencies'!I46)/('LE Shares'!N$12/'LE Efficiencies'!I$12)</f>
        <v>199.51912860669648</v>
      </c>
      <c r="L46" s="227">
        <f>'LE Efficiencies'!J$60*('LE Shares'!P46/'LE Efficiencies'!J46)/('LE Shares'!P$12/'LE Efficiencies'!J$12)</f>
        <v>2944.3710207186027</v>
      </c>
      <c r="M46" s="227">
        <f>'LE Efficiencies'!K$60*('LE Shares'!R46/(1/'LE Efficiencies'!K46))/('LE Shares'!R$12/(1/'LE Efficiencies'!K$12))</f>
        <v>615.72151322850789</v>
      </c>
      <c r="N46" s="227">
        <f t="shared" si="12"/>
        <v>565.62080311254908</v>
      </c>
      <c r="O46" s="227">
        <f>'LE Efficiencies'!M$60*('LE Shares'!U46/(1/'LE Efficiencies'!M46))/('LE Shares'!U$12/(1/'LE Efficiencies'!M$12))</f>
        <v>98.08034942966782</v>
      </c>
      <c r="P46" s="227">
        <f>'LE Efficiencies'!N$60*('LE Shares'!W46/(1/'LE Efficiencies'!N46))/('LE Shares'!W$12/(1/'LE Efficiencies'!N$12))</f>
        <v>206.57403388128103</v>
      </c>
      <c r="Q46" s="227">
        <f>'LE Efficiencies'!O$60*('LE Shares'!Y46/(1/'LE Efficiencies'!O46))/('LE Shares'!Y$12/(1/'LE Efficiencies'!O$12))</f>
        <v>267.97577773244137</v>
      </c>
      <c r="R46" s="227">
        <f>'LE Efficiencies'!P$60*('LE Shares'!AA46/(1/'LE Efficiencies'!P46))/('LE Shares'!AA$12/(1/'LE Efficiencies'!P$12))</f>
        <v>59.235227927939519</v>
      </c>
      <c r="S46" s="227">
        <f>'LE Efficiencies'!Q$60*('LE Shares'!AC46/(1/'LE Efficiencies'!Q46))/('LE Shares'!AC$12/(1/'LE Efficiencies'!Q$12))</f>
        <v>581.22866163155641</v>
      </c>
      <c r="T46" s="227">
        <f>'LE Efficiencies'!R$60*('LE Shares'!AE46/(1/'LE Efficiencies'!R46))/('LE Shares'!AE$12/(1/'LE Efficiencies'!R$12))</f>
        <v>881.77585596881511</v>
      </c>
      <c r="U46" s="227">
        <f>'LE Efficiencies'!S$60*('LE Shares'!AG46/(1/'LE Efficiencies'!S46))/('LE Shares'!AG$12/(1/'LE Efficiencies'!S$12))</f>
        <v>204.14738701770096</v>
      </c>
      <c r="V46" s="227">
        <f>'LE Efficiencies'!T$60*('LE Shares'!AH46/(1/'LE Efficiencies'!T46))/('LE Shares'!AH$12/(1/'LE Efficiencies'!T$12))</f>
        <v>1042.8919996777408</v>
      </c>
      <c r="W46" s="227">
        <f>'LE Efficiencies'!U$60*('LE Shares'!AI46/(1/'LE Efficiencies'!U46))/('LE Shares'!AI$12/(1/'LE Efficiencies'!U$12))</f>
        <v>7774.8349787856296</v>
      </c>
      <c r="X46" s="153">
        <f t="shared" si="2"/>
        <v>15242.457609112433</v>
      </c>
      <c r="Y46" s="198">
        <f t="shared" si="10"/>
        <v>2039</v>
      </c>
      <c r="Z46" s="192">
        <f t="shared" si="7"/>
        <v>5.8869637294924095E-2</v>
      </c>
      <c r="AA46" s="192">
        <f t="shared" si="7"/>
        <v>6.8892616356067984E-2</v>
      </c>
      <c r="AB46" s="192">
        <f t="shared" si="7"/>
        <v>4.8415067382730909E-3</v>
      </c>
      <c r="AC46" s="192">
        <f t="shared" si="7"/>
        <v>1.3855888796605585E-3</v>
      </c>
      <c r="AD46" s="192">
        <f t="shared" si="7"/>
        <v>0.16604640587846931</v>
      </c>
      <c r="AE46" s="192">
        <f t="shared" si="7"/>
        <v>0.19007314180840687</v>
      </c>
      <c r="AF46" s="192">
        <f t="shared" si="7"/>
        <v>9.3269366273412337E-3</v>
      </c>
      <c r="AG46" s="192">
        <f t="shared" si="7"/>
        <v>1.4576773403040724E-2</v>
      </c>
      <c r="AH46" s="192">
        <f t="shared" si="7"/>
        <v>0.21511435762181993</v>
      </c>
      <c r="AI46" s="192">
        <f t="shared" si="11"/>
        <v>4.49843232595597E-2</v>
      </c>
      <c r="AJ46" s="192">
        <f t="shared" si="11"/>
        <v>4.1323989015962521E-2</v>
      </c>
      <c r="AK46" s="192">
        <f t="shared" si="11"/>
        <v>7.1657040551014973E-3</v>
      </c>
      <c r="AL46" s="192">
        <f t="shared" si="11"/>
        <v>1.5092201453903231E-2</v>
      </c>
      <c r="AM46" s="192">
        <f t="shared" si="11"/>
        <v>1.9578183890375606E-2</v>
      </c>
      <c r="AN46" s="192">
        <f t="shared" si="11"/>
        <v>4.3276978052823323E-3</v>
      </c>
      <c r="AO46" s="192">
        <f t="shared" si="11"/>
        <v>4.2464291795586091E-2</v>
      </c>
      <c r="AP46" s="192">
        <f t="shared" si="11"/>
        <v>6.4422128015941479E-2</v>
      </c>
      <c r="AQ46" s="192">
        <f t="shared" si="11"/>
        <v>1.4914911778940112E-2</v>
      </c>
      <c r="AR46" s="192">
        <f t="shared" si="11"/>
        <v>7.6193197460848475E-2</v>
      </c>
      <c r="AS46" s="192">
        <f t="shared" si="11"/>
        <v>0.56802577538918375</v>
      </c>
    </row>
    <row r="47" spans="1:45" x14ac:dyDescent="0.2">
      <c r="A47" s="198">
        <f t="shared" si="9"/>
        <v>2040</v>
      </c>
      <c r="B47" s="226">
        <f t="shared" si="8"/>
        <v>1840.4703608667978</v>
      </c>
      <c r="C47" s="226">
        <f t="shared" si="4"/>
        <v>5238.6628821513295</v>
      </c>
      <c r="D47" s="227">
        <f>'LE Efficiencies'!B$60*'LE StructuralVars'!$Q47*('LE Shares'!B47/'LE Efficiencies'!B47)/('LE Shares'!B$12/'LE Efficiencies'!B$12)</f>
        <v>803.10375847605849</v>
      </c>
      <c r="E47" s="227">
        <f>'LE Efficiencies'!C$60*'LE StructuralVars'!$Q47*('LE Shares'!C47/'LE Efficiencies'!C47)/('LE Shares'!C$12/'LE Efficiencies'!C$12)</f>
        <v>953.27961677161466</v>
      </c>
      <c r="F47" s="227">
        <f t="shared" si="12"/>
        <v>66.267971577454432</v>
      </c>
      <c r="G47" s="227">
        <f>'LE Efficiencies'!E$60*'LE StructuralVars'!$Q47*('LE Shares'!F47/(1/'LE Efficiencies'!E47))/('LE Shares'!F$12/(1/'LE Efficiencies'!E$12))</f>
        <v>17.819014041670375</v>
      </c>
      <c r="H47" s="227">
        <f>'LE Efficiencies'!F$60*'LE StructuralVars'!$R47*('LE Shares'!H47/'LE Efficiencies'!F47)/('LE Shares'!H$12/'LE Efficiencies'!F$12)</f>
        <v>2272.8370989271848</v>
      </c>
      <c r="I47" s="227">
        <f>'LE Efficiencies'!G$60*'LE StructuralVars'!$R47*('LE Shares'!J47/'LE Efficiencies'!G47)/('LE Shares'!J$12/'LE Efficiencies'!G$12)</f>
        <v>2640.563698879665</v>
      </c>
      <c r="J47" s="227">
        <f>'LE Efficiencies'!H$60*'LE StructuralVars'!$R47*('LE Shares'!M47/'LE Efficiencies'!H47)/('LE Shares'!M$12/'LE Efficiencies'!H$12)</f>
        <v>127.49167823215366</v>
      </c>
      <c r="K47" s="227">
        <f>'LE Efficiencies'!I$60*'LE StructuralVars'!$R47*('LE Shares'!N47/'LE Efficiencies'!I47)/('LE Shares'!N$12/'LE Efficiencies'!I$12)</f>
        <v>197.7704061123267</v>
      </c>
      <c r="L47" s="227">
        <f>'LE Efficiencies'!J$60*('LE Shares'!P47/'LE Efficiencies'!J47)/('LE Shares'!P$12/'LE Efficiencies'!J$12)</f>
        <v>2949.2539127366963</v>
      </c>
      <c r="M47" s="227">
        <f>'LE Efficiencies'!K$60*('LE Shares'!R47/(1/'LE Efficiencies'!K47))/('LE Shares'!R$12/(1/'LE Efficiencies'!K$12))</f>
        <v>616.32229612716151</v>
      </c>
      <c r="N47" s="227">
        <f t="shared" si="12"/>
        <v>565.62080311254908</v>
      </c>
      <c r="O47" s="227">
        <f>'LE Efficiencies'!M$60*('LE Shares'!U47/(1/'LE Efficiencies'!M47))/('LE Shares'!U$12/(1/'LE Efficiencies'!M$12))</f>
        <v>97.890966066391726</v>
      </c>
      <c r="P47" s="227">
        <f>'LE Efficiencies'!N$60*('LE Shares'!W47/(1/'LE Efficiencies'!N47))/('LE Shares'!W$12/(1/'LE Efficiencies'!N$12))</f>
        <v>205.27338917172949</v>
      </c>
      <c r="Q47" s="227">
        <f>'LE Efficiencies'!O$60*('LE Shares'!Y47/(1/'LE Efficiencies'!O47))/('LE Shares'!Y$12/(1/'LE Efficiencies'!O$12))</f>
        <v>269.50781303710357</v>
      </c>
      <c r="R47" s="227">
        <f>'LE Efficiencies'!P$60*('LE Shares'!AA47/(1/'LE Efficiencies'!P47))/('LE Shares'!AA$12/(1/'LE Efficiencies'!P$12))</f>
        <v>59.270299596341538</v>
      </c>
      <c r="S47" s="227">
        <f>'LE Efficiencies'!Q$60*('LE Shares'!AC47/(1/'LE Efficiencies'!Q47))/('LE Shares'!AC$12/(1/'LE Efficiencies'!Q$12))</f>
        <v>582.61839818691874</v>
      </c>
      <c r="T47" s="227">
        <f>'LE Efficiencies'!R$60*('LE Shares'!AE47/(1/'LE Efficiencies'!R47))/('LE Shares'!AE$12/(1/'LE Efficiencies'!R$12))</f>
        <v>887.87538179793125</v>
      </c>
      <c r="U47" s="227">
        <f>'LE Efficiencies'!S$60*('LE Shares'!AG47/(1/'LE Efficiencies'!S47))/('LE Shares'!AG$12/(1/'LE Efficiencies'!S$12))</f>
        <v>202.82289283922762</v>
      </c>
      <c r="V47" s="227">
        <f>'LE Efficiencies'!T$60*('LE Shares'!AH47/(1/'LE Efficiencies'!T47))/('LE Shares'!AH$12/(1/'LE Efficiencies'!T$12))</f>
        <v>1039.2398538157058</v>
      </c>
      <c r="W47" s="227">
        <f>'LE Efficiencies'!U$60*('LE Shares'!AI47/(1/'LE Efficiencies'!U47))/('LE Shares'!AI$12/(1/'LE Efficiencies'!U$12))</f>
        <v>7868.5095932926624</v>
      </c>
      <c r="X47" s="153">
        <f t="shared" si="2"/>
        <v>15344.20559978042</v>
      </c>
      <c r="Y47" s="198">
        <f t="shared" si="10"/>
        <v>2040</v>
      </c>
      <c r="Z47" s="192">
        <f t="shared" si="7"/>
        <v>5.8674381690553043E-2</v>
      </c>
      <c r="AA47" s="192">
        <f t="shared" si="7"/>
        <v>6.9646159044777126E-2</v>
      </c>
      <c r="AB47" s="192">
        <f t="shared" si="7"/>
        <v>4.8415067382730909E-3</v>
      </c>
      <c r="AC47" s="192">
        <f t="shared" si="7"/>
        <v>1.301848758887934E-3</v>
      </c>
      <c r="AD47" s="192">
        <f t="shared" si="7"/>
        <v>0.16605240612490355</v>
      </c>
      <c r="AE47" s="192">
        <f t="shared" si="7"/>
        <v>0.19291833802431743</v>
      </c>
      <c r="AF47" s="192">
        <f t="shared" si="7"/>
        <v>9.3144818611698224E-3</v>
      </c>
      <c r="AG47" s="192">
        <f t="shared" si="7"/>
        <v>1.4449012562647934E-2</v>
      </c>
      <c r="AH47" s="192">
        <f t="shared" si="7"/>
        <v>0.21547109940891734</v>
      </c>
      <c r="AI47" s="192">
        <f t="shared" si="11"/>
        <v>4.5028216174686449E-2</v>
      </c>
      <c r="AJ47" s="192">
        <f t="shared" si="11"/>
        <v>4.1323989015962521E-2</v>
      </c>
      <c r="AK47" s="192">
        <f t="shared" si="11"/>
        <v>7.151867795931465E-3</v>
      </c>
      <c r="AL47" s="192">
        <f t="shared" si="11"/>
        <v>1.4997176965066524E-2</v>
      </c>
      <c r="AM47" s="192">
        <f t="shared" si="11"/>
        <v>1.9690113666921201E-2</v>
      </c>
      <c r="AN47" s="192">
        <f t="shared" si="11"/>
        <v>4.3302601248289994E-3</v>
      </c>
      <c r="AO47" s="192">
        <f t="shared" si="11"/>
        <v>4.2565825292644272E-2</v>
      </c>
      <c r="AP47" s="192">
        <f t="shared" si="11"/>
        <v>6.4867756495265314E-2</v>
      </c>
      <c r="AQ47" s="192">
        <f t="shared" si="11"/>
        <v>1.4818144859156139E-2</v>
      </c>
      <c r="AR47" s="192">
        <f t="shared" si="11"/>
        <v>7.5926373407247685E-2</v>
      </c>
      <c r="AS47" s="192">
        <f t="shared" si="11"/>
        <v>0.57486959852945974</v>
      </c>
    </row>
    <row r="48" spans="1:45" x14ac:dyDescent="0.2">
      <c r="A48" s="198">
        <f t="shared" si="9"/>
        <v>2041</v>
      </c>
      <c r="B48" s="226">
        <f t="shared" si="8"/>
        <v>1846.9365721785346</v>
      </c>
      <c r="C48" s="226">
        <f t="shared" si="4"/>
        <v>5275.729076785974</v>
      </c>
      <c r="D48" s="227">
        <f>'LE Efficiencies'!B$60*'LE StructuralVars'!$Q48*('LE Shares'!B48/'LE Efficiencies'!B48)/('LE Shares'!B$12/'LE Efficiencies'!B$12)</f>
        <v>800.43775816996208</v>
      </c>
      <c r="E48" s="227">
        <f>'LE Efficiencies'!C$60*'LE StructuralVars'!$Q48*('LE Shares'!C48/'LE Efficiencies'!C48)/('LE Shares'!C$12/'LE Efficiencies'!C$12)</f>
        <v>963.50173483867343</v>
      </c>
      <c r="F48" s="227">
        <f t="shared" si="12"/>
        <v>66.267971577454432</v>
      </c>
      <c r="G48" s="227">
        <f>'LE Efficiencies'!E$60*'LE StructuralVars'!$Q48*('LE Shares'!F48/(1/'LE Efficiencies'!E48))/('LE Shares'!F$12/(1/'LE Efficiencies'!E$12))</f>
        <v>16.729107592444699</v>
      </c>
      <c r="H48" s="227">
        <f>'LE Efficiencies'!F$60*'LE StructuralVars'!$R48*('LE Shares'!H48/'LE Efficiencies'!F48)/('LE Shares'!H$12/'LE Efficiencies'!F$12)</f>
        <v>2272.9131927887256</v>
      </c>
      <c r="I48" s="227">
        <f>'LE Efficiencies'!G$60*'LE StructuralVars'!$R48*('LE Shares'!J48/'LE Efficiencies'!G48)/('LE Shares'!J$12/'LE Efficiencies'!G$12)</f>
        <v>2679.4705857747786</v>
      </c>
      <c r="J48" s="227">
        <f>'LE Efficiencies'!H$60*'LE StructuralVars'!$R48*('LE Shares'!M48/'LE Efficiencies'!H48)/('LE Shares'!M$12/'LE Efficiencies'!H$12)</f>
        <v>127.32139136400259</v>
      </c>
      <c r="K48" s="227">
        <f>'LE Efficiencies'!I$60*'LE StructuralVars'!$R48*('LE Shares'!N48/'LE Efficiencies'!I48)/('LE Shares'!N$12/'LE Efficiencies'!I$12)</f>
        <v>196.02390685846723</v>
      </c>
      <c r="L48" s="227">
        <f>'LE Efficiencies'!J$60*('LE Shares'!P48/'LE Efficiencies'!J48)/('LE Shares'!P$12/'LE Efficiencies'!J$12)</f>
        <v>2954.1298932094592</v>
      </c>
      <c r="M48" s="227">
        <f>'LE Efficiencies'!K$60*('LE Shares'!R48/(1/'LE Efficiencies'!K48))/('LE Shares'!R$12/(1/'LE Efficiencies'!K$12))</f>
        <v>616.92219915876126</v>
      </c>
      <c r="N48" s="227">
        <f t="shared" si="12"/>
        <v>565.62080311254908</v>
      </c>
      <c r="O48" s="227">
        <f>'LE Efficiencies'!M$60*('LE Shares'!U48/(1/'LE Efficiencies'!M48))/('LE Shares'!U$12/(1/'LE Efficiencies'!M$12))</f>
        <v>97.701762906356251</v>
      </c>
      <c r="P48" s="227">
        <f>'LE Efficiencies'!N$60*('LE Shares'!W48/(1/'LE Efficiencies'!N48))/('LE Shares'!W$12/(1/'LE Efficiencies'!N$12))</f>
        <v>203.97517648824416</v>
      </c>
      <c r="Q48" s="227">
        <f>'LE Efficiencies'!O$60*('LE Shares'!Y48/(1/'LE Efficiencies'!O48))/('LE Shares'!Y$12/(1/'LE Efficiencies'!O$12))</f>
        <v>271.03984817849135</v>
      </c>
      <c r="R48" s="227">
        <f>'LE Efficiencies'!P$60*('LE Shares'!AA48/(1/'LE Efficiencies'!P48))/('LE Shares'!AA$12/(1/'LE Efficiencies'!P$12))</f>
        <v>59.305352687640529</v>
      </c>
      <c r="S48" s="227">
        <f>'LE Efficiencies'!Q$60*('LE Shares'!AC48/(1/'LE Efficiencies'!Q48))/('LE Shares'!AC$12/(1/'LE Efficiencies'!Q$12))</f>
        <v>584.0095721994295</v>
      </c>
      <c r="T48" s="227">
        <f>'LE Efficiencies'!R$60*('LE Shares'!AE48/(1/'LE Efficiencies'!R48))/('LE Shares'!AE$12/(1/'LE Efficiencies'!R$12))</f>
        <v>894.01709999950594</v>
      </c>
      <c r="U48" s="227">
        <f>'LE Efficiencies'!S$60*('LE Shares'!AG48/(1/'LE Efficiencies'!S48))/('LE Shares'!AG$12/(1/'LE Efficiencies'!S$12))</f>
        <v>201.50699188770866</v>
      </c>
      <c r="V48" s="227">
        <f>'LE Efficiencies'!T$60*('LE Shares'!AH48/(1/'LE Efficiencies'!T48))/('LE Shares'!AH$12/(1/'LE Efficiencies'!T$12))</f>
        <v>1035.6004975516366</v>
      </c>
      <c r="W48" s="227">
        <f>'LE Efficiencies'!U$60*('LE Shares'!AI48/(1/'LE Efficiencies'!U48))/('LE Shares'!AI$12/(1/'LE Efficiencies'!U$12))</f>
        <v>7963.312840552283</v>
      </c>
      <c r="X48" s="153">
        <f t="shared" si="2"/>
        <v>15447.142037932066</v>
      </c>
      <c r="Y48" s="198">
        <f t="shared" si="10"/>
        <v>2041</v>
      </c>
      <c r="Z48" s="192">
        <f t="shared" si="7"/>
        <v>5.8479604966006439E-2</v>
      </c>
      <c r="AA48" s="192">
        <f t="shared" si="7"/>
        <v>7.0392982167969353E-2</v>
      </c>
      <c r="AB48" s="192">
        <f t="shared" si="7"/>
        <v>4.8415067382730909E-3</v>
      </c>
      <c r="AC48" s="192">
        <f t="shared" si="7"/>
        <v>1.2222207079244929E-3</v>
      </c>
      <c r="AD48" s="192">
        <f t="shared" si="7"/>
        <v>0.16605796550652668</v>
      </c>
      <c r="AE48" s="192">
        <f t="shared" si="7"/>
        <v>0.19576085682463645</v>
      </c>
      <c r="AF48" s="192">
        <f t="shared" si="7"/>
        <v>9.3020407829239125E-3</v>
      </c>
      <c r="AG48" s="192">
        <f t="shared" si="7"/>
        <v>1.4321414151157905E-2</v>
      </c>
      <c r="AH48" s="192">
        <f t="shared" si="7"/>
        <v>0.21582733624177372</v>
      </c>
      <c r="AI48" s="192">
        <f t="shared" si="11"/>
        <v>4.5072044807141359E-2</v>
      </c>
      <c r="AJ48" s="192">
        <f t="shared" si="11"/>
        <v>4.1323989015962521E-2</v>
      </c>
      <c r="AK48" s="192">
        <f t="shared" si="11"/>
        <v>7.1380447023251716E-3</v>
      </c>
      <c r="AL48" s="192">
        <f t="shared" si="11"/>
        <v>1.4902330158906787E-2</v>
      </c>
      <c r="AM48" s="192">
        <f t="shared" si="11"/>
        <v>1.9802043431538043E-2</v>
      </c>
      <c r="AN48" s="192">
        <f t="shared" si="11"/>
        <v>4.3328210871412826E-3</v>
      </c>
      <c r="AO48" s="192">
        <f t="shared" si="11"/>
        <v>4.2667463809643529E-2</v>
      </c>
      <c r="AP48" s="192">
        <f t="shared" si="11"/>
        <v>6.5316467529414654E-2</v>
      </c>
      <c r="AQ48" s="192">
        <f t="shared" si="11"/>
        <v>1.4722005756479174E-2</v>
      </c>
      <c r="AR48" s="192">
        <f t="shared" si="11"/>
        <v>7.5660483755640148E-2</v>
      </c>
      <c r="AS48" s="192">
        <f t="shared" si="11"/>
        <v>0.58179587904615182</v>
      </c>
    </row>
    <row r="49" spans="1:45" x14ac:dyDescent="0.2">
      <c r="A49" s="198">
        <f t="shared" si="9"/>
        <v>2042</v>
      </c>
      <c r="B49" s="226">
        <f t="shared" si="8"/>
        <v>1853.3715259308028</v>
      </c>
      <c r="C49" s="226">
        <f t="shared" si="4"/>
        <v>5312.7545975397843</v>
      </c>
      <c r="D49" s="227">
        <f>'LE Efficiencies'!B$60*'LE StructuralVars'!$Q49*('LE Shares'!B49/'LE Efficiencies'!B49)/('LE Shares'!B$12/'LE Efficiencies'!B$12)</f>
        <v>797.77828585820282</v>
      </c>
      <c r="E49" s="227">
        <f>'LE Efficiencies'!C$60*'LE StructuralVars'!$Q49*('LE Shares'!C49/'LE Efficiencies'!C49)/('LE Shares'!C$12/'LE Efficiencies'!C$12)</f>
        <v>973.63229139879343</v>
      </c>
      <c r="F49" s="227">
        <f t="shared" si="12"/>
        <v>66.267971577454432</v>
      </c>
      <c r="G49" s="227">
        <f>'LE Efficiencies'!E$60*'LE StructuralVars'!$Q49*('LE Shares'!F49/(1/'LE Efficiencies'!E49))/('LE Shares'!F$12/(1/'LE Efficiencies'!E$12))</f>
        <v>15.692977096352035</v>
      </c>
      <c r="H49" s="227">
        <f>'LE Efficiencies'!F$60*'LE StructuralVars'!$R49*('LE Shares'!H49/'LE Efficiencies'!F49)/('LE Shares'!H$12/'LE Efficiencies'!F$12)</f>
        <v>2272.9831932155316</v>
      </c>
      <c r="I49" s="227">
        <f>'LE Efficiencies'!G$60*'LE StructuralVars'!$R49*('LE Shares'!J49/'LE Efficiencies'!G49)/('LE Shares'!J$12/'LE Efficiencies'!G$12)</f>
        <v>2718.3404848946752</v>
      </c>
      <c r="J49" s="227">
        <f>'LE Efficiencies'!H$60*'LE StructuralVars'!$R49*('LE Shares'!M49/'LE Efficiencies'!H49)/('LE Shares'!M$12/'LE Efficiencies'!H$12)</f>
        <v>127.15128743301823</v>
      </c>
      <c r="K49" s="227">
        <f>'LE Efficiencies'!I$60*'LE StructuralVars'!$R49*('LE Shares'!N49/'LE Efficiencies'!I49)/('LE Shares'!N$12/'LE Efficiencies'!I$12)</f>
        <v>194.27963199655875</v>
      </c>
      <c r="L49" s="227">
        <f>'LE Efficiencies'!J$60*('LE Shares'!P49/'LE Efficiencies'!J49)/('LE Shares'!P$12/'LE Efficiencies'!J$12)</f>
        <v>2958.9989768010514</v>
      </c>
      <c r="M49" s="227">
        <f>'LE Efficiencies'!K$60*('LE Shares'!R49/(1/'LE Efficiencies'!K49))/('LE Shares'!R$12/(1/'LE Efficiencies'!K$12))</f>
        <v>617.52122312828999</v>
      </c>
      <c r="N49" s="227">
        <f t="shared" si="12"/>
        <v>565.62080311254908</v>
      </c>
      <c r="O49" s="227">
        <f>'LE Efficiencies'!M$60*('LE Shares'!U49/(1/'LE Efficiencies'!M49))/('LE Shares'!U$12/(1/'LE Efficiencies'!M$12))</f>
        <v>97.512739918182191</v>
      </c>
      <c r="P49" s="227">
        <f>'LE Efficiencies'!N$60*('LE Shares'!W49/(1/'LE Efficiencies'!N49))/('LE Shares'!W$12/(1/'LE Efficiencies'!N$12))</f>
        <v>202.6793958308248</v>
      </c>
      <c r="Q49" s="227">
        <f>'LE Efficiencies'!O$60*('LE Shares'!Y49/(1/'LE Efficiencies'!O49))/('LE Shares'!Y$12/(1/'LE Efficiencies'!O$12))</f>
        <v>272.57188315660494</v>
      </c>
      <c r="R49" s="227">
        <f>'LE Efficiencies'!P$60*('LE Shares'!AA49/(1/'LE Efficiencies'!P49))/('LE Shares'!AA$12/(1/'LE Efficiencies'!P$12))</f>
        <v>59.340387208375439</v>
      </c>
      <c r="S49" s="227">
        <f>'LE Efficiencies'!Q$60*('LE Shares'!AC49/(1/'LE Efficiencies'!Q49))/('LE Shares'!AC$12/(1/'LE Efficiencies'!Q$12))</f>
        <v>585.40218488145774</v>
      </c>
      <c r="T49" s="227">
        <f>'LE Efficiencies'!R$60*('LE Shares'!AE49/(1/'LE Efficiencies'!R49))/('LE Shares'!AE$12/(1/'LE Efficiencies'!R$12))</f>
        <v>900.20130243168444</v>
      </c>
      <c r="U49" s="227">
        <f>'LE Efficiencies'!S$60*('LE Shares'!AG49/(1/'LE Efficiencies'!S49))/('LE Shares'!AG$12/(1/'LE Efficiencies'!S$12))</f>
        <v>200.19962841087988</v>
      </c>
      <c r="V49" s="227">
        <f>'LE Efficiencies'!T$60*('LE Shares'!AH49/(1/'LE Efficiencies'!T49))/('LE Shares'!AH$12/(1/'LE Efficiencies'!T$12))</f>
        <v>1031.9738860971204</v>
      </c>
      <c r="W49" s="227">
        <f>'LE Efficiencies'!U$60*('LE Shares'!AI49/(1/'LE Efficiencies'!U49))/('LE Shares'!AI$12/(1/'LE Efficiencies'!U$12))</f>
        <v>8059.2583188258486</v>
      </c>
      <c r="X49" s="153">
        <f t="shared" si="2"/>
        <v>15551.280729802867</v>
      </c>
      <c r="Y49" s="198">
        <f t="shared" si="10"/>
        <v>2042</v>
      </c>
      <c r="Z49" s="192">
        <f t="shared" si="7"/>
        <v>5.8285305173646211E-2</v>
      </c>
      <c r="AA49" s="192">
        <f t="shared" si="7"/>
        <v>7.1133115850663273E-2</v>
      </c>
      <c r="AB49" s="192">
        <f t="shared" si="7"/>
        <v>4.8415067382730909E-3</v>
      </c>
      <c r="AC49" s="192">
        <f t="shared" si="7"/>
        <v>1.1465215027254981E-3</v>
      </c>
      <c r="AD49" s="192">
        <f t="shared" si="7"/>
        <v>0.16606307970468298</v>
      </c>
      <c r="AE49" s="192">
        <f t="shared" si="7"/>
        <v>0.19860067331554895</v>
      </c>
      <c r="AF49" s="192">
        <f t="shared" si="7"/>
        <v>9.2896130699810925E-3</v>
      </c>
      <c r="AG49" s="192">
        <f t="shared" si="7"/>
        <v>1.4193978252694349E-2</v>
      </c>
      <c r="AH49" s="192">
        <f t="shared" si="7"/>
        <v>0.21618306919174574</v>
      </c>
      <c r="AI49" s="192">
        <f t="shared" si="11"/>
        <v>4.5115809215736102E-2</v>
      </c>
      <c r="AJ49" s="192">
        <f t="shared" si="11"/>
        <v>4.1323989015962521E-2</v>
      </c>
      <c r="AK49" s="192">
        <f t="shared" si="11"/>
        <v>7.1242347719900692E-3</v>
      </c>
      <c r="AL49" s="192">
        <f t="shared" si="11"/>
        <v>1.4807661035424002E-2</v>
      </c>
      <c r="AM49" s="192">
        <f t="shared" si="11"/>
        <v>1.991397318422615E-2</v>
      </c>
      <c r="AN49" s="192">
        <f t="shared" si="11"/>
        <v>4.335380692696917E-3</v>
      </c>
      <c r="AO49" s="192">
        <f t="shared" si="11"/>
        <v>4.2769207435158968E-2</v>
      </c>
      <c r="AP49" s="192">
        <f t="shared" si="11"/>
        <v>6.576828244140788E-2</v>
      </c>
      <c r="AQ49" s="192">
        <f t="shared" si="11"/>
        <v>1.4626490397675102E-2</v>
      </c>
      <c r="AR49" s="192">
        <f t="shared" si="11"/>
        <v>7.5395525233805563E-2</v>
      </c>
      <c r="AS49" s="192">
        <f t="shared" si="11"/>
        <v>0.58880561042181889</v>
      </c>
    </row>
    <row r="50" spans="1:45" x14ac:dyDescent="0.2">
      <c r="A50" s="198">
        <f t="shared" si="9"/>
        <v>2043</v>
      </c>
      <c r="B50" s="226">
        <f t="shared" si="8"/>
        <v>1847.0320550853176</v>
      </c>
      <c r="C50" s="226">
        <f t="shared" ref="C50" si="13">SUM(H50:K50)</f>
        <v>5308.9903066833303</v>
      </c>
      <c r="D50" s="227">
        <f>'LE Efficiencies'!B$60*'LE StructuralVars'!$Q50*('LE Shares'!B50/'LE Efficiencies'!B50)/('LE Shares'!B$12/'LE Efficiencies'!B$12)</f>
        <v>795.59166430029234</v>
      </c>
      <c r="E50" s="227">
        <f>'LE Efficiencies'!C$60*'LE StructuralVars'!$Q50*('LE Shares'!C50/'LE Efficiencies'!C50)/('LE Shares'!C$12/'LE Efficiencies'!C$12)</f>
        <v>970.01809399234617</v>
      </c>
      <c r="F50" s="227">
        <f t="shared" si="12"/>
        <v>66.267971577454432</v>
      </c>
      <c r="G50" s="227">
        <f>'LE Efficiencies'!E$60*'LE StructuralVars'!$Q50*('LE Shares'!F50/(1/'LE Efficiencies'!E50))/('LE Shares'!F$12/(1/'LE Efficiencies'!E$12))</f>
        <v>15.154325215224524</v>
      </c>
      <c r="H50" s="227">
        <f>'LE Efficiencies'!F$60*'LE StructuralVars'!$R50*('LE Shares'!H50/'LE Efficiencies'!F50)/('LE Shares'!H$12/'LE Efficiencies'!F$12)</f>
        <v>2272.1865373767159</v>
      </c>
      <c r="I50" s="227">
        <f>'LE Efficiencies'!G$60*'LE StructuralVars'!$R50*('LE Shares'!J50/'LE Efficiencies'!G50)/('LE Shares'!J$12/'LE Efficiencies'!G$12)</f>
        <v>2717.2848243964959</v>
      </c>
      <c r="J50" s="227">
        <f>'LE Efficiencies'!H$60*'LE StructuralVars'!$R50*('LE Shares'!M50/'LE Efficiencies'!H50)/('LE Shares'!M$12/'LE Efficiencies'!H$12)</f>
        <v>126.98136205518752</v>
      </c>
      <c r="K50" s="227">
        <f>'LE Efficiencies'!I$60*'LE StructuralVars'!$R50*('LE Shares'!N50/'LE Efficiencies'!I50)/('LE Shares'!N$12/'LE Efficiencies'!I$12)</f>
        <v>192.53758285493046</v>
      </c>
      <c r="L50" s="227">
        <f>'LE Efficiencies'!J$60*('LE Shares'!P50/'LE Efficiencies'!J50)/('LE Shares'!P$12/'LE Efficiencies'!J$12)</f>
        <v>2956.9077623689586</v>
      </c>
      <c r="M50" s="227">
        <f>'LE Efficiencies'!K$60*('LE Shares'!R50/(1/'LE Efficiencies'!K50))/('LE Shares'!R$12/(1/'LE Efficiencies'!K$12))</f>
        <v>617.1708833328255</v>
      </c>
      <c r="N50" s="227">
        <f t="shared" si="12"/>
        <v>565.62080311254908</v>
      </c>
      <c r="O50" s="227">
        <f>'LE Efficiencies'!M$60*('LE Shares'!U50/(1/'LE Efficiencies'!M50))/('LE Shares'!U$12/(1/'LE Efficiencies'!M$12))</f>
        <v>97.323897070495192</v>
      </c>
      <c r="P50" s="227">
        <f>'LE Efficiencies'!N$60*('LE Shares'!W50/(1/'LE Efficiencies'!N50))/('LE Shares'!W$12/(1/'LE Efficiencies'!N$12))</f>
        <v>201.61676592194573</v>
      </c>
      <c r="Q50" s="227">
        <f>'LE Efficiencies'!O$60*('LE Shares'!Y50/(1/'LE Efficiencies'!O50))/('LE Shares'!Y$12/(1/'LE Efficiencies'!O$12))</f>
        <v>272.57186863220863</v>
      </c>
      <c r="R50" s="227">
        <f>'LE Efficiencies'!P$60*('LE Shares'!AA50/(1/'LE Efficiencies'!P50))/('LE Shares'!AA$12/(1/'LE Efficiencies'!P$12))</f>
        <v>59.327160797880289</v>
      </c>
      <c r="S50" s="227">
        <f>'LE Efficiencies'!Q$60*('LE Shares'!AC50/(1/'LE Efficiencies'!Q50))/('LE Shares'!AC$12/(1/'LE Efficiencies'!Q$12))</f>
        <v>585.74754245099416</v>
      </c>
      <c r="T50" s="227">
        <f>'LE Efficiencies'!R$60*('LE Shares'!AE50/(1/'LE Efficiencies'!R50))/('LE Shares'!AE$12/(1/'LE Efficiencies'!R$12))</f>
        <v>906.42828297148742</v>
      </c>
      <c r="U50" s="227">
        <f>'LE Efficiencies'!S$60*('LE Shares'!AG50/(1/'LE Efficiencies'!S50))/('LE Shares'!AG$12/(1/'LE Efficiencies'!S$12))</f>
        <v>198.90074701819395</v>
      </c>
      <c r="V50" s="227">
        <f>'LE Efficiencies'!T$60*('LE Shares'!AH50/(1/'LE Efficiencies'!T50))/('LE Shares'!AH$12/(1/'LE Efficiencies'!T$12))</f>
        <v>1028.3599748205907</v>
      </c>
      <c r="W50" s="227">
        <f>'LE Efficiencies'!U$60*('LE Shares'!AI50/(1/'LE Efficiencies'!U50))/('LE Shares'!AI$12/(1/'LE Efficiencies'!U$12))</f>
        <v>8156.359790212513</v>
      </c>
      <c r="X50" s="153">
        <f t="shared" si="2"/>
        <v>15646.335478710642</v>
      </c>
      <c r="Y50" s="198">
        <f t="shared" si="10"/>
        <v>2043</v>
      </c>
      <c r="Z50" s="192">
        <f t="shared" ref="Z50:AH50" si="14">D50/$X$19</f>
        <v>5.8125551634271563E-2</v>
      </c>
      <c r="AA50" s="192">
        <f t="shared" si="14"/>
        <v>7.0869064293323666E-2</v>
      </c>
      <c r="AB50" s="192">
        <f t="shared" si="14"/>
        <v>4.8415067382730909E-3</v>
      </c>
      <c r="AC50" s="192">
        <f t="shared" si="14"/>
        <v>1.1071678504258468E-3</v>
      </c>
      <c r="AD50" s="192">
        <f t="shared" si="14"/>
        <v>0.1660048764049607</v>
      </c>
      <c r="AE50" s="192">
        <f t="shared" si="14"/>
        <v>0.19852354725761173</v>
      </c>
      <c r="AF50" s="192">
        <f t="shared" si="14"/>
        <v>9.2771984020474374E-3</v>
      </c>
      <c r="AG50" s="192">
        <f t="shared" si="14"/>
        <v>1.4066704964304372E-2</v>
      </c>
      <c r="AH50" s="192">
        <f t="shared" si="14"/>
        <v>0.2160302860519703</v>
      </c>
      <c r="AI50" s="192">
        <f t="shared" si="11"/>
        <v>4.5090213555569497E-2</v>
      </c>
      <c r="AJ50" s="192">
        <f t="shared" si="11"/>
        <v>4.1323989015962521E-2</v>
      </c>
      <c r="AK50" s="192">
        <f t="shared" si="11"/>
        <v>7.1104380026339609E-3</v>
      </c>
      <c r="AL50" s="192">
        <f t="shared" si="11"/>
        <v>1.4730025795629233E-2</v>
      </c>
      <c r="AM50" s="192">
        <f t="shared" si="11"/>
        <v>1.991397212308061E-2</v>
      </c>
      <c r="AN50" s="192">
        <f t="shared" si="11"/>
        <v>4.3344143773863513E-3</v>
      </c>
      <c r="AO50" s="192">
        <f t="shared" si="11"/>
        <v>4.2794439096249873E-2</v>
      </c>
      <c r="AP50" s="192">
        <f t="shared" si="11"/>
        <v>6.6223222701761467E-2</v>
      </c>
      <c r="AQ50" s="192">
        <f t="shared" si="11"/>
        <v>1.4531594735936664E-2</v>
      </c>
      <c r="AR50" s="192">
        <f t="shared" si="11"/>
        <v>7.5131494580982727E-2</v>
      </c>
      <c r="AS50" s="192">
        <f t="shared" si="11"/>
        <v>0.59589979810893245</v>
      </c>
    </row>
    <row r="54" spans="1:45" x14ac:dyDescent="0.2">
      <c r="A54" s="224">
        <v>2014</v>
      </c>
      <c r="B54" s="287">
        <f t="shared" ref="B54:Q58" si="15">B21/B20-1</f>
        <v>2.9425625331165328E-3</v>
      </c>
      <c r="C54" s="287">
        <f t="shared" si="15"/>
        <v>7.7907424650380808E-3</v>
      </c>
      <c r="D54" s="287">
        <f t="shared" si="15"/>
        <v>-1.5800698450236461E-2</v>
      </c>
      <c r="E54" s="287">
        <f t="shared" si="15"/>
        <v>3.8347551561604298E-2</v>
      </c>
      <c r="F54" s="287">
        <f t="shared" si="15"/>
        <v>0.15321598934396152</v>
      </c>
      <c r="G54" s="287">
        <f t="shared" si="15"/>
        <v>-4.1930086053937221E-2</v>
      </c>
      <c r="H54" s="287">
        <f t="shared" si="15"/>
        <v>-1.1865084961604877E-2</v>
      </c>
      <c r="I54" s="287">
        <f t="shared" si="15"/>
        <v>4.5602193559396431E-2</v>
      </c>
      <c r="J54" s="287">
        <f t="shared" si="15"/>
        <v>0.15766642375735662</v>
      </c>
      <c r="K54" s="287">
        <f t="shared" si="15"/>
        <v>-2.5908200629853662E-2</v>
      </c>
      <c r="L54" s="287">
        <f t="shared" si="15"/>
        <v>2.3746950138798795E-3</v>
      </c>
      <c r="M54" s="287">
        <f>M21/M20-1</f>
        <v>1.7130688805624406E-3</v>
      </c>
      <c r="N54" s="287">
        <f t="shared" ref="M54:X58" si="16">N21/N20-1</f>
        <v>-1.9304679110900835E-2</v>
      </c>
      <c r="O54" s="287">
        <f t="shared" si="16"/>
        <v>-1.9539216458236863E-2</v>
      </c>
      <c r="P54" s="287">
        <f t="shared" si="16"/>
        <v>-2.7729446771933453E-2</v>
      </c>
      <c r="Q54" s="287">
        <f t="shared" si="16"/>
        <v>-1.2615968547969092E-2</v>
      </c>
      <c r="R54" s="287">
        <f t="shared" si="16"/>
        <v>-3.1801150999232197E-3</v>
      </c>
      <c r="S54" s="287">
        <f t="shared" si="16"/>
        <v>-2.7482866625893054E-3</v>
      </c>
      <c r="T54" s="287">
        <f t="shared" si="16"/>
        <v>-9.8526339821058961E-3</v>
      </c>
      <c r="U54" s="287">
        <f t="shared" si="16"/>
        <v>2.3026012679803198E-3</v>
      </c>
      <c r="V54" s="287">
        <f t="shared" si="16"/>
        <v>-6.4673942389301131E-2</v>
      </c>
      <c r="W54" s="287">
        <f t="shared" si="16"/>
        <v>1.4272639881949267E-2</v>
      </c>
      <c r="X54" s="287">
        <f t="shared" si="16"/>
        <v>-4.0885231467699956E-3</v>
      </c>
    </row>
    <row r="55" spans="1:45" x14ac:dyDescent="0.2">
      <c r="A55" s="224">
        <v>2015</v>
      </c>
      <c r="B55" s="287">
        <f t="shared" si="15"/>
        <v>1.5564717815685913E-3</v>
      </c>
      <c r="C55" s="287">
        <f t="shared" si="15"/>
        <v>3.2481944977140742E-3</v>
      </c>
      <c r="D55" s="287">
        <f t="shared" si="15"/>
        <v>-1.7144513639658965E-2</v>
      </c>
      <c r="E55" s="287">
        <f t="shared" si="15"/>
        <v>3.385879958349558E-2</v>
      </c>
      <c r="F55" s="287">
        <f t="shared" si="15"/>
        <v>0.15561071993393827</v>
      </c>
      <c r="G55" s="287">
        <f t="shared" si="15"/>
        <v>-4.5630482879818413E-2</v>
      </c>
      <c r="H55" s="287">
        <f t="shared" si="15"/>
        <v>-1.6482921293928143E-2</v>
      </c>
      <c r="I55" s="287">
        <f t="shared" si="15"/>
        <v>3.5623766544103486E-2</v>
      </c>
      <c r="J55" s="287">
        <f t="shared" si="15"/>
        <v>0.16064849716337015</v>
      </c>
      <c r="K55" s="287">
        <f t="shared" si="15"/>
        <v>-1.7924749875257162E-2</v>
      </c>
      <c r="L55" s="287">
        <f t="shared" si="15"/>
        <v>-1.1522296791663722E-2</v>
      </c>
      <c r="M55" s="287">
        <f t="shared" si="15"/>
        <v>1.9426309418195675E-3</v>
      </c>
      <c r="N55" s="287">
        <f t="shared" si="15"/>
        <v>-1.1120910072375589E-2</v>
      </c>
      <c r="O55" s="287">
        <f t="shared" si="15"/>
        <v>-1.1943646013046316E-2</v>
      </c>
      <c r="P55" s="287">
        <f t="shared" si="15"/>
        <v>-1.2859654316341285E-2</v>
      </c>
      <c r="Q55" s="287">
        <f t="shared" si="15"/>
        <v>-1.1496784433820073E-2</v>
      </c>
      <c r="R55" s="287">
        <f t="shared" si="16"/>
        <v>-3.6425009489443938E-2</v>
      </c>
      <c r="S55" s="287">
        <f t="shared" si="16"/>
        <v>-2.2753809419522208E-2</v>
      </c>
      <c r="T55" s="287">
        <f t="shared" si="16"/>
        <v>-8.8557730567545567E-3</v>
      </c>
      <c r="U55" s="287">
        <f t="shared" si="16"/>
        <v>-1.8717638401044567E-4</v>
      </c>
      <c r="V55" s="287">
        <f t="shared" si="16"/>
        <v>-4.2964207583907288E-2</v>
      </c>
      <c r="W55" s="287">
        <f t="shared" si="16"/>
        <v>1.3401100242115049E-2</v>
      </c>
      <c r="X55" s="287">
        <f t="shared" si="16"/>
        <v>-5.1807688147245123E-3</v>
      </c>
    </row>
    <row r="56" spans="1:45" x14ac:dyDescent="0.2">
      <c r="A56" s="224">
        <v>2016</v>
      </c>
      <c r="B56" s="287">
        <f t="shared" si="15"/>
        <v>3.8306530313327869E-3</v>
      </c>
      <c r="C56" s="287">
        <f t="shared" si="15"/>
        <v>7.6621867195421078E-3</v>
      </c>
      <c r="D56" s="287">
        <f t="shared" si="15"/>
        <v>-1.5538949966465543E-2</v>
      </c>
      <c r="E56" s="287">
        <f t="shared" si="15"/>
        <v>3.5668931517605751E-2</v>
      </c>
      <c r="F56" s="287">
        <f t="shared" si="15"/>
        <v>0.13654242206684897</v>
      </c>
      <c r="G56" s="287">
        <f t="shared" si="15"/>
        <v>-4.5253752327121255E-2</v>
      </c>
      <c r="H56" s="287">
        <f t="shared" si="15"/>
        <v>-1.3239417285347055E-2</v>
      </c>
      <c r="I56" s="287">
        <f t="shared" si="15"/>
        <v>4.0823219057225746E-2</v>
      </c>
      <c r="J56" s="287">
        <f t="shared" si="15"/>
        <v>0.14165259125308349</v>
      </c>
      <c r="K56" s="287">
        <f t="shared" si="15"/>
        <v>-1.6450658866362322E-2</v>
      </c>
      <c r="L56" s="287">
        <f t="shared" si="15"/>
        <v>-3.4141991589894394E-3</v>
      </c>
      <c r="M56" s="287">
        <f t="shared" si="16"/>
        <v>1.8600613142063516E-3</v>
      </c>
      <c r="N56" s="287">
        <f t="shared" si="16"/>
        <v>-9.80216331438577E-3</v>
      </c>
      <c r="O56" s="287">
        <f t="shared" si="16"/>
        <v>-1.1768090992594904E-2</v>
      </c>
      <c r="P56" s="287">
        <f t="shared" si="16"/>
        <v>-1.1968093752491638E-2</v>
      </c>
      <c r="Q56" s="287">
        <f t="shared" si="16"/>
        <v>-1.0027461655107039E-2</v>
      </c>
      <c r="R56" s="287">
        <f t="shared" si="16"/>
        <v>-3.9853211901371144E-2</v>
      </c>
      <c r="S56" s="287">
        <f t="shared" si="16"/>
        <v>-2.097410239610209E-2</v>
      </c>
      <c r="T56" s="287">
        <f t="shared" si="16"/>
        <v>-5.3587567727919616E-3</v>
      </c>
      <c r="U56" s="287">
        <f t="shared" si="16"/>
        <v>-2.2025939305683195E-3</v>
      </c>
      <c r="V56" s="287">
        <f t="shared" si="16"/>
        <v>-3.0529861178868134E-2</v>
      </c>
      <c r="W56" s="287">
        <f t="shared" si="16"/>
        <v>1.9361014608767046E-2</v>
      </c>
      <c r="X56" s="287">
        <f t="shared" si="16"/>
        <v>9.4569468224081632E-4</v>
      </c>
    </row>
    <row r="57" spans="1:45" x14ac:dyDescent="0.2">
      <c r="A57" s="224">
        <v>2017</v>
      </c>
      <c r="B57" s="287">
        <f t="shared" si="15"/>
        <v>4.9265356036156671E-3</v>
      </c>
      <c r="C57" s="287">
        <f t="shared" si="15"/>
        <v>8.7318128886613167E-3</v>
      </c>
      <c r="D57" s="287">
        <f t="shared" si="15"/>
        <v>-1.3219848470835127E-2</v>
      </c>
      <c r="E57" s="287">
        <f t="shared" si="15"/>
        <v>3.4126300968400747E-2</v>
      </c>
      <c r="F57" s="287">
        <f t="shared" si="15"/>
        <v>0.10397187181224488</v>
      </c>
      <c r="G57" s="287">
        <f t="shared" si="15"/>
        <v>-4.5509000259867594E-2</v>
      </c>
      <c r="H57" s="287">
        <f t="shared" si="15"/>
        <v>-1.126422148770212E-2</v>
      </c>
      <c r="I57" s="287">
        <f t="shared" si="15"/>
        <v>3.9405051065958707E-2</v>
      </c>
      <c r="J57" s="287">
        <f t="shared" si="15"/>
        <v>0.10921669685929203</v>
      </c>
      <c r="K57" s="287">
        <f t="shared" si="15"/>
        <v>-1.5197351678713167E-2</v>
      </c>
      <c r="L57" s="287">
        <f t="shared" si="15"/>
        <v>-1.7994556425142694E-3</v>
      </c>
      <c r="M57" s="287">
        <f t="shared" si="16"/>
        <v>1.9939581516486005E-3</v>
      </c>
      <c r="N57" s="287">
        <f t="shared" si="16"/>
        <v>-8.5089509353681869E-3</v>
      </c>
      <c r="O57" s="287">
        <f t="shared" si="16"/>
        <v>-1.1275694576694861E-2</v>
      </c>
      <c r="P57" s="287">
        <f t="shared" si="16"/>
        <v>-1.0892160490471814E-2</v>
      </c>
      <c r="Q57" s="287">
        <f t="shared" si="16"/>
        <v>-8.8714945386151323E-3</v>
      </c>
      <c r="R57" s="287">
        <f t="shared" si="16"/>
        <v>-4.1571502206492639E-2</v>
      </c>
      <c r="S57" s="287">
        <f t="shared" si="16"/>
        <v>-2.0573902034080271E-2</v>
      </c>
      <c r="T57" s="287">
        <f t="shared" si="16"/>
        <v>-3.0017818225352988E-3</v>
      </c>
      <c r="U57" s="287">
        <f t="shared" si="16"/>
        <v>-4.3843570959216649E-3</v>
      </c>
      <c r="V57" s="287">
        <f t="shared" si="16"/>
        <v>-2.2826442652786327E-2</v>
      </c>
      <c r="W57" s="287">
        <f t="shared" si="16"/>
        <v>1.8397180776354771E-2</v>
      </c>
      <c r="X57" s="287">
        <f t="shared" si="16"/>
        <v>2.2118805538307029E-3</v>
      </c>
    </row>
    <row r="58" spans="1:45" x14ac:dyDescent="0.2">
      <c r="A58" s="224">
        <v>2018</v>
      </c>
      <c r="B58" s="287">
        <f t="shared" si="15"/>
        <v>4.8344471171313241E-3</v>
      </c>
      <c r="C58" s="287">
        <f t="shared" si="15"/>
        <v>8.9971167642357575E-3</v>
      </c>
      <c r="D58" s="287">
        <f t="shared" si="15"/>
        <v>-1.1802535285449056E-2</v>
      </c>
      <c r="E58" s="287">
        <f t="shared" si="15"/>
        <v>3.105469698212282E-2</v>
      </c>
      <c r="F58" s="287">
        <f t="shared" si="15"/>
        <v>7.9860998596478439E-2</v>
      </c>
      <c r="G58" s="287">
        <f t="shared" si="15"/>
        <v>-4.5800076500758791E-2</v>
      </c>
      <c r="H58" s="287">
        <f t="shared" si="15"/>
        <v>-9.3006183884399851E-3</v>
      </c>
      <c r="I58" s="287">
        <f t="shared" si="15"/>
        <v>3.6265364759168639E-2</v>
      </c>
      <c r="J58" s="287">
        <f t="shared" si="15"/>
        <v>8.494095718977146E-2</v>
      </c>
      <c r="K58" s="287">
        <f t="shared" si="15"/>
        <v>-1.4757596784140015E-2</v>
      </c>
      <c r="L58" s="287">
        <f t="shared" si="15"/>
        <v>-1.7906956732316459E-3</v>
      </c>
      <c r="M58" s="287">
        <f t="shared" si="16"/>
        <v>1.9118912711471037E-3</v>
      </c>
      <c r="N58" s="287">
        <f t="shared" si="16"/>
        <v>-7.4873678479203676E-3</v>
      </c>
      <c r="O58" s="287">
        <f t="shared" si="16"/>
        <v>-1.0477203768753496E-2</v>
      </c>
      <c r="P58" s="287">
        <f t="shared" si="16"/>
        <v>-1.0087459219145778E-2</v>
      </c>
      <c r="Q58" s="287">
        <f t="shared" si="16"/>
        <v>-9.5958404663925023E-3</v>
      </c>
      <c r="R58" s="287">
        <f t="shared" si="16"/>
        <v>-4.3155051727753913E-2</v>
      </c>
      <c r="S58" s="287">
        <f t="shared" si="16"/>
        <v>-2.0025590517940506E-2</v>
      </c>
      <c r="T58" s="287">
        <f t="shared" si="16"/>
        <v>-1.9356902103105922E-3</v>
      </c>
      <c r="U58" s="287">
        <f t="shared" si="16"/>
        <v>-5.0946426463132077E-3</v>
      </c>
      <c r="V58" s="287">
        <f t="shared" si="16"/>
        <v>-1.8586582117746664E-2</v>
      </c>
      <c r="W58" s="287">
        <f t="shared" si="16"/>
        <v>1.9576642131790223E-2</v>
      </c>
      <c r="X58" s="287">
        <f t="shared" si="16"/>
        <v>3.454492984917179E-3</v>
      </c>
    </row>
    <row r="60" spans="1:45" x14ac:dyDescent="0.2">
      <c r="A60" s="224">
        <v>2016</v>
      </c>
      <c r="D60" s="287">
        <f t="shared" ref="D60:X62" si="17">D56/D55-1</f>
        <v>-9.3648831745183236E-2</v>
      </c>
      <c r="E60" s="287">
        <f t="shared" si="17"/>
        <v>5.3461196391395793E-2</v>
      </c>
      <c r="F60" s="287">
        <f t="shared" si="17"/>
        <v>-0.12253845927314266</v>
      </c>
      <c r="G60" s="287">
        <f t="shared" si="17"/>
        <v>-8.2561158445197957E-3</v>
      </c>
      <c r="H60" s="287">
        <f t="shared" si="17"/>
        <v>-0.19677968187446881</v>
      </c>
      <c r="I60" s="287">
        <f t="shared" si="17"/>
        <v>0.14595459766123131</v>
      </c>
      <c r="J60" s="287">
        <f t="shared" si="17"/>
        <v>-0.11824515165534932</v>
      </c>
      <c r="K60" s="287">
        <f t="shared" si="17"/>
        <v>-8.223774497013403E-2</v>
      </c>
      <c r="L60" s="287">
        <f t="shared" si="17"/>
        <v>-0.7036876222924946</v>
      </c>
      <c r="M60" s="287">
        <f t="shared" si="17"/>
        <v>-4.2504021652139956E-2</v>
      </c>
      <c r="N60" s="287">
        <f t="shared" si="17"/>
        <v>-0.11858262942576925</v>
      </c>
      <c r="O60" s="287">
        <f t="shared" si="17"/>
        <v>-1.4698612154081747E-2</v>
      </c>
      <c r="P60" s="287">
        <f t="shared" si="17"/>
        <v>-6.9330056774287052E-2</v>
      </c>
      <c r="Q60" s="287">
        <f t="shared" si="17"/>
        <v>-0.12780293369602802</v>
      </c>
      <c r="R60" s="287">
        <f t="shared" si="17"/>
        <v>9.4116719802659343E-2</v>
      </c>
      <c r="S60" s="287">
        <f t="shared" si="17"/>
        <v>-7.8215783151157736E-2</v>
      </c>
      <c r="T60" s="287">
        <f t="shared" si="17"/>
        <v>-0.39488549012616336</v>
      </c>
      <c r="U60" s="287">
        <f t="shared" si="17"/>
        <v>10.767477730766506</v>
      </c>
      <c r="V60" s="287">
        <f t="shared" si="17"/>
        <v>-0.28941174769150346</v>
      </c>
      <c r="W60" s="287">
        <f t="shared" si="17"/>
        <v>0.44473321286874912</v>
      </c>
      <c r="X60" s="287">
        <f t="shared" si="17"/>
        <v>-1.1825394484990359</v>
      </c>
    </row>
    <row r="61" spans="1:45" x14ac:dyDescent="0.2">
      <c r="A61" s="224">
        <v>2017</v>
      </c>
      <c r="D61" s="287">
        <f t="shared" si="17"/>
        <v>-0.14924441488229556</v>
      </c>
      <c r="E61" s="287">
        <f t="shared" si="17"/>
        <v>-4.3248577503466334E-2</v>
      </c>
      <c r="F61" s="287">
        <f t="shared" si="17"/>
        <v>-0.23853795590837024</v>
      </c>
      <c r="G61" s="287">
        <f t="shared" si="17"/>
        <v>5.6403705686383088E-3</v>
      </c>
      <c r="H61" s="287">
        <f t="shared" si="17"/>
        <v>-0.14919053875815336</v>
      </c>
      <c r="I61" s="287">
        <f t="shared" si="17"/>
        <v>-3.473924947660445E-2</v>
      </c>
      <c r="J61" s="287">
        <f t="shared" si="17"/>
        <v>-0.2289820052486008</v>
      </c>
      <c r="K61" s="287">
        <f t="shared" si="17"/>
        <v>-7.6185835341335162E-2</v>
      </c>
      <c r="L61" s="287">
        <f t="shared" si="17"/>
        <v>-0.47294942130825024</v>
      </c>
      <c r="M61" s="287">
        <f t="shared" si="17"/>
        <v>7.1985174047544565E-2</v>
      </c>
      <c r="N61" s="287">
        <f t="shared" si="17"/>
        <v>-0.13193132347832337</v>
      </c>
      <c r="O61" s="287">
        <f t="shared" si="17"/>
        <v>-4.1841656068931199E-2</v>
      </c>
      <c r="P61" s="287">
        <f t="shared" si="17"/>
        <v>-8.9900136502174766E-2</v>
      </c>
      <c r="Q61" s="287">
        <f t="shared" si="17"/>
        <v>-0.11528013332298981</v>
      </c>
      <c r="R61" s="287">
        <f t="shared" si="17"/>
        <v>4.3115478606189361E-2</v>
      </c>
      <c r="S61" s="287">
        <f t="shared" si="17"/>
        <v>-1.9080690771119402E-2</v>
      </c>
      <c r="T61" s="287">
        <f t="shared" si="17"/>
        <v>-0.43983615047127012</v>
      </c>
      <c r="U61" s="287">
        <f t="shared" si="17"/>
        <v>0.99054262116776126</v>
      </c>
      <c r="V61" s="287">
        <f t="shared" si="17"/>
        <v>-0.25232406007184482</v>
      </c>
      <c r="W61" s="287">
        <f t="shared" si="17"/>
        <v>-4.9782196433849735E-2</v>
      </c>
      <c r="X61" s="287">
        <f t="shared" si="17"/>
        <v>1.3388949894374673</v>
      </c>
      <c r="Y61" s="325">
        <f>W24/X24</f>
        <v>0.40615673342150371</v>
      </c>
    </row>
    <row r="62" spans="1:45" x14ac:dyDescent="0.2">
      <c r="A62" s="224">
        <v>2018</v>
      </c>
      <c r="D62" s="287">
        <f t="shared" si="17"/>
        <v>-0.10721100083052137</v>
      </c>
      <c r="E62" s="287">
        <f t="shared" si="17"/>
        <v>-9.0006941834161247E-2</v>
      </c>
      <c r="F62" s="287">
        <f t="shared" si="17"/>
        <v>-0.23189803930149955</v>
      </c>
      <c r="G62" s="287">
        <f t="shared" si="17"/>
        <v>6.3960148372648185E-3</v>
      </c>
      <c r="H62" s="287">
        <f t="shared" si="17"/>
        <v>-0.17432213148560038</v>
      </c>
      <c r="I62" s="287">
        <f t="shared" si="17"/>
        <v>-7.9677255119772861E-2</v>
      </c>
      <c r="J62" s="287">
        <f t="shared" si="17"/>
        <v>-0.22227132267876504</v>
      </c>
      <c r="K62" s="287">
        <f t="shared" si="17"/>
        <v>-2.8936284681041813E-2</v>
      </c>
      <c r="L62" s="287">
        <f t="shared" si="17"/>
        <v>-4.8681218228773249E-3</v>
      </c>
      <c r="M62" s="287">
        <f t="shared" si="17"/>
        <v>-4.1157774767561772E-2</v>
      </c>
      <c r="N62" s="287">
        <f t="shared" si="17"/>
        <v>-0.12005981644594066</v>
      </c>
      <c r="O62" s="287">
        <f t="shared" si="17"/>
        <v>-7.081522140478369E-2</v>
      </c>
      <c r="P62" s="287">
        <f t="shared" si="17"/>
        <v>-7.3878939998172855E-2</v>
      </c>
      <c r="Q62" s="287">
        <f t="shared" si="17"/>
        <v>8.1648692294685521E-2</v>
      </c>
      <c r="R62" s="287">
        <f t="shared" si="17"/>
        <v>3.8092189052864045E-2</v>
      </c>
      <c r="S62" s="287">
        <f t="shared" si="17"/>
        <v>-2.6650827598551752E-2</v>
      </c>
      <c r="T62" s="287">
        <f t="shared" si="17"/>
        <v>-0.35515293090964484</v>
      </c>
      <c r="U62" s="287">
        <f t="shared" si="17"/>
        <v>0.16200449344152457</v>
      </c>
      <c r="V62" s="287">
        <f t="shared" si="17"/>
        <v>-0.18574337664139362</v>
      </c>
      <c r="W62" s="287">
        <f t="shared" si="17"/>
        <v>6.4110983621543216E-2</v>
      </c>
      <c r="X62" s="287">
        <f t="shared" si="17"/>
        <v>0.56179002475265927</v>
      </c>
      <c r="Y62" s="325">
        <f>W25/X25</f>
        <v>0.4126823102951992</v>
      </c>
    </row>
    <row r="63" spans="1:45" x14ac:dyDescent="0.2"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</row>
    <row r="64" spans="1:45" x14ac:dyDescent="0.2">
      <c r="A64" s="224">
        <v>2016</v>
      </c>
      <c r="D64" s="288">
        <f t="shared" ref="D64:W66" si="18">D60*D23</f>
        <v>-96.005085943813896</v>
      </c>
      <c r="E64" s="288">
        <f t="shared" si="18"/>
        <v>32.920513018852155</v>
      </c>
      <c r="F64" s="288">
        <f t="shared" si="18"/>
        <v>-4.6966704560793406</v>
      </c>
      <c r="G64" s="288">
        <f t="shared" si="18"/>
        <v>-0.51957151037394833</v>
      </c>
      <c r="H64" s="288">
        <f t="shared" si="18"/>
        <v>-472.11690289840197</v>
      </c>
      <c r="I64" s="288">
        <f t="shared" si="18"/>
        <v>223.9797086229992</v>
      </c>
      <c r="J64" s="288">
        <f t="shared" si="18"/>
        <v>-8.2151592949873393</v>
      </c>
      <c r="K64" s="288">
        <f t="shared" si="18"/>
        <v>-20.885400686543203</v>
      </c>
      <c r="L64" s="288">
        <f t="shared" si="18"/>
        <v>-2082.8157554099657</v>
      </c>
      <c r="M64" s="288">
        <f t="shared" si="18"/>
        <v>-25.255462952987951</v>
      </c>
      <c r="N64" s="288">
        <f t="shared" si="18"/>
        <v>-71.854695934702775</v>
      </c>
      <c r="O64" s="288">
        <f t="shared" si="18"/>
        <v>-1.6055828713926488</v>
      </c>
      <c r="P64" s="288">
        <f t="shared" si="18"/>
        <v>-17.191904104757985</v>
      </c>
      <c r="Q64" s="288">
        <f t="shared" si="18"/>
        <v>-35.209673132675846</v>
      </c>
      <c r="R64" s="288">
        <f t="shared" si="18"/>
        <v>8.7592496661777766</v>
      </c>
      <c r="S64" s="288">
        <f t="shared" si="18"/>
        <v>-55.523350270614173</v>
      </c>
      <c r="T64" s="288">
        <f t="shared" si="18"/>
        <v>-310.36219981365474</v>
      </c>
      <c r="U64" s="288">
        <f t="shared" si="18"/>
        <v>2849.2832354672146</v>
      </c>
      <c r="V64" s="288">
        <f t="shared" si="18"/>
        <v>-390.78453825444171</v>
      </c>
      <c r="W64" s="288">
        <f t="shared" si="18"/>
        <v>2367.9240492327785</v>
      </c>
      <c r="X64" s="288">
        <f>X60*X23</f>
        <v>-15752.439702422473</v>
      </c>
    </row>
    <row r="65" spans="1:24" x14ac:dyDescent="0.2">
      <c r="A65" s="224">
        <v>2017</v>
      </c>
      <c r="D65" s="288">
        <f t="shared" si="18"/>
        <v>-150.97685340682878</v>
      </c>
      <c r="E65" s="288">
        <f t="shared" si="18"/>
        <v>-27.540595857816232</v>
      </c>
      <c r="F65" s="288">
        <f t="shared" si="18"/>
        <v>-10.093299836087498</v>
      </c>
      <c r="G65" s="288">
        <f t="shared" si="18"/>
        <v>0.33880438825324782</v>
      </c>
      <c r="H65" s="288">
        <f t="shared" si="18"/>
        <v>-353.90836478214953</v>
      </c>
      <c r="I65" s="288">
        <f t="shared" si="18"/>
        <v>-55.411020644468643</v>
      </c>
      <c r="J65" s="288">
        <f t="shared" si="18"/>
        <v>-17.646167567113412</v>
      </c>
      <c r="K65" s="288">
        <f t="shared" si="18"/>
        <v>-19.054390443707501</v>
      </c>
      <c r="L65" s="288">
        <f t="shared" si="18"/>
        <v>-1397.3443493671077</v>
      </c>
      <c r="M65" s="288">
        <f t="shared" si="18"/>
        <v>42.858155043044249</v>
      </c>
      <c r="N65" s="288">
        <f t="shared" si="18"/>
        <v>-79.26305312038717</v>
      </c>
      <c r="O65" s="288">
        <f t="shared" si="18"/>
        <v>-4.5189805445491364</v>
      </c>
      <c r="P65" s="288">
        <f t="shared" si="18"/>
        <v>-22.049889599625491</v>
      </c>
      <c r="Q65" s="288">
        <f t="shared" si="18"/>
        <v>-31.477889551462212</v>
      </c>
      <c r="R65" s="288">
        <f t="shared" si="18"/>
        <v>3.8458562979278308</v>
      </c>
      <c r="S65" s="288">
        <f t="shared" si="18"/>
        <v>-13.266214978951613</v>
      </c>
      <c r="T65" s="288">
        <f t="shared" si="18"/>
        <v>-344.65370301336776</v>
      </c>
      <c r="U65" s="288">
        <f t="shared" si="18"/>
        <v>260.96755654177565</v>
      </c>
      <c r="V65" s="288">
        <f t="shared" si="18"/>
        <v>-332.92896964998067</v>
      </c>
      <c r="W65" s="288">
        <f t="shared" si="18"/>
        <v>-269.93515397808528</v>
      </c>
      <c r="X65" s="288">
        <f>X61*X24</f>
        <v>17874.679009349438</v>
      </c>
    </row>
    <row r="66" spans="1:24" x14ac:dyDescent="0.2">
      <c r="A66" s="224">
        <v>2018</v>
      </c>
      <c r="D66" s="288">
        <f t="shared" si="18"/>
        <v>-107.17546283223275</v>
      </c>
      <c r="E66" s="288">
        <f t="shared" si="18"/>
        <v>-59.096153709818999</v>
      </c>
      <c r="F66" s="288">
        <f t="shared" si="18"/>
        <v>-10.595967416761368</v>
      </c>
      <c r="G66" s="288">
        <f t="shared" si="18"/>
        <v>0.36659811615287818</v>
      </c>
      <c r="H66" s="288">
        <f t="shared" si="18"/>
        <v>-409.67924705298452</v>
      </c>
      <c r="I66" s="288">
        <f t="shared" si="18"/>
        <v>-131.69857182222998</v>
      </c>
      <c r="J66" s="288">
        <f t="shared" si="18"/>
        <v>-18.583973733190501</v>
      </c>
      <c r="K66" s="288">
        <f t="shared" si="18"/>
        <v>-7.1302817262991631</v>
      </c>
      <c r="L66" s="288">
        <f t="shared" si="18"/>
        <v>-14.357267629285314</v>
      </c>
      <c r="M66" s="288">
        <f t="shared" si="18"/>
        <v>-24.551149443167859</v>
      </c>
      <c r="N66" s="288">
        <f t="shared" si="18"/>
        <v>-71.59069782628977</v>
      </c>
      <c r="O66" s="288">
        <f t="shared" si="18"/>
        <v>-7.5680506040233331</v>
      </c>
      <c r="P66" s="288">
        <f t="shared" si="18"/>
        <v>-17.937567568852675</v>
      </c>
      <c r="Q66" s="288">
        <f t="shared" si="18"/>
        <v>22.080699435903977</v>
      </c>
      <c r="R66" s="288">
        <f t="shared" si="18"/>
        <v>3.2511524958969265</v>
      </c>
      <c r="S66" s="288">
        <f t="shared" si="18"/>
        <v>-18.158433182978182</v>
      </c>
      <c r="T66" s="288">
        <f t="shared" si="18"/>
        <v>-277.75760342301777</v>
      </c>
      <c r="U66" s="288">
        <f t="shared" si="18"/>
        <v>42.464125243492234</v>
      </c>
      <c r="V66" s="288">
        <f t="shared" si="18"/>
        <v>-240.52390727897</v>
      </c>
      <c r="W66" s="288">
        <f t="shared" si="18"/>
        <v>354.43590508592564</v>
      </c>
      <c r="X66" s="288">
        <f>X62*X25</f>
        <v>7525.9865984889939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9"/>
  <sheetViews>
    <sheetView tabSelected="1" workbookViewId="0">
      <pane xSplit="1" ySplit="1" topLeftCell="B19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5.140625" style="170" bestFit="1" customWidth="1"/>
    <col min="2" max="2" width="7.28515625" style="170" bestFit="1" customWidth="1"/>
    <col min="3" max="3" width="7.7109375" style="170" bestFit="1" customWidth="1"/>
    <col min="4" max="4" width="12.85546875" style="170" hidden="1" customWidth="1"/>
    <col min="5" max="5" width="9.140625" style="170" bestFit="1" customWidth="1"/>
    <col min="6" max="6" width="7.7109375" style="170" customWidth="1"/>
    <col min="7" max="7" width="11.42578125" style="170" hidden="1" customWidth="1"/>
    <col min="8" max="8" width="7" style="170" bestFit="1" customWidth="1"/>
    <col min="9" max="9" width="10" style="170" hidden="1" customWidth="1"/>
    <col min="10" max="10" width="7.7109375" style="170" customWidth="1"/>
    <col min="11" max="12" width="12.85546875" style="170" hidden="1" customWidth="1"/>
    <col min="13" max="13" width="9.140625" style="170" hidden="1" customWidth="1"/>
    <col min="14" max="14" width="7.42578125" style="170" customWidth="1"/>
    <col min="15" max="15" width="9.42578125" style="170" hidden="1" customWidth="1"/>
    <col min="16" max="16" width="8.140625" style="170" customWidth="1"/>
    <col min="17" max="17" width="12" style="170" hidden="1" customWidth="1"/>
    <col min="18" max="18" width="7.28515625" style="170" customWidth="1"/>
    <col min="19" max="19" width="10.28515625" style="170" hidden="1" customWidth="1"/>
    <col min="20" max="20" width="7.28515625" style="170" bestFit="1" customWidth="1"/>
    <col min="21" max="21" width="7.28515625" style="170" customWidth="1"/>
    <col min="22" max="22" width="9.28515625" style="170" hidden="1" customWidth="1"/>
    <col min="23" max="23" width="6.28515625" style="170" customWidth="1"/>
    <col min="24" max="24" width="8.28515625" style="170" bestFit="1" customWidth="1"/>
    <col min="25" max="25" width="6.28515625" style="170" customWidth="1"/>
    <col min="26" max="26" width="9.28515625" style="170" hidden="1" customWidth="1"/>
    <col min="27" max="27" width="7.28515625" style="170" customWidth="1"/>
    <col min="28" max="28" width="10.7109375" style="170" hidden="1" customWidth="1"/>
    <col min="29" max="29" width="6.28515625" style="170" customWidth="1"/>
    <col min="30" max="30" width="6.28515625" style="170" hidden="1" customWidth="1"/>
    <col min="31" max="31" width="7.28515625" style="170" customWidth="1"/>
    <col min="32" max="32" width="7.28515625" style="170" hidden="1" customWidth="1"/>
    <col min="33" max="33" width="8.5703125" style="170" bestFit="1" customWidth="1"/>
    <col min="34" max="35" width="7.28515625" style="170" bestFit="1" customWidth="1"/>
    <col min="36" max="36" width="8.140625" style="199" bestFit="1" customWidth="1"/>
    <col min="37" max="37" width="10.28515625" style="170" customWidth="1"/>
    <col min="38" max="39" width="8.85546875" style="170" customWidth="1"/>
    <col min="40" max="40" width="9.28515625" style="170" customWidth="1"/>
    <col min="41" max="42" width="8.85546875" style="170" customWidth="1"/>
    <col min="43" max="43" width="9.28515625" style="170" customWidth="1"/>
    <col min="44" max="46" width="8.85546875" style="170" customWidth="1"/>
    <col min="47" max="47" width="9" style="170" customWidth="1"/>
    <col min="48" max="55" width="8.85546875" style="170" customWidth="1"/>
    <col min="56" max="16384" width="8.85546875" style="170"/>
  </cols>
  <sheetData>
    <row r="1" spans="1:64" x14ac:dyDescent="0.2">
      <c r="A1" s="182"/>
      <c r="B1" s="183" t="s">
        <v>0</v>
      </c>
      <c r="C1" s="183" t="s">
        <v>1</v>
      </c>
      <c r="D1" s="183" t="s">
        <v>270</v>
      </c>
      <c r="E1" s="183" t="s">
        <v>164</v>
      </c>
      <c r="F1" s="183" t="s">
        <v>147</v>
      </c>
      <c r="G1" s="183" t="s">
        <v>271</v>
      </c>
      <c r="H1" s="183" t="s">
        <v>2</v>
      </c>
      <c r="I1" s="183" t="s">
        <v>272</v>
      </c>
      <c r="J1" s="183" t="s">
        <v>3</v>
      </c>
      <c r="K1" s="183" t="s">
        <v>273</v>
      </c>
      <c r="L1" s="183" t="s">
        <v>274</v>
      </c>
      <c r="M1" s="183" t="s">
        <v>166</v>
      </c>
      <c r="N1" s="183" t="s">
        <v>4</v>
      </c>
      <c r="O1" s="183" t="s">
        <v>275</v>
      </c>
      <c r="P1" s="183" t="s">
        <v>5</v>
      </c>
      <c r="Q1" s="183" t="s">
        <v>276</v>
      </c>
      <c r="R1" s="183" t="s">
        <v>6</v>
      </c>
      <c r="S1" s="183" t="s">
        <v>277</v>
      </c>
      <c r="T1" s="183" t="s">
        <v>7</v>
      </c>
      <c r="U1" s="183" t="s">
        <v>8</v>
      </c>
      <c r="V1" s="183" t="s">
        <v>278</v>
      </c>
      <c r="W1" s="183" t="s">
        <v>9</v>
      </c>
      <c r="X1" s="183" t="s">
        <v>279</v>
      </c>
      <c r="Y1" s="183" t="s">
        <v>10</v>
      </c>
      <c r="Z1" s="183" t="s">
        <v>280</v>
      </c>
      <c r="AA1" s="183" t="s">
        <v>11</v>
      </c>
      <c r="AB1" s="183" t="s">
        <v>281</v>
      </c>
      <c r="AC1" s="183" t="s">
        <v>12</v>
      </c>
      <c r="AD1" s="183" t="s">
        <v>282</v>
      </c>
      <c r="AE1" s="184" t="s">
        <v>100</v>
      </c>
      <c r="AF1" s="184" t="s">
        <v>283</v>
      </c>
      <c r="AG1" s="184" t="s">
        <v>174</v>
      </c>
      <c r="AH1" s="183" t="s">
        <v>13</v>
      </c>
      <c r="AI1" s="183" t="s">
        <v>14</v>
      </c>
      <c r="AJ1" s="184"/>
      <c r="AK1" s="184" t="s">
        <v>190</v>
      </c>
      <c r="AL1" s="184"/>
      <c r="AM1" s="184" t="s">
        <v>191</v>
      </c>
      <c r="AN1" s="184" t="s">
        <v>1</v>
      </c>
      <c r="AO1" s="184" t="s">
        <v>147</v>
      </c>
      <c r="AQ1" s="184" t="s">
        <v>2</v>
      </c>
      <c r="AS1" s="184" t="s">
        <v>3</v>
      </c>
      <c r="AU1" s="185" t="s">
        <v>4</v>
      </c>
      <c r="AW1" s="185" t="s">
        <v>5</v>
      </c>
      <c r="AX1" s="185"/>
      <c r="AY1" s="183" t="s">
        <v>6</v>
      </c>
      <c r="AZ1" s="185"/>
      <c r="BA1" s="185" t="s">
        <v>192</v>
      </c>
      <c r="BB1" s="185"/>
      <c r="BC1" s="183" t="s">
        <v>9</v>
      </c>
      <c r="BD1" s="183"/>
      <c r="BE1" s="183" t="s">
        <v>10</v>
      </c>
      <c r="BF1" s="183"/>
      <c r="BG1" s="183" t="s">
        <v>11</v>
      </c>
      <c r="BH1" s="183"/>
      <c r="BI1" s="183" t="s">
        <v>12</v>
      </c>
      <c r="BJ1" s="185"/>
      <c r="BK1" s="185"/>
      <c r="BL1" s="185"/>
    </row>
    <row r="2" spans="1:64" x14ac:dyDescent="0.2">
      <c r="A2" s="186">
        <v>1995</v>
      </c>
      <c r="B2" s="187">
        <f>AM2</f>
        <v>0.12767999999999999</v>
      </c>
      <c r="C2" s="189">
        <f t="shared" ref="C2:C17" si="0">AN2</f>
        <v>8.0640000000000003E-2</v>
      </c>
      <c r="D2" s="190">
        <v>9.1400000000000065E-2</v>
      </c>
      <c r="E2" s="190">
        <v>2.8737134677953111E-3</v>
      </c>
      <c r="F2" s="187">
        <f t="shared" ref="F2:F17" si="1">AO2</f>
        <v>0.1249999999999999</v>
      </c>
      <c r="G2" s="190">
        <v>0.14347257439869704</v>
      </c>
      <c r="H2" s="187">
        <f t="shared" ref="H2:H17" si="2">AQ2</f>
        <v>0.81399999999999995</v>
      </c>
      <c r="I2" s="190">
        <v>0.88179999999999947</v>
      </c>
      <c r="J2" s="196">
        <f t="shared" ref="J2:J12" si="3">J3-0.05%</f>
        <v>2.6999999999999996E-2</v>
      </c>
      <c r="K2" s="190">
        <v>2.7799999999999984E-2</v>
      </c>
      <c r="L2" s="190">
        <v>2.7799999999999984E-2</v>
      </c>
      <c r="M2" s="187">
        <f t="shared" ref="M2:M42" si="4">E2</f>
        <v>2.8737134677953111E-3</v>
      </c>
      <c r="N2" s="187">
        <f t="shared" ref="N2:N17" si="5">AU2</f>
        <v>0.22900000000000001</v>
      </c>
      <c r="O2" s="190">
        <v>0.14480000000000015</v>
      </c>
      <c r="P2" s="187">
        <f t="shared" ref="P2:P13" si="6">Q2</f>
        <v>0.19239999999999999</v>
      </c>
      <c r="Q2" s="190">
        <v>0.19239999999999999</v>
      </c>
      <c r="R2" s="202">
        <f t="shared" ref="R2:R12" si="7">R3-1.4%</f>
        <v>0.54499999999999982</v>
      </c>
      <c r="S2" s="190">
        <v>0.68830000000000002</v>
      </c>
      <c r="T2" s="190">
        <v>1</v>
      </c>
      <c r="U2" s="190">
        <v>0.2</v>
      </c>
      <c r="V2" s="190">
        <v>0.29630000000000029</v>
      </c>
      <c r="W2" s="190">
        <v>0.35</v>
      </c>
      <c r="X2" s="190">
        <v>0.06</v>
      </c>
      <c r="Y2" s="190">
        <v>0.64</v>
      </c>
      <c r="Z2" s="190">
        <v>0.98</v>
      </c>
      <c r="AA2" s="190">
        <v>0.84</v>
      </c>
      <c r="AB2" s="190">
        <v>0.98</v>
      </c>
      <c r="AC2" s="202">
        <f t="shared" ref="AC2:AC13" si="8">AD2</f>
        <v>0.75950000000000062</v>
      </c>
      <c r="AD2" s="190">
        <v>0.75950000000000062</v>
      </c>
      <c r="AE2" s="193">
        <v>3.0720000000000001</v>
      </c>
      <c r="AF2" s="190">
        <v>2.0296122627882225</v>
      </c>
      <c r="AG2" s="190">
        <v>0.4790597755265889</v>
      </c>
      <c r="AH2" s="190">
        <v>1</v>
      </c>
      <c r="AI2" s="190">
        <v>1</v>
      </c>
      <c r="AJ2" s="191"/>
      <c r="AK2" s="192">
        <v>0.224</v>
      </c>
      <c r="AL2" s="192"/>
      <c r="AM2" s="171">
        <f t="shared" ref="AM2:AM16" si="9">AK2*0.57</f>
        <v>0.12767999999999999</v>
      </c>
      <c r="AN2" s="193">
        <f t="shared" ref="AN2:AN16" si="10">36%*AK2</f>
        <v>8.0640000000000003E-2</v>
      </c>
      <c r="AO2" s="194">
        <f t="shared" ref="AO2:AO13" si="11">AO3-1%</f>
        <v>0.1249999999999999</v>
      </c>
      <c r="AQ2" s="193">
        <v>0.81399999999999995</v>
      </c>
      <c r="AU2" s="193">
        <v>0.22900000000000001</v>
      </c>
    </row>
    <row r="3" spans="1:64" x14ac:dyDescent="0.2">
      <c r="A3" s="186">
        <v>1996</v>
      </c>
      <c r="B3" s="187">
        <f t="shared" ref="B3:B17" si="12">AM3</f>
        <v>0.12539999999999998</v>
      </c>
      <c r="C3" s="189">
        <f t="shared" si="0"/>
        <v>7.9199999999999993E-2</v>
      </c>
      <c r="D3" s="190">
        <v>9.1700000000000059E-2</v>
      </c>
      <c r="E3" s="190">
        <f t="shared" ref="E3:AG11" si="13">E2+((E$12-E$2)/10)</f>
        <v>3.065294365648332E-3</v>
      </c>
      <c r="F3" s="187">
        <f t="shared" si="1"/>
        <v>0.1349999999999999</v>
      </c>
      <c r="G3" s="190">
        <v>0.14219922430887486</v>
      </c>
      <c r="H3" s="187">
        <f t="shared" si="2"/>
        <v>0.82599999999999996</v>
      </c>
      <c r="I3" s="190">
        <v>0.88239999999999952</v>
      </c>
      <c r="J3" s="196">
        <f t="shared" si="3"/>
        <v>2.7499999999999997E-2</v>
      </c>
      <c r="K3" s="190">
        <v>2.8399999999999984E-2</v>
      </c>
      <c r="L3" s="190">
        <v>2.8399999999999984E-2</v>
      </c>
      <c r="M3" s="187">
        <f t="shared" si="4"/>
        <v>3.065294365648332E-3</v>
      </c>
      <c r="N3" s="187">
        <f t="shared" si="5"/>
        <v>0.20700000000000002</v>
      </c>
      <c r="O3" s="190">
        <v>0.14340000000000014</v>
      </c>
      <c r="P3" s="187">
        <f t="shared" si="6"/>
        <v>0.19339999999999999</v>
      </c>
      <c r="Q3" s="190">
        <v>0.19339999999999999</v>
      </c>
      <c r="R3" s="202">
        <f t="shared" si="7"/>
        <v>0.55899999999999983</v>
      </c>
      <c r="S3" s="190">
        <v>0.69030000000000002</v>
      </c>
      <c r="T3" s="190">
        <f t="shared" si="13"/>
        <v>1</v>
      </c>
      <c r="U3" s="187">
        <f t="shared" ref="U3:U11" si="14">U2</f>
        <v>0.2</v>
      </c>
      <c r="V3" s="190">
        <v>0.29650000000000026</v>
      </c>
      <c r="W3" s="187">
        <f>W2</f>
        <v>0.35</v>
      </c>
      <c r="X3" s="190">
        <v>0.06</v>
      </c>
      <c r="Y3" s="203">
        <f>Y2+3%/12</f>
        <v>0.64249999999999996</v>
      </c>
      <c r="Z3" s="190">
        <v>0.98</v>
      </c>
      <c r="AA3" s="203">
        <f>AA2+4%/12</f>
        <v>0.84333333333333327</v>
      </c>
      <c r="AB3" s="190">
        <v>0.98</v>
      </c>
      <c r="AC3" s="202">
        <f t="shared" si="8"/>
        <v>0.76100000000000056</v>
      </c>
      <c r="AD3" s="190">
        <v>0.76100000000000056</v>
      </c>
      <c r="AE3" s="193">
        <v>3.0859999999999999</v>
      </c>
      <c r="AF3" s="190">
        <v>2.0734332018352153</v>
      </c>
      <c r="AG3" s="190">
        <f t="shared" si="13"/>
        <v>0.47833042722836155</v>
      </c>
      <c r="AH3" s="190">
        <v>1</v>
      </c>
      <c r="AI3" s="190">
        <v>1</v>
      </c>
      <c r="AJ3" s="191"/>
      <c r="AK3" s="192">
        <f>AK2+$AL$6/4</f>
        <v>0.22</v>
      </c>
      <c r="AL3" s="192"/>
      <c r="AM3" s="171">
        <f t="shared" si="9"/>
        <v>0.12539999999999998</v>
      </c>
      <c r="AN3" s="193">
        <f t="shared" si="10"/>
        <v>7.9199999999999993E-2</v>
      </c>
      <c r="AO3" s="194">
        <f t="shared" si="11"/>
        <v>0.1349999999999999</v>
      </c>
      <c r="AQ3" s="193">
        <f>AQ2+$AR$6/5</f>
        <v>0.82599999999999996</v>
      </c>
      <c r="AU3" s="194">
        <f>AU2+$AV$6/4</f>
        <v>0.20700000000000002</v>
      </c>
    </row>
    <row r="4" spans="1:64" s="195" customFormat="1" x14ac:dyDescent="0.2">
      <c r="A4" s="186">
        <v>1997</v>
      </c>
      <c r="B4" s="187">
        <f t="shared" si="12"/>
        <v>0.12311999999999999</v>
      </c>
      <c r="C4" s="189">
        <f t="shared" si="0"/>
        <v>7.7759999999999996E-2</v>
      </c>
      <c r="D4" s="190">
        <v>9.2000000000000054E-2</v>
      </c>
      <c r="E4" s="190">
        <f t="shared" si="13"/>
        <v>3.2568752635013529E-3</v>
      </c>
      <c r="F4" s="187">
        <f t="shared" si="1"/>
        <v>0.14499999999999991</v>
      </c>
      <c r="G4" s="190">
        <v>0.14093717547616083</v>
      </c>
      <c r="H4" s="187">
        <f t="shared" si="2"/>
        <v>0.83799999999999997</v>
      </c>
      <c r="I4" s="190">
        <v>0.88299999999999956</v>
      </c>
      <c r="J4" s="196">
        <f t="shared" si="3"/>
        <v>2.7999999999999997E-2</v>
      </c>
      <c r="K4" s="190">
        <v>2.8999999999999984E-2</v>
      </c>
      <c r="L4" s="190">
        <v>2.8999999999999984E-2</v>
      </c>
      <c r="M4" s="187">
        <f t="shared" si="4"/>
        <v>3.2568752635013529E-3</v>
      </c>
      <c r="N4" s="187">
        <f t="shared" si="5"/>
        <v>0.185</v>
      </c>
      <c r="O4" s="190">
        <v>0.14200000000000013</v>
      </c>
      <c r="P4" s="187">
        <f t="shared" si="6"/>
        <v>0.19439999999999999</v>
      </c>
      <c r="Q4" s="190">
        <v>0.19439999999999999</v>
      </c>
      <c r="R4" s="202">
        <f t="shared" si="7"/>
        <v>0.57299999999999984</v>
      </c>
      <c r="S4" s="190">
        <v>0.69230000000000003</v>
      </c>
      <c r="T4" s="190">
        <f t="shared" si="13"/>
        <v>1</v>
      </c>
      <c r="U4" s="187">
        <f t="shared" si="14"/>
        <v>0.2</v>
      </c>
      <c r="V4" s="190">
        <v>0.29670000000000024</v>
      </c>
      <c r="W4" s="187">
        <f t="shared" ref="W4:W13" si="15">W3</f>
        <v>0.35</v>
      </c>
      <c r="X4" s="190">
        <v>0.06</v>
      </c>
      <c r="Y4" s="203">
        <f t="shared" ref="Y4:Y13" si="16">Y3+3%/12</f>
        <v>0.64499999999999991</v>
      </c>
      <c r="Z4" s="190">
        <v>0.98</v>
      </c>
      <c r="AA4" s="203">
        <f t="shared" ref="AA4:AA13" si="17">AA3+4%/12</f>
        <v>0.84666666666666657</v>
      </c>
      <c r="AB4" s="190">
        <v>0.98</v>
      </c>
      <c r="AC4" s="202">
        <f t="shared" si="8"/>
        <v>0.76250000000000051</v>
      </c>
      <c r="AD4" s="190">
        <v>0.76250000000000051</v>
      </c>
      <c r="AE4" s="193">
        <v>3.1</v>
      </c>
      <c r="AF4" s="190">
        <v>2.1058214536112612</v>
      </c>
      <c r="AG4" s="190">
        <f t="shared" si="13"/>
        <v>0.4776010789301342</v>
      </c>
      <c r="AH4" s="190">
        <v>1</v>
      </c>
      <c r="AI4" s="190">
        <v>1</v>
      </c>
      <c r="AJ4" s="191"/>
      <c r="AK4" s="192">
        <f t="shared" ref="AK4:AK5" si="18">AK3+$AL$6/4</f>
        <v>0.216</v>
      </c>
      <c r="AL4" s="192"/>
      <c r="AM4" s="171">
        <f t="shared" si="9"/>
        <v>0.12311999999999999</v>
      </c>
      <c r="AN4" s="193">
        <f t="shared" si="10"/>
        <v>7.7759999999999996E-2</v>
      </c>
      <c r="AO4" s="194">
        <f t="shared" si="11"/>
        <v>0.14499999999999991</v>
      </c>
      <c r="AQ4" s="193">
        <f t="shared" ref="AQ4:AQ5" si="19">AQ3+$AR$6/5</f>
        <v>0.83799999999999997</v>
      </c>
      <c r="AU4" s="194">
        <f t="shared" ref="AU4:AU5" si="20">AU3+$AV$6/4</f>
        <v>0.185</v>
      </c>
    </row>
    <row r="5" spans="1:64" x14ac:dyDescent="0.2">
      <c r="A5" s="186">
        <v>1998</v>
      </c>
      <c r="B5" s="187">
        <f t="shared" si="12"/>
        <v>0.12083999999999999</v>
      </c>
      <c r="C5" s="189">
        <f t="shared" si="0"/>
        <v>7.6319999999999999E-2</v>
      </c>
      <c r="D5" s="190">
        <v>9.2300000000000049E-2</v>
      </c>
      <c r="E5" s="190">
        <f t="shared" si="13"/>
        <v>3.4484561613543738E-3</v>
      </c>
      <c r="F5" s="187">
        <f t="shared" si="1"/>
        <v>0.15499999999999992</v>
      </c>
      <c r="G5" s="190">
        <v>0.1396863275994569</v>
      </c>
      <c r="H5" s="187">
        <f t="shared" si="2"/>
        <v>0.85</v>
      </c>
      <c r="I5" s="190">
        <v>0.88359999999999961</v>
      </c>
      <c r="J5" s="196">
        <f t="shared" si="3"/>
        <v>2.8499999999999998E-2</v>
      </c>
      <c r="K5" s="190">
        <v>2.9599999999999984E-2</v>
      </c>
      <c r="L5" s="190">
        <v>2.9599999999999984E-2</v>
      </c>
      <c r="M5" s="187">
        <f t="shared" si="4"/>
        <v>3.4484561613543738E-3</v>
      </c>
      <c r="N5" s="187">
        <f t="shared" si="5"/>
        <v>0.16299999999999998</v>
      </c>
      <c r="O5" s="190">
        <v>0.14060000000000011</v>
      </c>
      <c r="P5" s="187">
        <f t="shared" si="6"/>
        <v>0.19539999999999999</v>
      </c>
      <c r="Q5" s="190">
        <v>0.19539999999999999</v>
      </c>
      <c r="R5" s="202">
        <f t="shared" si="7"/>
        <v>0.58699999999999986</v>
      </c>
      <c r="S5" s="190">
        <v>0.69430000000000003</v>
      </c>
      <c r="T5" s="190">
        <f t="shared" si="13"/>
        <v>1</v>
      </c>
      <c r="U5" s="187">
        <f t="shared" si="14"/>
        <v>0.2</v>
      </c>
      <c r="V5" s="190">
        <v>0.29690000000000022</v>
      </c>
      <c r="W5" s="187">
        <f t="shared" si="15"/>
        <v>0.35</v>
      </c>
      <c r="X5" s="190">
        <v>0.06</v>
      </c>
      <c r="Y5" s="203">
        <f t="shared" si="16"/>
        <v>0.64749999999999985</v>
      </c>
      <c r="Z5" s="190">
        <v>0.98</v>
      </c>
      <c r="AA5" s="203">
        <f t="shared" si="17"/>
        <v>0.84999999999999987</v>
      </c>
      <c r="AB5" s="190">
        <v>0.98</v>
      </c>
      <c r="AC5" s="202">
        <f t="shared" si="8"/>
        <v>0.76400000000000046</v>
      </c>
      <c r="AD5" s="190">
        <v>0.76400000000000046</v>
      </c>
      <c r="AE5" s="193">
        <v>3.1139999999999999</v>
      </c>
      <c r="AF5" s="190">
        <v>2.138209705387307</v>
      </c>
      <c r="AG5" s="190">
        <f t="shared" si="13"/>
        <v>0.47687173063190685</v>
      </c>
      <c r="AH5" s="190">
        <v>1</v>
      </c>
      <c r="AI5" s="190">
        <v>1</v>
      </c>
      <c r="AJ5" s="191"/>
      <c r="AK5" s="192">
        <f t="shared" si="18"/>
        <v>0.21199999999999999</v>
      </c>
      <c r="AL5" s="192"/>
      <c r="AM5" s="171">
        <f t="shared" si="9"/>
        <v>0.12083999999999999</v>
      </c>
      <c r="AN5" s="193">
        <f t="shared" si="10"/>
        <v>7.6319999999999999E-2</v>
      </c>
      <c r="AO5" s="194">
        <f t="shared" si="11"/>
        <v>0.15499999999999992</v>
      </c>
      <c r="AQ5" s="193">
        <f t="shared" si="19"/>
        <v>0.85</v>
      </c>
      <c r="AU5" s="194">
        <f t="shared" si="20"/>
        <v>0.16299999999999998</v>
      </c>
    </row>
    <row r="6" spans="1:64" x14ac:dyDescent="0.2">
      <c r="A6" s="186">
        <v>1999</v>
      </c>
      <c r="B6" s="187">
        <f t="shared" si="12"/>
        <v>0.11855999999999998</v>
      </c>
      <c r="C6" s="189">
        <f t="shared" si="0"/>
        <v>7.4879999999999988E-2</v>
      </c>
      <c r="D6" s="190">
        <v>9.2600000000000043E-2</v>
      </c>
      <c r="E6" s="190">
        <f t="shared" si="13"/>
        <v>3.6400370592073947E-3</v>
      </c>
      <c r="F6" s="187">
        <f t="shared" si="1"/>
        <v>0.16499999999999992</v>
      </c>
      <c r="G6" s="190">
        <v>0.13844658126785894</v>
      </c>
      <c r="H6" s="187">
        <f t="shared" si="2"/>
        <v>0.874</v>
      </c>
      <c r="I6" s="190">
        <v>0.88419999999999965</v>
      </c>
      <c r="J6" s="196">
        <f t="shared" si="3"/>
        <v>2.8999999999999998E-2</v>
      </c>
      <c r="K6" s="190">
        <v>3.0199999999999984E-2</v>
      </c>
      <c r="L6" s="190">
        <v>3.0199999999999984E-2</v>
      </c>
      <c r="M6" s="187">
        <f t="shared" si="4"/>
        <v>3.6400370592073947E-3</v>
      </c>
      <c r="N6" s="187">
        <f t="shared" si="5"/>
        <v>0.14099999999999999</v>
      </c>
      <c r="O6" s="190">
        <v>0.1392000000000001</v>
      </c>
      <c r="P6" s="187">
        <f t="shared" si="6"/>
        <v>0.19639999999999999</v>
      </c>
      <c r="Q6" s="190">
        <v>0.19639999999999999</v>
      </c>
      <c r="R6" s="202">
        <f t="shared" si="7"/>
        <v>0.60099999999999987</v>
      </c>
      <c r="S6" s="190">
        <v>0.69630000000000003</v>
      </c>
      <c r="T6" s="190">
        <f t="shared" si="13"/>
        <v>1</v>
      </c>
      <c r="U6" s="187">
        <f t="shared" si="14"/>
        <v>0.2</v>
      </c>
      <c r="V6" s="190">
        <v>0.2971000000000002</v>
      </c>
      <c r="W6" s="187">
        <f t="shared" si="15"/>
        <v>0.35</v>
      </c>
      <c r="X6" s="190">
        <v>0.06</v>
      </c>
      <c r="Y6" s="203">
        <f t="shared" si="16"/>
        <v>0.6499999999999998</v>
      </c>
      <c r="Z6" s="190">
        <v>0.98</v>
      </c>
      <c r="AA6" s="203">
        <f t="shared" si="17"/>
        <v>0.85333333333333317</v>
      </c>
      <c r="AB6" s="190">
        <v>0.98</v>
      </c>
      <c r="AC6" s="202">
        <f t="shared" si="8"/>
        <v>0.7655000000000004</v>
      </c>
      <c r="AD6" s="190">
        <v>0.7655000000000004</v>
      </c>
      <c r="AE6" s="193">
        <v>3.1280000000000001</v>
      </c>
      <c r="AF6" s="190">
        <v>2.1705979571633529</v>
      </c>
      <c r="AG6" s="190">
        <f t="shared" si="13"/>
        <v>0.4761423823336795</v>
      </c>
      <c r="AH6" s="190">
        <v>1</v>
      </c>
      <c r="AI6" s="190">
        <v>1</v>
      </c>
      <c r="AJ6" s="191"/>
      <c r="AK6" s="192">
        <v>0.20799999999999999</v>
      </c>
      <c r="AL6" s="192">
        <f>AK6-AK2</f>
        <v>-1.6000000000000014E-2</v>
      </c>
      <c r="AM6" s="171">
        <f t="shared" si="9"/>
        <v>0.11855999999999998</v>
      </c>
      <c r="AN6" s="193">
        <f t="shared" si="10"/>
        <v>7.4879999999999988E-2</v>
      </c>
      <c r="AO6" s="194">
        <f t="shared" si="11"/>
        <v>0.16499999999999992</v>
      </c>
      <c r="AQ6" s="193">
        <v>0.874</v>
      </c>
      <c r="AR6" s="193">
        <f>AQ6-$AQ$2</f>
        <v>6.0000000000000053E-2</v>
      </c>
      <c r="AU6" s="193">
        <v>0.14099999999999999</v>
      </c>
      <c r="AV6" s="193">
        <f>AU6-AU2</f>
        <v>-8.8000000000000023E-2</v>
      </c>
    </row>
    <row r="7" spans="1:64" x14ac:dyDescent="0.2">
      <c r="A7" s="186">
        <v>2000</v>
      </c>
      <c r="B7" s="187">
        <f t="shared" si="12"/>
        <v>0.11798999999999998</v>
      </c>
      <c r="C7" s="189">
        <f t="shared" si="0"/>
        <v>7.4519999999999989E-2</v>
      </c>
      <c r="D7" s="190">
        <v>9.2900000000000038E-2</v>
      </c>
      <c r="E7" s="190">
        <f t="shared" si="13"/>
        <v>3.8316179570604156E-3</v>
      </c>
      <c r="F7" s="187">
        <f t="shared" si="1"/>
        <v>0.17499999999999993</v>
      </c>
      <c r="G7" s="190">
        <v>0.13721783795275602</v>
      </c>
      <c r="H7" s="187">
        <f t="shared" si="2"/>
        <v>0.87016666666666664</v>
      </c>
      <c r="I7" s="190">
        <v>0.8847999999999997</v>
      </c>
      <c r="J7" s="196">
        <f t="shared" si="3"/>
        <v>2.9499999999999998E-2</v>
      </c>
      <c r="K7" s="190">
        <v>3.0799999999999984E-2</v>
      </c>
      <c r="L7" s="190">
        <v>3.0799999999999984E-2</v>
      </c>
      <c r="M7" s="187">
        <f t="shared" si="4"/>
        <v>3.8316179570604156E-3</v>
      </c>
      <c r="N7" s="187">
        <f t="shared" si="5"/>
        <v>0.13149999999999998</v>
      </c>
      <c r="O7" s="190">
        <v>0.13780000000000009</v>
      </c>
      <c r="P7" s="187">
        <f t="shared" si="6"/>
        <v>0.19739999999999999</v>
      </c>
      <c r="Q7" s="190">
        <v>0.19739999999999999</v>
      </c>
      <c r="R7" s="202">
        <f t="shared" si="7"/>
        <v>0.61499999999999988</v>
      </c>
      <c r="S7" s="190">
        <v>0.69830000000000003</v>
      </c>
      <c r="T7" s="190">
        <f t="shared" si="13"/>
        <v>1</v>
      </c>
      <c r="U7" s="187">
        <f t="shared" si="14"/>
        <v>0.2</v>
      </c>
      <c r="V7" s="190">
        <v>0.29730000000000018</v>
      </c>
      <c r="W7" s="187">
        <f t="shared" si="15"/>
        <v>0.35</v>
      </c>
      <c r="X7" s="190">
        <v>0.06</v>
      </c>
      <c r="Y7" s="203">
        <f t="shared" si="16"/>
        <v>0.65249999999999975</v>
      </c>
      <c r="Z7" s="190">
        <v>0.98</v>
      </c>
      <c r="AA7" s="203">
        <f t="shared" si="17"/>
        <v>0.85666666666666647</v>
      </c>
      <c r="AB7" s="190">
        <v>0.98</v>
      </c>
      <c r="AC7" s="202">
        <f t="shared" si="8"/>
        <v>0.76700000000000035</v>
      </c>
      <c r="AD7" s="190">
        <v>0.76700000000000035</v>
      </c>
      <c r="AE7" s="193">
        <v>3.1419999999999999</v>
      </c>
      <c r="AF7" s="190">
        <v>2.2029862089393988</v>
      </c>
      <c r="AG7" s="190">
        <f t="shared" si="13"/>
        <v>0.47541303403545215</v>
      </c>
      <c r="AH7" s="190">
        <v>1</v>
      </c>
      <c r="AI7" s="190">
        <v>1</v>
      </c>
      <c r="AJ7" s="191"/>
      <c r="AK7" s="192">
        <v>0.20699999999999999</v>
      </c>
      <c r="AL7" s="192"/>
      <c r="AM7" s="171">
        <f t="shared" si="9"/>
        <v>0.11798999999999998</v>
      </c>
      <c r="AN7" s="193">
        <f t="shared" si="10"/>
        <v>7.4519999999999989E-2</v>
      </c>
      <c r="AO7" s="194">
        <f t="shared" si="11"/>
        <v>0.17499999999999993</v>
      </c>
      <c r="AQ7" s="193">
        <f>AQ6+$AR$12/6</f>
        <v>0.87016666666666664</v>
      </c>
      <c r="AU7" s="194">
        <f>AU6+$AV$10/4</f>
        <v>0.13149999999999998</v>
      </c>
    </row>
    <row r="8" spans="1:64" x14ac:dyDescent="0.2">
      <c r="A8" s="186">
        <v>2001</v>
      </c>
      <c r="B8" s="187">
        <f t="shared" si="12"/>
        <v>0.11741999999999998</v>
      </c>
      <c r="C8" s="189">
        <f t="shared" si="0"/>
        <v>7.415999999999999E-2</v>
      </c>
      <c r="D8" s="190">
        <v>9.3200000000000033E-2</v>
      </c>
      <c r="E8" s="190">
        <f t="shared" si="13"/>
        <v>4.0231988549134364E-3</v>
      </c>
      <c r="F8" s="187">
        <f t="shared" si="1"/>
        <v>0.18499999999999994</v>
      </c>
      <c r="G8" s="190">
        <v>0.13600000000000001</v>
      </c>
      <c r="H8" s="187">
        <f t="shared" si="2"/>
        <v>0.86633333333333329</v>
      </c>
      <c r="I8" s="190">
        <v>0.88539999999999974</v>
      </c>
      <c r="J8" s="196">
        <f t="shared" si="3"/>
        <v>0.03</v>
      </c>
      <c r="K8" s="190">
        <v>3.1399999999999983E-2</v>
      </c>
      <c r="L8" s="190">
        <v>3.1399999999999983E-2</v>
      </c>
      <c r="M8" s="187">
        <f t="shared" si="4"/>
        <v>4.0231988549134364E-3</v>
      </c>
      <c r="N8" s="187">
        <f t="shared" si="5"/>
        <v>0.12199999999999998</v>
      </c>
      <c r="O8" s="190">
        <v>0.13640000000000008</v>
      </c>
      <c r="P8" s="187">
        <f t="shared" si="6"/>
        <v>0.19839999999999999</v>
      </c>
      <c r="Q8" s="190">
        <v>0.19839999999999999</v>
      </c>
      <c r="R8" s="202">
        <f t="shared" si="7"/>
        <v>0.62899999999999989</v>
      </c>
      <c r="S8" s="190">
        <v>0.70030000000000003</v>
      </c>
      <c r="T8" s="190">
        <f t="shared" si="13"/>
        <v>1</v>
      </c>
      <c r="U8" s="187">
        <f t="shared" si="14"/>
        <v>0.2</v>
      </c>
      <c r="V8" s="190">
        <v>0.29749999999999999</v>
      </c>
      <c r="W8" s="187">
        <f t="shared" si="15"/>
        <v>0.35</v>
      </c>
      <c r="X8" s="190">
        <v>0.06</v>
      </c>
      <c r="Y8" s="203">
        <f t="shared" si="16"/>
        <v>0.65499999999999969</v>
      </c>
      <c r="Z8" s="190">
        <v>0.98</v>
      </c>
      <c r="AA8" s="203">
        <f t="shared" si="17"/>
        <v>0.85999999999999976</v>
      </c>
      <c r="AB8" s="190">
        <v>0.98</v>
      </c>
      <c r="AC8" s="202">
        <f t="shared" si="8"/>
        <v>0.76850000000000029</v>
      </c>
      <c r="AD8" s="190">
        <v>0.76850000000000029</v>
      </c>
      <c r="AE8" s="193">
        <v>3.157</v>
      </c>
      <c r="AF8" s="190">
        <v>2.2353744607154451</v>
      </c>
      <c r="AG8" s="190">
        <f t="shared" si="13"/>
        <v>0.4746836857372248</v>
      </c>
      <c r="AH8" s="190">
        <v>1</v>
      </c>
      <c r="AI8" s="190">
        <v>1</v>
      </c>
      <c r="AJ8" s="191"/>
      <c r="AK8" s="190">
        <v>0.20599999999999999</v>
      </c>
      <c r="AL8" s="190"/>
      <c r="AM8" s="171">
        <f t="shared" si="9"/>
        <v>0.11741999999999998</v>
      </c>
      <c r="AN8" s="193">
        <f t="shared" si="10"/>
        <v>7.415999999999999E-2</v>
      </c>
      <c r="AO8" s="194">
        <f t="shared" si="11"/>
        <v>0.18499999999999994</v>
      </c>
      <c r="AQ8" s="193">
        <f t="shared" ref="AQ8:AQ11" si="21">AQ7+$AR$12/6</f>
        <v>0.86633333333333329</v>
      </c>
      <c r="AU8" s="194">
        <f t="shared" ref="AU8:AU9" si="22">AU7+$AV$10/4</f>
        <v>0.12199999999999998</v>
      </c>
    </row>
    <row r="9" spans="1:64" x14ac:dyDescent="0.2">
      <c r="A9" s="186">
        <v>2002</v>
      </c>
      <c r="B9" s="187">
        <f t="shared" si="12"/>
        <v>0.11684999999999998</v>
      </c>
      <c r="C9" s="189">
        <f t="shared" si="0"/>
        <v>7.3799999999999991E-2</v>
      </c>
      <c r="D9" s="190">
        <v>9.3500000000000028E-2</v>
      </c>
      <c r="E9" s="190">
        <f t="shared" si="13"/>
        <v>4.2147797527664569E-3</v>
      </c>
      <c r="F9" s="187">
        <f t="shared" si="1"/>
        <v>0.19499999999999995</v>
      </c>
      <c r="G9" s="190">
        <v>0.13534699069913084</v>
      </c>
      <c r="H9" s="187">
        <f t="shared" si="2"/>
        <v>0.86249999999999993</v>
      </c>
      <c r="I9" s="190">
        <v>0.88599999999999979</v>
      </c>
      <c r="J9" s="196">
        <f t="shared" si="3"/>
        <v>3.0499999999999999E-2</v>
      </c>
      <c r="K9" s="190">
        <v>3.1999999999999987E-2</v>
      </c>
      <c r="L9" s="190">
        <v>3.1999999999999987E-2</v>
      </c>
      <c r="M9" s="187">
        <f t="shared" si="4"/>
        <v>4.2147797527664569E-3</v>
      </c>
      <c r="N9" s="187">
        <f t="shared" si="5"/>
        <v>0.11249999999999999</v>
      </c>
      <c r="O9" s="190">
        <v>0.13500000000000001</v>
      </c>
      <c r="P9" s="187">
        <f t="shared" si="6"/>
        <v>0.19939999999999999</v>
      </c>
      <c r="Q9" s="190">
        <v>0.19939999999999999</v>
      </c>
      <c r="R9" s="202">
        <f t="shared" si="7"/>
        <v>0.6429999999999999</v>
      </c>
      <c r="S9" s="190">
        <v>0.70230000000000004</v>
      </c>
      <c r="T9" s="190">
        <f t="shared" si="13"/>
        <v>1</v>
      </c>
      <c r="U9" s="187">
        <f t="shared" si="14"/>
        <v>0.2</v>
      </c>
      <c r="V9" s="190">
        <v>0.29770000000000013</v>
      </c>
      <c r="W9" s="187">
        <f t="shared" si="15"/>
        <v>0.35</v>
      </c>
      <c r="X9" s="190">
        <v>0.06</v>
      </c>
      <c r="Y9" s="203">
        <f t="shared" si="16"/>
        <v>0.65749999999999964</v>
      </c>
      <c r="Z9" s="190">
        <v>0.98</v>
      </c>
      <c r="AA9" s="203">
        <f t="shared" si="17"/>
        <v>0.86333333333333306</v>
      </c>
      <c r="AB9" s="190">
        <v>0.98</v>
      </c>
      <c r="AC9" s="202">
        <f t="shared" si="8"/>
        <v>0.77</v>
      </c>
      <c r="AD9" s="190">
        <v>0.77</v>
      </c>
      <c r="AE9" s="193">
        <v>3.1709999999999998</v>
      </c>
      <c r="AF9" s="190">
        <v>2.2799818691099363</v>
      </c>
      <c r="AG9" s="190">
        <f t="shared" si="13"/>
        <v>0.47395433743899745</v>
      </c>
      <c r="AH9" s="190">
        <v>1</v>
      </c>
      <c r="AI9" s="190">
        <v>1</v>
      </c>
      <c r="AJ9" s="191"/>
      <c r="AK9" s="192">
        <v>0.20499999999999999</v>
      </c>
      <c r="AL9" s="192"/>
      <c r="AM9" s="171">
        <f t="shared" si="9"/>
        <v>0.11684999999999998</v>
      </c>
      <c r="AN9" s="193">
        <f t="shared" si="10"/>
        <v>7.3799999999999991E-2</v>
      </c>
      <c r="AO9" s="194">
        <f t="shared" si="11"/>
        <v>0.19499999999999995</v>
      </c>
      <c r="AQ9" s="193">
        <f t="shared" si="21"/>
        <v>0.86249999999999993</v>
      </c>
      <c r="AU9" s="194">
        <f t="shared" si="22"/>
        <v>0.11249999999999999</v>
      </c>
    </row>
    <row r="10" spans="1:64" x14ac:dyDescent="0.2">
      <c r="A10" s="186">
        <v>2003</v>
      </c>
      <c r="B10" s="187">
        <f t="shared" si="12"/>
        <v>0.11627999999999998</v>
      </c>
      <c r="C10" s="189">
        <f t="shared" si="0"/>
        <v>7.3439999999999991E-2</v>
      </c>
      <c r="D10" s="190">
        <v>9.3800000000000022E-2</v>
      </c>
      <c r="E10" s="190">
        <f t="shared" si="13"/>
        <v>4.4063606506194774E-3</v>
      </c>
      <c r="F10" s="187">
        <f t="shared" si="1"/>
        <v>0.20499999999999996</v>
      </c>
      <c r="G10" s="190">
        <v>0.13359890668108435</v>
      </c>
      <c r="H10" s="187">
        <f t="shared" si="2"/>
        <v>0.85866666666666658</v>
      </c>
      <c r="I10" s="190">
        <v>0.88659999999999983</v>
      </c>
      <c r="J10" s="196">
        <f t="shared" si="3"/>
        <v>3.1E-2</v>
      </c>
      <c r="K10" s="190">
        <v>3.259999999999999E-2</v>
      </c>
      <c r="L10" s="190">
        <v>3.259999999999999E-2</v>
      </c>
      <c r="M10" s="187">
        <f t="shared" si="4"/>
        <v>4.4063606506194774E-3</v>
      </c>
      <c r="N10" s="187">
        <f t="shared" si="5"/>
        <v>0.10299999999999999</v>
      </c>
      <c r="O10" s="190">
        <v>0.13360000000000005</v>
      </c>
      <c r="P10" s="187">
        <f t="shared" si="6"/>
        <v>0.20039999999999999</v>
      </c>
      <c r="Q10" s="190">
        <v>0.20039999999999999</v>
      </c>
      <c r="R10" s="202">
        <f t="shared" si="7"/>
        <v>0.65699999999999992</v>
      </c>
      <c r="S10" s="190">
        <v>0.70430000000000004</v>
      </c>
      <c r="T10" s="190">
        <f t="shared" si="13"/>
        <v>1</v>
      </c>
      <c r="U10" s="187">
        <f t="shared" si="14"/>
        <v>0.2</v>
      </c>
      <c r="V10" s="190">
        <v>0.29790000000000011</v>
      </c>
      <c r="W10" s="187">
        <f t="shared" si="15"/>
        <v>0.35</v>
      </c>
      <c r="X10" s="190">
        <v>0.06</v>
      </c>
      <c r="Y10" s="203">
        <f t="shared" si="16"/>
        <v>0.65999999999999959</v>
      </c>
      <c r="Z10" s="190">
        <v>0.98</v>
      </c>
      <c r="AA10" s="203">
        <f t="shared" si="17"/>
        <v>0.86666666666666636</v>
      </c>
      <c r="AB10" s="190">
        <v>0.98</v>
      </c>
      <c r="AC10" s="202">
        <f t="shared" si="8"/>
        <v>0.77150000000000019</v>
      </c>
      <c r="AD10" s="190">
        <v>0.77150000000000019</v>
      </c>
      <c r="AE10" s="193">
        <v>3.1850000000000001</v>
      </c>
      <c r="AF10" s="190">
        <v>2.3345669825758248</v>
      </c>
      <c r="AG10" s="190">
        <f t="shared" si="13"/>
        <v>0.4732249891407701</v>
      </c>
      <c r="AH10" s="190">
        <v>1</v>
      </c>
      <c r="AI10" s="190">
        <v>1</v>
      </c>
      <c r="AJ10" s="191"/>
      <c r="AK10" s="193">
        <v>0.20399999999999999</v>
      </c>
      <c r="AL10" s="193"/>
      <c r="AM10" s="171">
        <f t="shared" si="9"/>
        <v>0.11627999999999998</v>
      </c>
      <c r="AN10" s="193">
        <f t="shared" si="10"/>
        <v>7.3439999999999991E-2</v>
      </c>
      <c r="AO10" s="194">
        <f t="shared" si="11"/>
        <v>0.20499999999999996</v>
      </c>
      <c r="AQ10" s="193">
        <f t="shared" si="21"/>
        <v>0.85866666666666658</v>
      </c>
      <c r="AU10" s="193">
        <v>0.10299999999999999</v>
      </c>
      <c r="AV10" s="193">
        <f>AU10-AU6</f>
        <v>-3.7999999999999992E-2</v>
      </c>
    </row>
    <row r="11" spans="1:64" x14ac:dyDescent="0.2">
      <c r="A11" s="186">
        <v>2004</v>
      </c>
      <c r="B11" s="187">
        <f t="shared" si="12"/>
        <v>0.11214749999999998</v>
      </c>
      <c r="C11" s="189">
        <f t="shared" si="0"/>
        <v>7.082999999999999E-2</v>
      </c>
      <c r="D11" s="190">
        <v>9.4100000000000017E-2</v>
      </c>
      <c r="E11" s="190">
        <f t="shared" si="13"/>
        <v>4.5979415484724978E-3</v>
      </c>
      <c r="F11" s="187">
        <f t="shared" si="1"/>
        <v>0.21499999999999997</v>
      </c>
      <c r="G11" s="190">
        <v>0.13185150222044939</v>
      </c>
      <c r="H11" s="187">
        <f t="shared" si="2"/>
        <v>0.85483333333333322</v>
      </c>
      <c r="I11" s="190">
        <v>0.88719999999999988</v>
      </c>
      <c r="J11" s="196">
        <f t="shared" si="3"/>
        <v>3.15E-2</v>
      </c>
      <c r="K11" s="190">
        <v>3.3199999999999993E-2</v>
      </c>
      <c r="L11" s="190">
        <v>3.3199999999999993E-2</v>
      </c>
      <c r="M11" s="187">
        <f t="shared" si="4"/>
        <v>4.5979415484724978E-3</v>
      </c>
      <c r="N11" s="187">
        <f t="shared" si="5"/>
        <v>0.10775</v>
      </c>
      <c r="O11" s="190">
        <v>0.13220000000000004</v>
      </c>
      <c r="P11" s="187">
        <f t="shared" si="6"/>
        <v>0.2014</v>
      </c>
      <c r="Q11" s="190">
        <v>0.2014</v>
      </c>
      <c r="R11" s="202">
        <f t="shared" si="7"/>
        <v>0.67099999999999993</v>
      </c>
      <c r="S11" s="190">
        <v>0.70630000000000004</v>
      </c>
      <c r="T11" s="190">
        <f t="shared" si="13"/>
        <v>1</v>
      </c>
      <c r="U11" s="187">
        <f t="shared" si="14"/>
        <v>0.2</v>
      </c>
      <c r="V11" s="190">
        <v>0.29810000000000009</v>
      </c>
      <c r="W11" s="187">
        <f t="shared" si="15"/>
        <v>0.35</v>
      </c>
      <c r="X11" s="190">
        <v>0.06</v>
      </c>
      <c r="Y11" s="203">
        <f t="shared" si="16"/>
        <v>0.66249999999999953</v>
      </c>
      <c r="Z11" s="190">
        <v>0.98</v>
      </c>
      <c r="AA11" s="203">
        <f t="shared" si="17"/>
        <v>0.86999999999999966</v>
      </c>
      <c r="AB11" s="190">
        <v>0.98</v>
      </c>
      <c r="AC11" s="202">
        <f t="shared" si="8"/>
        <v>0.77300000000000013</v>
      </c>
      <c r="AD11" s="190">
        <v>0.77300000000000013</v>
      </c>
      <c r="AE11" s="193">
        <v>3.1989999999999998</v>
      </c>
      <c r="AF11" s="190">
        <v>2.3905871407560904</v>
      </c>
      <c r="AG11" s="190">
        <f t="shared" si="13"/>
        <v>0.47249564084254275</v>
      </c>
      <c r="AH11" s="190">
        <v>1</v>
      </c>
      <c r="AI11" s="190">
        <v>1</v>
      </c>
      <c r="AJ11" s="191"/>
      <c r="AK11" s="193">
        <f>AK10+$AL$14/4</f>
        <v>0.19674999999999998</v>
      </c>
      <c r="AM11" s="171">
        <f t="shared" si="9"/>
        <v>0.11214749999999998</v>
      </c>
      <c r="AN11" s="193">
        <f t="shared" si="10"/>
        <v>7.082999999999999E-2</v>
      </c>
      <c r="AO11" s="194">
        <f t="shared" si="11"/>
        <v>0.21499999999999997</v>
      </c>
      <c r="AQ11" s="193">
        <f t="shared" si="21"/>
        <v>0.85483333333333322</v>
      </c>
      <c r="AU11" s="193">
        <f>AU10+$AV$14/4</f>
        <v>0.10775</v>
      </c>
    </row>
    <row r="12" spans="1:64" x14ac:dyDescent="0.2">
      <c r="A12" s="186">
        <v>2005</v>
      </c>
      <c r="B12" s="187">
        <f t="shared" si="12"/>
        <v>0.10801499999999997</v>
      </c>
      <c r="C12" s="189">
        <f t="shared" si="0"/>
        <v>6.8219999999999989E-2</v>
      </c>
      <c r="D12" s="190">
        <v>9.4400000000000012E-2</v>
      </c>
      <c r="E12" s="196">
        <f>'LE EIAData'!Z6</f>
        <v>4.7895224463255183E-3</v>
      </c>
      <c r="F12" s="187">
        <f t="shared" si="1"/>
        <v>0.22499999999999998</v>
      </c>
      <c r="G12" s="190">
        <v>0.1301589121501944</v>
      </c>
      <c r="H12" s="187">
        <f t="shared" si="2"/>
        <v>0.85099999999999998</v>
      </c>
      <c r="I12" s="190">
        <v>0.88779999999999992</v>
      </c>
      <c r="J12" s="196">
        <f t="shared" si="3"/>
        <v>3.2000000000000001E-2</v>
      </c>
      <c r="K12" s="190">
        <v>3.3799999999999997E-2</v>
      </c>
      <c r="L12" s="190">
        <v>3.3799999999999997E-2</v>
      </c>
      <c r="M12" s="187">
        <f t="shared" si="4"/>
        <v>4.7895224463255183E-3</v>
      </c>
      <c r="N12" s="187">
        <f t="shared" si="5"/>
        <v>0.1125</v>
      </c>
      <c r="O12" s="190">
        <v>0.13080000000000003</v>
      </c>
      <c r="P12" s="187">
        <f t="shared" si="6"/>
        <v>0.2024</v>
      </c>
      <c r="Q12" s="190">
        <v>0.2024</v>
      </c>
      <c r="R12" s="202">
        <f t="shared" si="7"/>
        <v>0.68499999999999994</v>
      </c>
      <c r="S12" s="190">
        <v>0.70830000000000004</v>
      </c>
      <c r="T12" s="196">
        <v>1</v>
      </c>
      <c r="U12" s="203">
        <f>'LE EIAData'!AU6-'LE Shares'!T12</f>
        <v>0.20141064079756799</v>
      </c>
      <c r="V12" s="190">
        <v>0.29830000000000007</v>
      </c>
      <c r="W12" s="187">
        <f t="shared" si="15"/>
        <v>0.35</v>
      </c>
      <c r="X12" s="190">
        <v>0.06</v>
      </c>
      <c r="Y12" s="203">
        <f t="shared" si="16"/>
        <v>0.66499999999999948</v>
      </c>
      <c r="Z12" s="190">
        <v>0.98</v>
      </c>
      <c r="AA12" s="203">
        <f t="shared" si="17"/>
        <v>0.87333333333333296</v>
      </c>
      <c r="AB12" s="190">
        <v>0.98</v>
      </c>
      <c r="AC12" s="202">
        <f t="shared" si="8"/>
        <v>0.77450000000000008</v>
      </c>
      <c r="AD12" s="190">
        <v>0.77450000000000008</v>
      </c>
      <c r="AE12" s="187">
        <f>'LE EIAData'!AY6</f>
        <v>3.2258272963172629</v>
      </c>
      <c r="AF12" s="190">
        <v>2.4478643451466082</v>
      </c>
      <c r="AG12" s="196">
        <f>'LE EIAData'!BA6</f>
        <v>0.4717662925443154</v>
      </c>
      <c r="AH12" s="190">
        <v>1</v>
      </c>
      <c r="AI12" s="190">
        <v>1</v>
      </c>
      <c r="AJ12" s="191"/>
      <c r="AK12" s="193">
        <f t="shared" ref="AK12:AK13" si="23">AK11+$AL$14/4</f>
        <v>0.18949999999999997</v>
      </c>
      <c r="AM12" s="171">
        <f t="shared" si="9"/>
        <v>0.10801499999999997</v>
      </c>
      <c r="AN12" s="193">
        <f t="shared" si="10"/>
        <v>6.8219999999999989E-2</v>
      </c>
      <c r="AO12" s="194">
        <f t="shared" si="11"/>
        <v>0.22499999999999998</v>
      </c>
      <c r="AQ12" s="193">
        <v>0.85099999999999998</v>
      </c>
      <c r="AR12" s="193">
        <f>AQ12-AQ6</f>
        <v>-2.300000000000002E-2</v>
      </c>
      <c r="AU12" s="193">
        <f t="shared" ref="AU12:AU13" si="24">AU11+$AV$14/4</f>
        <v>0.1125</v>
      </c>
    </row>
    <row r="13" spans="1:64" x14ac:dyDescent="0.2">
      <c r="A13" s="186">
        <v>2006</v>
      </c>
      <c r="B13" s="187">
        <f t="shared" si="12"/>
        <v>0.10388249999999997</v>
      </c>
      <c r="C13" s="189">
        <f t="shared" si="0"/>
        <v>6.5609999999999988E-2</v>
      </c>
      <c r="D13" s="190">
        <v>9.4700000000000006E-2</v>
      </c>
      <c r="E13" s="196">
        <f>'LE EIAData'!Z7</f>
        <v>5.0756203659968998E-3</v>
      </c>
      <c r="F13" s="187">
        <f t="shared" si="1"/>
        <v>0.23499999999999999</v>
      </c>
      <c r="G13" s="190">
        <v>0.12847029197091125</v>
      </c>
      <c r="H13" s="187">
        <f t="shared" si="2"/>
        <v>0.86019999999999996</v>
      </c>
      <c r="I13" s="190">
        <v>0.88839999999999997</v>
      </c>
      <c r="J13" s="196">
        <f>J14-0.05%</f>
        <v>3.2500000000000001E-2</v>
      </c>
      <c r="K13" s="190">
        <v>3.44E-2</v>
      </c>
      <c r="L13" s="190">
        <v>3.44E-2</v>
      </c>
      <c r="M13" s="187">
        <f t="shared" si="4"/>
        <v>5.0756203659968998E-3</v>
      </c>
      <c r="N13" s="187">
        <f t="shared" si="5"/>
        <v>0.11725000000000001</v>
      </c>
      <c r="O13" s="190">
        <v>0.12940000000000002</v>
      </c>
      <c r="P13" s="187">
        <f t="shared" si="6"/>
        <v>0.2034</v>
      </c>
      <c r="Q13" s="190">
        <v>0.2034</v>
      </c>
      <c r="R13" s="202">
        <f>R14-1.4%</f>
        <v>0.69899999999999995</v>
      </c>
      <c r="S13" s="190">
        <v>0.71030000000000004</v>
      </c>
      <c r="T13" s="196">
        <v>1</v>
      </c>
      <c r="U13" s="203">
        <f>'LE EIAData'!AU7-'LE Shares'!T13</f>
        <v>0.19988748036196879</v>
      </c>
      <c r="V13" s="190">
        <v>0.29850000000000004</v>
      </c>
      <c r="W13" s="187">
        <f t="shared" si="15"/>
        <v>0.35</v>
      </c>
      <c r="X13" s="190">
        <v>0.06</v>
      </c>
      <c r="Y13" s="203">
        <f t="shared" si="16"/>
        <v>0.66749999999999943</v>
      </c>
      <c r="Z13" s="190">
        <v>0.98</v>
      </c>
      <c r="AA13" s="203">
        <f t="shared" si="17"/>
        <v>0.87666666666666626</v>
      </c>
      <c r="AB13" s="190">
        <v>0.98</v>
      </c>
      <c r="AC13" s="202">
        <f t="shared" si="8"/>
        <v>0.77600000000000002</v>
      </c>
      <c r="AD13" s="190">
        <v>0.77600000000000002</v>
      </c>
      <c r="AE13" s="187">
        <f>'LE EIAData'!AY7</f>
        <v>3.2368607481663374</v>
      </c>
      <c r="AF13" s="190">
        <v>2.4818021786091178</v>
      </c>
      <c r="AG13" s="196">
        <f>'LE EIAData'!BA7</f>
        <v>0.46959990314327987</v>
      </c>
      <c r="AH13" s="190">
        <v>1</v>
      </c>
      <c r="AI13" s="190">
        <v>1</v>
      </c>
      <c r="AJ13" s="191"/>
      <c r="AK13" s="193">
        <f t="shared" si="23"/>
        <v>0.18224999999999997</v>
      </c>
      <c r="AM13" s="171">
        <f t="shared" si="9"/>
        <v>0.10388249999999997</v>
      </c>
      <c r="AN13" s="193">
        <f t="shared" si="10"/>
        <v>6.5609999999999988E-2</v>
      </c>
      <c r="AO13" s="194">
        <f t="shared" si="11"/>
        <v>0.23499999999999999</v>
      </c>
      <c r="AQ13" s="193">
        <f>AQ12+$AR$17/5</f>
        <v>0.86019999999999996</v>
      </c>
      <c r="AR13" s="193"/>
      <c r="AS13" s="193"/>
      <c r="AU13" s="193">
        <f t="shared" si="24"/>
        <v>0.11725000000000001</v>
      </c>
      <c r="BC13" s="201"/>
      <c r="BD13" s="201"/>
      <c r="BE13" s="201"/>
      <c r="BF13" s="201"/>
      <c r="BG13" s="201"/>
      <c r="BH13" s="201"/>
    </row>
    <row r="14" spans="1:64" x14ac:dyDescent="0.2">
      <c r="A14" s="186">
        <v>2007</v>
      </c>
      <c r="B14" s="187">
        <f t="shared" si="12"/>
        <v>9.9749999999999991E-2</v>
      </c>
      <c r="C14" s="189">
        <f t="shared" si="0"/>
        <v>6.3E-2</v>
      </c>
      <c r="D14" s="190">
        <v>9.5000000000000001E-2</v>
      </c>
      <c r="E14" s="196">
        <f>'LE EIAData'!Z8</f>
        <v>5.5085373321371103E-3</v>
      </c>
      <c r="F14" s="187">
        <f t="shared" si="1"/>
        <v>0.245</v>
      </c>
      <c r="G14" s="190">
        <v>0.12690371201440123</v>
      </c>
      <c r="H14" s="187">
        <f t="shared" si="2"/>
        <v>0.86939999999999995</v>
      </c>
      <c r="I14" s="190">
        <v>0.88900000000000001</v>
      </c>
      <c r="J14" s="187">
        <f>AS14</f>
        <v>3.3000000000000002E-2</v>
      </c>
      <c r="K14" s="190">
        <v>3.5000000000000003E-2</v>
      </c>
      <c r="L14" s="190">
        <v>3.5000000000000003E-2</v>
      </c>
      <c r="M14" s="187">
        <f t="shared" si="4"/>
        <v>5.5085373321371103E-3</v>
      </c>
      <c r="N14" s="187">
        <f t="shared" si="5"/>
        <v>0.122</v>
      </c>
      <c r="O14" s="190">
        <v>0.128</v>
      </c>
      <c r="P14" s="230">
        <f>AW14</f>
        <v>0.20399999999999999</v>
      </c>
      <c r="Q14" s="190">
        <v>0.2044</v>
      </c>
      <c r="R14" s="187">
        <f>AY14</f>
        <v>0.71299999999999997</v>
      </c>
      <c r="S14" s="190">
        <v>0.71230000000000004</v>
      </c>
      <c r="T14" s="196">
        <v>1</v>
      </c>
      <c r="U14" s="203">
        <f>'LE EIAData'!AU8-'LE Shares'!T14</f>
        <v>0.20002563335754253</v>
      </c>
      <c r="V14" s="190">
        <v>0.29870000000000002</v>
      </c>
      <c r="W14" s="187">
        <f>BC14</f>
        <v>0.35</v>
      </c>
      <c r="X14" s="190">
        <v>0.06</v>
      </c>
      <c r="Y14" s="187">
        <f>BE14</f>
        <v>0.67</v>
      </c>
      <c r="Z14" s="190">
        <v>0.98</v>
      </c>
      <c r="AA14" s="187">
        <f>BG14</f>
        <v>0.88</v>
      </c>
      <c r="AB14" s="190">
        <v>0.98</v>
      </c>
      <c r="AC14" s="187">
        <f>BI14</f>
        <v>0.77800000000000002</v>
      </c>
      <c r="AD14" s="190">
        <v>0.77749999999999997</v>
      </c>
      <c r="AE14" s="187">
        <f>'LE EIAData'!AY8</f>
        <v>3.4855378020819985</v>
      </c>
      <c r="AF14" s="190">
        <v>2.5160189803562911</v>
      </c>
      <c r="AG14" s="196">
        <f>'LE EIAData'!BA8</f>
        <v>0.46697483658734568</v>
      </c>
      <c r="AH14" s="190">
        <v>1</v>
      </c>
      <c r="AI14" s="190">
        <v>1</v>
      </c>
      <c r="AJ14" s="191"/>
      <c r="AK14" s="193">
        <v>0.17499999999999999</v>
      </c>
      <c r="AL14" s="193">
        <f>AK14-AK10</f>
        <v>-2.8999999999999998E-2</v>
      </c>
      <c r="AM14" s="171">
        <f t="shared" si="9"/>
        <v>9.9749999999999991E-2</v>
      </c>
      <c r="AN14" s="193">
        <f t="shared" si="10"/>
        <v>6.3E-2</v>
      </c>
      <c r="AO14" s="194">
        <v>0.245</v>
      </c>
      <c r="AQ14" s="193">
        <f t="shared" ref="AQ14:AQ16" si="25">AQ13+$AR$17/5</f>
        <v>0.86939999999999995</v>
      </c>
      <c r="AR14" s="193"/>
      <c r="AS14" s="193">
        <v>3.3000000000000002E-2</v>
      </c>
      <c r="AU14" s="193">
        <v>0.122</v>
      </c>
      <c r="AV14" s="193">
        <f>AU14-AU10</f>
        <v>1.9000000000000003E-2</v>
      </c>
      <c r="AW14" s="193">
        <v>0.20399999999999999</v>
      </c>
      <c r="AY14" s="193">
        <v>0.71299999999999997</v>
      </c>
      <c r="BA14" s="201">
        <v>0.92</v>
      </c>
      <c r="BB14" s="201"/>
      <c r="BC14" s="193">
        <v>0.35</v>
      </c>
      <c r="BD14" s="201"/>
      <c r="BE14" s="193">
        <v>0.67</v>
      </c>
      <c r="BF14" s="201"/>
      <c r="BG14" s="193">
        <v>0.88</v>
      </c>
      <c r="BI14" s="193">
        <v>0.77800000000000002</v>
      </c>
    </row>
    <row r="15" spans="1:64" x14ac:dyDescent="0.2">
      <c r="A15" s="186">
        <v>2008</v>
      </c>
      <c r="B15" s="187">
        <f t="shared" si="12"/>
        <v>0.1125408</v>
      </c>
      <c r="C15" s="189">
        <f t="shared" si="0"/>
        <v>7.10784E-2</v>
      </c>
      <c r="D15" s="190">
        <v>9.5399999999999999E-2</v>
      </c>
      <c r="E15" s="196">
        <f>'LE EIAData'!Z9</f>
        <v>6.2926810486164412E-3</v>
      </c>
      <c r="F15" s="187">
        <f t="shared" si="1"/>
        <v>0.24</v>
      </c>
      <c r="G15" s="190">
        <v>0.12547646885374325</v>
      </c>
      <c r="H15" s="187">
        <f t="shared" si="2"/>
        <v>0.87859999999999994</v>
      </c>
      <c r="I15" s="190">
        <v>0.88960000000000006</v>
      </c>
      <c r="J15" s="187">
        <f>AS15</f>
        <v>4.3000000000000003E-2</v>
      </c>
      <c r="K15" s="190">
        <v>3.5400000000000001E-2</v>
      </c>
      <c r="L15" s="190">
        <v>3.5400000000000001E-2</v>
      </c>
      <c r="M15" s="187">
        <f t="shared" si="4"/>
        <v>6.2926810486164412E-3</v>
      </c>
      <c r="N15" s="187">
        <f t="shared" si="5"/>
        <v>0.107</v>
      </c>
      <c r="O15" s="190">
        <v>0.12659999999999999</v>
      </c>
      <c r="P15" s="230">
        <f>AW15</f>
        <v>0.23099999999999998</v>
      </c>
      <c r="Q15" s="190">
        <v>0.2054</v>
      </c>
      <c r="R15" s="187">
        <f>AY15</f>
        <v>0.70899999999999996</v>
      </c>
      <c r="S15" s="190">
        <v>0.71430000000000005</v>
      </c>
      <c r="T15" s="196">
        <v>1</v>
      </c>
      <c r="U15" s="203">
        <f>'LE EIAData'!AU9-'LE Shares'!T15</f>
        <v>0.19989049190594188</v>
      </c>
      <c r="V15" s="190">
        <v>0.2989</v>
      </c>
      <c r="W15" s="187">
        <f>BC15</f>
        <v>0.35666666666666663</v>
      </c>
      <c r="X15" s="190">
        <v>0.06</v>
      </c>
      <c r="Y15" s="187">
        <f>BE15</f>
        <v>0.69000000000000006</v>
      </c>
      <c r="Z15" s="190">
        <v>0.98</v>
      </c>
      <c r="AA15" s="187">
        <f>BG15</f>
        <v>0.89666666666666672</v>
      </c>
      <c r="AB15" s="190">
        <v>0.98</v>
      </c>
      <c r="AC15" s="187">
        <f>BI15</f>
        <v>0.77233333333333332</v>
      </c>
      <c r="AD15" s="190">
        <v>0.77899999999999991</v>
      </c>
      <c r="AE15" s="187">
        <f>'LE EIAData'!AY9</f>
        <v>3.7403596497213178</v>
      </c>
      <c r="AF15" s="190">
        <v>2.5506104301129255</v>
      </c>
      <c r="AG15" s="196">
        <f>'LE EIAData'!BA9</f>
        <v>0.46445629995705179</v>
      </c>
      <c r="AH15" s="190">
        <v>1</v>
      </c>
      <c r="AI15" s="190">
        <v>1</v>
      </c>
      <c r="AJ15" s="191"/>
      <c r="AK15" s="193">
        <f>AK14+$AL$17*0.33</f>
        <v>0.19744</v>
      </c>
      <c r="AM15" s="171">
        <f t="shared" si="9"/>
        <v>0.1125408</v>
      </c>
      <c r="AN15" s="193">
        <f t="shared" si="10"/>
        <v>7.10784E-2</v>
      </c>
      <c r="AO15" s="194">
        <f>AO14+$AP$17/3</f>
        <v>0.24</v>
      </c>
      <c r="AQ15" s="193">
        <f t="shared" si="25"/>
        <v>0.87859999999999994</v>
      </c>
      <c r="AS15" s="200">
        <f>AS14+$AT$17/3</f>
        <v>4.3000000000000003E-2</v>
      </c>
      <c r="AU15" s="200">
        <f>AU14+AV$17/3</f>
        <v>0.107</v>
      </c>
      <c r="AW15" s="193">
        <f>AW14+$AX$17/3</f>
        <v>0.23099999999999998</v>
      </c>
      <c r="AY15" s="193">
        <f>AY14+AZ$17/3</f>
        <v>0.70899999999999996</v>
      </c>
      <c r="BA15" s="193">
        <f>BA14+BB$17/3</f>
        <v>0.94000000000000006</v>
      </c>
      <c r="BC15" s="193">
        <f>BC14+BD$17/3</f>
        <v>0.35666666666666663</v>
      </c>
      <c r="BE15" s="193">
        <f>BE14+BF$17/3</f>
        <v>0.69000000000000006</v>
      </c>
      <c r="BG15" s="193">
        <f>BG14+BH$17/3</f>
        <v>0.89666666666666672</v>
      </c>
      <c r="BI15" s="193">
        <f>BI14+BJ$17/3</f>
        <v>0.77233333333333332</v>
      </c>
    </row>
    <row r="16" spans="1:64" x14ac:dyDescent="0.2">
      <c r="A16" s="186">
        <v>2009</v>
      </c>
      <c r="B16" s="187">
        <f t="shared" si="12"/>
        <v>0.12533159999999999</v>
      </c>
      <c r="C16" s="189">
        <f t="shared" si="0"/>
        <v>7.9156799999999999E-2</v>
      </c>
      <c r="D16" s="190">
        <v>9.5799999999999996E-2</v>
      </c>
      <c r="E16" s="196">
        <f>'LE EIAData'!Z10</f>
        <v>7.0244408540009583E-3</v>
      </c>
      <c r="F16" s="187">
        <f t="shared" si="1"/>
        <v>0.23499999999999999</v>
      </c>
      <c r="G16" s="190">
        <v>0.12411841039029452</v>
      </c>
      <c r="H16" s="187">
        <f t="shared" si="2"/>
        <v>0.88779999999999992</v>
      </c>
      <c r="I16" s="190">
        <v>0.8902000000000001</v>
      </c>
      <c r="J16" s="187">
        <f>AS16</f>
        <v>5.3000000000000005E-2</v>
      </c>
      <c r="K16" s="190">
        <v>3.5799999999999998E-2</v>
      </c>
      <c r="L16" s="190">
        <v>3.5799999999999998E-2</v>
      </c>
      <c r="M16" s="187">
        <f t="shared" si="4"/>
        <v>7.0244408540009583E-3</v>
      </c>
      <c r="N16" s="187">
        <f t="shared" si="5"/>
        <v>9.1999999999999998E-2</v>
      </c>
      <c r="O16" s="190">
        <v>0.12519999999999998</v>
      </c>
      <c r="P16" s="230">
        <f>AW16</f>
        <v>0.25800000000000001</v>
      </c>
      <c r="Q16" s="190">
        <v>0.2064</v>
      </c>
      <c r="R16" s="187">
        <f>AY16</f>
        <v>0.70499999999999996</v>
      </c>
      <c r="S16" s="190">
        <v>0.71630000000000005</v>
      </c>
      <c r="T16" s="196">
        <v>1</v>
      </c>
      <c r="U16" s="203">
        <f>'LE EIAData'!AU10-'LE Shares'!T16</f>
        <v>0.20003617048637623</v>
      </c>
      <c r="V16" s="190">
        <v>0.29909999999999998</v>
      </c>
      <c r="W16" s="187">
        <f>BC16</f>
        <v>0.36333333333333329</v>
      </c>
      <c r="X16" s="190">
        <v>0.06</v>
      </c>
      <c r="Y16" s="187">
        <f>BE16</f>
        <v>0.71000000000000008</v>
      </c>
      <c r="Z16" s="190">
        <v>0.98</v>
      </c>
      <c r="AA16" s="187">
        <f>BG16</f>
        <v>0.91333333333333344</v>
      </c>
      <c r="AB16" s="190">
        <v>0.98</v>
      </c>
      <c r="AC16" s="187">
        <f>BI16</f>
        <v>0.76666666666666661</v>
      </c>
      <c r="AD16" s="190">
        <v>0.78049999999999986</v>
      </c>
      <c r="AE16" s="187">
        <f>'LE EIAData'!AY10</f>
        <v>3.9234508277872155</v>
      </c>
      <c r="AF16" s="190">
        <v>2.5855979656604848</v>
      </c>
      <c r="AG16" s="196">
        <f>'LE EIAData'!BA10</f>
        <v>0.4619730296064164</v>
      </c>
      <c r="AH16" s="190">
        <v>1</v>
      </c>
      <c r="AI16" s="190">
        <v>1</v>
      </c>
      <c r="AJ16" s="191"/>
      <c r="AK16" s="193">
        <f>AK15+$AL$17*0.33</f>
        <v>0.21988000000000002</v>
      </c>
      <c r="AM16" s="171">
        <f t="shared" si="9"/>
        <v>0.12533159999999999</v>
      </c>
      <c r="AN16" s="193">
        <f t="shared" si="10"/>
        <v>7.9156799999999999E-2</v>
      </c>
      <c r="AO16" s="194">
        <f>AO15+$AP$17/3</f>
        <v>0.23499999999999999</v>
      </c>
      <c r="AQ16" s="193">
        <f t="shared" si="25"/>
        <v>0.88779999999999992</v>
      </c>
      <c r="AS16" s="200">
        <f>AS15+$AT$17/3</f>
        <v>5.3000000000000005E-2</v>
      </c>
      <c r="AU16" s="200">
        <f>AU15+AV$17/3</f>
        <v>9.1999999999999998E-2</v>
      </c>
      <c r="AW16" s="193">
        <f>AW15+$AX$17/3</f>
        <v>0.25800000000000001</v>
      </c>
      <c r="AY16" s="193">
        <f>AY15+AZ$17/3</f>
        <v>0.70499999999999996</v>
      </c>
      <c r="BA16" s="193">
        <f>BA15+BB$17/3</f>
        <v>0.96000000000000008</v>
      </c>
      <c r="BC16" s="193">
        <f>BC15+BD$17/3</f>
        <v>0.36333333333333329</v>
      </c>
      <c r="BE16" s="193">
        <f>BE15+BF$17/3</f>
        <v>0.71000000000000008</v>
      </c>
      <c r="BG16" s="193">
        <f>BG15+BH$17/3</f>
        <v>0.91333333333333344</v>
      </c>
      <c r="BI16" s="193">
        <f>BI15+BJ$17/3</f>
        <v>0.76666666666666661</v>
      </c>
    </row>
    <row r="17" spans="1:62" x14ac:dyDescent="0.2">
      <c r="A17" s="186">
        <v>2010</v>
      </c>
      <c r="B17" s="187">
        <f t="shared" si="12"/>
        <v>0.13850999999999999</v>
      </c>
      <c r="C17" s="189">
        <f t="shared" si="0"/>
        <v>8.7479999999999988E-2</v>
      </c>
      <c r="D17" s="190">
        <v>9.6199999999999994E-2</v>
      </c>
      <c r="E17" s="196">
        <f>'LE EIAData'!Z11</f>
        <v>7.7155820897869083E-3</v>
      </c>
      <c r="F17" s="187">
        <f t="shared" si="1"/>
        <v>0.23</v>
      </c>
      <c r="G17" s="190">
        <v>0.12278490285457273</v>
      </c>
      <c r="H17" s="187">
        <f t="shared" si="2"/>
        <v>0.89700000000000002</v>
      </c>
      <c r="I17" s="190">
        <v>0.89080000000000015</v>
      </c>
      <c r="J17" s="187">
        <f>AS17</f>
        <v>6.3E-2</v>
      </c>
      <c r="K17" s="190">
        <v>3.6199999999999996E-2</v>
      </c>
      <c r="L17" s="190">
        <v>3.6199999999999996E-2</v>
      </c>
      <c r="M17" s="187">
        <f t="shared" si="4"/>
        <v>7.7155820897869083E-3</v>
      </c>
      <c r="N17" s="187">
        <f t="shared" si="5"/>
        <v>7.6999999999999999E-2</v>
      </c>
      <c r="O17" s="190">
        <v>0.12379999999999998</v>
      </c>
      <c r="P17" s="230">
        <f>AW17</f>
        <v>0.28499999999999998</v>
      </c>
      <c r="Q17" s="190">
        <v>0.2074</v>
      </c>
      <c r="R17" s="187">
        <f>AY17</f>
        <v>0.70099999999999996</v>
      </c>
      <c r="S17" s="190">
        <v>0.71830000000000005</v>
      </c>
      <c r="T17" s="196">
        <v>1</v>
      </c>
      <c r="U17" s="203">
        <f>'LE EIAData'!AU11-'LE Shares'!T17</f>
        <v>0.20032436862460035</v>
      </c>
      <c r="V17" s="190">
        <v>0.29929999999999995</v>
      </c>
      <c r="W17" s="187">
        <f>BC17</f>
        <v>0.37</v>
      </c>
      <c r="X17" s="190">
        <v>0.06</v>
      </c>
      <c r="Y17" s="187">
        <f>BE17</f>
        <v>0.73</v>
      </c>
      <c r="Z17" s="190">
        <v>0.98</v>
      </c>
      <c r="AA17" s="187">
        <f>BG17</f>
        <v>0.93</v>
      </c>
      <c r="AB17" s="190">
        <v>0.98</v>
      </c>
      <c r="AC17" s="187">
        <f>BI17</f>
        <v>0.76100000000000001</v>
      </c>
      <c r="AD17" s="190">
        <v>0.78199999999999981</v>
      </c>
      <c r="AE17" s="187">
        <f>'LE EIAData'!AY11</f>
        <v>4.0711013891304644</v>
      </c>
      <c r="AF17" s="190">
        <v>2.6210351706170574</v>
      </c>
      <c r="AG17" s="196">
        <f>'LE EIAData'!BA11</f>
        <v>0.45986952536697129</v>
      </c>
      <c r="AH17" s="190">
        <v>1</v>
      </c>
      <c r="AI17" s="190">
        <v>1</v>
      </c>
      <c r="AJ17" s="191"/>
      <c r="AK17" s="193">
        <v>0.24299999999999999</v>
      </c>
      <c r="AL17" s="193">
        <f>AK17-AK14</f>
        <v>6.8000000000000005E-2</v>
      </c>
      <c r="AM17" s="171">
        <f>AK17*0.57</f>
        <v>0.13850999999999999</v>
      </c>
      <c r="AN17" s="193">
        <f>36%*AK17</f>
        <v>8.7479999999999988E-2</v>
      </c>
      <c r="AO17" s="193">
        <v>0.23</v>
      </c>
      <c r="AP17" s="172">
        <f>AO17-AO14</f>
        <v>-1.4999999999999986E-2</v>
      </c>
      <c r="AQ17" s="193">
        <v>0.89700000000000002</v>
      </c>
      <c r="AR17" s="193">
        <f>AQ17-AQ12</f>
        <v>4.6000000000000041E-2</v>
      </c>
      <c r="AS17" s="193">
        <v>6.3E-2</v>
      </c>
      <c r="AT17" s="193">
        <f>AS17-AS14</f>
        <v>0.03</v>
      </c>
      <c r="AU17" s="193">
        <v>7.6999999999999999E-2</v>
      </c>
      <c r="AV17" s="193">
        <f>AU17-AU14</f>
        <v>-4.4999999999999998E-2</v>
      </c>
      <c r="AW17" s="193">
        <v>0.28499999999999998</v>
      </c>
      <c r="AX17" s="193">
        <f>AW17-AW14</f>
        <v>8.0999999999999989E-2</v>
      </c>
      <c r="AY17" s="193">
        <v>0.70099999999999996</v>
      </c>
      <c r="AZ17" s="193">
        <f>AY17-AY14</f>
        <v>-1.2000000000000011E-2</v>
      </c>
      <c r="BA17" s="193">
        <v>0.98</v>
      </c>
      <c r="BB17" s="193">
        <f>BA17-BA14</f>
        <v>5.9999999999999942E-2</v>
      </c>
      <c r="BC17" s="193">
        <v>0.37</v>
      </c>
      <c r="BD17" s="193">
        <f>BC17-BC14</f>
        <v>2.0000000000000018E-2</v>
      </c>
      <c r="BE17" s="193">
        <v>0.73</v>
      </c>
      <c r="BF17" s="193">
        <f>BE17-BE14</f>
        <v>5.9999999999999942E-2</v>
      </c>
      <c r="BG17" s="193">
        <v>0.93</v>
      </c>
      <c r="BH17" s="193">
        <f>BG17-BG14</f>
        <v>5.0000000000000044E-2</v>
      </c>
      <c r="BI17" s="193">
        <v>0.76100000000000001</v>
      </c>
      <c r="BJ17" s="193">
        <f>BI17-BI14</f>
        <v>-1.7000000000000015E-2</v>
      </c>
    </row>
    <row r="18" spans="1:62" x14ac:dyDescent="0.2">
      <c r="A18" s="186">
        <v>2011</v>
      </c>
      <c r="B18" s="196">
        <f>(B17+'LE EIAData'!W12/3)</f>
        <v>0.1366467799050789</v>
      </c>
      <c r="C18" s="196">
        <f>(C17+'LE EIAData'!Y12/4)</f>
        <v>9.1633447179393465E-2</v>
      </c>
      <c r="D18" s="190">
        <v>9.6599999999999991E-2</v>
      </c>
      <c r="E18" s="196">
        <f>'LE EIAData'!Z12</f>
        <v>9.4804002402369501E-3</v>
      </c>
      <c r="F18" s="196">
        <f>(F17+'LE EIAData'!AC12/3)</f>
        <v>0.22707959665212135</v>
      </c>
      <c r="G18" s="190">
        <v>0.12147403950865435</v>
      </c>
      <c r="H18" s="196">
        <f>(H17+'LE EIAData'!AG12)</f>
        <v>0.89861454871219748</v>
      </c>
      <c r="I18" s="190">
        <v>0.89140000000000019</v>
      </c>
      <c r="J18" s="196">
        <f>(J17+'LE EIAData'!AI12/5)</f>
        <v>6.6322757743514787E-2</v>
      </c>
      <c r="K18" s="190">
        <v>3.6599999999999994E-2</v>
      </c>
      <c r="L18" s="190">
        <v>3.6599999999999994E-2</v>
      </c>
      <c r="M18" s="187">
        <f t="shared" si="4"/>
        <v>9.4804002402369501E-3</v>
      </c>
      <c r="N18" s="203">
        <f>N17-0.05%</f>
        <v>7.6499999999999999E-2</v>
      </c>
      <c r="O18" s="190">
        <v>0.12239999999999998</v>
      </c>
      <c r="P18" s="196">
        <f>(P17+'LE EIAData'!AP12/3)</f>
        <v>0.2861624943830921</v>
      </c>
      <c r="Q18" s="190">
        <v>0.2084</v>
      </c>
      <c r="R18" s="196">
        <f>(R17+'LE EIAData'!AR12)</f>
        <v>0.70272830518784934</v>
      </c>
      <c r="S18" s="190">
        <v>0.72030000000000005</v>
      </c>
      <c r="T18" s="196">
        <v>1</v>
      </c>
      <c r="U18" s="203">
        <f>'LE EIAData'!AU12-'LE Shares'!T18</f>
        <v>0.20067290945423522</v>
      </c>
      <c r="V18" s="190">
        <v>0.29949999999999993</v>
      </c>
      <c r="W18" s="196">
        <f>(W17+'LE EIAData'!AX12)</f>
        <v>0.37021047624794934</v>
      </c>
      <c r="X18" s="190">
        <v>0.06</v>
      </c>
      <c r="Y18" s="196">
        <f>(Y17+'LE EIAData'!AN12)</f>
        <v>0.73505417185426269</v>
      </c>
      <c r="Z18" s="190">
        <v>0.98</v>
      </c>
      <c r="AA18" s="196">
        <f>(AA17+'LE EIAData'!AL12)</f>
        <v>0.93059572194362861</v>
      </c>
      <c r="AB18" s="190">
        <v>0.98</v>
      </c>
      <c r="AC18" s="196">
        <f>(AC17+'LE EIAData'!AT12)</f>
        <v>0.76289758562521925</v>
      </c>
      <c r="AD18" s="190">
        <v>0.78349999999999975</v>
      </c>
      <c r="AE18" s="187">
        <f>'LE EIAData'!AY12</f>
        <v>4.0733023201986187</v>
      </c>
      <c r="AF18" s="190">
        <v>2.6438468624927269</v>
      </c>
      <c r="AG18" s="196">
        <f>'LE EIAData'!BA12</f>
        <v>0.45749862011910375</v>
      </c>
      <c r="AH18" s="190">
        <v>1</v>
      </c>
      <c r="AI18" s="190">
        <v>1</v>
      </c>
      <c r="AJ18" s="191"/>
    </row>
    <row r="19" spans="1:62" x14ac:dyDescent="0.2">
      <c r="A19" s="186">
        <v>2012</v>
      </c>
      <c r="B19" s="196">
        <f>(B18+'LE EIAData'!W13/3)</f>
        <v>0.13407459504403962</v>
      </c>
      <c r="C19" s="196">
        <f>(C18+'LE EIAData'!Y13/4)</f>
        <v>9.8063424804665109E-2</v>
      </c>
      <c r="D19" s="190">
        <v>9.6999999999999989E-2</v>
      </c>
      <c r="E19" s="196">
        <f>'LE EIAData'!Z13</f>
        <v>1.2211094203900954E-2</v>
      </c>
      <c r="F19" s="196">
        <f>(F18+'LE EIAData'!AC13/3)</f>
        <v>0.22244527699580247</v>
      </c>
      <c r="G19" s="190">
        <v>0.12016355341179324</v>
      </c>
      <c r="H19" s="196">
        <f>(H18+'LE EIAData'!AG13)</f>
        <v>0.89784704384438374</v>
      </c>
      <c r="I19" s="190">
        <v>0.89200000000000024</v>
      </c>
      <c r="J19" s="196">
        <f>(J18+'LE EIAData'!AI13/5)</f>
        <v>7.1466739843732099E-2</v>
      </c>
      <c r="K19" s="190">
        <v>3.6999999999999991E-2</v>
      </c>
      <c r="L19" s="190">
        <v>3.6999999999999991E-2</v>
      </c>
      <c r="M19" s="187">
        <f t="shared" si="4"/>
        <v>1.2211094203900954E-2</v>
      </c>
      <c r="N19" s="203">
        <f t="shared" ref="N19:N50" si="26">N18-0.05%</f>
        <v>7.5999999999999998E-2</v>
      </c>
      <c r="O19" s="190">
        <v>0.12099999999999998</v>
      </c>
      <c r="P19" s="196">
        <f>(P18+'LE EIAData'!AP13/3)</f>
        <v>0.28765509656550803</v>
      </c>
      <c r="Q19" s="190">
        <v>0.2094</v>
      </c>
      <c r="R19" s="196">
        <f>(R18+'LE EIAData'!AR13)</f>
        <v>0.70478558456857698</v>
      </c>
      <c r="S19" s="190">
        <v>0.72230000000000005</v>
      </c>
      <c r="T19" s="196">
        <v>1</v>
      </c>
      <c r="U19" s="203">
        <f>'LE EIAData'!AU13-'LE Shares'!T19</f>
        <v>0.20090026283026696</v>
      </c>
      <c r="V19" s="190">
        <v>0.29969999999999991</v>
      </c>
      <c r="W19" s="196">
        <f>(W18+'LE EIAData'!AX13)</f>
        <v>0.37016261456896049</v>
      </c>
      <c r="X19" s="190">
        <v>0.06</v>
      </c>
      <c r="Y19" s="196">
        <f>(Y18+'LE EIAData'!AN13)</f>
        <v>0.74184326786268096</v>
      </c>
      <c r="Z19" s="190">
        <v>0.98</v>
      </c>
      <c r="AA19" s="196">
        <f>(AA18+'LE EIAData'!AL13)</f>
        <v>0.93169935593815134</v>
      </c>
      <c r="AB19" s="190">
        <v>0.98</v>
      </c>
      <c r="AC19" s="196">
        <f>(AC18+'LE EIAData'!AT13)</f>
        <v>0.76534225386785926</v>
      </c>
      <c r="AD19" s="190">
        <v>0.78500000000000003</v>
      </c>
      <c r="AE19" s="187">
        <f>'LE EIAData'!AY13</f>
        <v>4.0627656660672296</v>
      </c>
      <c r="AF19" s="190">
        <v>2.6668302857397279</v>
      </c>
      <c r="AG19" s="196">
        <f>'LE EIAData'!BA13</f>
        <v>0.45347295614884492</v>
      </c>
      <c r="AH19" s="190">
        <v>1</v>
      </c>
      <c r="AI19" s="190">
        <v>1</v>
      </c>
      <c r="AJ19" s="191"/>
    </row>
    <row r="20" spans="1:62" x14ac:dyDescent="0.2">
      <c r="A20" s="186">
        <v>2013</v>
      </c>
      <c r="B20" s="196">
        <f>(B19+'LE EIAData'!W14/3)</f>
        <v>0.13271636302478784</v>
      </c>
      <c r="C20" s="196">
        <f>(C19+'LE EIAData'!Y14/4)</f>
        <v>0.10177206693450656</v>
      </c>
      <c r="D20" s="190">
        <v>9.7399999999999987E-2</v>
      </c>
      <c r="E20" s="196">
        <f>'LE EIAData'!Z14</f>
        <v>1.3711422590055686E-2</v>
      </c>
      <c r="F20" s="196">
        <f>(F19+'LE EIAData'!AC14/3)</f>
        <v>0.21965883219715768</v>
      </c>
      <c r="G20" s="190">
        <v>0.11886615691393025</v>
      </c>
      <c r="H20" s="326">
        <f>(H19+'LE EIAData'!AG14)</f>
        <v>0.89979239256857668</v>
      </c>
      <c r="I20" s="190">
        <v>0.89260000000000028</v>
      </c>
      <c r="J20" s="196">
        <f>(J19+'LE EIAData'!AI14/5)</f>
        <v>7.4433653547605269E-2</v>
      </c>
      <c r="K20" s="190">
        <v>3.7399999999999989E-2</v>
      </c>
      <c r="L20" s="190">
        <v>3.7399999999999989E-2</v>
      </c>
      <c r="M20" s="187">
        <f t="shared" si="4"/>
        <v>1.3711422590055686E-2</v>
      </c>
      <c r="N20" s="203">
        <f t="shared" si="26"/>
        <v>7.5499999999999998E-2</v>
      </c>
      <c r="O20" s="190">
        <v>0.11959999999999998</v>
      </c>
      <c r="P20" s="196">
        <f>(P19+'LE EIAData'!AP14/3)</f>
        <v>0.28879289245906703</v>
      </c>
      <c r="Q20" s="190">
        <v>0.2104</v>
      </c>
      <c r="R20" s="196">
        <f>(R19+'LE EIAData'!AR14)</f>
        <v>0.70651564810773715</v>
      </c>
      <c r="S20" s="190">
        <v>0.72430000000000005</v>
      </c>
      <c r="T20" s="196">
        <v>1</v>
      </c>
      <c r="U20" s="203">
        <f>'LE EIAData'!AU14-'LE Shares'!T20</f>
        <v>0.2009131029949156</v>
      </c>
      <c r="V20" s="190">
        <v>0.29989999999999989</v>
      </c>
      <c r="W20" s="196">
        <f>(W19+'LE EIAData'!AX14)</f>
        <v>0.36946281861010011</v>
      </c>
      <c r="X20" s="190">
        <v>0.06</v>
      </c>
      <c r="Y20" s="196">
        <f>(Y19+'LE EIAData'!AN14)</f>
        <v>0.74634347050591621</v>
      </c>
      <c r="Z20" s="190">
        <v>0.98</v>
      </c>
      <c r="AA20" s="196">
        <f>(AA19+'LE EIAData'!AL14)</f>
        <v>0.93220282834671908</v>
      </c>
      <c r="AB20" s="190">
        <v>0.98</v>
      </c>
      <c r="AC20" s="196">
        <f>(AC19+'LE EIAData'!AT14)</f>
        <v>0.76678147068182401</v>
      </c>
      <c r="AD20" s="190">
        <v>0.78649999999999964</v>
      </c>
      <c r="AE20" s="187">
        <f>'LE EIAData'!AY14</f>
        <v>4.0449035520841612</v>
      </c>
      <c r="AF20" s="190">
        <v>2.6899885368410881</v>
      </c>
      <c r="AG20" s="196">
        <f>'LE EIAData'!BA14</f>
        <v>0.45102554646839327</v>
      </c>
      <c r="AH20" s="190">
        <v>1</v>
      </c>
      <c r="AI20" s="190">
        <v>1</v>
      </c>
      <c r="AJ20" s="191"/>
    </row>
    <row r="21" spans="1:62" x14ac:dyDescent="0.2">
      <c r="A21" s="186">
        <v>2014</v>
      </c>
      <c r="B21" s="196">
        <f>(B20+'LE EIAData'!W15/3)</f>
        <v>0.13101227039242294</v>
      </c>
      <c r="C21" s="196">
        <f>(C20+'LE EIAData'!Y15/4)</f>
        <v>0.1065506363034238</v>
      </c>
      <c r="D21" s="190">
        <v>9.7799999999999984E-2</v>
      </c>
      <c r="E21" s="196">
        <f>'LE EIAData'!Z15</f>
        <v>1.5868292109714674E-2</v>
      </c>
      <c r="F21" s="196">
        <f>(F20+'LE EIAData'!AC15/3)</f>
        <v>0.21591710325363778</v>
      </c>
      <c r="G21" s="190">
        <v>0.11759383100621768</v>
      </c>
      <c r="H21" s="326">
        <f>(H20+'LE EIAData'!AG15)</f>
        <v>0.90041060776477733</v>
      </c>
      <c r="I21" s="190">
        <v>0.89320000000000033</v>
      </c>
      <c r="J21" s="196">
        <f>(J20+'LE EIAData'!AI15/5)</f>
        <v>7.8256509042739064E-2</v>
      </c>
      <c r="K21" s="190">
        <v>3.7799999999999986E-2</v>
      </c>
      <c r="L21" s="190">
        <v>3.7799999999999986E-2</v>
      </c>
      <c r="M21" s="187">
        <f t="shared" si="4"/>
        <v>1.5868292109714674E-2</v>
      </c>
      <c r="N21" s="203">
        <f t="shared" si="26"/>
        <v>7.4999999999999997E-2</v>
      </c>
      <c r="O21" s="190">
        <v>0.11819999999999999</v>
      </c>
      <c r="P21" s="196">
        <f>(P20+'LE EIAData'!AP15/3)</f>
        <v>0.29004345050907343</v>
      </c>
      <c r="Q21" s="190">
        <v>0.2114</v>
      </c>
      <c r="R21" s="196">
        <f>(R20+'LE EIAData'!AR15)</f>
        <v>0.70837282952954006</v>
      </c>
      <c r="S21" s="190">
        <v>0.72630000000000006</v>
      </c>
      <c r="T21" s="196">
        <v>1</v>
      </c>
      <c r="U21" s="203">
        <f>'LE EIAData'!AU15-'LE Shares'!T21</f>
        <v>0.20086505379429465</v>
      </c>
      <c r="V21" s="190">
        <v>0.30009999999999987</v>
      </c>
      <c r="W21" s="196">
        <f>(W20+'LE EIAData'!AX15)</f>
        <v>0.3691529682291308</v>
      </c>
      <c r="X21" s="190">
        <v>0.06</v>
      </c>
      <c r="Y21" s="196">
        <f>(Y20+'LE EIAData'!AN15)</f>
        <v>0.75225058462087535</v>
      </c>
      <c r="Z21" s="190">
        <v>0.98</v>
      </c>
      <c r="AA21" s="196">
        <f>(AA20+'LE EIAData'!AL15)</f>
        <v>0.93311159441517078</v>
      </c>
      <c r="AB21" s="190">
        <v>0.98</v>
      </c>
      <c r="AC21" s="196">
        <f>(AC20+'LE EIAData'!AT15)</f>
        <v>0.76878564307321662</v>
      </c>
      <c r="AD21" s="190">
        <v>0.78799999999999959</v>
      </c>
      <c r="AE21" s="187">
        <f>'LE EIAData'!AY15</f>
        <v>4.025574630189845</v>
      </c>
      <c r="AF21" s="190">
        <v>2.7133309051619166</v>
      </c>
      <c r="AG21" s="196">
        <f>'LE EIAData'!BA15</f>
        <v>0.44759339875550308</v>
      </c>
      <c r="AH21" s="190">
        <v>1</v>
      </c>
      <c r="AI21" s="190">
        <v>1</v>
      </c>
      <c r="AJ21" s="191"/>
    </row>
    <row r="22" spans="1:62" x14ac:dyDescent="0.2">
      <c r="A22" s="186">
        <v>2015</v>
      </c>
      <c r="B22" s="196">
        <f>(B21+'LE EIAData'!W16/3)</f>
        <v>0.12924849539470973</v>
      </c>
      <c r="C22" s="196">
        <f>(C21+'LE EIAData'!Y16/4)</f>
        <v>0.11179352909850436</v>
      </c>
      <c r="D22" s="190">
        <v>9.8199999999999982E-2</v>
      </c>
      <c r="E22" s="196">
        <f>'LE EIAData'!Z16</f>
        <v>1.8414492316820415E-2</v>
      </c>
      <c r="F22" s="196">
        <f>(F21+'LE EIAData'!AC16/3)</f>
        <v>0.21159845789801898</v>
      </c>
      <c r="G22" s="190">
        <v>0.1163444391863751</v>
      </c>
      <c r="H22" s="326">
        <f>(H21+'LE EIAData'!AG16)</f>
        <v>0.90031238179608819</v>
      </c>
      <c r="I22" s="190">
        <v>0.89380000000000037</v>
      </c>
      <c r="J22" s="196">
        <f>(J21+'LE EIAData'!AI16/5)</f>
        <v>8.2450823278803514E-2</v>
      </c>
      <c r="K22" s="190">
        <v>3.8199999999999984E-2</v>
      </c>
      <c r="L22" s="190">
        <v>3.8199999999999984E-2</v>
      </c>
      <c r="M22" s="187">
        <f t="shared" si="4"/>
        <v>1.8414492316820415E-2</v>
      </c>
      <c r="N22" s="203">
        <f t="shared" si="26"/>
        <v>7.4499999999999997E-2</v>
      </c>
      <c r="O22" s="190">
        <v>0.11679999999999999</v>
      </c>
      <c r="P22" s="196">
        <f>(P21+'LE EIAData'!AP16/3)</f>
        <v>0.29132080003430971</v>
      </c>
      <c r="Q22" s="190">
        <v>0.21240000000000001</v>
      </c>
      <c r="R22" s="196">
        <f>(R21+'LE EIAData'!AR16)</f>
        <v>0.71028888114058908</v>
      </c>
      <c r="S22" s="190">
        <v>0.72830000000000006</v>
      </c>
      <c r="T22" s="196">
        <v>1</v>
      </c>
      <c r="U22" s="203">
        <f>'LE EIAData'!AU16-'LE Shares'!T22</f>
        <v>0.200697936397775</v>
      </c>
      <c r="V22" s="190">
        <v>0.30029999999999984</v>
      </c>
      <c r="W22" s="196">
        <f>(W21+'LE EIAData'!AX16)</f>
        <v>0.36906109821613864</v>
      </c>
      <c r="X22" s="190">
        <v>0.06</v>
      </c>
      <c r="Y22" s="196">
        <f>(Y21+'LE EIAData'!AN16)</f>
        <v>0.75908344778876691</v>
      </c>
      <c r="Z22" s="190">
        <v>0.98</v>
      </c>
      <c r="AA22" s="196">
        <f>(AA21+'LE EIAData'!AL16)</f>
        <v>0.93429927528227819</v>
      </c>
      <c r="AB22" s="190">
        <v>0.98</v>
      </c>
      <c r="AC22" s="196">
        <f>(AC21+'LE EIAData'!AT16)</f>
        <v>0.77114246892504179</v>
      </c>
      <c r="AD22" s="190">
        <v>0.78949999999999954</v>
      </c>
      <c r="AE22" s="187">
        <f>'LE EIAData'!AY16</f>
        <v>4.0097500255103595</v>
      </c>
      <c r="AF22" s="190">
        <v>2.7368456432640906</v>
      </c>
      <c r="AG22" s="196">
        <f>'LE EIAData'!BA16</f>
        <v>0.44350898201164896</v>
      </c>
      <c r="AH22" s="190">
        <v>1</v>
      </c>
      <c r="AI22" s="190">
        <v>1</v>
      </c>
      <c r="AJ22" s="191"/>
    </row>
    <row r="23" spans="1:62" x14ac:dyDescent="0.2">
      <c r="A23" s="186">
        <v>2016</v>
      </c>
      <c r="B23" s="196">
        <f>(B22+'LE EIAData'!W17/3)</f>
        <v>0.12777084541815295</v>
      </c>
      <c r="C23" s="196">
        <f>(C22+'LE EIAData'!Y17/4)</f>
        <v>0.11705914104268726</v>
      </c>
      <c r="D23" s="190">
        <v>9.8599999999999979E-2</v>
      </c>
      <c r="E23" s="196">
        <f>'LE EIAData'!Z17</f>
        <v>2.1025169716473655E-2</v>
      </c>
      <c r="F23" s="196">
        <f>(F22+'LE EIAData'!AC17/3)</f>
        <v>0.20706945765125293</v>
      </c>
      <c r="G23" s="190">
        <v>0.11511821404904395</v>
      </c>
      <c r="H23" s="326">
        <f>(H22+'LE EIAData'!AG17)</f>
        <v>0.90012608629322788</v>
      </c>
      <c r="I23" s="190">
        <v>0.89440000000000042</v>
      </c>
      <c r="J23" s="196">
        <f>(J22+'LE EIAData'!AI17/5)</f>
        <v>8.6663312834149839E-2</v>
      </c>
      <c r="K23" s="190">
        <v>3.8599999999999982E-2</v>
      </c>
      <c r="L23" s="190">
        <v>3.8599999999999982E-2</v>
      </c>
      <c r="M23" s="187">
        <f t="shared" si="4"/>
        <v>2.1025169716473655E-2</v>
      </c>
      <c r="N23" s="203">
        <f t="shared" si="26"/>
        <v>7.3999999999999996E-2</v>
      </c>
      <c r="O23" s="190">
        <v>0.11539999999999999</v>
      </c>
      <c r="P23" s="196">
        <f>(P22+'LE EIAData'!AP17/3)</f>
        <v>0.29265222875921637</v>
      </c>
      <c r="Q23" s="190">
        <v>0.21340000000000001</v>
      </c>
      <c r="R23" s="196">
        <f>(R22+'LE EIAData'!AR17)</f>
        <v>0.71140555024479057</v>
      </c>
      <c r="S23" s="190">
        <v>0.73030000000000006</v>
      </c>
      <c r="T23" s="196">
        <v>1</v>
      </c>
      <c r="U23" s="203">
        <f>'LE EIAData'!AU17-'LE Shares'!T23</f>
        <v>0.20029947296601835</v>
      </c>
      <c r="V23" s="190">
        <v>0.30049999999999982</v>
      </c>
      <c r="W23" s="196">
        <f>(W22+'LE EIAData'!AX17)</f>
        <v>0.36887449152106067</v>
      </c>
      <c r="X23" s="190">
        <v>0.06</v>
      </c>
      <c r="Y23" s="196">
        <f>(Y22+'LE EIAData'!AN17)</f>
        <v>0.76629413571616389</v>
      </c>
      <c r="Z23" s="190">
        <v>0.98</v>
      </c>
      <c r="AA23" s="196">
        <f>(AA22+'LE EIAData'!AL17)</f>
        <v>0.935641047437615</v>
      </c>
      <c r="AB23" s="190">
        <v>0.98</v>
      </c>
      <c r="AC23" s="196">
        <f>(AC22+'LE EIAData'!AT17)</f>
        <v>0.77359697035746</v>
      </c>
      <c r="AD23" s="190">
        <v>0.79099999999999948</v>
      </c>
      <c r="AE23" s="187">
        <f>'LE EIAData'!AY17</f>
        <v>3.9990287615769162</v>
      </c>
      <c r="AF23" s="190">
        <v>2.7468118327668245</v>
      </c>
      <c r="AG23" s="196">
        <f>'LE EIAData'!BA17</f>
        <v>0.43902646060805373</v>
      </c>
      <c r="AH23" s="190">
        <v>1</v>
      </c>
      <c r="AI23" s="190">
        <v>1</v>
      </c>
      <c r="AJ23" s="191"/>
    </row>
    <row r="24" spans="1:62" x14ac:dyDescent="0.2">
      <c r="A24" s="186">
        <v>2017</v>
      </c>
      <c r="B24" s="196">
        <f>(B23+'LE EIAData'!W18/3)</f>
        <v>0.12661682035796684</v>
      </c>
      <c r="C24" s="196">
        <f>(C23+'LE EIAData'!Y18/4)</f>
        <v>0.12228684621268264</v>
      </c>
      <c r="D24" s="190">
        <v>9.8999999999999977E-2</v>
      </c>
      <c r="E24" s="196">
        <f>'LE EIAData'!Z18</f>
        <v>2.3304531637212959E-2</v>
      </c>
      <c r="F24" s="196">
        <f>(F23+'LE EIAData'!AC18/3)</f>
        <v>0.20256959336963051</v>
      </c>
      <c r="G24" s="190">
        <v>0.11390777829782768</v>
      </c>
      <c r="H24" s="326">
        <f>(H23+'LE EIAData'!AG18)</f>
        <v>0.90025039607906088</v>
      </c>
      <c r="I24" s="190">
        <v>0.89500000000000002</v>
      </c>
      <c r="J24" s="196">
        <f>(J23+'LE EIAData'!AI18/5)</f>
        <v>9.0845476970146138E-2</v>
      </c>
      <c r="K24" s="190">
        <v>3.8999999999999979E-2</v>
      </c>
      <c r="L24" s="190">
        <v>3.8999999999999979E-2</v>
      </c>
      <c r="M24" s="187">
        <f t="shared" si="4"/>
        <v>2.3304531637212959E-2</v>
      </c>
      <c r="N24" s="203">
        <f t="shared" si="26"/>
        <v>7.3499999999999996E-2</v>
      </c>
      <c r="O24" s="190">
        <v>0.11399999999999999</v>
      </c>
      <c r="P24" s="196">
        <f>(P23+'LE EIAData'!AP18/3)</f>
        <v>0.29436910172007219</v>
      </c>
      <c r="Q24" s="190">
        <v>0.21440000000000001</v>
      </c>
      <c r="R24" s="196">
        <f>(R23+'LE EIAData'!AR18)</f>
        <v>0.71247330168260736</v>
      </c>
      <c r="S24" s="190">
        <v>0.73230000000000006</v>
      </c>
      <c r="T24" s="196">
        <v>1</v>
      </c>
      <c r="U24" s="203">
        <f>'LE EIAData'!AU18-'LE Shares'!T24</f>
        <v>0.19974053973741013</v>
      </c>
      <c r="V24" s="190">
        <v>0.3006999999999998</v>
      </c>
      <c r="W24" s="196">
        <f>(W23+'LE EIAData'!AX18)</f>
        <v>0.36863099486676898</v>
      </c>
      <c r="X24" s="190">
        <v>0.06</v>
      </c>
      <c r="Y24" s="196">
        <f>(Y23+'LE EIAData'!AN18)</f>
        <v>0.7735937559586572</v>
      </c>
      <c r="Z24" s="190">
        <v>0.98</v>
      </c>
      <c r="AA24" s="196">
        <f>(AA23+'LE EIAData'!AL18)</f>
        <v>0.93704788436459696</v>
      </c>
      <c r="AB24" s="190">
        <v>0.98</v>
      </c>
      <c r="AC24" s="196">
        <f>(AC23+'LE EIAData'!AT18)</f>
        <v>0.77604687114607207</v>
      </c>
      <c r="AD24" s="190">
        <v>0.79249999999999943</v>
      </c>
      <c r="AE24" s="187">
        <f>'LE EIAData'!AY18</f>
        <v>3.9952860372232877</v>
      </c>
      <c r="AF24" s="190">
        <v>2.7567854743232942</v>
      </c>
      <c r="AG24" s="196">
        <f>'LE EIAData'!BA18</f>
        <v>0.43429021983125732</v>
      </c>
      <c r="AH24" s="190">
        <v>1</v>
      </c>
      <c r="AI24" s="190">
        <v>1</v>
      </c>
      <c r="AJ24" s="191"/>
    </row>
    <row r="25" spans="1:62" x14ac:dyDescent="0.2">
      <c r="A25" s="186">
        <v>2018</v>
      </c>
      <c r="B25" s="196">
        <f>(B24+'LE EIAData'!W19/3)</f>
        <v>0.12566940767145837</v>
      </c>
      <c r="C25" s="196">
        <f>(C24+'LE EIAData'!Y19/4)</f>
        <v>0.12728222415037721</v>
      </c>
      <c r="D25" s="190">
        <v>9.9399999999999974E-2</v>
      </c>
      <c r="E25" s="196">
        <f>'LE EIAData'!Z19</f>
        <v>2.5275760269874385E-2</v>
      </c>
      <c r="F25" s="196">
        <f>(F24+'LE EIAData'!AC19/3)</f>
        <v>0.19823066886744684</v>
      </c>
      <c r="G25" s="190">
        <v>0.11270727450804939</v>
      </c>
      <c r="H25" s="326">
        <f>(H24+'LE EIAData'!AG19)</f>
        <v>0.90068966714647503</v>
      </c>
      <c r="I25" s="190">
        <v>0.89560000000000051</v>
      </c>
      <c r="J25" s="196">
        <f>(J24+'LE EIAData'!AI19/5)</f>
        <v>9.4841779320301786E-2</v>
      </c>
      <c r="K25" s="190">
        <v>3.9399999999999977E-2</v>
      </c>
      <c r="L25" s="190">
        <v>3.9399999999999977E-2</v>
      </c>
      <c r="M25" s="187">
        <f t="shared" si="4"/>
        <v>2.5275760269874385E-2</v>
      </c>
      <c r="N25" s="203">
        <f t="shared" si="26"/>
        <v>7.2999999999999995E-2</v>
      </c>
      <c r="O25" s="190">
        <v>0.11259999999999999</v>
      </c>
      <c r="P25" s="196">
        <f>(P24+'LE EIAData'!AP19/3)</f>
        <v>0.29596570973340541</v>
      </c>
      <c r="Q25" s="190">
        <v>0.21540000000000001</v>
      </c>
      <c r="R25" s="196">
        <f>(R24+'LE EIAData'!AR19)</f>
        <v>0.71352172557664961</v>
      </c>
      <c r="S25" s="190">
        <v>0.73430000000000006</v>
      </c>
      <c r="T25" s="196">
        <v>1</v>
      </c>
      <c r="U25" s="203">
        <f>'LE EIAData'!AU19-'LE Shares'!T25</f>
        <v>0.19913884317334873</v>
      </c>
      <c r="V25" s="190">
        <v>0.30089999999999978</v>
      </c>
      <c r="W25" s="196">
        <f>(W24+'LE EIAData'!AX19)</f>
        <v>0.36844516181744369</v>
      </c>
      <c r="X25" s="190">
        <v>0.06</v>
      </c>
      <c r="Y25" s="196">
        <f>(Y24+'LE EIAData'!AN19)</f>
        <v>0.78083439468864446</v>
      </c>
      <c r="Z25" s="190">
        <v>0.98</v>
      </c>
      <c r="AA25" s="196">
        <f>(AA24+'LE EIAData'!AL19)</f>
        <v>0.93845130938365651</v>
      </c>
      <c r="AB25" s="190">
        <v>0.98</v>
      </c>
      <c r="AC25" s="196">
        <f>(AC24+'LE EIAData'!AT19)</f>
        <v>0.77845266869952201</v>
      </c>
      <c r="AD25" s="190">
        <v>0.79399999999999937</v>
      </c>
      <c r="AE25" s="187">
        <f>'LE EIAData'!AY19</f>
        <v>3.9982530870666295</v>
      </c>
      <c r="AF25" s="190">
        <v>2.7667795772352863</v>
      </c>
      <c r="AG25" s="196">
        <f>'LE EIAData'!BA19</f>
        <v>0.42969338531599804</v>
      </c>
      <c r="AH25" s="190">
        <v>1</v>
      </c>
      <c r="AI25" s="190">
        <v>1</v>
      </c>
      <c r="AJ25" s="191"/>
    </row>
    <row r="26" spans="1:62" x14ac:dyDescent="0.2">
      <c r="A26" s="186">
        <v>2019</v>
      </c>
      <c r="B26" s="196">
        <f>(B25+'LE EIAData'!W20/3)</f>
        <v>0.12480849647315519</v>
      </c>
      <c r="C26" s="196">
        <f>(C25+'LE EIAData'!Y20/4)</f>
        <v>0.13208314419421824</v>
      </c>
      <c r="D26" s="190">
        <v>9.9799999999999972E-2</v>
      </c>
      <c r="E26" s="196">
        <f>'LE EIAData'!Z20</f>
        <v>2.7001596704346768E-2</v>
      </c>
      <c r="F26" s="196">
        <f>(F25+'LE EIAData'!AC20/3)</f>
        <v>0.19401818218255121</v>
      </c>
      <c r="G26" s="190">
        <v>0.11151652306138114</v>
      </c>
      <c r="H26" s="196">
        <f>(H25+'LE EIAData'!AG20)</f>
        <v>0.90128879794685224</v>
      </c>
      <c r="I26" s="190">
        <v>0.89620000000000055</v>
      </c>
      <c r="J26" s="196">
        <f>(J25+'LE EIAData'!AI20/5)</f>
        <v>9.8682515355374603E-2</v>
      </c>
      <c r="K26" s="190">
        <v>3.9799999999999974E-2</v>
      </c>
      <c r="L26" s="190">
        <v>3.9799999999999974E-2</v>
      </c>
      <c r="M26" s="187">
        <f t="shared" si="4"/>
        <v>2.7001596704346768E-2</v>
      </c>
      <c r="N26" s="203">
        <f t="shared" si="26"/>
        <v>7.2499999999999995E-2</v>
      </c>
      <c r="O26" s="190">
        <v>0.11119999999999999</v>
      </c>
      <c r="P26" s="196">
        <f>(P25+'LE EIAData'!AP20/3)</f>
        <v>0.29745222223382184</v>
      </c>
      <c r="Q26" s="190">
        <v>0.21640000000000001</v>
      </c>
      <c r="R26" s="196">
        <f>(R25+'LE EIAData'!AR20)</f>
        <v>0.7144626910513151</v>
      </c>
      <c r="S26" s="190">
        <v>0.73630000000000007</v>
      </c>
      <c r="T26" s="196">
        <v>1</v>
      </c>
      <c r="U26" s="203">
        <f>'LE EIAData'!AU20-'LE Shares'!T26</f>
        <v>0.19855275960760377</v>
      </c>
      <c r="V26" s="190">
        <v>0.30109999999999976</v>
      </c>
      <c r="W26" s="196">
        <f>(W25+'LE EIAData'!AX20)</f>
        <v>0.36829069508741397</v>
      </c>
      <c r="X26" s="190">
        <v>0.06</v>
      </c>
      <c r="Y26" s="196">
        <f>(Y25+'LE EIAData'!AN20)</f>
        <v>0.78798305968114879</v>
      </c>
      <c r="Z26" s="190">
        <v>0.98</v>
      </c>
      <c r="AA26" s="196">
        <f>(AA25+'LE EIAData'!AL20)</f>
        <v>0.93983361407324628</v>
      </c>
      <c r="AB26" s="190">
        <v>0.98</v>
      </c>
      <c r="AC26" s="196">
        <f>(AC25+'LE EIAData'!AT20)</f>
        <v>0.78078944593453736</v>
      </c>
      <c r="AD26" s="190">
        <v>0.79549999999999932</v>
      </c>
      <c r="AE26" s="187">
        <f>'LE EIAData'!AY20</f>
        <v>4.0068115096745238</v>
      </c>
      <c r="AF26" s="190">
        <v>2.7768228863589357</v>
      </c>
      <c r="AG26" s="196">
        <f>'LE EIAData'!BA20</f>
        <v>0.42544551286536469</v>
      </c>
      <c r="AH26" s="190">
        <v>1</v>
      </c>
      <c r="AI26" s="190">
        <v>1</v>
      </c>
      <c r="AJ26" s="191"/>
    </row>
    <row r="27" spans="1:62" x14ac:dyDescent="0.2">
      <c r="A27" s="186">
        <v>2020</v>
      </c>
      <c r="B27" s="196">
        <f>(B26+'LE EIAData'!W21/3)</f>
        <v>0.1239899375469873</v>
      </c>
      <c r="C27" s="196">
        <f>(C26+'LE EIAData'!Y21/4)</f>
        <v>0.13666807100928713</v>
      </c>
      <c r="D27" s="190">
        <v>0.10019999999999997</v>
      </c>
      <c r="E27" s="196">
        <f>'LE EIAData'!Z21</f>
        <v>2.8510327673497243E-2</v>
      </c>
      <c r="F27" s="196">
        <f>(F26+'LE EIAData'!AC21/3)</f>
        <v>0.18994680907315836</v>
      </c>
      <c r="G27" s="190">
        <v>0.11033817869660122</v>
      </c>
      <c r="H27" s="196">
        <f>(H26+'LE EIAData'!AG21)</f>
        <v>0.90201356846402847</v>
      </c>
      <c r="I27" s="190">
        <v>0.8968000000000006</v>
      </c>
      <c r="J27" s="196">
        <f>(J26+'LE EIAData'!AI21/5)</f>
        <v>0.10235045680742971</v>
      </c>
      <c r="K27" s="190">
        <v>4.0199999999999972E-2</v>
      </c>
      <c r="L27" s="190">
        <v>4.0199999999999972E-2</v>
      </c>
      <c r="M27" s="187">
        <f t="shared" si="4"/>
        <v>2.8510327673497243E-2</v>
      </c>
      <c r="N27" s="203">
        <f t="shared" si="26"/>
        <v>7.1999999999999995E-2</v>
      </c>
      <c r="O27" s="190">
        <v>0.10979999999999999</v>
      </c>
      <c r="P27" s="196">
        <f>(P26+'LE EIAData'!AP21/3)</f>
        <v>0.29882380184671836</v>
      </c>
      <c r="Q27" s="190">
        <v>0.21740000000000001</v>
      </c>
      <c r="R27" s="196">
        <f>(R26+'LE EIAData'!AR21)</f>
        <v>0.7153533880450339</v>
      </c>
      <c r="S27" s="190">
        <v>0.73830000000000007</v>
      </c>
      <c r="T27" s="196">
        <v>1</v>
      </c>
      <c r="U27" s="203">
        <f>'LE EIAData'!AU21-'LE Shares'!T27</f>
        <v>0.19800898411512557</v>
      </c>
      <c r="V27" s="190">
        <v>0.30129999999999973</v>
      </c>
      <c r="W27" s="196">
        <f>(W26+'LE EIAData'!AX21)</f>
        <v>0.36815072346126732</v>
      </c>
      <c r="X27" s="190">
        <v>0.06</v>
      </c>
      <c r="Y27" s="196">
        <f>(Y26+'LE EIAData'!AN21)</f>
        <v>0.7949905097008374</v>
      </c>
      <c r="Z27" s="190">
        <v>0.98</v>
      </c>
      <c r="AA27" s="196">
        <f>(AA26+'LE EIAData'!AL21)</f>
        <v>0.94117621561637066</v>
      </c>
      <c r="AB27" s="190">
        <v>0.98</v>
      </c>
      <c r="AC27" s="196">
        <f>(AC26+'LE EIAData'!AT21)</f>
        <v>0.78303915671145152</v>
      </c>
      <c r="AD27" s="190">
        <v>0.79699999999999926</v>
      </c>
      <c r="AE27" s="187">
        <f>'LE EIAData'!AY21</f>
        <v>4.019040286456665</v>
      </c>
      <c r="AF27" s="190">
        <v>2.7869025971400103</v>
      </c>
      <c r="AG27" s="196">
        <f>'LE EIAData'!BA21</f>
        <v>0.42147549789666683</v>
      </c>
      <c r="AH27" s="190">
        <v>1</v>
      </c>
      <c r="AI27" s="190">
        <v>1</v>
      </c>
      <c r="AJ27" s="191"/>
    </row>
    <row r="28" spans="1:62" x14ac:dyDescent="0.2">
      <c r="A28" s="197">
        <v>2021</v>
      </c>
      <c r="B28" s="196">
        <f>(B27+'LE EIAData'!W22/3)</f>
        <v>0.12321305974387066</v>
      </c>
      <c r="C28" s="196">
        <f>(C27+'LE EIAData'!Y22/4)</f>
        <v>0.14099739444592602</v>
      </c>
      <c r="D28" s="190">
        <v>0.10059999999999997</v>
      </c>
      <c r="E28" s="196">
        <f>'LE EIAData'!Z22</f>
        <v>2.9814234481623857E-2</v>
      </c>
      <c r="F28" s="196">
        <f>(F27+'LE EIAData'!AC22/3)</f>
        <v>0.18605672343641083</v>
      </c>
      <c r="G28" s="190">
        <v>0.10917162601633612</v>
      </c>
      <c r="H28" s="196">
        <f>(H27+'LE EIAData'!AG22)</f>
        <v>0.90288546259521629</v>
      </c>
      <c r="I28" s="190">
        <v>0.89740000000000064</v>
      </c>
      <c r="J28" s="196">
        <f>(J27+'LE EIAData'!AI22/5)</f>
        <v>0.10581391555674083</v>
      </c>
      <c r="K28" s="190">
        <v>4.0599999999999969E-2</v>
      </c>
      <c r="L28" s="190">
        <v>4.0599999999999969E-2</v>
      </c>
      <c r="M28" s="187">
        <f t="shared" si="4"/>
        <v>2.9814234481623857E-2</v>
      </c>
      <c r="N28" s="203">
        <f t="shared" si="26"/>
        <v>7.1499999999999994E-2</v>
      </c>
      <c r="O28" s="190">
        <v>0.1084</v>
      </c>
      <c r="P28" s="196">
        <f>(P27+'LE EIAData'!AP22/3)</f>
        <v>0.30011055986563806</v>
      </c>
      <c r="Q28" s="190">
        <v>0.21840000000000001</v>
      </c>
      <c r="R28" s="196">
        <f>(R27+'LE EIAData'!AR22)</f>
        <v>0.71674609175280379</v>
      </c>
      <c r="S28" s="190">
        <v>0.74030000000000007</v>
      </c>
      <c r="T28" s="196">
        <v>1</v>
      </c>
      <c r="U28" s="203">
        <f>'LE EIAData'!AU22-'LE Shares'!T28</f>
        <v>0.19751325230369621</v>
      </c>
      <c r="V28" s="190">
        <v>0.30149999999999971</v>
      </c>
      <c r="W28" s="196">
        <f>(W27+'LE EIAData'!AX22)</f>
        <v>0.36800619200715134</v>
      </c>
      <c r="X28" s="190">
        <v>0.06</v>
      </c>
      <c r="Y28" s="196">
        <f>(Y27+'LE EIAData'!AN22)</f>
        <v>0.80178091877878055</v>
      </c>
      <c r="Z28" s="190">
        <v>0.98</v>
      </c>
      <c r="AA28" s="196">
        <f>(AA27+'LE EIAData'!AL22)</f>
        <v>0.94245632456257711</v>
      </c>
      <c r="AB28" s="190">
        <v>0.98</v>
      </c>
      <c r="AC28" s="196">
        <f>(AC27+'LE EIAData'!AT22)</f>
        <v>0.78517628899491265</v>
      </c>
      <c r="AD28" s="190">
        <v>0.79849999999999921</v>
      </c>
      <c r="AE28" s="187">
        <f>'LE EIAData'!AY22</f>
        <v>4.0320553499074707</v>
      </c>
      <c r="AF28" s="190">
        <v>2.797001884645224</v>
      </c>
      <c r="AG28" s="196">
        <f>'LE EIAData'!BA22</f>
        <v>0.41780499110326086</v>
      </c>
      <c r="AH28" s="190">
        <v>1</v>
      </c>
      <c r="AI28" s="190">
        <v>1</v>
      </c>
      <c r="AJ28" s="191"/>
    </row>
    <row r="29" spans="1:62" x14ac:dyDescent="0.2">
      <c r="A29" s="197">
        <v>2022</v>
      </c>
      <c r="B29" s="196">
        <f>(B28+'LE EIAData'!W23/3)</f>
        <v>0.122429691966875</v>
      </c>
      <c r="C29" s="196">
        <f>(C28+'LE EIAData'!Y23/4)</f>
        <v>0.1451725042916035</v>
      </c>
      <c r="D29" s="190">
        <v>0.10099999999999996</v>
      </c>
      <c r="E29" s="196">
        <f>'LE EIAData'!Z23</f>
        <v>3.0974512959381813E-2</v>
      </c>
      <c r="F29" s="196">
        <f>(F28+'LE EIAData'!AC23/3)</f>
        <v>0.18225904429163506</v>
      </c>
      <c r="G29" s="190">
        <v>0.1080113183612387</v>
      </c>
      <c r="H29" s="196">
        <f>(H28+'LE EIAData'!AG23)</f>
        <v>0.90377765836358726</v>
      </c>
      <c r="I29" s="190">
        <v>0.89800000000000069</v>
      </c>
      <c r="J29" s="196">
        <f>(J28+'LE EIAData'!AI23/5)</f>
        <v>0.10915400343328281</v>
      </c>
      <c r="K29" s="190">
        <v>4.0999999999999967E-2</v>
      </c>
      <c r="L29" s="190">
        <v>4.0999999999999967E-2</v>
      </c>
      <c r="M29" s="187">
        <f t="shared" si="4"/>
        <v>3.0974512959381813E-2</v>
      </c>
      <c r="N29" s="203">
        <f t="shared" si="26"/>
        <v>7.0999999999999994E-2</v>
      </c>
      <c r="O29" s="190">
        <v>0.107</v>
      </c>
      <c r="P29" s="196">
        <f>(P28+'LE EIAData'!AP23/3)</f>
        <v>0.30133594890144211</v>
      </c>
      <c r="Q29" s="190">
        <v>0.21940000000000001</v>
      </c>
      <c r="R29" s="196">
        <f>(R28+'LE EIAData'!AR23)</f>
        <v>0.71805322969420293</v>
      </c>
      <c r="S29" s="190">
        <v>0.74230000000000007</v>
      </c>
      <c r="T29" s="196">
        <v>1</v>
      </c>
      <c r="U29" s="203">
        <f>'LE EIAData'!AU23-'LE Shares'!T29</f>
        <v>0.19707013910909232</v>
      </c>
      <c r="V29" s="190">
        <v>0.30169999999999969</v>
      </c>
      <c r="W29" s="196">
        <f>(W28+'LE EIAData'!AX23)</f>
        <v>0.36786914781095315</v>
      </c>
      <c r="X29" s="190">
        <v>0.06</v>
      </c>
      <c r="Y29" s="196">
        <f>(Y28+'LE EIAData'!AN23)</f>
        <v>0.80847142661572757</v>
      </c>
      <c r="Z29" s="190">
        <v>0.98</v>
      </c>
      <c r="AA29" s="196">
        <f>(AA28+'LE EIAData'!AL23)</f>
        <v>0.94367306496389924</v>
      </c>
      <c r="AB29" s="190">
        <v>0.98</v>
      </c>
      <c r="AC29" s="196">
        <f>(AC28+'LE EIAData'!AT23)</f>
        <v>0.78723948898976615</v>
      </c>
      <c r="AD29" s="190">
        <v>0.79999999999999916</v>
      </c>
      <c r="AE29" s="187">
        <f>'LE EIAData'!AY23</f>
        <v>4.0496743220584159</v>
      </c>
      <c r="AF29" s="190">
        <v>2.8071254664738596</v>
      </c>
      <c r="AG29" s="196">
        <f>'LE EIAData'!BA23</f>
        <v>0.41432072354790961</v>
      </c>
      <c r="AH29" s="190">
        <v>1</v>
      </c>
      <c r="AI29" s="190">
        <v>1</v>
      </c>
      <c r="AJ29" s="191"/>
    </row>
    <row r="30" spans="1:62" x14ac:dyDescent="0.2">
      <c r="A30" s="197">
        <v>2023</v>
      </c>
      <c r="B30" s="196">
        <f>(B29+'LE EIAData'!W24/3)</f>
        <v>0.12155044712835163</v>
      </c>
      <c r="C30" s="196">
        <f>(C29+'LE EIAData'!Y24/4)</f>
        <v>0.14929234838552347</v>
      </c>
      <c r="D30" s="190">
        <v>0.10139999999999996</v>
      </c>
      <c r="E30" s="196">
        <f>'LE EIAData'!Z24</f>
        <v>3.2052487441034727E-2</v>
      </c>
      <c r="F30" s="196">
        <f>(F29+'LE EIAData'!AC24/3)</f>
        <v>0.17846176764568517</v>
      </c>
      <c r="G30" s="190">
        <v>0.10685538189416195</v>
      </c>
      <c r="H30" s="196">
        <f>(H29+'LE EIAData'!AG24)</f>
        <v>0.90454154997084779</v>
      </c>
      <c r="I30" s="190">
        <v>0.89860000000000073</v>
      </c>
      <c r="J30" s="196">
        <f>(J29+'LE EIAData'!AI24/5)</f>
        <v>0.11244987870841879</v>
      </c>
      <c r="K30" s="190">
        <v>4.1399999999999965E-2</v>
      </c>
      <c r="L30" s="190">
        <v>4.1399999999999965E-2</v>
      </c>
      <c r="M30" s="187">
        <f t="shared" si="4"/>
        <v>3.2052487441034727E-2</v>
      </c>
      <c r="N30" s="203">
        <f t="shared" si="26"/>
        <v>7.0499999999999993E-2</v>
      </c>
      <c r="O30" s="190">
        <v>0.1056</v>
      </c>
      <c r="P30" s="196">
        <f>(P29+'LE EIAData'!AP24/3)</f>
        <v>0.30250493406234108</v>
      </c>
      <c r="Q30" s="190">
        <v>0.22040000000000001</v>
      </c>
      <c r="R30" s="196">
        <f>(R29+'LE EIAData'!AR24)</f>
        <v>0.71933098040100585</v>
      </c>
      <c r="S30" s="190">
        <v>0.74430000000000007</v>
      </c>
      <c r="T30" s="196">
        <v>1</v>
      </c>
      <c r="U30" s="203">
        <f>'LE EIAData'!AU24-'LE Shares'!T30</f>
        <v>0.19670982604016518</v>
      </c>
      <c r="V30" s="190">
        <v>0.30189999999999967</v>
      </c>
      <c r="W30" s="196">
        <f>(W29+'LE EIAData'!AX24)</f>
        <v>0.36782670288012442</v>
      </c>
      <c r="X30" s="190">
        <v>0.06</v>
      </c>
      <c r="Y30" s="196">
        <f>(Y29+'LE EIAData'!AN24)</f>
        <v>0.81521110839341659</v>
      </c>
      <c r="Z30" s="190">
        <v>0.98</v>
      </c>
      <c r="AA30" s="196">
        <f>(AA29+'LE EIAData'!AL24)</f>
        <v>0.94485216311366116</v>
      </c>
      <c r="AB30" s="190">
        <v>0.98</v>
      </c>
      <c r="AC30" s="196">
        <f>(AC29+'LE EIAData'!AT24)</f>
        <v>0.78928484338269522</v>
      </c>
      <c r="AD30" s="190">
        <v>0.8014999999999991</v>
      </c>
      <c r="AE30" s="187">
        <f>'LE EIAData'!AY24</f>
        <v>4.0678850614102959</v>
      </c>
      <c r="AF30" s="190">
        <v>2.8172717489246715</v>
      </c>
      <c r="AG30" s="196">
        <f>'LE EIAData'!BA24</f>
        <v>0.41092843550053221</v>
      </c>
      <c r="AH30" s="190">
        <v>1</v>
      </c>
      <c r="AI30" s="190">
        <v>1</v>
      </c>
      <c r="AJ30" s="191"/>
    </row>
    <row r="31" spans="1:62" x14ac:dyDescent="0.2">
      <c r="A31" s="197">
        <v>2024</v>
      </c>
      <c r="B31" s="196">
        <f>(B30+'LE EIAData'!W25/3)</f>
        <v>0.12059655797563275</v>
      </c>
      <c r="C31" s="196">
        <f>(C30+'LE EIAData'!Y25/4)</f>
        <v>0.15338539881884034</v>
      </c>
      <c r="D31" s="190">
        <v>0.10179999999999996</v>
      </c>
      <c r="E31" s="196">
        <f>'LE EIAData'!Z25</f>
        <v>3.3056939884273023E-2</v>
      </c>
      <c r="F31" s="196">
        <f>(F30+'LE EIAData'!AC25/3)</f>
        <v>0.17464105416506651</v>
      </c>
      <c r="G31" s="190">
        <v>0.1057095969109746</v>
      </c>
      <c r="H31" s="196">
        <f>(H30+'LE EIAData'!AG25)</f>
        <v>0.90516375454530684</v>
      </c>
      <c r="I31" s="190">
        <v>0.89920000000000078</v>
      </c>
      <c r="J31" s="196">
        <f>(J30+'LE EIAData'!AI25/5)</f>
        <v>0.11572431905507229</v>
      </c>
      <c r="K31" s="190">
        <v>4.1799999999999962E-2</v>
      </c>
      <c r="L31" s="190">
        <v>4.1799999999999962E-2</v>
      </c>
      <c r="M31" s="187">
        <f t="shared" si="4"/>
        <v>3.3056939884273023E-2</v>
      </c>
      <c r="N31" s="203">
        <f t="shared" si="26"/>
        <v>6.9999999999999993E-2</v>
      </c>
      <c r="O31" s="190">
        <v>0.1042</v>
      </c>
      <c r="P31" s="196">
        <f>(P30+'LE EIAData'!AP25/3)</f>
        <v>0.30362241712001048</v>
      </c>
      <c r="Q31" s="190">
        <v>0.22140000000000001</v>
      </c>
      <c r="R31" s="196">
        <f>(R30+'LE EIAData'!AR25)</f>
        <v>0.72064106751172685</v>
      </c>
      <c r="S31" s="190">
        <v>0.74630000000000007</v>
      </c>
      <c r="T31" s="196">
        <v>1</v>
      </c>
      <c r="U31" s="203">
        <f>'LE EIAData'!AU25-'LE Shares'!T31</f>
        <v>0.19641147991233954</v>
      </c>
      <c r="V31" s="190">
        <v>0.30209999999999965</v>
      </c>
      <c r="W31" s="196">
        <f>(W30+'LE EIAData'!AX25)</f>
        <v>0.36783691555304665</v>
      </c>
      <c r="X31" s="190">
        <v>0.06</v>
      </c>
      <c r="Y31" s="196">
        <f>(Y30+'LE EIAData'!AN25)</f>
        <v>0.82201896162286037</v>
      </c>
      <c r="Z31" s="190">
        <v>0.98</v>
      </c>
      <c r="AA31" s="196">
        <f>(AA30+'LE EIAData'!AL25)</f>
        <v>0.94601068874374394</v>
      </c>
      <c r="AB31" s="190">
        <v>0.98</v>
      </c>
      <c r="AC31" s="196">
        <f>(AC30+'LE EIAData'!AT25)</f>
        <v>0.79131518069307949</v>
      </c>
      <c r="AD31" s="190">
        <v>0.80299999999999905</v>
      </c>
      <c r="AE31" s="187">
        <f>'LE EIAData'!AY25</f>
        <v>4.0866216866943121</v>
      </c>
      <c r="AF31" s="190">
        <v>2.827431523151712</v>
      </c>
      <c r="AG31" s="196">
        <f>'LE EIAData'!BA25</f>
        <v>0.40771043601344903</v>
      </c>
      <c r="AH31" s="190">
        <v>1</v>
      </c>
      <c r="AI31" s="190">
        <v>1</v>
      </c>
      <c r="AJ31" s="191"/>
    </row>
    <row r="32" spans="1:62" x14ac:dyDescent="0.2">
      <c r="A32" s="197">
        <v>2025</v>
      </c>
      <c r="B32" s="196">
        <f>(B31+'LE EIAData'!W26/3)</f>
        <v>0.11959654778470405</v>
      </c>
      <c r="C32" s="196">
        <f>(C31+'LE EIAData'!Y26/4)</f>
        <v>0.15743017957588934</v>
      </c>
      <c r="D32" s="190">
        <v>0.10219999999999996</v>
      </c>
      <c r="E32" s="196">
        <f>'LE EIAData'!Z26</f>
        <v>3.3979878927436986E-2</v>
      </c>
      <c r="F32" s="196">
        <f>(F31+'LE EIAData'!AC26/3)</f>
        <v>0.17081226814340505</v>
      </c>
      <c r="G32" s="190">
        <v>0.10457624145705723</v>
      </c>
      <c r="H32" s="196">
        <f>(H31+'LE EIAData'!AG26)</f>
        <v>0.90567863964868356</v>
      </c>
      <c r="I32" s="190">
        <v>0.89980000000000082</v>
      </c>
      <c r="J32" s="196">
        <f>(J31+'LE EIAData'!AI26/5)</f>
        <v>0.11896014366071149</v>
      </c>
      <c r="K32" s="190">
        <v>4.219999999999996E-2</v>
      </c>
      <c r="L32" s="190">
        <v>4.219999999999996E-2</v>
      </c>
      <c r="M32" s="187">
        <f t="shared" si="4"/>
        <v>3.3979878927436986E-2</v>
      </c>
      <c r="N32" s="203">
        <f t="shared" si="26"/>
        <v>6.9499999999999992E-2</v>
      </c>
      <c r="O32" s="190">
        <v>0.1028</v>
      </c>
      <c r="P32" s="196">
        <f>(P31+'LE EIAData'!AP26/3)</f>
        <v>0.30469022400382972</v>
      </c>
      <c r="Q32" s="190">
        <v>0.22240000000000001</v>
      </c>
      <c r="R32" s="196">
        <f>(R31+'LE EIAData'!AR26)</f>
        <v>0.72188875063567648</v>
      </c>
      <c r="S32" s="190">
        <v>0.74830000000000008</v>
      </c>
      <c r="T32" s="196">
        <v>1</v>
      </c>
      <c r="U32" s="203">
        <f>'LE EIAData'!AU26-'LE Shares'!T32</f>
        <v>0.19615305571813679</v>
      </c>
      <c r="V32" s="190">
        <v>0.30229999999999962</v>
      </c>
      <c r="W32" s="196">
        <f>(W31+'LE EIAData'!AX26)</f>
        <v>0.36782541659466095</v>
      </c>
      <c r="X32" s="190">
        <v>0.06</v>
      </c>
      <c r="Y32" s="196">
        <f>(Y31+'LE EIAData'!AN26)</f>
        <v>0.82882675736056233</v>
      </c>
      <c r="Z32" s="190">
        <v>0.98</v>
      </c>
      <c r="AA32" s="196">
        <f>(AA31+'LE EIAData'!AL26)</f>
        <v>0.94713941886099884</v>
      </c>
      <c r="AB32" s="190">
        <v>0.98</v>
      </c>
      <c r="AC32" s="196">
        <f>(AC31+'LE EIAData'!AT26)</f>
        <v>0.79330469557226102</v>
      </c>
      <c r="AD32" s="190">
        <v>0.80449999999999899</v>
      </c>
      <c r="AE32" s="187">
        <f>'LE EIAData'!AY26</f>
        <v>4.1059420981343964</v>
      </c>
      <c r="AF32" s="190">
        <v>2.8376092015137693</v>
      </c>
      <c r="AG32" s="196">
        <f>'LE EIAData'!BA26</f>
        <v>0.40455121787653098</v>
      </c>
      <c r="AH32" s="190">
        <v>1</v>
      </c>
      <c r="AI32" s="190">
        <v>1</v>
      </c>
      <c r="AJ32" s="191"/>
    </row>
    <row r="33" spans="1:36" x14ac:dyDescent="0.2">
      <c r="A33" s="198">
        <f t="shared" ref="A33:A50" si="27">A32+1</f>
        <v>2026</v>
      </c>
      <c r="B33" s="196">
        <f>(B32+'LE EIAData'!W27/3)</f>
        <v>0.11860191817873404</v>
      </c>
      <c r="C33" s="196">
        <f>(C32+'LE EIAData'!Y27/4)</f>
        <v>0.16138120526177496</v>
      </c>
      <c r="D33" s="190">
        <v>0.10259999999999996</v>
      </c>
      <c r="E33" s="196">
        <f>'LE EIAData'!Z27</f>
        <v>3.4810946517703834E-2</v>
      </c>
      <c r="F33" s="196">
        <f>(F32+'LE EIAData'!AC27/3)</f>
        <v>0.16701730372829166</v>
      </c>
      <c r="G33" s="190">
        <v>0.10346087918760237</v>
      </c>
      <c r="H33" s="196">
        <f>(H32+'LE EIAData'!AG27)</f>
        <v>0.90615306264630635</v>
      </c>
      <c r="I33" s="190">
        <v>0.90040000000000087</v>
      </c>
      <c r="J33" s="196">
        <f>(J32+'LE EIAData'!AI27/5)</f>
        <v>0.12212096420941999</v>
      </c>
      <c r="K33" s="190">
        <v>4.2599999999999957E-2</v>
      </c>
      <c r="L33" s="190">
        <v>4.2599999999999957E-2</v>
      </c>
      <c r="M33" s="187">
        <f t="shared" si="4"/>
        <v>3.4810946517703834E-2</v>
      </c>
      <c r="N33" s="203">
        <f t="shared" si="26"/>
        <v>6.8999999999999992E-2</v>
      </c>
      <c r="O33" s="190">
        <v>0.1014</v>
      </c>
      <c r="P33" s="196">
        <f>(P32+'LE EIAData'!AP27/3)</f>
        <v>0.3057159400794382</v>
      </c>
      <c r="Q33" s="190">
        <v>0.22340000000000002</v>
      </c>
      <c r="R33" s="196">
        <f>(R32+'LE EIAData'!AR27)</f>
        <v>0.72312191504821233</v>
      </c>
      <c r="S33" s="190">
        <v>0.75030000000000008</v>
      </c>
      <c r="T33" s="196">
        <v>1</v>
      </c>
      <c r="U33" s="203">
        <f>'LE EIAData'!AU27-'LE Shares'!T33</f>
        <v>0.19591034249920947</v>
      </c>
      <c r="V33" s="190">
        <v>0.30249999999999999</v>
      </c>
      <c r="W33" s="196">
        <f>(W32+'LE EIAData'!AX27)</f>
        <v>0.3677368561440123</v>
      </c>
      <c r="X33" s="190">
        <v>0.06</v>
      </c>
      <c r="Y33" s="196">
        <f>(Y32+'LE EIAData'!AN27)</f>
        <v>0.83556066365496884</v>
      </c>
      <c r="Z33" s="190">
        <v>0.98</v>
      </c>
      <c r="AA33" s="196">
        <f>(AA32+'LE EIAData'!AL27)</f>
        <v>0.94822739637096543</v>
      </c>
      <c r="AB33" s="190">
        <v>0.98</v>
      </c>
      <c r="AC33" s="196">
        <f>(AC32+'LE EIAData'!AT27)</f>
        <v>0.79522770799891973</v>
      </c>
      <c r="AD33" s="190">
        <v>0.80599999999999894</v>
      </c>
      <c r="AE33" s="187">
        <f>'LE EIAData'!AY27</f>
        <v>4.1252872638868698</v>
      </c>
      <c r="AF33" s="190">
        <v>2.8376092015137693</v>
      </c>
      <c r="AG33" s="196">
        <f>'LE EIAData'!BA27</f>
        <v>0.40146161673864272</v>
      </c>
      <c r="AH33" s="190">
        <v>1</v>
      </c>
      <c r="AI33" s="190">
        <v>1</v>
      </c>
      <c r="AJ33" s="191"/>
    </row>
    <row r="34" spans="1:36" x14ac:dyDescent="0.2">
      <c r="A34" s="198">
        <f t="shared" si="27"/>
        <v>2027</v>
      </c>
      <c r="B34" s="196">
        <f>(B33+'LE EIAData'!W28/3)</f>
        <v>0.11765614442094549</v>
      </c>
      <c r="C34" s="196">
        <f>(C33+'LE EIAData'!Y28/4)</f>
        <v>0.16517108175212142</v>
      </c>
      <c r="D34" s="190">
        <v>0.10299999999999995</v>
      </c>
      <c r="E34" s="196">
        <f>'LE EIAData'!Z28</f>
        <v>3.5543659145791072E-2</v>
      </c>
      <c r="F34" s="196">
        <f>(F33+'LE EIAData'!AC28/3)</f>
        <v>0.16331972339323536</v>
      </c>
      <c r="G34" s="190">
        <v>0.10236010562965715</v>
      </c>
      <c r="H34" s="196">
        <f>(H33+'LE EIAData'!AG28)</f>
        <v>0.90667003195854301</v>
      </c>
      <c r="I34" s="190">
        <v>0.90100000000000091</v>
      </c>
      <c r="J34" s="196">
        <f>(J33+'LE EIAData'!AI28/5)</f>
        <v>0.12515286540169715</v>
      </c>
      <c r="K34" s="190">
        <v>4.2999999999999955E-2</v>
      </c>
      <c r="L34" s="190">
        <v>4.2999999999999955E-2</v>
      </c>
      <c r="M34" s="187">
        <f t="shared" si="4"/>
        <v>3.5543659145791072E-2</v>
      </c>
      <c r="N34" s="203">
        <f t="shared" si="26"/>
        <v>6.8499999999999991E-2</v>
      </c>
      <c r="O34" s="190">
        <v>0.1</v>
      </c>
      <c r="P34" s="196">
        <f>(P33+'LE EIAData'!AP28/3)</f>
        <v>0.30670213049615269</v>
      </c>
      <c r="Q34" s="190">
        <v>0.22440000000000002</v>
      </c>
      <c r="R34" s="196">
        <f>(R33+'LE EIAData'!AR28)</f>
        <v>0.72438778827941863</v>
      </c>
      <c r="S34" s="190">
        <v>0.75230000000000008</v>
      </c>
      <c r="T34" s="196">
        <v>1</v>
      </c>
      <c r="U34" s="203">
        <f>'LE EIAData'!AU28-'LE Shares'!T34</f>
        <v>0.19567125352036685</v>
      </c>
      <c r="V34" s="190">
        <v>0.30269999999999958</v>
      </c>
      <c r="W34" s="196">
        <f>(W33+'LE EIAData'!AX28)</f>
        <v>0.36755012391633346</v>
      </c>
      <c r="X34" s="190">
        <v>0.06</v>
      </c>
      <c r="Y34" s="196">
        <f>(Y33+'LE EIAData'!AN28)</f>
        <v>0.84200457050947897</v>
      </c>
      <c r="Z34" s="190">
        <v>0.98</v>
      </c>
      <c r="AA34" s="196">
        <f>(AA33+'LE EIAData'!AL28)</f>
        <v>0.9492625958193589</v>
      </c>
      <c r="AB34" s="190">
        <v>0.98</v>
      </c>
      <c r="AC34" s="196">
        <f>(AC33+'LE EIAData'!AT28)</f>
        <v>0.79705794392982143</v>
      </c>
      <c r="AD34" s="190">
        <v>0.80749999999999889</v>
      </c>
      <c r="AE34" s="187">
        <f>'LE EIAData'!AY28</f>
        <v>4.144768157058369</v>
      </c>
      <c r="AF34" s="190">
        <v>2.8376092015137693</v>
      </c>
      <c r="AG34" s="196">
        <f>'LE EIAData'!BA28</f>
        <v>0.39848585055808694</v>
      </c>
      <c r="AH34" s="190">
        <v>1</v>
      </c>
      <c r="AI34" s="190">
        <v>1</v>
      </c>
      <c r="AJ34" s="191"/>
    </row>
    <row r="35" spans="1:36" x14ac:dyDescent="0.2">
      <c r="A35" s="198">
        <f t="shared" si="27"/>
        <v>2028</v>
      </c>
      <c r="B35" s="196">
        <f>(B34+'LE EIAData'!W29/3)</f>
        <v>0.11675553813191239</v>
      </c>
      <c r="C35" s="196">
        <f>(C34+'LE EIAData'!Y29/4)</f>
        <v>0.16879451480544272</v>
      </c>
      <c r="D35" s="190">
        <v>0.10339999999999995</v>
      </c>
      <c r="E35" s="196">
        <f>'LE EIAData'!Z29</f>
        <v>3.6187704465309938E-2</v>
      </c>
      <c r="F35" s="196">
        <f>(F34+'LE EIAData'!AC29/3)</f>
        <v>0.15972624944398026</v>
      </c>
      <c r="G35" s="190">
        <v>0.10126686985927078</v>
      </c>
      <c r="H35" s="196">
        <f>(H34+'LE EIAData'!AG29)</f>
        <v>0.90723783808028302</v>
      </c>
      <c r="I35" s="190">
        <v>0.90160000000000096</v>
      </c>
      <c r="J35" s="196">
        <f>(J34+'LE EIAData'!AI29/5)</f>
        <v>0.12805161184435418</v>
      </c>
      <c r="K35" s="190">
        <v>4.3399999999999953E-2</v>
      </c>
      <c r="L35" s="190">
        <v>4.3399999999999953E-2</v>
      </c>
      <c r="M35" s="187">
        <f t="shared" si="4"/>
        <v>3.6187704465309938E-2</v>
      </c>
      <c r="N35" s="203">
        <f t="shared" si="26"/>
        <v>6.7999999999999991E-2</v>
      </c>
      <c r="O35" s="190">
        <v>9.8600000000000007E-2</v>
      </c>
      <c r="P35" s="196">
        <f>(P34+'LE EIAData'!AP29/3)</f>
        <v>0.30765075132043357</v>
      </c>
      <c r="Q35" s="190">
        <v>0.22540000000000002</v>
      </c>
      <c r="R35" s="196">
        <f>(R34+'LE EIAData'!AR29)</f>
        <v>0.72559091171942447</v>
      </c>
      <c r="S35" s="190">
        <v>0.75430000000000008</v>
      </c>
      <c r="T35" s="196">
        <v>1</v>
      </c>
      <c r="U35" s="203">
        <f>'LE EIAData'!AU29-'LE Shares'!T35</f>
        <v>0.19543487060587794</v>
      </c>
      <c r="V35" s="190">
        <v>0.30289999999999956</v>
      </c>
      <c r="W35" s="196">
        <f>(W34+'LE EIAData'!AX29)</f>
        <v>0.36726312527290783</v>
      </c>
      <c r="X35" s="190">
        <v>0.06</v>
      </c>
      <c r="Y35" s="196">
        <f>(Y34+'LE EIAData'!AN29)</f>
        <v>0.84814880004089233</v>
      </c>
      <c r="Z35" s="190">
        <v>0.98</v>
      </c>
      <c r="AA35" s="196">
        <f>(AA34+'LE EIAData'!AL29)</f>
        <v>0.95024000028815669</v>
      </c>
      <c r="AB35" s="190">
        <v>0.98</v>
      </c>
      <c r="AC35" s="196">
        <f>(AC34+'LE EIAData'!AT29)</f>
        <v>0.79878948549598572</v>
      </c>
      <c r="AD35" s="190">
        <v>0.80899999999999883</v>
      </c>
      <c r="AE35" s="187">
        <f>'LE EIAData'!AY29</f>
        <v>4.1642425743521887</v>
      </c>
      <c r="AF35" s="190">
        <v>2.8376092015137693</v>
      </c>
      <c r="AG35" s="196">
        <f>'LE EIAData'!BA29</f>
        <v>0.39561069851676134</v>
      </c>
      <c r="AH35" s="190">
        <v>1</v>
      </c>
      <c r="AI35" s="190">
        <v>1</v>
      </c>
      <c r="AJ35" s="191"/>
    </row>
    <row r="36" spans="1:36" x14ac:dyDescent="0.2">
      <c r="A36" s="198">
        <f t="shared" si="27"/>
        <v>2029</v>
      </c>
      <c r="B36" s="196">
        <f>(B35+'LE EIAData'!W30/3)</f>
        <v>0.11587105442787494</v>
      </c>
      <c r="C36" s="196">
        <f>(C35+'LE EIAData'!Y30/4)</f>
        <v>0.17229669625797234</v>
      </c>
      <c r="D36" s="190">
        <v>0.10379999999999995</v>
      </c>
      <c r="E36" s="196">
        <f>'LE EIAData'!Z30</f>
        <v>3.6764911733532191E-2</v>
      </c>
      <c r="F36" s="196">
        <f>(F35+'LE EIAData'!AC30/3)</f>
        <v>0.15619617518213214</v>
      </c>
      <c r="G36" s="190">
        <v>0.10018263437835348</v>
      </c>
      <c r="H36" s="196">
        <f>(H35+'LE EIAData'!AG30)</f>
        <v>0.90780141496194733</v>
      </c>
      <c r="I36" s="190">
        <v>0.902200000000001</v>
      </c>
      <c r="J36" s="196">
        <f>(J35+'LE EIAData'!AI30/5)</f>
        <v>0.13085335700637787</v>
      </c>
      <c r="K36" s="190">
        <v>4.379999999999995E-2</v>
      </c>
      <c r="L36" s="190">
        <v>4.379999999999995E-2</v>
      </c>
      <c r="M36" s="187">
        <f t="shared" si="4"/>
        <v>3.6764911733532191E-2</v>
      </c>
      <c r="N36" s="203">
        <f t="shared" si="26"/>
        <v>6.7499999999999991E-2</v>
      </c>
      <c r="O36" s="190">
        <v>9.7200000000000009E-2</v>
      </c>
      <c r="P36" s="196">
        <f>(P35+'LE EIAData'!AP30/3)</f>
        <v>0.30856063873366346</v>
      </c>
      <c r="Q36" s="190">
        <v>0.22640000000000002</v>
      </c>
      <c r="R36" s="196">
        <f>(R35+'LE EIAData'!AR30)</f>
        <v>0.72683365458674232</v>
      </c>
      <c r="S36" s="190">
        <v>0.75630000000000008</v>
      </c>
      <c r="T36" s="196">
        <v>1</v>
      </c>
      <c r="U36" s="203">
        <f>'LE EIAData'!AU30-'LE Shares'!T36</f>
        <v>0.19521258615348192</v>
      </c>
      <c r="V36" s="190">
        <v>0.30309999999999954</v>
      </c>
      <c r="W36" s="196">
        <f>(W35+'LE EIAData'!AX30)</f>
        <v>0.36690923314093449</v>
      </c>
      <c r="X36" s="190">
        <v>0.06</v>
      </c>
      <c r="Y36" s="196">
        <f>(Y35+'LE EIAData'!AN30)</f>
        <v>0.85407304328020661</v>
      </c>
      <c r="Z36" s="190">
        <v>0.98</v>
      </c>
      <c r="AA36" s="196">
        <f>(AA35+'LE EIAData'!AL30)</f>
        <v>0.95117519033363063</v>
      </c>
      <c r="AB36" s="190">
        <v>0.98</v>
      </c>
      <c r="AC36" s="196">
        <f>(AC35+'LE EIAData'!AT30)</f>
        <v>0.80045101312866851</v>
      </c>
      <c r="AD36" s="190">
        <v>0.81049999999999878</v>
      </c>
      <c r="AE36" s="187">
        <f>'LE EIAData'!AY30</f>
        <v>4.1838908461498772</v>
      </c>
      <c r="AF36" s="190">
        <v>2.8376092015137693</v>
      </c>
      <c r="AG36" s="196">
        <f>'LE EIAData'!BA30</f>
        <v>0.39282447838229856</v>
      </c>
      <c r="AH36" s="190">
        <v>1</v>
      </c>
      <c r="AI36" s="190">
        <v>1</v>
      </c>
      <c r="AJ36" s="191"/>
    </row>
    <row r="37" spans="1:36" x14ac:dyDescent="0.2">
      <c r="A37" s="198">
        <f t="shared" si="27"/>
        <v>2030</v>
      </c>
      <c r="B37" s="196">
        <f>(B36+'LE EIAData'!W31/3)</f>
        <v>0.11497036121157408</v>
      </c>
      <c r="C37" s="196">
        <f>(C36+'LE EIAData'!Y31/4)</f>
        <v>0.17572111052138151</v>
      </c>
      <c r="D37" s="190">
        <v>0.10419999999999995</v>
      </c>
      <c r="E37" s="196">
        <f>'LE EIAData'!Z31</f>
        <v>3.7296119364096089E-2</v>
      </c>
      <c r="F37" s="196">
        <f>(F36+'LE EIAData'!AC31/3)</f>
        <v>0.15268906282219188</v>
      </c>
      <c r="G37" s="190">
        <v>9.9105781170130788E-2</v>
      </c>
      <c r="H37" s="196">
        <f>(H36+'LE EIAData'!AG31)</f>
        <v>0.90830605641006912</v>
      </c>
      <c r="I37" s="190">
        <v>0.90280000000000105</v>
      </c>
      <c r="J37" s="196">
        <f>(J36+'LE EIAData'!AI31/5)</f>
        <v>0.1335928884171052</v>
      </c>
      <c r="K37" s="190">
        <v>4.4199999999999948E-2</v>
      </c>
      <c r="L37" s="190">
        <v>4.4199999999999948E-2</v>
      </c>
      <c r="M37" s="187">
        <f t="shared" si="4"/>
        <v>3.7296119364096089E-2</v>
      </c>
      <c r="N37" s="203">
        <f t="shared" si="26"/>
        <v>6.699999999999999E-2</v>
      </c>
      <c r="O37" s="190">
        <v>9.580000000000001E-2</v>
      </c>
      <c r="P37" s="196">
        <f>(P36+'LE EIAData'!AP31/3)</f>
        <v>0.30942295975828665</v>
      </c>
      <c r="Q37" s="190">
        <v>0.22740000000000002</v>
      </c>
      <c r="R37" s="196">
        <f>(R36+'LE EIAData'!AR31)</f>
        <v>0.72802049448698958</v>
      </c>
      <c r="S37" s="190">
        <v>0.75830000000000009</v>
      </c>
      <c r="T37" s="196">
        <v>1</v>
      </c>
      <c r="U37" s="203">
        <f>'LE EIAData'!AU31-'LE Shares'!T37</f>
        <v>0.19501243605363783</v>
      </c>
      <c r="V37" s="190">
        <v>0.30329999999999951</v>
      </c>
      <c r="W37" s="196">
        <f>(W36+'LE EIAData'!AX31)</f>
        <v>0.36653301536195537</v>
      </c>
      <c r="X37" s="190">
        <v>0.06</v>
      </c>
      <c r="Y37" s="196">
        <f>(Y36+'LE EIAData'!AN31)</f>
        <v>0.8598576485512428</v>
      </c>
      <c r="Z37" s="190">
        <v>0.98</v>
      </c>
      <c r="AA37" s="196">
        <f>(AA36+'LE EIAData'!AL31)</f>
        <v>0.95208044082986298</v>
      </c>
      <c r="AB37" s="190">
        <v>0.98</v>
      </c>
      <c r="AC37" s="196">
        <f>(AC36+'LE EIAData'!AT31)</f>
        <v>0.80206925819291219</v>
      </c>
      <c r="AD37" s="190">
        <v>0.81199999999999872</v>
      </c>
      <c r="AE37" s="187">
        <f>'LE EIAData'!AY31</f>
        <v>4.203608955610032</v>
      </c>
      <c r="AF37" s="190">
        <v>2.8376092015137693</v>
      </c>
      <c r="AG37" s="196">
        <f>'LE EIAData'!BA31</f>
        <v>0.39010824550265327</v>
      </c>
      <c r="AH37" s="190">
        <v>1</v>
      </c>
      <c r="AI37" s="190">
        <v>1</v>
      </c>
      <c r="AJ37" s="191"/>
    </row>
    <row r="38" spans="1:36" x14ac:dyDescent="0.2">
      <c r="A38" s="198">
        <f t="shared" si="27"/>
        <v>2031</v>
      </c>
      <c r="B38" s="196">
        <f>(B37+'LE EIAData'!W32/3)</f>
        <v>0.11408552816768695</v>
      </c>
      <c r="C38" s="196">
        <f>(C37+'LE EIAData'!Y32/4)</f>
        <v>0.179041781263863</v>
      </c>
      <c r="D38" s="190">
        <v>0.10459999999999994</v>
      </c>
      <c r="E38" s="196">
        <f>'LE EIAData'!Z32</f>
        <v>3.7777775503480979E-2</v>
      </c>
      <c r="F38" s="196">
        <f>(F37+'LE EIAData'!AC32/3)</f>
        <v>0.1492301189668534</v>
      </c>
      <c r="G38" s="190">
        <v>9.8605781170130788E-2</v>
      </c>
      <c r="H38" s="196">
        <f>(H37+'LE EIAData'!AG32)</f>
        <v>0.90879093333266914</v>
      </c>
      <c r="I38" s="190">
        <v>0.90340000000000109</v>
      </c>
      <c r="J38" s="196">
        <f>(J37+'LE EIAData'!AI32/5)</f>
        <v>0.13624942501109039</v>
      </c>
      <c r="K38" s="190">
        <v>4.4599999999999945E-2</v>
      </c>
      <c r="L38" s="190">
        <v>4.4599999999999945E-2</v>
      </c>
      <c r="M38" s="187">
        <f t="shared" si="4"/>
        <v>3.7777775503480979E-2</v>
      </c>
      <c r="N38" s="203">
        <f t="shared" si="26"/>
        <v>6.649999999999999E-2</v>
      </c>
      <c r="O38" s="190">
        <v>9.4400000000000012E-2</v>
      </c>
      <c r="P38" s="196">
        <f>(P37+'LE EIAData'!AP32/3)</f>
        <v>0.31026279691784742</v>
      </c>
      <c r="Q38" s="190">
        <v>0.22840000000000002</v>
      </c>
      <c r="R38" s="196">
        <f>(R37+'LE EIAData'!AR32)</f>
        <v>0.72899926777112312</v>
      </c>
      <c r="S38" s="190">
        <v>0.76030000000000009</v>
      </c>
      <c r="T38" s="196">
        <v>1</v>
      </c>
      <c r="U38" s="203">
        <f>'LE EIAData'!AU32-'LE Shares'!T38</f>
        <v>0.19482376872130058</v>
      </c>
      <c r="V38" s="190">
        <v>0.30349999999999949</v>
      </c>
      <c r="W38" s="196">
        <f>(W37+'LE EIAData'!AX32)</f>
        <v>0.36612117804257716</v>
      </c>
      <c r="X38" s="190">
        <v>0.06</v>
      </c>
      <c r="Y38" s="196">
        <f>(Y37+'LE EIAData'!AN32)</f>
        <v>0.86547662716896112</v>
      </c>
      <c r="Z38" s="190">
        <v>0.98</v>
      </c>
      <c r="AA38" s="196">
        <f>(AA37+'LE EIAData'!AL32)</f>
        <v>0.95295536592431362</v>
      </c>
      <c r="AB38" s="190">
        <v>0.98</v>
      </c>
      <c r="AC38" s="196">
        <f>(AC37+'LE EIAData'!AT32)</f>
        <v>0.80364115606532727</v>
      </c>
      <c r="AD38" s="190">
        <v>0.81349999999999867</v>
      </c>
      <c r="AE38" s="187">
        <f>'LE EIAData'!AY32</f>
        <v>4.2238144574090732</v>
      </c>
      <c r="AF38" s="190">
        <v>2.8376092015137693</v>
      </c>
      <c r="AG38" s="196">
        <f>'LE EIAData'!BA32</f>
        <v>0.38746489480751889</v>
      </c>
      <c r="AH38" s="190">
        <v>1</v>
      </c>
      <c r="AI38" s="190">
        <v>1</v>
      </c>
      <c r="AJ38" s="191"/>
    </row>
    <row r="39" spans="1:36" x14ac:dyDescent="0.2">
      <c r="A39" s="198">
        <f t="shared" si="27"/>
        <v>2032</v>
      </c>
      <c r="B39" s="196">
        <f>(B38+'LE EIAData'!W33/3)</f>
        <v>0.11325168184688177</v>
      </c>
      <c r="C39" s="196">
        <f>(C38+'LE EIAData'!Y33/4)</f>
        <v>0.1822150187349702</v>
      </c>
      <c r="D39" s="190">
        <v>0.105</v>
      </c>
      <c r="E39" s="196">
        <f>'LE EIAData'!Z33</f>
        <v>3.8207634375478333E-2</v>
      </c>
      <c r="F39" s="196">
        <f>(F38+'LE EIAData'!AC33/3)</f>
        <v>0.14586911367408698</v>
      </c>
      <c r="G39" s="190">
        <v>9.8105781170130787E-2</v>
      </c>
      <c r="H39" s="196">
        <f>(H38+'LE EIAData'!AG33)</f>
        <v>0.90932558624250581</v>
      </c>
      <c r="I39" s="190">
        <v>0.90400000000000114</v>
      </c>
      <c r="J39" s="196">
        <f>(J38+'LE EIAData'!AI33/5)</f>
        <v>0.13878801498797616</v>
      </c>
      <c r="K39" s="190">
        <v>4.4999999999999943E-2</v>
      </c>
      <c r="L39" s="190">
        <v>4.4999999999999943E-2</v>
      </c>
      <c r="M39" s="187">
        <f t="shared" si="4"/>
        <v>3.8207634375478333E-2</v>
      </c>
      <c r="N39" s="203">
        <f t="shared" si="26"/>
        <v>6.5999999999999989E-2</v>
      </c>
      <c r="O39" s="190">
        <v>9.3000000000000013E-2</v>
      </c>
      <c r="P39" s="196">
        <f>(P38+'LE EIAData'!AP33/3)</f>
        <v>0.31107921011824813</v>
      </c>
      <c r="Q39" s="190">
        <v>0.22940000000000002</v>
      </c>
      <c r="R39" s="196">
        <f>(R38+'LE EIAData'!AR33)</f>
        <v>0.73016128058642249</v>
      </c>
      <c r="S39" s="190">
        <v>0.76230000000000009</v>
      </c>
      <c r="T39" s="196">
        <v>1</v>
      </c>
      <c r="U39" s="203">
        <f>'LE EIAData'!AU33-'LE Shares'!T39</f>
        <v>0.19463372271598312</v>
      </c>
      <c r="V39" s="190">
        <v>0.30369999999999947</v>
      </c>
      <c r="W39" s="196">
        <f>(W38+'LE EIAData'!AX33)</f>
        <v>0.36567201033448782</v>
      </c>
      <c r="X39" s="190">
        <v>0.06</v>
      </c>
      <c r="Y39" s="196">
        <f>(Y38+'LE EIAData'!AN33)</f>
        <v>0.87089301393811502</v>
      </c>
      <c r="Z39" s="190">
        <v>0.98</v>
      </c>
      <c r="AA39" s="196">
        <f>(AA38+'LE EIAData'!AL33)</f>
        <v>0.95378877874999002</v>
      </c>
      <c r="AB39" s="190">
        <v>0.98</v>
      </c>
      <c r="AC39" s="196">
        <f>(AC38+'LE EIAData'!AT33)</f>
        <v>0.80515626091279546</v>
      </c>
      <c r="AD39" s="190">
        <v>0.81499999999999861</v>
      </c>
      <c r="AE39" s="187">
        <f>'LE EIAData'!AY33</f>
        <v>4.2440224644096753</v>
      </c>
      <c r="AF39" s="190">
        <v>2.8376092015137693</v>
      </c>
      <c r="AG39" s="196">
        <f>'LE EIAData'!BA33</f>
        <v>0.38509121020019288</v>
      </c>
      <c r="AH39" s="190">
        <v>1</v>
      </c>
      <c r="AI39" s="190">
        <v>1</v>
      </c>
      <c r="AJ39" s="191"/>
    </row>
    <row r="40" spans="1:36" x14ac:dyDescent="0.2">
      <c r="A40" s="198">
        <f t="shared" si="27"/>
        <v>2033</v>
      </c>
      <c r="B40" s="196">
        <f>(B39+'LE EIAData'!W34/3)</f>
        <v>0.1124246532132062</v>
      </c>
      <c r="C40" s="196">
        <f>(C39+'LE EIAData'!Y34/4)</f>
        <v>0.18529954670943377</v>
      </c>
      <c r="D40" s="190">
        <v>0.10539999999999994</v>
      </c>
      <c r="E40" s="196">
        <f>'LE EIAData'!Z34</f>
        <v>3.8604959043935093E-2</v>
      </c>
      <c r="F40" s="196">
        <f>(F39+'LE EIAData'!AC34/3)</f>
        <v>0.14254852404289908</v>
      </c>
      <c r="G40" s="190">
        <v>9.7605781170130787E-2</v>
      </c>
      <c r="H40" s="196">
        <f>(H39+'LE EIAData'!AG34)</f>
        <v>0.90982866050511713</v>
      </c>
      <c r="I40" s="190">
        <v>0.90460000000000118</v>
      </c>
      <c r="J40" s="196">
        <f>(J39+'LE EIAData'!AI34/5)</f>
        <v>0.14125563736754701</v>
      </c>
      <c r="K40" s="190">
        <v>4.539999999999994E-2</v>
      </c>
      <c r="L40" s="190">
        <v>4.539999999999994E-2</v>
      </c>
      <c r="M40" s="187">
        <f t="shared" si="4"/>
        <v>3.8604959043935093E-2</v>
      </c>
      <c r="N40" s="203">
        <f t="shared" si="26"/>
        <v>6.5499999999999989E-2</v>
      </c>
      <c r="O40" s="190">
        <v>9.1600000000000015E-2</v>
      </c>
      <c r="P40" s="196">
        <f>(P39+'LE EIAData'!AP34/3)</f>
        <v>0.31186788463632137</v>
      </c>
      <c r="Q40" s="190">
        <v>0.23040000000000002</v>
      </c>
      <c r="R40" s="196">
        <f>(R39+'LE EIAData'!AR34)</f>
        <v>0.73131263404294111</v>
      </c>
      <c r="S40" s="190">
        <v>0.76430000000000009</v>
      </c>
      <c r="T40" s="196">
        <v>1</v>
      </c>
      <c r="U40" s="203">
        <f>'LE EIAData'!AU34-'LE Shares'!T40</f>
        <v>0.19445790777429428</v>
      </c>
      <c r="V40" s="190">
        <v>0.30389999999999945</v>
      </c>
      <c r="W40" s="196">
        <f>(W39+'LE EIAData'!AX34)</f>
        <v>0.36522372804958003</v>
      </c>
      <c r="X40" s="190">
        <v>0.06</v>
      </c>
      <c r="Y40" s="196">
        <f>(Y39+'LE EIAData'!AN34)</f>
        <v>0.87619643578038398</v>
      </c>
      <c r="Z40" s="190">
        <v>0.98</v>
      </c>
      <c r="AA40" s="196">
        <f>(AA39+'LE EIAData'!AL34)</f>
        <v>0.9545981411082608</v>
      </c>
      <c r="AB40" s="190">
        <v>0.98</v>
      </c>
      <c r="AC40" s="196">
        <f>(AC39+'LE EIAData'!AT34)</f>
        <v>0.80664405913371351</v>
      </c>
      <c r="AD40" s="190">
        <v>0.81649999999999856</v>
      </c>
      <c r="AE40" s="187">
        <f>'LE EIAData'!AY34</f>
        <v>4.2644268361125119</v>
      </c>
      <c r="AF40" s="190">
        <v>2.8376092015137693</v>
      </c>
      <c r="AG40" s="196">
        <f>'LE EIAData'!BA34</f>
        <v>0.38281932385422895</v>
      </c>
      <c r="AH40" s="190">
        <v>1</v>
      </c>
      <c r="AI40" s="190">
        <v>1</v>
      </c>
      <c r="AJ40" s="191"/>
    </row>
    <row r="41" spans="1:36" x14ac:dyDescent="0.2">
      <c r="A41" s="198">
        <f t="shared" si="27"/>
        <v>2034</v>
      </c>
      <c r="B41" s="196">
        <f>(B40+'LE EIAData'!W35/3)</f>
        <v>0.11157749135738097</v>
      </c>
      <c r="C41" s="196">
        <f>(C40+'LE EIAData'!Y35/4)</f>
        <v>0.18833396026151084</v>
      </c>
      <c r="D41" s="190">
        <v>0.10579999999999994</v>
      </c>
      <c r="E41" s="196">
        <f>'LE EIAData'!Z35</f>
        <v>3.8979838378365175E-2</v>
      </c>
      <c r="F41" s="196">
        <f>(F40+'LE EIAData'!AC35/3)</f>
        <v>0.13923034003143545</v>
      </c>
      <c r="G41" s="190">
        <v>9.7105781170130787E-2</v>
      </c>
      <c r="H41" s="196">
        <f>(H40+'LE EIAData'!AG35)</f>
        <v>0.91025354439075379</v>
      </c>
      <c r="I41" s="190">
        <v>0.90520000000000123</v>
      </c>
      <c r="J41" s="196">
        <f>(J40+'LE EIAData'!AI35/5)</f>
        <v>0.14368316820920865</v>
      </c>
      <c r="K41" s="190">
        <v>4.5799999999999938E-2</v>
      </c>
      <c r="L41" s="190">
        <v>4.5799999999999938E-2</v>
      </c>
      <c r="M41" s="187">
        <f t="shared" si="4"/>
        <v>3.8979838378365175E-2</v>
      </c>
      <c r="N41" s="203">
        <f t="shared" si="26"/>
        <v>6.4999999999999988E-2</v>
      </c>
      <c r="O41" s="190">
        <v>9.0200000000000016E-2</v>
      </c>
      <c r="P41" s="196">
        <f>(P40+'LE EIAData'!AP35/3)</f>
        <v>0.31263399276593645</v>
      </c>
      <c r="Q41" s="190">
        <v>0.23140000000000002</v>
      </c>
      <c r="R41" s="196">
        <f>(R40+'LE EIAData'!AR35)</f>
        <v>0.73245877376292257</v>
      </c>
      <c r="S41" s="190">
        <v>0.76630000000000009</v>
      </c>
      <c r="T41" s="196">
        <v>1</v>
      </c>
      <c r="U41" s="203">
        <f>'LE EIAData'!AU35-'LE Shares'!T41</f>
        <v>0.19430249316583437</v>
      </c>
      <c r="V41" s="190">
        <v>0.30409999999999943</v>
      </c>
      <c r="W41" s="196">
        <f>(W40+'LE EIAData'!AX35)</f>
        <v>0.36479928265705963</v>
      </c>
      <c r="X41" s="190">
        <v>0.06</v>
      </c>
      <c r="Y41" s="196">
        <f>(Y40+'LE EIAData'!AN35)</f>
        <v>0.88143608725413736</v>
      </c>
      <c r="Z41" s="190">
        <v>0.98</v>
      </c>
      <c r="AA41" s="196">
        <f>(AA40+'LE EIAData'!AL35)</f>
        <v>0.95539208484680616</v>
      </c>
      <c r="AB41" s="190">
        <v>0.98</v>
      </c>
      <c r="AC41" s="196">
        <f>(AC40+'LE EIAData'!AT35)</f>
        <v>0.80811987587325074</v>
      </c>
      <c r="AD41" s="190">
        <v>0.81799999999999851</v>
      </c>
      <c r="AE41" s="187">
        <f>'LE EIAData'!AY35</f>
        <v>4.2853685563976898</v>
      </c>
      <c r="AF41" s="190">
        <v>2.8376092015137693</v>
      </c>
      <c r="AG41" s="196">
        <f>'LE EIAData'!BA35</f>
        <v>0.38048071221888874</v>
      </c>
      <c r="AH41" s="190">
        <v>1</v>
      </c>
      <c r="AI41" s="190">
        <v>1</v>
      </c>
      <c r="AJ41" s="191"/>
    </row>
    <row r="42" spans="1:36" x14ac:dyDescent="0.2">
      <c r="A42" s="198">
        <f t="shared" si="27"/>
        <v>2035</v>
      </c>
      <c r="B42" s="196">
        <f>(B41+'LE EIAData'!W36/3)</f>
        <v>0.11072207610729949</v>
      </c>
      <c r="C42" s="196">
        <f>(C41+'LE EIAData'!Y36/4)</f>
        <v>0.19132126172899594</v>
      </c>
      <c r="D42" s="190">
        <v>0.10619999999999993</v>
      </c>
      <c r="E42" s="196">
        <f>'LE EIAData'!Z36</f>
        <v>3.933280936740037E-2</v>
      </c>
      <c r="F42" s="196">
        <f>(F41+'LE EIAData'!AC36/3)</f>
        <v>0.13591298718523506</v>
      </c>
      <c r="G42" s="190">
        <v>9.6605781170130786E-2</v>
      </c>
      <c r="H42" s="196">
        <f>(H41+'LE EIAData'!AG36)</f>
        <v>0.91059931572282804</v>
      </c>
      <c r="I42" s="190">
        <v>0.90580000000000127</v>
      </c>
      <c r="J42" s="196">
        <f>(J41+'LE EIAData'!AI36/5)</f>
        <v>0.14607300938319673</v>
      </c>
      <c r="K42" s="190">
        <v>4.6199999999999936E-2</v>
      </c>
      <c r="L42" s="190">
        <v>4.6199999999999936E-2</v>
      </c>
      <c r="M42" s="187">
        <f t="shared" si="4"/>
        <v>3.933280936740037E-2</v>
      </c>
      <c r="N42" s="203">
        <f t="shared" si="26"/>
        <v>6.4499999999999988E-2</v>
      </c>
      <c r="O42" s="190">
        <v>8.8800000000000018E-2</v>
      </c>
      <c r="P42" s="196">
        <f>(P41+'LE EIAData'!AP36/3)</f>
        <v>0.31338327370647667</v>
      </c>
      <c r="Q42" s="190">
        <v>0.23240000000000002</v>
      </c>
      <c r="R42" s="196">
        <f>(R41+'LE EIAData'!AR36)</f>
        <v>0.73359844880703762</v>
      </c>
      <c r="S42" s="190">
        <v>0.76830000000000009</v>
      </c>
      <c r="T42" s="196">
        <v>1</v>
      </c>
      <c r="U42" s="203">
        <f>'LE EIAData'!AU36-'LE Shares'!T42</f>
        <v>0.19416165781234751</v>
      </c>
      <c r="V42" s="190">
        <v>0.3042999999999994</v>
      </c>
      <c r="W42" s="196">
        <f>(W41+'LE EIAData'!AX36)</f>
        <v>0.36438561420238702</v>
      </c>
      <c r="X42" s="190">
        <v>0.06</v>
      </c>
      <c r="Y42" s="196">
        <f>(Y41+'LE EIAData'!AN36)</f>
        <v>0.886623652767357</v>
      </c>
      <c r="Z42" s="190">
        <v>0.98</v>
      </c>
      <c r="AA42" s="196">
        <f>(AA41+'LE EIAData'!AL36)</f>
        <v>0.95617405668799516</v>
      </c>
      <c r="AB42" s="190">
        <v>0.98</v>
      </c>
      <c r="AC42" s="196">
        <f>(AC41+'LE EIAData'!AT36)</f>
        <v>0.80958771955973663</v>
      </c>
      <c r="AD42" s="190">
        <v>0.81949999999999845</v>
      </c>
      <c r="AE42" s="187">
        <f>'LE EIAData'!AY36</f>
        <v>4.3063590030369312</v>
      </c>
      <c r="AF42" s="190">
        <v>2.8376092015137693</v>
      </c>
      <c r="AG42" s="196">
        <f>'LE EIAData'!BA36</f>
        <v>0.37814729347799025</v>
      </c>
      <c r="AH42" s="190">
        <v>1</v>
      </c>
      <c r="AI42" s="190">
        <v>1</v>
      </c>
      <c r="AJ42" s="191"/>
    </row>
    <row r="43" spans="1:36" x14ac:dyDescent="0.2">
      <c r="A43" s="198">
        <f t="shared" si="27"/>
        <v>2036</v>
      </c>
      <c r="B43" s="196">
        <f>(B42+'LE EIAData'!W42/3)</f>
        <v>0.10986666085721801</v>
      </c>
      <c r="C43" s="196">
        <f>(C42+'LE EIAData'!Y37/4)</f>
        <v>0.19430856319648104</v>
      </c>
      <c r="D43" s="190">
        <v>0.10659999999999993</v>
      </c>
      <c r="E43" s="196">
        <f>'LE EIAData'!Z37</f>
        <v>3.9688976586186218E-2</v>
      </c>
      <c r="F43" s="196">
        <f>(F42+'LE EIAData'!AC37/3)</f>
        <v>0.13259563433903468</v>
      </c>
      <c r="G43" s="190">
        <v>9.6105781170130786E-2</v>
      </c>
      <c r="H43" s="196">
        <f>(H42+'LE EIAData'!AG37)</f>
        <v>0.91094508705490229</v>
      </c>
      <c r="I43" s="190">
        <v>0.90640000000000132</v>
      </c>
      <c r="J43" s="196">
        <f>(J42+'LE EIAData'!AI37/5)</f>
        <v>0.14846285055718481</v>
      </c>
      <c r="K43" s="190">
        <v>4.6599999999999933E-2</v>
      </c>
      <c r="L43" s="190">
        <v>4.6599999999999933E-2</v>
      </c>
      <c r="M43" s="211">
        <f>M42</f>
        <v>3.933280936740037E-2</v>
      </c>
      <c r="N43" s="203">
        <f t="shared" si="26"/>
        <v>6.3999999999999987E-2</v>
      </c>
      <c r="O43" s="190">
        <v>8.7400000000000019E-2</v>
      </c>
      <c r="P43" s="196">
        <f>(P42+'LE EIAData'!AP37/3)</f>
        <v>0.31413255464701689</v>
      </c>
      <c r="Q43" s="190">
        <v>0.23340000000000002</v>
      </c>
      <c r="R43" s="196">
        <f>(R42+'LE EIAData'!AR37)</f>
        <v>0.73473812385115267</v>
      </c>
      <c r="S43" s="190">
        <v>0.7703000000000001</v>
      </c>
      <c r="T43" s="196">
        <v>1</v>
      </c>
      <c r="U43" s="203">
        <f>'LE EIAData'!AU37-'LE Shares'!T43</f>
        <v>0.19402083906654322</v>
      </c>
      <c r="V43" s="190">
        <v>0.30449999999999938</v>
      </c>
      <c r="W43" s="196">
        <f>(W42+'LE EIAData'!AX37)</f>
        <v>0.36397194574771441</v>
      </c>
      <c r="X43" s="211">
        <f t="shared" ref="X43:X50" si="28">X42</f>
        <v>0.06</v>
      </c>
      <c r="Y43" s="196">
        <f>(Y42+'LE EIAData'!AN37)</f>
        <v>0.89181121828057663</v>
      </c>
      <c r="Z43" s="211">
        <f t="shared" ref="Z43:AI50" si="29">Z42</f>
        <v>0.98</v>
      </c>
      <c r="AA43" s="196">
        <f>(AA42+'LE EIAData'!AL37)</f>
        <v>0.95695602852918416</v>
      </c>
      <c r="AB43" s="211">
        <f t="shared" si="29"/>
        <v>0.98</v>
      </c>
      <c r="AC43" s="196">
        <f>(AC42+'LE EIAData'!AT37)</f>
        <v>0.81105556324622252</v>
      </c>
      <c r="AD43" s="211">
        <f t="shared" ref="AD43:AD50" si="30">AD42</f>
        <v>0.81949999999999845</v>
      </c>
      <c r="AE43" s="187">
        <f>'LE EIAData'!AY37</f>
        <v>4.3274522643686115</v>
      </c>
      <c r="AF43" s="190">
        <v>2.8376092015137693</v>
      </c>
      <c r="AG43" s="196">
        <f>'LE EIAData'!BA37</f>
        <v>0.37582818516820043</v>
      </c>
      <c r="AH43" s="211">
        <f t="shared" si="29"/>
        <v>1</v>
      </c>
      <c r="AI43" s="211">
        <f t="shared" si="29"/>
        <v>1</v>
      </c>
    </row>
    <row r="44" spans="1:36" x14ac:dyDescent="0.2">
      <c r="A44" s="198">
        <f t="shared" si="27"/>
        <v>2037</v>
      </c>
      <c r="B44" s="196">
        <f>(B43+'LE EIAData'!W43/3)</f>
        <v>0.10901124560713649</v>
      </c>
      <c r="C44" s="196">
        <f>(C43+'LE EIAData'!Y38/4)</f>
        <v>0.19729586466396615</v>
      </c>
      <c r="D44" s="190">
        <v>0.10699999999999993</v>
      </c>
      <c r="E44" s="196">
        <f>'LE EIAData'!Z38</f>
        <v>4.0048368977284386E-2</v>
      </c>
      <c r="F44" s="196">
        <f>(F43+'LE EIAData'!AC38/3)</f>
        <v>0.1292782814928343</v>
      </c>
      <c r="G44" s="190">
        <v>9.5605781170130785E-2</v>
      </c>
      <c r="H44" s="196">
        <f>(H43+'LE EIAData'!AG38)</f>
        <v>0.91129085838697654</v>
      </c>
      <c r="I44" s="190">
        <v>0.90700000000000136</v>
      </c>
      <c r="J44" s="196">
        <f>(J43+'LE EIAData'!AI38/5)</f>
        <v>0.15085269173117288</v>
      </c>
      <c r="K44" s="190">
        <v>4.6999999999999931E-2</v>
      </c>
      <c r="L44" s="190">
        <v>4.6999999999999931E-2</v>
      </c>
      <c r="M44" s="211">
        <f t="shared" ref="M44:M48" si="31">M43</f>
        <v>3.933280936740037E-2</v>
      </c>
      <c r="N44" s="203">
        <f t="shared" si="26"/>
        <v>6.3499999999999987E-2</v>
      </c>
      <c r="O44" s="190">
        <v>8.6000000000000021E-2</v>
      </c>
      <c r="P44" s="196">
        <f>(P43+'LE EIAData'!AP38/3)</f>
        <v>0.31488183558755711</v>
      </c>
      <c r="Q44" s="190">
        <v>0.23440000000000003</v>
      </c>
      <c r="R44" s="196">
        <f>(R43+'LE EIAData'!AR38)</f>
        <v>0.73587779889526772</v>
      </c>
      <c r="S44" s="190">
        <v>0.7723000000000001</v>
      </c>
      <c r="T44" s="196">
        <v>1</v>
      </c>
      <c r="U44" s="203">
        <f>'LE EIAData'!AU38-'LE Shares'!T44</f>
        <v>0.19388003692646305</v>
      </c>
      <c r="V44" s="190">
        <v>0.30469999999999936</v>
      </c>
      <c r="W44" s="196">
        <f>(W43+'LE EIAData'!AX38)</f>
        <v>0.3635582772930418</v>
      </c>
      <c r="X44" s="211">
        <f t="shared" si="28"/>
        <v>0.06</v>
      </c>
      <c r="Y44" s="196">
        <f>(Y43+'LE EIAData'!AN38)</f>
        <v>0.89699878379379627</v>
      </c>
      <c r="Z44" s="211">
        <f t="shared" si="29"/>
        <v>0.98</v>
      </c>
      <c r="AA44" s="196">
        <f>(AA43+'LE EIAData'!AL38)</f>
        <v>0.95773800037037315</v>
      </c>
      <c r="AB44" s="211">
        <f t="shared" si="29"/>
        <v>0.98</v>
      </c>
      <c r="AC44" s="196">
        <f>(AC43+'LE EIAData'!AT38)</f>
        <v>0.81252340693270841</v>
      </c>
      <c r="AD44" s="211">
        <f t="shared" si="30"/>
        <v>0.81949999999999845</v>
      </c>
      <c r="AE44" s="187">
        <f>'LE EIAData'!AY38</f>
        <v>4.3486488439961644</v>
      </c>
      <c r="AF44" s="190">
        <v>2.8376092015137693</v>
      </c>
      <c r="AG44" s="196">
        <f>'LE EIAData'!BA38</f>
        <v>0.37352329952625807</v>
      </c>
      <c r="AH44" s="211">
        <f t="shared" si="29"/>
        <v>1</v>
      </c>
      <c r="AI44" s="211">
        <f t="shared" si="29"/>
        <v>1</v>
      </c>
    </row>
    <row r="45" spans="1:36" x14ac:dyDescent="0.2">
      <c r="A45" s="198">
        <f t="shared" si="27"/>
        <v>2038</v>
      </c>
      <c r="B45" s="196">
        <f>(B44+'LE EIAData'!W45/3)</f>
        <v>0.10901124560713649</v>
      </c>
      <c r="C45" s="196">
        <f>(C44+'LE EIAData'!Y39/4)</f>
        <v>0.20028316613145125</v>
      </c>
      <c r="D45" s="190">
        <v>0.10739999999999993</v>
      </c>
      <c r="E45" s="196">
        <f>'LE EIAData'!Z39</f>
        <v>4.04110157453378E-2</v>
      </c>
      <c r="F45" s="196">
        <f>(F44+'LE EIAData'!AC39/3)</f>
        <v>0.12596092864663391</v>
      </c>
      <c r="G45" s="190">
        <v>9.5605781170130785E-2</v>
      </c>
      <c r="H45" s="196">
        <f>(H44+'LE EIAData'!AG39)</f>
        <v>0.9116366297190508</v>
      </c>
      <c r="I45" s="190">
        <v>0.90760000000000141</v>
      </c>
      <c r="J45" s="196">
        <f>(J44+'LE EIAData'!AI39/5)</f>
        <v>0.15324253290516096</v>
      </c>
      <c r="K45" s="190">
        <v>4.6999999999999931E-2</v>
      </c>
      <c r="L45" s="190">
        <v>4.6999999999999931E-2</v>
      </c>
      <c r="M45" s="211">
        <f t="shared" si="31"/>
        <v>3.933280936740037E-2</v>
      </c>
      <c r="N45" s="203">
        <f t="shared" si="26"/>
        <v>6.2999999999999987E-2</v>
      </c>
      <c r="O45" s="190">
        <v>8.6000000000000021E-2</v>
      </c>
      <c r="P45" s="196">
        <f>(P44+'LE EIAData'!AP39/3)</f>
        <v>0.31563111652809733</v>
      </c>
      <c r="Q45" s="190">
        <v>0.23440000000000003</v>
      </c>
      <c r="R45" s="196">
        <f>(R44+'LE EIAData'!AR39)</f>
        <v>0.73701747393938277</v>
      </c>
      <c r="S45" s="190">
        <v>0.7723000000000001</v>
      </c>
      <c r="T45" s="196">
        <v>1</v>
      </c>
      <c r="U45" s="203">
        <f>'LE EIAData'!AU39-'LE Shares'!T45</f>
        <v>0.19373925139014903</v>
      </c>
      <c r="V45" s="190">
        <v>0.30469999999999936</v>
      </c>
      <c r="W45" s="196">
        <f>(W44+'LE EIAData'!AX39)</f>
        <v>0.36314460883836919</v>
      </c>
      <c r="X45" s="211">
        <f t="shared" si="28"/>
        <v>0.06</v>
      </c>
      <c r="Y45" s="196">
        <f>(Y44+'LE EIAData'!AN39)</f>
        <v>0.90218634930701591</v>
      </c>
      <c r="Z45" s="211">
        <f t="shared" si="29"/>
        <v>0.98</v>
      </c>
      <c r="AA45" s="196">
        <f>(AA44+'LE EIAData'!AL39)</f>
        <v>0.95851997221156215</v>
      </c>
      <c r="AB45" s="211">
        <f t="shared" si="29"/>
        <v>0.98</v>
      </c>
      <c r="AC45" s="196">
        <f>(AC44+'LE EIAData'!AT39)</f>
        <v>0.81399125061919431</v>
      </c>
      <c r="AD45" s="211">
        <f t="shared" si="30"/>
        <v>0.81949999999999845</v>
      </c>
      <c r="AE45" s="187">
        <f>'LE EIAData'!AY39</f>
        <v>4.369949247989755</v>
      </c>
      <c r="AF45" s="190">
        <v>2.8376092015137693</v>
      </c>
      <c r="AG45" s="196">
        <f>'LE EIAData'!BA39</f>
        <v>0.3712325493271379</v>
      </c>
      <c r="AH45" s="211">
        <f t="shared" si="29"/>
        <v>1</v>
      </c>
      <c r="AI45" s="211">
        <f t="shared" si="29"/>
        <v>1</v>
      </c>
    </row>
    <row r="46" spans="1:36" x14ac:dyDescent="0.2">
      <c r="A46" s="198">
        <f t="shared" si="27"/>
        <v>2039</v>
      </c>
      <c r="B46" s="196">
        <f>(B45+'LE EIAData'!W46/3)</f>
        <v>0.10901124560713649</v>
      </c>
      <c r="C46" s="196">
        <f>(C45+'LE EIAData'!Y40/4)</f>
        <v>0.20327046759893636</v>
      </c>
      <c r="D46" s="190">
        <v>0.10780000000000001</v>
      </c>
      <c r="E46" s="196">
        <f>'LE EIAData'!Z40</f>
        <v>4.0776946359443823E-2</v>
      </c>
      <c r="F46" s="196">
        <f>(F45+'LE EIAData'!AC40/3)</f>
        <v>0.12264357580043353</v>
      </c>
      <c r="G46" s="190">
        <v>9.5605781170130785E-2</v>
      </c>
      <c r="H46" s="196">
        <f>(H45+'LE EIAData'!AG40)</f>
        <v>0.91198240105112505</v>
      </c>
      <c r="I46" s="190">
        <v>0.90760000000000141</v>
      </c>
      <c r="J46" s="196">
        <f>(J45+'LE EIAData'!AI40/5)</f>
        <v>0.15563237407914904</v>
      </c>
      <c r="K46" s="190">
        <v>4.6999999999999931E-2</v>
      </c>
      <c r="L46" s="190">
        <v>4.6999999999999931E-2</v>
      </c>
      <c r="M46" s="211">
        <f t="shared" si="31"/>
        <v>3.933280936740037E-2</v>
      </c>
      <c r="N46" s="203">
        <f t="shared" si="26"/>
        <v>6.2499999999999986E-2</v>
      </c>
      <c r="O46" s="190">
        <v>8.6000000000000021E-2</v>
      </c>
      <c r="P46" s="196">
        <f>(P45+'LE EIAData'!AP40/3)</f>
        <v>0.31638039746863755</v>
      </c>
      <c r="Q46" s="190">
        <v>0.23440000000000003</v>
      </c>
      <c r="R46" s="196">
        <f>(R45+'LE EIAData'!AR40)</f>
        <v>0.73815714898349782</v>
      </c>
      <c r="S46" s="190">
        <v>0.7723000000000001</v>
      </c>
      <c r="T46" s="196">
        <v>1</v>
      </c>
      <c r="U46" s="203">
        <f>'LE EIAData'!AU40-'LE Shares'!T46</f>
        <v>0.19359848245564293</v>
      </c>
      <c r="V46" s="190">
        <v>0.30469999999999936</v>
      </c>
      <c r="W46" s="196">
        <f>(W45+'LE EIAData'!AX40)</f>
        <v>0.36273094038369658</v>
      </c>
      <c r="X46" s="211">
        <f t="shared" si="28"/>
        <v>0.06</v>
      </c>
      <c r="Y46" s="196">
        <f>(Y45+'LE EIAData'!AN40)</f>
        <v>0.90737391482023555</v>
      </c>
      <c r="Z46" s="211">
        <f t="shared" si="29"/>
        <v>0.98</v>
      </c>
      <c r="AA46" s="196">
        <f>(AA45+'LE EIAData'!AL40)</f>
        <v>0.95930194405275115</v>
      </c>
      <c r="AB46" s="211">
        <f t="shared" si="29"/>
        <v>0.98</v>
      </c>
      <c r="AC46" s="196">
        <f>(AC45+'LE EIAData'!AT40)</f>
        <v>0.8154590943056802</v>
      </c>
      <c r="AD46" s="211">
        <f t="shared" si="30"/>
        <v>0.81949999999999845</v>
      </c>
      <c r="AE46" s="187">
        <f>'LE EIAData'!AY40</f>
        <v>4.3913539848983651</v>
      </c>
      <c r="AF46" s="190">
        <v>2.8376092015137693</v>
      </c>
      <c r="AG46" s="196">
        <f>'LE EIAData'!BA40</f>
        <v>0.36895584788074992</v>
      </c>
      <c r="AH46" s="211">
        <f t="shared" si="29"/>
        <v>1</v>
      </c>
      <c r="AI46" s="211">
        <f t="shared" si="29"/>
        <v>1</v>
      </c>
    </row>
    <row r="47" spans="1:36" x14ac:dyDescent="0.2">
      <c r="A47" s="198">
        <f t="shared" si="27"/>
        <v>2040</v>
      </c>
      <c r="B47" s="196">
        <f>(B46+'LE EIAData'!W47/3)</f>
        <v>0.10901124560713649</v>
      </c>
      <c r="C47" s="196">
        <f>(C46+'LE EIAData'!Y41/4)</f>
        <v>0.20625776906642146</v>
      </c>
      <c r="D47" s="190">
        <v>0.1082</v>
      </c>
      <c r="E47" s="196">
        <f>'LE EIAData'!Z41</f>
        <v>4.1146190555548967E-2</v>
      </c>
      <c r="F47" s="196">
        <f>(F46+'LE EIAData'!AC41/3)</f>
        <v>0.11932622295423315</v>
      </c>
      <c r="G47" s="190">
        <v>9.5605781170130785E-2</v>
      </c>
      <c r="H47" s="196">
        <f>(H46+'LE EIAData'!AG41)</f>
        <v>0.9123281723831993</v>
      </c>
      <c r="I47" s="190">
        <v>0.90760000000000141</v>
      </c>
      <c r="J47" s="196">
        <f>(J46+'LE EIAData'!AI41/5)</f>
        <v>0.15802221525313712</v>
      </c>
      <c r="K47" s="190">
        <v>4.6999999999999931E-2</v>
      </c>
      <c r="L47" s="190">
        <v>4.6999999999999931E-2</v>
      </c>
      <c r="M47" s="211">
        <f t="shared" si="31"/>
        <v>3.933280936740037E-2</v>
      </c>
      <c r="N47" s="203">
        <f t="shared" si="26"/>
        <v>6.1999999999999986E-2</v>
      </c>
      <c r="O47" s="190">
        <v>8.6000000000000021E-2</v>
      </c>
      <c r="P47" s="196">
        <f>(P46+'LE EIAData'!AP41/3)</f>
        <v>0.31712967840917777</v>
      </c>
      <c r="Q47" s="190">
        <v>0.23440000000000003</v>
      </c>
      <c r="R47" s="196">
        <f>(R46+'LE EIAData'!AR41)</f>
        <v>0.73929682402761288</v>
      </c>
      <c r="S47" s="190">
        <v>0.7723000000000001</v>
      </c>
      <c r="T47" s="196">
        <v>1</v>
      </c>
      <c r="U47" s="203">
        <f>'LE EIAData'!AU41-'LE Shares'!T47</f>
        <v>0.19345773012098721</v>
      </c>
      <c r="V47" s="190">
        <v>0.30469999999999936</v>
      </c>
      <c r="W47" s="196">
        <f>(W46+'LE EIAData'!AX41)</f>
        <v>0.36231727192902397</v>
      </c>
      <c r="X47" s="211">
        <f t="shared" si="28"/>
        <v>0.06</v>
      </c>
      <c r="Y47" s="196">
        <f>(Y46+'LE EIAData'!AN41)</f>
        <v>0.91256148033345519</v>
      </c>
      <c r="Z47" s="211">
        <f t="shared" si="29"/>
        <v>0.98</v>
      </c>
      <c r="AA47" s="196">
        <f>(AA46+'LE EIAData'!AL41)</f>
        <v>0.96008391589394015</v>
      </c>
      <c r="AB47" s="211">
        <f t="shared" si="29"/>
        <v>0.98</v>
      </c>
      <c r="AC47" s="196">
        <f>(AC46+'LE EIAData'!AT41)</f>
        <v>0.81692693799216609</v>
      </c>
      <c r="AD47" s="211">
        <f t="shared" si="30"/>
        <v>0.81949999999999845</v>
      </c>
      <c r="AE47" s="187">
        <f>'LE EIAData'!AY41</f>
        <v>4.4128635657619331</v>
      </c>
      <c r="AF47" s="190">
        <v>2.8376092015137693</v>
      </c>
      <c r="AG47" s="196">
        <f>'LE EIAData'!BA41</f>
        <v>0.36669310902865865</v>
      </c>
      <c r="AH47" s="211">
        <f t="shared" si="29"/>
        <v>1</v>
      </c>
      <c r="AI47" s="211">
        <f t="shared" si="29"/>
        <v>1</v>
      </c>
    </row>
    <row r="48" spans="1:36" x14ac:dyDescent="0.2">
      <c r="A48" s="198">
        <f t="shared" si="27"/>
        <v>2041</v>
      </c>
      <c r="B48" s="196">
        <f>(B47+'LE EIAData'!W48/3)</f>
        <v>0.10901124560713649</v>
      </c>
      <c r="C48" s="196">
        <f>(C47+'LE EIAData'!Y42/4)</f>
        <v>0.20924507053390656</v>
      </c>
      <c r="D48" s="190">
        <v>0.1082</v>
      </c>
      <c r="E48" s="196">
        <f>'LE EIAData'!Z42</f>
        <v>4.1518778338865268E-2</v>
      </c>
      <c r="F48" s="196">
        <f>(F47+'LE EIAData'!AC42/3)</f>
        <v>0.1160088701080328</v>
      </c>
      <c r="G48" s="190">
        <v>9.5605781170130785E-2</v>
      </c>
      <c r="H48" s="196">
        <f>(H47+'LE EIAData'!AG42)</f>
        <v>0.91267394371527355</v>
      </c>
      <c r="I48" s="190">
        <v>0.90760000000000141</v>
      </c>
      <c r="J48" s="196">
        <f>(J47+'LE EIAData'!AI42/5)</f>
        <v>0.16041205642712519</v>
      </c>
      <c r="K48" s="190">
        <v>4.6999999999999931E-2</v>
      </c>
      <c r="L48" s="190">
        <v>4.6999999999999931E-2</v>
      </c>
      <c r="M48" s="211">
        <f t="shared" si="31"/>
        <v>3.933280936740037E-2</v>
      </c>
      <c r="N48" s="203">
        <f t="shared" si="26"/>
        <v>6.1499999999999985E-2</v>
      </c>
      <c r="O48" s="190">
        <v>8.6000000000000021E-2</v>
      </c>
      <c r="P48" s="196">
        <f>(P47+'LE EIAData'!AP42/3)</f>
        <v>0.31787895934971799</v>
      </c>
      <c r="Q48" s="190">
        <v>0.23440000000000003</v>
      </c>
      <c r="R48" s="196">
        <f>(R47+'LE EIAData'!AR42)</f>
        <v>0.74043649907172793</v>
      </c>
      <c r="S48" s="190">
        <v>0.7723000000000001</v>
      </c>
      <c r="T48" s="196">
        <v>1</v>
      </c>
      <c r="U48" s="203">
        <f>'LE EIAData'!AU42-'LE Shares'!T48</f>
        <v>0.19331699438422434</v>
      </c>
      <c r="V48" s="190">
        <v>0.30469999999999936</v>
      </c>
      <c r="W48" s="196">
        <f>(W47+'LE EIAData'!AX42)</f>
        <v>0.36190360347435135</v>
      </c>
      <c r="X48" s="211">
        <f t="shared" si="28"/>
        <v>0.06</v>
      </c>
      <c r="Y48" s="196">
        <f>(Y47+'LE EIAData'!AN42)</f>
        <v>0.91774904584667483</v>
      </c>
      <c r="Z48" s="211">
        <f t="shared" si="29"/>
        <v>0.98</v>
      </c>
      <c r="AA48" s="196">
        <f>(AA47+'LE EIAData'!AL42)</f>
        <v>0.96086588773512915</v>
      </c>
      <c r="AB48" s="211">
        <f t="shared" si="29"/>
        <v>0.98</v>
      </c>
      <c r="AC48" s="196">
        <f>(AC47+'LE EIAData'!AT42)</f>
        <v>0.81839478167865198</v>
      </c>
      <c r="AD48" s="211">
        <f t="shared" si="30"/>
        <v>0.81949999999999845</v>
      </c>
      <c r="AE48" s="187">
        <f>'LE EIAData'!AY42</f>
        <v>4.4344785041235575</v>
      </c>
      <c r="AF48" s="190">
        <v>2.8376092015137693</v>
      </c>
      <c r="AG48" s="196">
        <f>'LE EIAData'!BA42</f>
        <v>0.36444424714082252</v>
      </c>
      <c r="AH48" s="211">
        <f t="shared" si="29"/>
        <v>1</v>
      </c>
      <c r="AI48" s="211">
        <f t="shared" si="29"/>
        <v>1</v>
      </c>
    </row>
    <row r="49" spans="1:35" x14ac:dyDescent="0.2">
      <c r="A49" s="198">
        <f t="shared" si="27"/>
        <v>2042</v>
      </c>
      <c r="B49" s="196">
        <f>(B48+'LE EIAData'!W49/3)</f>
        <v>0.10901124560713649</v>
      </c>
      <c r="C49" s="196">
        <f>(C48+'LE EIAData'!Y43/4)</f>
        <v>0.21223237200139167</v>
      </c>
      <c r="E49" s="196">
        <f>'LE EIAData'!Z43</f>
        <v>4.1894739986308528E-2</v>
      </c>
      <c r="F49" s="196">
        <f>(F48+'LE EIAData'!AC43/3)</f>
        <v>0.11269151726183246</v>
      </c>
      <c r="H49" s="196">
        <f>(H48+'LE EIAData'!AG43)</f>
        <v>0.9130197150473478</v>
      </c>
      <c r="J49" s="196">
        <f>(J48+'LE EIAData'!AI43/5)</f>
        <v>0.16280189760111327</v>
      </c>
      <c r="M49" s="211">
        <f>M48</f>
        <v>3.933280936740037E-2</v>
      </c>
      <c r="N49" s="203">
        <f t="shared" si="26"/>
        <v>6.0999999999999985E-2</v>
      </c>
      <c r="P49" s="196">
        <f>(P48+'LE EIAData'!AP43/3)</f>
        <v>0.31862824029025821</v>
      </c>
      <c r="R49" s="196">
        <f>(R48+'LE EIAData'!AR43)</f>
        <v>0.74157617411584298</v>
      </c>
      <c r="T49" s="196">
        <v>1</v>
      </c>
      <c r="U49" s="203">
        <f>'LE EIAData'!AU43-'LE Shares'!T49</f>
        <v>0.1931762752433972</v>
      </c>
      <c r="W49" s="196">
        <f>(W48+'LE EIAData'!AX43)</f>
        <v>0.36148993501967874</v>
      </c>
      <c r="X49" s="211">
        <f t="shared" si="28"/>
        <v>0.06</v>
      </c>
      <c r="Y49" s="196">
        <f>(Y48+'LE EIAData'!AN43)</f>
        <v>0.92293661135989447</v>
      </c>
      <c r="Z49" s="211">
        <f t="shared" si="29"/>
        <v>0.98</v>
      </c>
      <c r="AA49" s="196">
        <f>(AA48+'LE EIAData'!AL43)</f>
        <v>0.96164785957631815</v>
      </c>
      <c r="AB49" s="211">
        <f t="shared" si="29"/>
        <v>0.98</v>
      </c>
      <c r="AC49" s="196">
        <f>(AC48+'LE EIAData'!AT43)</f>
        <v>0.81986262536513788</v>
      </c>
      <c r="AD49" s="211">
        <f t="shared" si="30"/>
        <v>0.81949999999999845</v>
      </c>
      <c r="AE49" s="187">
        <f>'LE EIAData'!AY43</f>
        <v>4.4561993160417543</v>
      </c>
      <c r="AF49" s="202">
        <f>AF48</f>
        <v>2.8376092015137693</v>
      </c>
      <c r="AG49" s="196">
        <f>'LE EIAData'!BA43</f>
        <v>0.36220917711235334</v>
      </c>
      <c r="AH49" s="211">
        <f t="shared" si="29"/>
        <v>1</v>
      </c>
      <c r="AI49" s="211">
        <f t="shared" si="29"/>
        <v>1</v>
      </c>
    </row>
    <row r="50" spans="1:35" x14ac:dyDescent="0.2">
      <c r="A50" s="198">
        <f t="shared" si="27"/>
        <v>2043</v>
      </c>
      <c r="B50" s="196">
        <f>(B49+'LE EIAData'!W50/3)</f>
        <v>0.10901124560713649</v>
      </c>
      <c r="C50" s="196">
        <f>(C49+'LE EIAData'!Y45/4)</f>
        <v>0.21223237200139167</v>
      </c>
      <c r="E50" s="196">
        <f>'LE EIAData'!Z44</f>
        <v>4.2274106048958676E-2</v>
      </c>
      <c r="F50" s="196">
        <f>(F49+'LE EIAData'!AC45/3)</f>
        <v>0.11269151726183246</v>
      </c>
      <c r="H50" s="196">
        <f>(H49+'LE EIAData'!AG45)</f>
        <v>0.9130197150473478</v>
      </c>
      <c r="J50" s="196">
        <f>(J49+'LE EIAData'!AI45/5)</f>
        <v>0.16280189760111327</v>
      </c>
      <c r="M50" s="211">
        <f>M49</f>
        <v>3.933280936740037E-2</v>
      </c>
      <c r="N50" s="203">
        <f t="shared" si="26"/>
        <v>6.0499999999999984E-2</v>
      </c>
      <c r="P50" s="196">
        <f>(P49+'LE EIAData'!AP45/3)</f>
        <v>0.31862824029025821</v>
      </c>
      <c r="R50" s="196">
        <f>(R49+'LE EIAData'!AR45)</f>
        <v>0.74157617411584298</v>
      </c>
      <c r="T50" s="196">
        <v>1</v>
      </c>
      <c r="U50" s="203">
        <f>'LE EIAData'!AU44-'LE Shares'!T50</f>
        <v>0.1930355726965487</v>
      </c>
      <c r="W50" s="196">
        <f>(W49+'LE EIAData'!AX45)</f>
        <v>0.36148993501967874</v>
      </c>
      <c r="X50" s="211">
        <f t="shared" si="28"/>
        <v>0.06</v>
      </c>
      <c r="Y50" s="196">
        <f>(Y49+'LE EIAData'!AN45)</f>
        <v>0.92293661135989447</v>
      </c>
      <c r="Z50" s="211">
        <f t="shared" si="29"/>
        <v>0.98</v>
      </c>
      <c r="AA50" s="196">
        <f>(AA49+'LE EIAData'!AL45)</f>
        <v>0.96164785957631815</v>
      </c>
      <c r="AB50" s="211">
        <f t="shared" si="29"/>
        <v>0.98</v>
      </c>
      <c r="AC50" s="196">
        <f>(AC49+'LE EIAData'!AT45)</f>
        <v>0.81986262536513788</v>
      </c>
      <c r="AD50" s="211">
        <f t="shared" si="30"/>
        <v>0.81949999999999845</v>
      </c>
      <c r="AE50" s="187">
        <f>'LE EIAData'!AY44</f>
        <v>4.4780265201027802</v>
      </c>
      <c r="AF50" s="202">
        <f>AF49</f>
        <v>2.8376092015137693</v>
      </c>
      <c r="AG50" s="196">
        <f>'LE EIAData'!BA44</f>
        <v>0.3599878143602957</v>
      </c>
      <c r="AH50" s="211">
        <f t="shared" si="29"/>
        <v>1</v>
      </c>
      <c r="AI50" s="211">
        <f t="shared" si="29"/>
        <v>1</v>
      </c>
    </row>
    <row r="51" spans="1:35" x14ac:dyDescent="0.2">
      <c r="AE51" s="187"/>
    </row>
    <row r="52" spans="1:35" x14ac:dyDescent="0.2">
      <c r="C52" s="170">
        <f>C25/C12</f>
        <v>1.8657611279738673</v>
      </c>
      <c r="D52" s="170">
        <f t="shared" ref="D52:E52" si="32">D25/D12</f>
        <v>1.0529661016949148</v>
      </c>
      <c r="E52" s="170">
        <f t="shared" si="32"/>
        <v>5.2773028111113121</v>
      </c>
      <c r="AE52" s="187"/>
    </row>
    <row r="53" spans="1:35" x14ac:dyDescent="0.2">
      <c r="A53" s="186">
        <v>2016</v>
      </c>
      <c r="B53" s="284">
        <f>B23/B22-1</f>
        <v>-1.1432628070788819E-2</v>
      </c>
      <c r="C53" s="284">
        <f>C23/C22-1</f>
        <v>4.7101223001406733E-2</v>
      </c>
      <c r="D53" s="284">
        <f>D23/D22-1</f>
        <v>4.0733197556008793E-3</v>
      </c>
      <c r="E53" s="284">
        <f>E23/E22-1</f>
        <v>0.14177297721472115</v>
      </c>
      <c r="F53" s="284">
        <f t="shared" ref="F53:AI55" si="33">F23/F22-1</f>
        <v>-2.1403748835205794E-2</v>
      </c>
      <c r="G53" s="284">
        <f t="shared" si="33"/>
        <v>-1.0539611054094622E-2</v>
      </c>
      <c r="H53" s="284">
        <f t="shared" si="33"/>
        <v>-2.0692318202786275E-4</v>
      </c>
      <c r="I53" s="284">
        <f t="shared" si="33"/>
        <v>6.7129111658092988E-4</v>
      </c>
      <c r="J53" s="284">
        <f t="shared" si="33"/>
        <v>5.1090933817628414E-2</v>
      </c>
      <c r="K53" s="284">
        <f t="shared" si="33"/>
        <v>1.0471204188481575E-2</v>
      </c>
      <c r="L53" s="284">
        <f t="shared" si="33"/>
        <v>1.0471204188481575E-2</v>
      </c>
      <c r="M53" s="284">
        <f t="shared" si="33"/>
        <v>0.14177297721472115</v>
      </c>
      <c r="N53" s="284">
        <f t="shared" si="33"/>
        <v>-6.7114093959731447E-3</v>
      </c>
      <c r="O53" s="284">
        <f t="shared" si="33"/>
        <v>-1.1986301369863006E-2</v>
      </c>
      <c r="P53" s="284">
        <f t="shared" si="33"/>
        <v>4.5703180986385039E-3</v>
      </c>
      <c r="Q53" s="284">
        <f t="shared" si="33"/>
        <v>4.7080979284368496E-3</v>
      </c>
      <c r="R53" s="284">
        <f t="shared" si="33"/>
        <v>1.5721337245324651E-3</v>
      </c>
      <c r="S53" s="284">
        <f t="shared" si="33"/>
        <v>2.7461211039407907E-3</v>
      </c>
      <c r="T53" s="284">
        <f t="shared" si="33"/>
        <v>0</v>
      </c>
      <c r="U53" s="284">
        <f t="shared" si="33"/>
        <v>-1.9853887833052308E-3</v>
      </c>
      <c r="V53" s="284">
        <f t="shared" si="33"/>
        <v>6.6600066600064345E-4</v>
      </c>
      <c r="W53" s="284">
        <f t="shared" si="33"/>
        <v>-5.0562548038779465E-4</v>
      </c>
      <c r="X53" s="284">
        <f t="shared" si="33"/>
        <v>0</v>
      </c>
      <c r="Y53" s="284">
        <f t="shared" si="33"/>
        <v>9.4992032146161698E-3</v>
      </c>
      <c r="Z53" s="284">
        <f t="shared" si="33"/>
        <v>0</v>
      </c>
      <c r="AA53" s="284">
        <f t="shared" si="33"/>
        <v>1.4361267217417595E-3</v>
      </c>
      <c r="AB53" s="284">
        <f t="shared" si="33"/>
        <v>0</v>
      </c>
      <c r="AC53" s="284">
        <f t="shared" si="33"/>
        <v>3.1829415851518661E-3</v>
      </c>
      <c r="AD53" s="284">
        <f t="shared" si="33"/>
        <v>1.8999366687777464E-3</v>
      </c>
      <c r="AE53" s="284">
        <f t="shared" si="33"/>
        <v>-2.6737985822641308E-3</v>
      </c>
      <c r="AF53" s="284">
        <f t="shared" si="33"/>
        <v>3.6414876108423755E-3</v>
      </c>
      <c r="AG53" s="284">
        <f t="shared" si="33"/>
        <v>-1.0106946162090291E-2</v>
      </c>
      <c r="AH53" s="284">
        <f t="shared" si="33"/>
        <v>0</v>
      </c>
      <c r="AI53" s="284">
        <f t="shared" si="33"/>
        <v>0</v>
      </c>
    </row>
    <row r="54" spans="1:35" x14ac:dyDescent="0.2">
      <c r="A54" s="186">
        <v>2017</v>
      </c>
      <c r="B54" s="284">
        <f t="shared" ref="B54:E55" si="34">B24/B23-1</f>
        <v>-9.0319904858526812E-3</v>
      </c>
      <c r="C54" s="284">
        <f t="shared" si="34"/>
        <v>4.4658666751099974E-2</v>
      </c>
      <c r="D54" s="284">
        <f t="shared" si="34"/>
        <v>4.0567951318457585E-3</v>
      </c>
      <c r="E54" s="284">
        <f t="shared" si="34"/>
        <v>0.10841110685320077</v>
      </c>
      <c r="F54" s="284">
        <f t="shared" si="33"/>
        <v>-2.1731183017831168E-2</v>
      </c>
      <c r="G54" s="284">
        <f t="shared" si="33"/>
        <v>-1.0514719683720752E-2</v>
      </c>
      <c r="H54" s="284">
        <f t="shared" si="33"/>
        <v>1.3810263664826294E-4</v>
      </c>
      <c r="I54" s="284">
        <f t="shared" si="33"/>
        <v>6.7084078711943107E-4</v>
      </c>
      <c r="J54" s="284">
        <f t="shared" si="33"/>
        <v>4.8257607506879241E-2</v>
      </c>
      <c r="K54" s="284">
        <f t="shared" si="33"/>
        <v>1.0362694300518172E-2</v>
      </c>
      <c r="L54" s="284">
        <f t="shared" si="33"/>
        <v>1.0362694300518172E-2</v>
      </c>
      <c r="M54" s="284">
        <f t="shared" si="33"/>
        <v>0.10841110685320077</v>
      </c>
      <c r="N54" s="284">
        <f t="shared" si="33"/>
        <v>-6.7567567567567988E-3</v>
      </c>
      <c r="O54" s="284">
        <f t="shared" si="33"/>
        <v>-1.2131715771230511E-2</v>
      </c>
      <c r="P54" s="284">
        <f t="shared" si="33"/>
        <v>5.8665979348080377E-3</v>
      </c>
      <c r="Q54" s="284">
        <f t="shared" si="33"/>
        <v>4.6860356138707093E-3</v>
      </c>
      <c r="R54" s="284">
        <f t="shared" si="33"/>
        <v>1.5009040025755205E-3</v>
      </c>
      <c r="S54" s="284">
        <f t="shared" si="33"/>
        <v>2.7386005751062203E-3</v>
      </c>
      <c r="T54" s="284">
        <f t="shared" si="33"/>
        <v>0</v>
      </c>
      <c r="U54" s="284">
        <f t="shared" si="33"/>
        <v>-2.7904877648032844E-3</v>
      </c>
      <c r="V54" s="284">
        <f t="shared" si="33"/>
        <v>6.655574043259449E-4</v>
      </c>
      <c r="W54" s="284">
        <f t="shared" si="33"/>
        <v>-6.6010705507890677E-4</v>
      </c>
      <c r="X54" s="284">
        <f t="shared" si="33"/>
        <v>0</v>
      </c>
      <c r="Y54" s="284">
        <f t="shared" si="33"/>
        <v>9.5258725106530662E-3</v>
      </c>
      <c r="Z54" s="284">
        <f t="shared" si="33"/>
        <v>0</v>
      </c>
      <c r="AA54" s="284">
        <f t="shared" si="33"/>
        <v>1.5036075328618281E-3</v>
      </c>
      <c r="AB54" s="284">
        <f t="shared" si="33"/>
        <v>0</v>
      </c>
      <c r="AC54" s="284">
        <f t="shared" si="33"/>
        <v>3.1668955315065084E-3</v>
      </c>
      <c r="AD54" s="284">
        <f t="shared" si="33"/>
        <v>1.8963337547408532E-3</v>
      </c>
      <c r="AE54" s="284">
        <f t="shared" si="33"/>
        <v>-9.3590833594126011E-4</v>
      </c>
      <c r="AF54" s="284">
        <f t="shared" si="33"/>
        <v>3.6309882742944222E-3</v>
      </c>
      <c r="AG54" s="284">
        <f t="shared" si="33"/>
        <v>-1.0788053116973173E-2</v>
      </c>
      <c r="AH54" s="284">
        <f t="shared" si="33"/>
        <v>0</v>
      </c>
      <c r="AI54" s="284">
        <f t="shared" si="33"/>
        <v>0</v>
      </c>
    </row>
    <row r="55" spans="1:35" x14ac:dyDescent="0.2">
      <c r="A55" s="186">
        <v>2018</v>
      </c>
      <c r="B55" s="284">
        <f t="shared" si="34"/>
        <v>-7.4825183876042756E-3</v>
      </c>
      <c r="C55" s="284">
        <f t="shared" si="34"/>
        <v>4.0849675107382799E-2</v>
      </c>
      <c r="D55" s="284">
        <f t="shared" si="34"/>
        <v>4.0404040404040664E-3</v>
      </c>
      <c r="E55" s="284">
        <f t="shared" si="34"/>
        <v>8.4585636104942852E-2</v>
      </c>
      <c r="F55" s="284">
        <f t="shared" si="33"/>
        <v>-2.141942643023631E-2</v>
      </c>
      <c r="G55" s="284">
        <f t="shared" si="33"/>
        <v>-1.0539260862760469E-2</v>
      </c>
      <c r="H55" s="284">
        <f t="shared" si="33"/>
        <v>4.8794320927525447E-4</v>
      </c>
      <c r="I55" s="284">
        <f t="shared" si="33"/>
        <v>6.7039106145316829E-4</v>
      </c>
      <c r="J55" s="284">
        <f t="shared" si="33"/>
        <v>4.3990108076254808E-2</v>
      </c>
      <c r="K55" s="284">
        <f t="shared" si="33"/>
        <v>1.025641025641022E-2</v>
      </c>
      <c r="L55" s="284">
        <f t="shared" si="33"/>
        <v>1.025641025641022E-2</v>
      </c>
      <c r="M55" s="284">
        <f t="shared" si="33"/>
        <v>8.4585636104942852E-2</v>
      </c>
      <c r="N55" s="284">
        <f t="shared" si="33"/>
        <v>-6.8027210884353817E-3</v>
      </c>
      <c r="O55" s="284">
        <f t="shared" si="33"/>
        <v>-1.2280701754386003E-2</v>
      </c>
      <c r="P55" s="284">
        <f t="shared" si="33"/>
        <v>5.4238301642524078E-3</v>
      </c>
      <c r="Q55" s="284">
        <f t="shared" si="33"/>
        <v>4.6641791044776948E-3</v>
      </c>
      <c r="R55" s="284">
        <f t="shared" si="33"/>
        <v>1.4715272720622341E-3</v>
      </c>
      <c r="S55" s="284">
        <f t="shared" si="33"/>
        <v>2.7311211252218914E-3</v>
      </c>
      <c r="T55" s="284">
        <f t="shared" si="33"/>
        <v>0</v>
      </c>
      <c r="U55" s="284">
        <f t="shared" si="33"/>
        <v>-3.0123907988454102E-3</v>
      </c>
      <c r="V55" s="284">
        <f t="shared" si="33"/>
        <v>6.6511473229113882E-4</v>
      </c>
      <c r="W55" s="284">
        <f t="shared" si="33"/>
        <v>-5.0411672353389836E-4</v>
      </c>
      <c r="X55" s="284">
        <f t="shared" si="33"/>
        <v>0</v>
      </c>
      <c r="Y55" s="284">
        <f t="shared" si="33"/>
        <v>9.3597429842418034E-3</v>
      </c>
      <c r="Z55" s="284">
        <f t="shared" si="33"/>
        <v>0</v>
      </c>
      <c r="AA55" s="284">
        <f t="shared" si="33"/>
        <v>1.4977089671475152E-3</v>
      </c>
      <c r="AB55" s="284">
        <f t="shared" si="33"/>
        <v>0</v>
      </c>
      <c r="AC55" s="284">
        <f t="shared" si="33"/>
        <v>3.1000673321406325E-3</v>
      </c>
      <c r="AD55" s="284">
        <f t="shared" si="33"/>
        <v>1.8927444794951676E-3</v>
      </c>
      <c r="AE55" s="284">
        <f t="shared" si="33"/>
        <v>7.4263765239801494E-4</v>
      </c>
      <c r="AF55" s="284">
        <f t="shared" si="33"/>
        <v>3.6252740755773338E-3</v>
      </c>
      <c r="AG55" s="284">
        <f t="shared" si="33"/>
        <v>-1.058470650581389E-2</v>
      </c>
      <c r="AH55" s="284">
        <f t="shared" si="33"/>
        <v>0</v>
      </c>
      <c r="AI55" s="284">
        <f t="shared" si="33"/>
        <v>0</v>
      </c>
    </row>
    <row r="56" spans="1:35" x14ac:dyDescent="0.2">
      <c r="AE56" s="187"/>
    </row>
    <row r="57" spans="1:35" x14ac:dyDescent="0.2">
      <c r="AE57" s="187"/>
    </row>
    <row r="58" spans="1:35" x14ac:dyDescent="0.2">
      <c r="AE58" s="187"/>
    </row>
    <row r="59" spans="1:35" x14ac:dyDescent="0.2">
      <c r="AE59" s="187"/>
    </row>
  </sheetData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abSelected="1" workbookViewId="0">
      <pane ySplit="1" topLeftCell="A2" activePane="bottomLeft" state="frozenSplit"/>
      <selection pane="bottomLeft"/>
    </sheetView>
  </sheetViews>
  <sheetFormatPr defaultRowHeight="12.75" x14ac:dyDescent="0.2"/>
  <cols>
    <col min="1" max="1" width="5.85546875" customWidth="1"/>
    <col min="2" max="2" width="7" style="9" bestFit="1" customWidth="1"/>
    <col min="3" max="3" width="8.28515625" style="9" bestFit="1" customWidth="1"/>
    <col min="4" max="5" width="8.28515625" style="9" customWidth="1"/>
    <col min="6" max="6" width="7.28515625" style="9" bestFit="1" customWidth="1"/>
    <col min="7" max="7" width="8.28515625" style="9" bestFit="1" customWidth="1"/>
    <col min="8" max="8" width="8.28515625" style="9" customWidth="1"/>
    <col min="9" max="9" width="6.7109375" style="9" bestFit="1" customWidth="1"/>
    <col min="10" max="10" width="8.7109375" style="9" bestFit="1" customWidth="1"/>
    <col min="11" max="11" width="8.7109375" style="44" bestFit="1" customWidth="1"/>
    <col min="12" max="14" width="10.28515625" style="44" bestFit="1" customWidth="1"/>
    <col min="15" max="16" width="8.7109375" style="44" bestFit="1" customWidth="1"/>
    <col min="17" max="17" width="10.28515625" style="44" bestFit="1" customWidth="1"/>
    <col min="18" max="18" width="8.7109375" style="44" bestFit="1" customWidth="1"/>
    <col min="19" max="19" width="8.7109375" style="44" customWidth="1"/>
    <col min="20" max="20" width="10.28515625" style="44" bestFit="1" customWidth="1"/>
    <col min="21" max="21" width="9.28515625" bestFit="1" customWidth="1"/>
  </cols>
  <sheetData>
    <row r="1" spans="1:26" s="3" customFormat="1" x14ac:dyDescent="0.2">
      <c r="A1" s="18" t="s">
        <v>15</v>
      </c>
      <c r="B1" s="41" t="s">
        <v>0</v>
      </c>
      <c r="C1" s="41" t="s">
        <v>1</v>
      </c>
      <c r="D1" s="41" t="s">
        <v>164</v>
      </c>
      <c r="E1" s="41" t="s">
        <v>147</v>
      </c>
      <c r="F1" s="41" t="s">
        <v>2</v>
      </c>
      <c r="G1" s="41" t="s">
        <v>3</v>
      </c>
      <c r="H1" s="41" t="s">
        <v>166</v>
      </c>
      <c r="I1" s="41" t="s">
        <v>4</v>
      </c>
      <c r="J1" s="41" t="s">
        <v>5</v>
      </c>
      <c r="K1" s="37" t="s">
        <v>6</v>
      </c>
      <c r="L1" s="38" t="s">
        <v>7</v>
      </c>
      <c r="M1" s="38" t="s">
        <v>8</v>
      </c>
      <c r="N1" s="38" t="s">
        <v>9</v>
      </c>
      <c r="O1" s="37" t="s">
        <v>10</v>
      </c>
      <c r="P1" s="37" t="s">
        <v>11</v>
      </c>
      <c r="Q1" s="37" t="s">
        <v>12</v>
      </c>
      <c r="R1" s="38" t="s">
        <v>100</v>
      </c>
      <c r="S1" s="38" t="s">
        <v>174</v>
      </c>
      <c r="T1" s="38" t="s">
        <v>13</v>
      </c>
      <c r="U1" s="215" t="s">
        <v>14</v>
      </c>
      <c r="V1" s="3" t="s">
        <v>284</v>
      </c>
    </row>
    <row r="2" spans="1:26" x14ac:dyDescent="0.2">
      <c r="A2" s="24">
        <v>1995</v>
      </c>
      <c r="B2" s="327">
        <v>3.4119999999999999</v>
      </c>
      <c r="C2" s="118">
        <v>6.6145431549056699</v>
      </c>
      <c r="D2" s="118">
        <v>3.22</v>
      </c>
      <c r="E2" s="118">
        <v>672.80825918693779</v>
      </c>
      <c r="F2" s="118">
        <v>9.0326946012654545</v>
      </c>
      <c r="G2" s="118">
        <v>10.100210866762</v>
      </c>
      <c r="H2" s="118">
        <v>12.759999999999987</v>
      </c>
      <c r="I2" s="118">
        <v>8.2767889420950311</v>
      </c>
      <c r="J2" s="118">
        <v>0.86162231376373388</v>
      </c>
      <c r="K2" s="118">
        <v>332.28448403002676</v>
      </c>
      <c r="L2" s="118">
        <v>785.42382844601207</v>
      </c>
      <c r="M2" s="118">
        <v>706.88144560141018</v>
      </c>
      <c r="N2" s="118">
        <v>597.8861696134619</v>
      </c>
      <c r="O2" s="118">
        <v>516.35370934786215</v>
      </c>
      <c r="P2" s="118">
        <v>121.61550489098488</v>
      </c>
      <c r="Q2" s="118">
        <v>974.17608841809999</v>
      </c>
      <c r="R2" s="118">
        <v>192.30104310978115</v>
      </c>
      <c r="S2" s="118">
        <v>417.63542342875638</v>
      </c>
      <c r="T2" s="118">
        <v>1994.4411425298797</v>
      </c>
      <c r="U2" s="216">
        <v>2905.497023945918</v>
      </c>
      <c r="V2" s="328"/>
    </row>
    <row r="3" spans="1:26" x14ac:dyDescent="0.2">
      <c r="A3" s="24">
        <v>1996</v>
      </c>
      <c r="B3" s="327">
        <v>3.4119999999999999</v>
      </c>
      <c r="C3" s="122">
        <v>6.6592920626215495</v>
      </c>
      <c r="D3" s="122">
        <v>3.2280000000000002</v>
      </c>
      <c r="E3" s="122">
        <v>668.07399668742369</v>
      </c>
      <c r="F3" s="122">
        <v>9.2506298859263261</v>
      </c>
      <c r="G3" s="122">
        <v>10.242185675954905</v>
      </c>
      <c r="H3" s="122">
        <v>12.863999999999988</v>
      </c>
      <c r="I3" s="122">
        <v>8.396960714060187</v>
      </c>
      <c r="J3" s="122">
        <v>0.86375195184880027</v>
      </c>
      <c r="K3" s="122">
        <v>332.19678296536182</v>
      </c>
      <c r="L3" s="122">
        <v>773.49978643912505</v>
      </c>
      <c r="M3" s="122">
        <v>696.14980779521193</v>
      </c>
      <c r="N3" s="122">
        <v>591.67097493347887</v>
      </c>
      <c r="O3" s="122">
        <v>508.12395663771969</v>
      </c>
      <c r="P3" s="122">
        <v>120.50651716030856</v>
      </c>
      <c r="Q3" s="122">
        <v>969.00782764597238</v>
      </c>
      <c r="R3" s="122">
        <v>194.40733751914303</v>
      </c>
      <c r="S3" s="122">
        <v>424.14445165734008</v>
      </c>
      <c r="T3" s="122">
        <v>1995.9372186985383</v>
      </c>
      <c r="U3" s="217">
        <v>3007.1968255423126</v>
      </c>
      <c r="V3" s="141"/>
      <c r="W3" s="141"/>
      <c r="X3" s="141"/>
      <c r="Y3" s="141"/>
      <c r="Z3" s="141"/>
    </row>
    <row r="4" spans="1:26" x14ac:dyDescent="0.2">
      <c r="A4" s="24">
        <v>1997</v>
      </c>
      <c r="B4" s="327">
        <v>3.4119999999999999</v>
      </c>
      <c r="C4" s="122">
        <v>6.7040409703374291</v>
      </c>
      <c r="D4" s="122">
        <v>3.2360000000000002</v>
      </c>
      <c r="E4" s="122">
        <v>663.33973418790958</v>
      </c>
      <c r="F4" s="122">
        <v>9.4685651705871976</v>
      </c>
      <c r="G4" s="122">
        <v>10.384160485147811</v>
      </c>
      <c r="H4" s="122">
        <v>12.967999999999989</v>
      </c>
      <c r="I4" s="122">
        <v>8.5171324860253428</v>
      </c>
      <c r="J4" s="122">
        <v>0.86588158993386666</v>
      </c>
      <c r="K4" s="122">
        <v>332.10908190069688</v>
      </c>
      <c r="L4" s="122">
        <v>761.57574443223803</v>
      </c>
      <c r="M4" s="122">
        <v>685.41816998901368</v>
      </c>
      <c r="N4" s="122">
        <v>585.45578025349596</v>
      </c>
      <c r="O4" s="122">
        <v>499.89420392757722</v>
      </c>
      <c r="P4" s="122">
        <v>119.39752942963224</v>
      </c>
      <c r="Q4" s="122">
        <v>963.83956687384477</v>
      </c>
      <c r="R4" s="122">
        <v>196.51363192850491</v>
      </c>
      <c r="S4" s="122">
        <v>430.65347988592379</v>
      </c>
      <c r="T4" s="122">
        <v>1997.433294867197</v>
      </c>
      <c r="U4" s="217">
        <v>3108.8966271387071</v>
      </c>
      <c r="V4" s="141"/>
      <c r="W4" s="141"/>
      <c r="X4" s="141"/>
      <c r="Y4" s="141"/>
      <c r="Z4" s="141"/>
    </row>
    <row r="5" spans="1:26" x14ac:dyDescent="0.2">
      <c r="A5" s="24">
        <v>1998</v>
      </c>
      <c r="B5" s="327">
        <v>3.4119999999999999</v>
      </c>
      <c r="C5" s="122">
        <v>6.7487898780533087</v>
      </c>
      <c r="D5" s="122">
        <v>3.2440000000000002</v>
      </c>
      <c r="E5" s="122">
        <v>658.60547168839548</v>
      </c>
      <c r="F5" s="122">
        <v>9.6865004552480691</v>
      </c>
      <c r="G5" s="122">
        <v>10.526135294340717</v>
      </c>
      <c r="H5" s="122">
        <v>13.07199999999999</v>
      </c>
      <c r="I5" s="122">
        <v>8.6373042579904986</v>
      </c>
      <c r="J5" s="122">
        <v>0.86801122801893305</v>
      </c>
      <c r="K5" s="122">
        <v>332.02138083603194</v>
      </c>
      <c r="L5" s="122">
        <v>749.651702425351</v>
      </c>
      <c r="M5" s="122">
        <v>674.68653218281543</v>
      </c>
      <c r="N5" s="122">
        <v>579.24058557351304</v>
      </c>
      <c r="O5" s="122">
        <v>491.66445121743476</v>
      </c>
      <c r="P5" s="122">
        <v>118.28854169895592</v>
      </c>
      <c r="Q5" s="122">
        <v>958.67130610171716</v>
      </c>
      <c r="R5" s="122">
        <v>198.61992633786679</v>
      </c>
      <c r="S5" s="122">
        <v>437.16250811450749</v>
      </c>
      <c r="T5" s="122">
        <v>1998.9293710358556</v>
      </c>
      <c r="U5" s="217">
        <v>3210.5964287351017</v>
      </c>
      <c r="V5" s="141"/>
      <c r="W5" s="141"/>
      <c r="X5" s="141"/>
      <c r="Y5" s="141"/>
      <c r="Z5" s="141"/>
    </row>
    <row r="6" spans="1:26" x14ac:dyDescent="0.2">
      <c r="A6" s="24">
        <v>1999</v>
      </c>
      <c r="B6" s="327">
        <v>3.4119999999999999</v>
      </c>
      <c r="C6" s="122">
        <v>6.7935387857691882</v>
      </c>
      <c r="D6" s="122">
        <v>3.2520000000000002</v>
      </c>
      <c r="E6" s="122">
        <v>653.87120918888138</v>
      </c>
      <c r="F6" s="122">
        <v>9.9044357399089407</v>
      </c>
      <c r="G6" s="122">
        <v>10.668110103533623</v>
      </c>
      <c r="H6" s="122">
        <v>13.175999999999991</v>
      </c>
      <c r="I6" s="122">
        <v>8.7574760299556544</v>
      </c>
      <c r="J6" s="122">
        <v>0.87014086610399943</v>
      </c>
      <c r="K6" s="122">
        <v>331.933679771367</v>
      </c>
      <c r="L6" s="122">
        <v>737.72766041846398</v>
      </c>
      <c r="M6" s="122">
        <v>663.95489437661718</v>
      </c>
      <c r="N6" s="122">
        <v>573.02539089353013</v>
      </c>
      <c r="O6" s="122">
        <v>483.4346985072923</v>
      </c>
      <c r="P6" s="122">
        <v>117.17955396827961</v>
      </c>
      <c r="Q6" s="122">
        <v>953.50304532958955</v>
      </c>
      <c r="R6" s="122">
        <v>200.72622074722867</v>
      </c>
      <c r="S6" s="122">
        <v>443.67153634309119</v>
      </c>
      <c r="T6" s="122">
        <v>2000.4254472045143</v>
      </c>
      <c r="U6" s="217">
        <v>3312.2962303314962</v>
      </c>
      <c r="V6" s="141"/>
      <c r="W6" s="141"/>
      <c r="X6" s="141"/>
      <c r="Y6" s="141"/>
      <c r="Z6" s="141"/>
    </row>
    <row r="7" spans="1:26" x14ac:dyDescent="0.2">
      <c r="A7" s="24">
        <v>2000</v>
      </c>
      <c r="B7" s="327">
        <v>3.4119999999999999</v>
      </c>
      <c r="C7" s="122">
        <v>6.8382876934850678</v>
      </c>
      <c r="D7" s="122">
        <v>3.2600000000000002</v>
      </c>
      <c r="E7" s="122">
        <v>649.13694668936728</v>
      </c>
      <c r="F7" s="122">
        <v>10.122371024569812</v>
      </c>
      <c r="G7" s="122">
        <v>10.810084912726529</v>
      </c>
      <c r="H7" s="122">
        <v>13.279999999999992</v>
      </c>
      <c r="I7" s="122">
        <v>8.8776478019208103</v>
      </c>
      <c r="J7" s="122">
        <v>0.87227050418906582</v>
      </c>
      <c r="K7" s="122">
        <v>331.84597870670206</v>
      </c>
      <c r="L7" s="122">
        <v>725.80361841157696</v>
      </c>
      <c r="M7" s="122">
        <v>653.22325657041893</v>
      </c>
      <c r="N7" s="122">
        <v>566.81019621354721</v>
      </c>
      <c r="O7" s="122">
        <v>475.20494579714983</v>
      </c>
      <c r="P7" s="122">
        <v>116.07056623760329</v>
      </c>
      <c r="Q7" s="122">
        <v>948.33478455746194</v>
      </c>
      <c r="R7" s="122">
        <v>202.83251515659055</v>
      </c>
      <c r="S7" s="122">
        <v>450.18056457167489</v>
      </c>
      <c r="T7" s="122">
        <v>2001.9215233731729</v>
      </c>
      <c r="U7" s="217">
        <v>3413.9960319278907</v>
      </c>
      <c r="V7" s="141"/>
      <c r="W7" s="141"/>
      <c r="X7" s="141"/>
      <c r="Y7" s="141"/>
      <c r="Z7" s="141"/>
    </row>
    <row r="8" spans="1:26" x14ac:dyDescent="0.2">
      <c r="A8" s="24">
        <v>2001</v>
      </c>
      <c r="B8" s="142">
        <v>3.4119999999999999</v>
      </c>
      <c r="C8" s="122">
        <v>6.8830366012009474</v>
      </c>
      <c r="D8" s="122">
        <v>3.2680000000000002</v>
      </c>
      <c r="E8" s="122">
        <v>644.40268418985318</v>
      </c>
      <c r="F8" s="122">
        <v>10.340306309230684</v>
      </c>
      <c r="G8" s="122">
        <v>10.952059721919435</v>
      </c>
      <c r="H8" s="122">
        <v>13.383999999999993</v>
      </c>
      <c r="I8" s="122">
        <v>8.9978195738859661</v>
      </c>
      <c r="J8" s="122">
        <v>0.87440014227413221</v>
      </c>
      <c r="K8" s="122">
        <v>331.75827764203711</v>
      </c>
      <c r="L8" s="122">
        <v>713.87957640468994</v>
      </c>
      <c r="M8" s="122">
        <v>642.49161876422068</v>
      </c>
      <c r="N8" s="122">
        <v>560.5950015335643</v>
      </c>
      <c r="O8" s="122">
        <v>466.97519308700737</v>
      </c>
      <c r="P8" s="122">
        <v>114.96157850692697</v>
      </c>
      <c r="Q8" s="122">
        <v>943.16652378533433</v>
      </c>
      <c r="R8" s="122">
        <v>204.93880956595243</v>
      </c>
      <c r="S8" s="122">
        <v>456.68959280025859</v>
      </c>
      <c r="T8" s="122">
        <v>2003.4175995418316</v>
      </c>
      <c r="U8" s="217">
        <v>3515.6958335242853</v>
      </c>
      <c r="V8" s="141"/>
      <c r="W8" s="141"/>
      <c r="X8" s="141"/>
      <c r="Y8" s="141"/>
      <c r="Z8" s="141"/>
    </row>
    <row r="9" spans="1:26" x14ac:dyDescent="0.2">
      <c r="A9" s="24">
        <v>2002</v>
      </c>
      <c r="B9" s="142">
        <v>3.4119999999999999</v>
      </c>
      <c r="C9" s="122">
        <v>6.927785508916827</v>
      </c>
      <c r="D9" s="122">
        <v>3.2760000000000002</v>
      </c>
      <c r="E9" s="122">
        <v>639.66842169033907</v>
      </c>
      <c r="F9" s="122">
        <v>10.558241593891555</v>
      </c>
      <c r="G9" s="122">
        <v>11.094034531112341</v>
      </c>
      <c r="H9" s="122">
        <v>13.487999999999994</v>
      </c>
      <c r="I9" s="122">
        <v>9.1179913458511219</v>
      </c>
      <c r="J9" s="122">
        <v>0.8765297803591986</v>
      </c>
      <c r="K9" s="122">
        <v>331.67057657737217</v>
      </c>
      <c r="L9" s="122">
        <v>701.95553439780292</v>
      </c>
      <c r="M9" s="122">
        <v>631.75998095802242</v>
      </c>
      <c r="N9" s="122">
        <v>554.37980685358139</v>
      </c>
      <c r="O9" s="122">
        <v>458.74544037686491</v>
      </c>
      <c r="P9" s="122">
        <v>113.85259077625065</v>
      </c>
      <c r="Q9" s="122">
        <v>937.99826301320672</v>
      </c>
      <c r="R9" s="122">
        <v>207.0451039753143</v>
      </c>
      <c r="S9" s="122">
        <v>463.1986210288423</v>
      </c>
      <c r="T9" s="122">
        <v>2004.9136757104902</v>
      </c>
      <c r="U9" s="217">
        <v>3617.3956351206798</v>
      </c>
      <c r="V9" s="141"/>
      <c r="W9" s="141"/>
      <c r="X9" s="141"/>
      <c r="Y9" s="141"/>
      <c r="Z9" s="141"/>
    </row>
    <row r="10" spans="1:26" x14ac:dyDescent="0.2">
      <c r="A10" s="24">
        <v>2003</v>
      </c>
      <c r="B10" s="142">
        <v>3.4119999999999999</v>
      </c>
      <c r="C10" s="122">
        <v>6.9725344166327066</v>
      </c>
      <c r="D10" s="122">
        <v>3.2840000000000003</v>
      </c>
      <c r="E10" s="122">
        <v>634.93415919082497</v>
      </c>
      <c r="F10" s="122">
        <v>10.776176878552427</v>
      </c>
      <c r="G10" s="122">
        <v>11.236009340305246</v>
      </c>
      <c r="H10" s="122">
        <v>13.591999999999995</v>
      </c>
      <c r="I10" s="122">
        <v>9.2381631178162777</v>
      </c>
      <c r="J10" s="122">
        <v>0.87865941844426498</v>
      </c>
      <c r="K10" s="122">
        <v>331.58287551270723</v>
      </c>
      <c r="L10" s="122">
        <v>690.0314923909159</v>
      </c>
      <c r="M10" s="122">
        <v>621.02834315182417</v>
      </c>
      <c r="N10" s="122">
        <v>548.16461217359847</v>
      </c>
      <c r="O10" s="122">
        <v>450.51568766672244</v>
      </c>
      <c r="P10" s="122">
        <v>112.74360304557433</v>
      </c>
      <c r="Q10" s="122">
        <v>932.83000224107911</v>
      </c>
      <c r="R10" s="122">
        <v>209.15139838467618</v>
      </c>
      <c r="S10" s="122">
        <v>469.707649257426</v>
      </c>
      <c r="T10" s="122">
        <v>2006.4097518791489</v>
      </c>
      <c r="U10" s="217">
        <v>3719.0954367170743</v>
      </c>
      <c r="V10" s="141"/>
      <c r="W10" s="141"/>
      <c r="X10" s="141"/>
      <c r="Y10" s="141"/>
      <c r="Z10" s="141"/>
    </row>
    <row r="11" spans="1:26" x14ac:dyDescent="0.2">
      <c r="A11" s="24">
        <v>2004</v>
      </c>
      <c r="B11" s="142">
        <v>3.4119999999999999</v>
      </c>
      <c r="C11" s="122">
        <v>7.0172833243485861</v>
      </c>
      <c r="D11" s="122">
        <v>3.2920000000000003</v>
      </c>
      <c r="E11" s="122">
        <v>630.19989669131087</v>
      </c>
      <c r="F11" s="122">
        <v>10.994112163213298</v>
      </c>
      <c r="G11" s="122">
        <v>11.377984149498152</v>
      </c>
      <c r="H11" s="122">
        <v>13.695999999999996</v>
      </c>
      <c r="I11" s="122">
        <v>9.3583348897814336</v>
      </c>
      <c r="J11" s="122">
        <v>0.88078905652933137</v>
      </c>
      <c r="K11" s="122">
        <v>331.49517444804229</v>
      </c>
      <c r="L11" s="122">
        <v>678.10745038402888</v>
      </c>
      <c r="M11" s="122">
        <v>610.29670534562592</v>
      </c>
      <c r="N11" s="122">
        <v>541.94941749361556</v>
      </c>
      <c r="O11" s="122">
        <v>442.28593495657998</v>
      </c>
      <c r="P11" s="122">
        <v>111.63461531489801</v>
      </c>
      <c r="Q11" s="122">
        <v>927.6617414689515</v>
      </c>
      <c r="R11" s="122">
        <v>211.25769279403806</v>
      </c>
      <c r="S11" s="122">
        <v>476.2166774860097</v>
      </c>
      <c r="T11" s="122">
        <v>2007.9058280478075</v>
      </c>
      <c r="U11" s="217">
        <v>3820.7952383134689</v>
      </c>
      <c r="V11" s="141"/>
      <c r="W11" s="141"/>
      <c r="X11" s="141"/>
      <c r="Y11" s="141"/>
      <c r="Z11" s="141"/>
    </row>
    <row r="12" spans="1:26" x14ac:dyDescent="0.2">
      <c r="A12" s="24">
        <v>2005</v>
      </c>
      <c r="B12" s="142">
        <v>3.4119999999999999</v>
      </c>
      <c r="C12" s="142">
        <v>7.0620322320644684</v>
      </c>
      <c r="D12" s="142">
        <v>3.3</v>
      </c>
      <c r="E12" s="142">
        <v>625.46563419179665</v>
      </c>
      <c r="F12" s="142">
        <v>11.212047447874177</v>
      </c>
      <c r="G12" s="142">
        <v>11.519958958691054</v>
      </c>
      <c r="H12" s="142">
        <v>13.8</v>
      </c>
      <c r="I12" s="142">
        <v>9.4785066617465841</v>
      </c>
      <c r="J12" s="142">
        <v>0.88291869461439743</v>
      </c>
      <c r="K12" s="142">
        <v>331.40747338337758</v>
      </c>
      <c r="L12" s="142">
        <v>666.18340837714163</v>
      </c>
      <c r="M12" s="142">
        <v>599.56506753942745</v>
      </c>
      <c r="N12" s="142">
        <v>535.73422281363219</v>
      </c>
      <c r="O12" s="142">
        <v>434.05618224643769</v>
      </c>
      <c r="P12" s="142">
        <v>110.52562758422165</v>
      </c>
      <c r="Q12" s="142">
        <v>922.49348069682435</v>
      </c>
      <c r="R12" s="142">
        <v>213.36398720339992</v>
      </c>
      <c r="S12" s="142">
        <v>482.72570571459363</v>
      </c>
      <c r="T12" s="142">
        <v>2009.4019042164659</v>
      </c>
      <c r="U12" s="222">
        <v>3997.88904540354</v>
      </c>
      <c r="V12" s="143"/>
      <c r="W12" s="143"/>
      <c r="X12" s="143"/>
      <c r="Y12" s="143"/>
      <c r="Z12" s="143"/>
    </row>
    <row r="13" spans="1:26" x14ac:dyDescent="0.2">
      <c r="A13" s="24">
        <v>2006</v>
      </c>
      <c r="B13" s="142">
        <v>3.4119999999999999</v>
      </c>
      <c r="C13" s="142">
        <v>7.1493184332678767</v>
      </c>
      <c r="D13" s="142">
        <v>3.3058230000000002</v>
      </c>
      <c r="E13" s="142">
        <v>608.1527330872525</v>
      </c>
      <c r="F13" s="142">
        <v>11.442723164233163</v>
      </c>
      <c r="G13" s="142">
        <v>11.731493674165527</v>
      </c>
      <c r="H13" s="142">
        <v>13.899820999999999</v>
      </c>
      <c r="I13" s="142">
        <v>9.5562644541554054</v>
      </c>
      <c r="J13" s="142">
        <v>0.88541958974073087</v>
      </c>
      <c r="K13" s="142">
        <v>331.11462444562341</v>
      </c>
      <c r="L13" s="142">
        <v>653.83637638858977</v>
      </c>
      <c r="M13" s="142">
        <v>588.45273874973077</v>
      </c>
      <c r="N13" s="142">
        <v>530.40085896318101</v>
      </c>
      <c r="O13" s="142">
        <v>432.91685803373963</v>
      </c>
      <c r="P13" s="142">
        <v>108.28898047912446</v>
      </c>
      <c r="Q13" s="142">
        <v>908.94754083650048</v>
      </c>
      <c r="R13" s="142">
        <v>224.21212322543218</v>
      </c>
      <c r="S13" s="142">
        <v>494.96475916607523</v>
      </c>
      <c r="T13" s="142">
        <v>1985.1797483947332</v>
      </c>
      <c r="U13" s="222">
        <v>4248.1497410769371</v>
      </c>
      <c r="V13" s="141"/>
    </row>
    <row r="14" spans="1:26" x14ac:dyDescent="0.2">
      <c r="A14" s="24">
        <v>2007</v>
      </c>
      <c r="B14" s="142">
        <v>3.4119999999999999</v>
      </c>
      <c r="C14" s="142">
        <v>7.2376834855257917</v>
      </c>
      <c r="D14" s="142">
        <v>3.3084030000000002</v>
      </c>
      <c r="E14" s="142">
        <v>590.83983198270835</v>
      </c>
      <c r="F14" s="142">
        <v>11.678144783279871</v>
      </c>
      <c r="G14" s="142">
        <v>11.946912686104191</v>
      </c>
      <c r="H14" s="142">
        <v>13.959336</v>
      </c>
      <c r="I14" s="142">
        <v>9.6346601396940272</v>
      </c>
      <c r="J14" s="142">
        <v>0.88792756873160483</v>
      </c>
      <c r="K14" s="142">
        <v>330.91645306583194</v>
      </c>
      <c r="L14" s="142">
        <v>641.71818408143679</v>
      </c>
      <c r="M14" s="142">
        <v>577.54636567329317</v>
      </c>
      <c r="N14" s="142">
        <v>525.12059004068112</v>
      </c>
      <c r="O14" s="142">
        <v>432.91899720505887</v>
      </c>
      <c r="P14" s="142">
        <v>106.05233337402728</v>
      </c>
      <c r="Q14" s="142">
        <v>895.40160097617661</v>
      </c>
      <c r="R14" s="142">
        <v>223.92250793456233</v>
      </c>
      <c r="S14" s="142">
        <v>507.20381261755682</v>
      </c>
      <c r="T14" s="142">
        <v>1939.9335923414326</v>
      </c>
      <c r="U14" s="222">
        <v>4571.464236516189</v>
      </c>
      <c r="V14" s="328"/>
    </row>
    <row r="15" spans="1:26" x14ac:dyDescent="0.2">
      <c r="A15" s="24">
        <v>2008</v>
      </c>
      <c r="B15" s="142">
        <v>3.4119999999999999</v>
      </c>
      <c r="C15" s="142">
        <v>7.2955227821573905</v>
      </c>
      <c r="D15" s="142">
        <v>3.3115579999999998</v>
      </c>
      <c r="E15" s="142">
        <v>573.52693087816419</v>
      </c>
      <c r="F15" s="142">
        <v>11.882268005355439</v>
      </c>
      <c r="G15" s="142">
        <v>12.091365945217705</v>
      </c>
      <c r="H15" s="142">
        <v>14.011077</v>
      </c>
      <c r="I15" s="142">
        <v>9.7236867825604634</v>
      </c>
      <c r="J15" s="142">
        <v>0.89003327185459302</v>
      </c>
      <c r="K15" s="142">
        <v>331.29103268549198</v>
      </c>
      <c r="L15" s="142">
        <v>631.02578946127517</v>
      </c>
      <c r="M15" s="142">
        <v>567.92321051514762</v>
      </c>
      <c r="N15" s="142">
        <v>520.34729348969699</v>
      </c>
      <c r="O15" s="142">
        <v>434.43420898297279</v>
      </c>
      <c r="P15" s="142">
        <v>103.81568626893011</v>
      </c>
      <c r="Q15" s="142">
        <v>881.85566111585274</v>
      </c>
      <c r="R15" s="142">
        <v>223.63289264369249</v>
      </c>
      <c r="S15" s="142">
        <v>519.44286606903836</v>
      </c>
      <c r="T15" s="142">
        <v>1902.3936931178162</v>
      </c>
      <c r="U15" s="222">
        <v>4808.0565437272035</v>
      </c>
      <c r="V15" s="328"/>
    </row>
    <row r="16" spans="1:26" x14ac:dyDescent="0.2">
      <c r="A16" s="24">
        <v>2009</v>
      </c>
      <c r="B16" s="142">
        <v>3.4119999999999999</v>
      </c>
      <c r="C16" s="142">
        <v>7.4271160297289596</v>
      </c>
      <c r="D16" s="142">
        <v>3.3173560000000002</v>
      </c>
      <c r="E16" s="142">
        <v>556.21402977362004</v>
      </c>
      <c r="F16" s="142">
        <v>12.256263390646293</v>
      </c>
      <c r="G16" s="142">
        <v>12.45351991577868</v>
      </c>
      <c r="H16" s="142">
        <v>14.066179</v>
      </c>
      <c r="I16" s="142">
        <v>9.8182594505674103</v>
      </c>
      <c r="J16" s="142">
        <v>0.89241345643186221</v>
      </c>
      <c r="K16" s="142">
        <v>330.09551519454595</v>
      </c>
      <c r="L16" s="142">
        <v>621.16119108692885</v>
      </c>
      <c r="M16" s="142">
        <v>559.04507197823602</v>
      </c>
      <c r="N16" s="142">
        <v>516.5742803585739</v>
      </c>
      <c r="O16" s="142">
        <v>434.42156713561747</v>
      </c>
      <c r="P16" s="142">
        <v>101.57903916383293</v>
      </c>
      <c r="Q16" s="142">
        <v>868.30972125552887</v>
      </c>
      <c r="R16" s="142">
        <v>223.34327735282264</v>
      </c>
      <c r="S16" s="142">
        <v>531.68191952051995</v>
      </c>
      <c r="T16" s="142">
        <v>1850.3865646921006</v>
      </c>
      <c r="U16" s="222">
        <v>4671.1573105174311</v>
      </c>
      <c r="V16" s="328"/>
    </row>
    <row r="17" spans="1:22" x14ac:dyDescent="0.2">
      <c r="A17" s="24">
        <v>2010</v>
      </c>
      <c r="B17" s="142">
        <v>3.4119999999999999</v>
      </c>
      <c r="C17" s="142">
        <v>7.4697073514413974</v>
      </c>
      <c r="D17" s="142">
        <v>3.3234880000000002</v>
      </c>
      <c r="E17" s="142">
        <v>538.90112866907589</v>
      </c>
      <c r="F17" s="142">
        <v>12.571036444997583</v>
      </c>
      <c r="G17" s="142">
        <v>12.564630926138568</v>
      </c>
      <c r="H17" s="142">
        <v>14.118752000000001</v>
      </c>
      <c r="I17" s="142">
        <v>9.9223769513750497</v>
      </c>
      <c r="J17" s="142">
        <v>0.8942953872890933</v>
      </c>
      <c r="K17" s="142">
        <v>330.07492524795077</v>
      </c>
      <c r="L17" s="142">
        <v>612.69932999556579</v>
      </c>
      <c r="M17" s="142">
        <v>551.42939699600925</v>
      </c>
      <c r="N17" s="142">
        <v>513.86544850921223</v>
      </c>
      <c r="O17" s="142">
        <v>427.94894804679029</v>
      </c>
      <c r="P17" s="142">
        <v>99.342392058735754</v>
      </c>
      <c r="Q17" s="142">
        <v>854.763781395205</v>
      </c>
      <c r="R17" s="142">
        <v>223.05366206195279</v>
      </c>
      <c r="S17" s="142">
        <v>543.92097297200155</v>
      </c>
      <c r="T17" s="142">
        <v>1809.2759994356122</v>
      </c>
      <c r="U17" s="222">
        <v>4821.2668852520537</v>
      </c>
      <c r="V17" s="328"/>
    </row>
    <row r="18" spans="1:22" x14ac:dyDescent="0.2">
      <c r="A18" s="24">
        <v>2011</v>
      </c>
      <c r="B18" s="142">
        <v>3.4119999999999999</v>
      </c>
      <c r="C18" s="142">
        <v>7.5039452036262126</v>
      </c>
      <c r="D18" s="142">
        <v>3.3268019999999998</v>
      </c>
      <c r="E18" s="142">
        <v>509.06540927287637</v>
      </c>
      <c r="F18" s="142">
        <v>12.729062875895734</v>
      </c>
      <c r="G18" s="142">
        <v>12.62696153156714</v>
      </c>
      <c r="H18" s="142">
        <v>14.155542000000001</v>
      </c>
      <c r="I18" s="142">
        <v>10.014895603620875</v>
      </c>
      <c r="J18" s="142">
        <v>0.89590851843833308</v>
      </c>
      <c r="K18" s="142">
        <v>328.92853911352898</v>
      </c>
      <c r="L18" s="142">
        <v>607.12058353685688</v>
      </c>
      <c r="M18" s="142">
        <v>546.40852518317126</v>
      </c>
      <c r="N18" s="142">
        <v>512.49681530582814</v>
      </c>
      <c r="O18" s="142">
        <v>421.96543094946509</v>
      </c>
      <c r="P18" s="142">
        <v>100.48012012401459</v>
      </c>
      <c r="Q18" s="142">
        <v>841.21784153488113</v>
      </c>
      <c r="R18" s="142">
        <v>222.76404677108295</v>
      </c>
      <c r="S18" s="142">
        <v>556.16002642348315</v>
      </c>
      <c r="T18" s="142">
        <v>1731.6968882082508</v>
      </c>
      <c r="U18" s="222">
        <v>4753.8685520336949</v>
      </c>
      <c r="V18" s="328">
        <v>-1.3979382353738967E-2</v>
      </c>
    </row>
    <row r="19" spans="1:22" x14ac:dyDescent="0.2">
      <c r="A19" s="24">
        <v>2012</v>
      </c>
      <c r="B19" s="142">
        <v>3.4119999999999999</v>
      </c>
      <c r="C19" s="142">
        <v>7.5557531472919797</v>
      </c>
      <c r="D19" s="142">
        <v>3.3280539999999998</v>
      </c>
      <c r="E19" s="142">
        <v>508.66367701744895</v>
      </c>
      <c r="F19" s="142">
        <v>12.930696944524179</v>
      </c>
      <c r="G19" s="142">
        <v>12.746315758264554</v>
      </c>
      <c r="H19" s="142">
        <v>14.183756000000001</v>
      </c>
      <c r="I19" s="142">
        <v>10.108561422075836</v>
      </c>
      <c r="J19" s="142">
        <v>0.89780003217728965</v>
      </c>
      <c r="K19" s="142">
        <v>330.05891472604372</v>
      </c>
      <c r="L19" s="142">
        <v>602.05445966407012</v>
      </c>
      <c r="M19" s="142">
        <v>541.84901369766317</v>
      </c>
      <c r="N19" s="142">
        <v>512.46034783201901</v>
      </c>
      <c r="O19" s="142">
        <v>417.28564094141103</v>
      </c>
      <c r="P19" s="142">
        <v>100.33676143734998</v>
      </c>
      <c r="Q19" s="142">
        <v>872.18527161226473</v>
      </c>
      <c r="R19" s="142">
        <v>189.98900793915473</v>
      </c>
      <c r="S19" s="142">
        <v>559.66193927224697</v>
      </c>
      <c r="T19" s="142">
        <v>1694.093713982872</v>
      </c>
      <c r="U19" s="263">
        <v>4822.2004181737066</v>
      </c>
      <c r="V19" s="328">
        <v>1.4373949424996146E-2</v>
      </c>
    </row>
    <row r="20" spans="1:22" x14ac:dyDescent="0.2">
      <c r="A20" s="24">
        <v>2013</v>
      </c>
      <c r="B20" s="142">
        <v>3.4119999999999999</v>
      </c>
      <c r="C20" s="142">
        <v>7.5952923732964592</v>
      </c>
      <c r="D20" s="142">
        <v>3.3305479999999998</v>
      </c>
      <c r="E20" s="142">
        <v>488.13650115041224</v>
      </c>
      <c r="F20" s="142">
        <v>13.126534263570701</v>
      </c>
      <c r="G20" s="142">
        <v>12.838628898765572</v>
      </c>
      <c r="H20" s="142">
        <v>14.205299999999999</v>
      </c>
      <c r="I20" s="142">
        <v>10.200966225036705</v>
      </c>
      <c r="J20" s="142">
        <v>0.89939571748212199</v>
      </c>
      <c r="K20" s="142">
        <v>328.95775826688026</v>
      </c>
      <c r="L20" s="142">
        <v>598.25098859697232</v>
      </c>
      <c r="M20" s="142">
        <v>538.42588973727516</v>
      </c>
      <c r="N20" s="142">
        <v>512.1654316621474</v>
      </c>
      <c r="O20" s="142">
        <v>407.95291675803401</v>
      </c>
      <c r="P20" s="142">
        <v>99.685417401379254</v>
      </c>
      <c r="Q20" s="142">
        <v>867.40142220189921</v>
      </c>
      <c r="R20" s="142">
        <v>188.72739015082587</v>
      </c>
      <c r="S20" s="142">
        <v>556.30015838775967</v>
      </c>
      <c r="T20" s="142">
        <v>1475.1771637161594</v>
      </c>
      <c r="U20" s="222">
        <v>4817.8438226066828</v>
      </c>
      <c r="V20" s="328">
        <v>-9.0344556203114657E-4</v>
      </c>
    </row>
    <row r="21" spans="1:22" x14ac:dyDescent="0.2">
      <c r="A21" s="24">
        <v>2014</v>
      </c>
      <c r="B21" s="142">
        <v>3.4119999999999999</v>
      </c>
      <c r="C21" s="142">
        <v>7.635276291780289</v>
      </c>
      <c r="D21" s="142">
        <v>3.3323320000000001</v>
      </c>
      <c r="E21" s="142">
        <v>477.20453272330167</v>
      </c>
      <c r="F21" s="142">
        <v>13.314643387856268</v>
      </c>
      <c r="G21" s="142">
        <v>12.930065224586755</v>
      </c>
      <c r="H21" s="142">
        <v>14.223682999999999</v>
      </c>
      <c r="I21" s="142">
        <v>10.419650598827442</v>
      </c>
      <c r="J21" s="142">
        <v>0.90115040773372079</v>
      </c>
      <c r="K21" s="142">
        <v>328.65736082972791</v>
      </c>
      <c r="L21" s="142">
        <v>586.7019452343286</v>
      </c>
      <c r="M21" s="142">
        <v>528.03175071089572</v>
      </c>
      <c r="N21" s="142">
        <v>498.38133561714113</v>
      </c>
      <c r="O21" s="142">
        <v>399.64312438561626</v>
      </c>
      <c r="P21" s="142">
        <v>99.271630484309156</v>
      </c>
      <c r="Q21" s="142">
        <v>862.7625119393374</v>
      </c>
      <c r="R21" s="142">
        <v>187.76518042757556</v>
      </c>
      <c r="S21" s="142">
        <v>561.85662958823025</v>
      </c>
      <c r="T21" s="142">
        <v>1379.7716408159679</v>
      </c>
      <c r="U21" s="222">
        <v>4886.6071724942231</v>
      </c>
      <c r="V21" s="328">
        <v>1.4272639881949489E-2</v>
      </c>
    </row>
    <row r="22" spans="1:22" x14ac:dyDescent="0.2">
      <c r="A22" s="24">
        <v>2015</v>
      </c>
      <c r="B22" s="142">
        <v>3.4119999999999999</v>
      </c>
      <c r="C22" s="142">
        <v>7.7196976347319382</v>
      </c>
      <c r="D22" s="142">
        <v>3.3338220000000001</v>
      </c>
      <c r="E22" s="142">
        <v>466.46549424398955</v>
      </c>
      <c r="F22" s="142">
        <v>13.553538884491955</v>
      </c>
      <c r="G22" s="142">
        <v>13.171210355277122</v>
      </c>
      <c r="H22" s="142">
        <v>14.239455</v>
      </c>
      <c r="I22" s="142">
        <v>10.552511931522398</v>
      </c>
      <c r="J22" s="142">
        <v>0.91566968633018497</v>
      </c>
      <c r="K22" s="142">
        <v>328.40752335776909</v>
      </c>
      <c r="L22" s="142">
        <v>580.17728566208984</v>
      </c>
      <c r="M22" s="142">
        <v>522.15955709588093</v>
      </c>
      <c r="N22" s="142">
        <v>492.0947901058417</v>
      </c>
      <c r="O22" s="142">
        <v>391.49249812430116</v>
      </c>
      <c r="P22" s="142">
        <v>95.534062964431186</v>
      </c>
      <c r="Q22" s="142">
        <v>840.55453418864613</v>
      </c>
      <c r="R22" s="142">
        <v>186.83683348054376</v>
      </c>
      <c r="S22" s="142">
        <v>566.92481304903333</v>
      </c>
      <c r="T22" s="142">
        <v>1320.4908456215621</v>
      </c>
      <c r="U22" s="222">
        <v>4952.0930850566565</v>
      </c>
      <c r="V22" s="328">
        <v>1.3401100242115049E-2</v>
      </c>
    </row>
    <row r="23" spans="1:22" x14ac:dyDescent="0.2">
      <c r="A23" s="24">
        <v>2016</v>
      </c>
      <c r="B23" s="142">
        <v>3.4119999999999999</v>
      </c>
      <c r="C23" s="142">
        <v>7.7724918360180952</v>
      </c>
      <c r="D23" s="142">
        <v>3.3352529999999998</v>
      </c>
      <c r="E23" s="142">
        <v>456.99523312190672</v>
      </c>
      <c r="F23" s="142">
        <v>13.744421035619197</v>
      </c>
      <c r="G23" s="142">
        <v>13.312646989338417</v>
      </c>
      <c r="H23" s="142">
        <v>14.253272000000001</v>
      </c>
      <c r="I23" s="142">
        <v>10.666220541043755</v>
      </c>
      <c r="J23" s="142">
        <v>0.92300591408560773</v>
      </c>
      <c r="K23" s="142">
        <v>328.50193252057164</v>
      </c>
      <c r="L23" s="142">
        <v>574.49029315673295</v>
      </c>
      <c r="M23" s="142">
        <v>517.04126384105962</v>
      </c>
      <c r="N23" s="142">
        <v>486.45131570292983</v>
      </c>
      <c r="O23" s="142">
        <v>383.91988906672003</v>
      </c>
      <c r="P23" s="142">
        <v>91.595181421688324</v>
      </c>
      <c r="Q23" s="142">
        <v>820.31364689948157</v>
      </c>
      <c r="R23" s="142">
        <v>186.33383948957794</v>
      </c>
      <c r="S23" s="142">
        <v>571.45173986577925</v>
      </c>
      <c r="T23" s="142">
        <v>1280.1764434167699</v>
      </c>
      <c r="U23" s="222">
        <v>5047.970631620412</v>
      </c>
      <c r="V23" s="328">
        <v>1.9361014608766824E-2</v>
      </c>
    </row>
    <row r="24" spans="1:22" x14ac:dyDescent="0.2">
      <c r="A24" s="24">
        <v>2017</v>
      </c>
      <c r="B24" s="142">
        <v>3.4119999999999999</v>
      </c>
      <c r="C24" s="142">
        <v>7.818471781299448</v>
      </c>
      <c r="D24" s="142">
        <v>3.3345129999999998</v>
      </c>
      <c r="E24" s="142">
        <v>447.77982964277294</v>
      </c>
      <c r="F24" s="142">
        <v>13.913943063027574</v>
      </c>
      <c r="G24" s="142">
        <v>13.436670398255115</v>
      </c>
      <c r="H24" s="142">
        <v>14.254208</v>
      </c>
      <c r="I24" s="142">
        <v>10.7661646875353</v>
      </c>
      <c r="J24" s="142">
        <v>0.93009448243949511</v>
      </c>
      <c r="K24" s="142">
        <v>328.66365902542094</v>
      </c>
      <c r="L24" s="142">
        <v>569.60198343941704</v>
      </c>
      <c r="M24" s="142">
        <v>512.64178509547537</v>
      </c>
      <c r="N24" s="142">
        <v>481.47063206253006</v>
      </c>
      <c r="O24" s="142">
        <v>376.92342140897767</v>
      </c>
      <c r="P24" s="142">
        <v>87.655632465839105</v>
      </c>
      <c r="Q24" s="142">
        <v>800.9002269410704</v>
      </c>
      <c r="R24" s="142">
        <v>185.94853674286867</v>
      </c>
      <c r="S24" s="142">
        <v>575.15105146864869</v>
      </c>
      <c r="T24" s="142">
        <v>1250.9545692456691</v>
      </c>
      <c r="U24" s="222">
        <v>5140.8390598840633</v>
      </c>
      <c r="V24" s="328">
        <v>1.8397180776354993E-2</v>
      </c>
    </row>
    <row r="25" spans="1:22" x14ac:dyDescent="0.2">
      <c r="A25" s="24">
        <v>2018</v>
      </c>
      <c r="B25" s="142">
        <v>3.4119999999999999</v>
      </c>
      <c r="C25" s="142">
        <v>7.8583930950288376</v>
      </c>
      <c r="D25" s="142">
        <v>3.3345250000000002</v>
      </c>
      <c r="E25" s="142">
        <v>438.53245848057009</v>
      </c>
      <c r="F25" s="142">
        <v>14.05962969022341</v>
      </c>
      <c r="G25" s="142">
        <v>13.544742644589398</v>
      </c>
      <c r="H25" s="142">
        <v>14.257866</v>
      </c>
      <c r="I25" s="142">
        <v>10.859432691495577</v>
      </c>
      <c r="J25" s="142">
        <v>0.93681671057920068</v>
      </c>
      <c r="K25" s="142">
        <v>328.80817800504337</v>
      </c>
      <c r="L25" s="142">
        <v>565.33716386250103</v>
      </c>
      <c r="M25" s="142">
        <v>508.80344747625094</v>
      </c>
      <c r="N25" s="142">
        <v>476.85420687675719</v>
      </c>
      <c r="O25" s="142">
        <v>369.84487144829444</v>
      </c>
      <c r="P25" s="142">
        <v>83.747419850860737</v>
      </c>
      <c r="Q25" s="142">
        <v>782.43612228842971</v>
      </c>
      <c r="R25" s="142">
        <v>185.45087517809648</v>
      </c>
      <c r="S25" s="142">
        <v>578.34244745998274</v>
      </c>
      <c r="T25" s="142">
        <v>1227.7035994188141</v>
      </c>
      <c r="U25" s="222">
        <v>5241.4794264165421</v>
      </c>
      <c r="V25" s="328">
        <v>1.9576642131790223E-2</v>
      </c>
    </row>
    <row r="26" spans="1:22" x14ac:dyDescent="0.2">
      <c r="A26" s="24">
        <v>2019</v>
      </c>
      <c r="B26" s="142">
        <v>3.4119999999999999</v>
      </c>
      <c r="C26" s="142">
        <v>7.8939579576833134</v>
      </c>
      <c r="D26" s="142">
        <v>3.3349419999999999</v>
      </c>
      <c r="E26" s="142">
        <v>429.42555322894378</v>
      </c>
      <c r="F26" s="142">
        <v>14.188567517923714</v>
      </c>
      <c r="G26" s="142">
        <v>13.642327006047207</v>
      </c>
      <c r="H26" s="142">
        <v>14.262814000000001</v>
      </c>
      <c r="I26" s="142">
        <v>10.943669477595282</v>
      </c>
      <c r="J26" s="142">
        <v>0.94315748647008857</v>
      </c>
      <c r="K26" s="142">
        <v>328.99642436566</v>
      </c>
      <c r="L26" s="142">
        <v>561.57704513679948</v>
      </c>
      <c r="M26" s="142">
        <v>505.41934062311952</v>
      </c>
      <c r="N26" s="142">
        <v>472.4249847580972</v>
      </c>
      <c r="O26" s="142">
        <v>362.60486587139661</v>
      </c>
      <c r="P26" s="142">
        <v>79.98067356503465</v>
      </c>
      <c r="Q26" s="142">
        <v>765.27659559803544</v>
      </c>
      <c r="R26" s="142">
        <v>185.06933170221558</v>
      </c>
      <c r="S26" s="142">
        <v>573.86311445651086</v>
      </c>
      <c r="T26" s="142">
        <v>1209.2391816136676</v>
      </c>
      <c r="U26" s="222">
        <v>5346.734848924134</v>
      </c>
      <c r="V26" s="328">
        <v>2.008124308894832E-2</v>
      </c>
    </row>
    <row r="27" spans="1:22" x14ac:dyDescent="0.2">
      <c r="A27" s="24">
        <v>2020</v>
      </c>
      <c r="B27" s="142">
        <v>3.4119999999999999</v>
      </c>
      <c r="C27" s="142">
        <v>7.9270415292061527</v>
      </c>
      <c r="D27" s="142">
        <v>3.3356319999999999</v>
      </c>
      <c r="E27" s="142">
        <v>420.48538208687728</v>
      </c>
      <c r="F27" s="142">
        <v>14.314729754811003</v>
      </c>
      <c r="G27" s="142">
        <v>13.727833420247292</v>
      </c>
      <c r="H27" s="142">
        <v>14.278371</v>
      </c>
      <c r="I27" s="142">
        <v>11.039761593119149</v>
      </c>
      <c r="J27" s="142">
        <v>0.94909895098020136</v>
      </c>
      <c r="K27" s="142">
        <v>329.16260409006964</v>
      </c>
      <c r="L27" s="142">
        <v>558.00115103846008</v>
      </c>
      <c r="M27" s="142">
        <v>502.20103593461408</v>
      </c>
      <c r="N27" s="142">
        <v>468.26730085436054</v>
      </c>
      <c r="O27" s="142">
        <v>355.18136124074647</v>
      </c>
      <c r="P27" s="142">
        <v>76.615365865777122</v>
      </c>
      <c r="Q27" s="142">
        <v>748.97512130199311</v>
      </c>
      <c r="R27" s="142">
        <v>184.68586236787786</v>
      </c>
      <c r="S27" s="142">
        <v>574.57845024020685</v>
      </c>
      <c r="T27" s="142">
        <v>1156.1344173288071</v>
      </c>
      <c r="U27" s="222">
        <v>5445.7501732501569</v>
      </c>
      <c r="V27" s="328">
        <v>1.8518839464415793E-2</v>
      </c>
    </row>
    <row r="28" spans="1:22" x14ac:dyDescent="0.2">
      <c r="A28" s="25">
        <v>2021</v>
      </c>
      <c r="B28" s="142">
        <v>3.4119999999999999</v>
      </c>
      <c r="C28" s="142">
        <v>7.9555547310816221</v>
      </c>
      <c r="D28" s="142">
        <v>3.3365279999999999</v>
      </c>
      <c r="E28" s="142">
        <v>411.57729582256735</v>
      </c>
      <c r="F28" s="142">
        <v>14.415726050970072</v>
      </c>
      <c r="G28" s="142">
        <v>13.805823365108106</v>
      </c>
      <c r="H28" s="142">
        <v>14.293405</v>
      </c>
      <c r="I28" s="142">
        <v>11.107200771893995</v>
      </c>
      <c r="J28" s="142">
        <v>0.95479661493906631</v>
      </c>
      <c r="K28" s="142">
        <v>329.24403959933665</v>
      </c>
      <c r="L28" s="142">
        <v>554.68486448447015</v>
      </c>
      <c r="M28" s="142">
        <v>499.21637803602317</v>
      </c>
      <c r="N28" s="142">
        <v>464.24668202818481</v>
      </c>
      <c r="O28" s="142">
        <v>347.52380912576609</v>
      </c>
      <c r="P28" s="142">
        <v>73.716061215639286</v>
      </c>
      <c r="Q28" s="142">
        <v>734.1250934847061</v>
      </c>
      <c r="R28" s="142">
        <v>184.59002001228802</v>
      </c>
      <c r="S28" s="142">
        <v>569.67098028906935</v>
      </c>
      <c r="T28" s="142">
        <v>1129.0855932606335</v>
      </c>
      <c r="U28" s="222">
        <v>5539.901750820366</v>
      </c>
      <c r="V28" s="328">
        <v>1.72890005187325E-2</v>
      </c>
    </row>
    <row r="29" spans="1:22" x14ac:dyDescent="0.2">
      <c r="A29" s="25">
        <v>2022</v>
      </c>
      <c r="B29" s="142">
        <v>3.4119999999999999</v>
      </c>
      <c r="C29" s="142">
        <v>7.9811119745167272</v>
      </c>
      <c r="D29" s="142">
        <v>3.3376610000000002</v>
      </c>
      <c r="E29" s="142">
        <v>402.64748910755401</v>
      </c>
      <c r="F29" s="142">
        <v>14.501238178887728</v>
      </c>
      <c r="G29" s="142">
        <v>13.877305800658281</v>
      </c>
      <c r="H29" s="142">
        <v>14.309097</v>
      </c>
      <c r="I29" s="142">
        <v>11.165479345696623</v>
      </c>
      <c r="J29" s="142">
        <v>0.96028622244341422</v>
      </c>
      <c r="K29" s="142">
        <v>329.3229315946499</v>
      </c>
      <c r="L29" s="142">
        <v>551.72844755323456</v>
      </c>
      <c r="M29" s="142">
        <v>496.55560279791109</v>
      </c>
      <c r="N29" s="142">
        <v>460.3085544878769</v>
      </c>
      <c r="O29" s="142">
        <v>340.56660123253715</v>
      </c>
      <c r="P29" s="142">
        <v>71.321556044416468</v>
      </c>
      <c r="Q29" s="142">
        <v>720.18633536618677</v>
      </c>
      <c r="R29" s="142">
        <v>184.45390724929186</v>
      </c>
      <c r="S29" s="142">
        <v>567.38653807174683</v>
      </c>
      <c r="T29" s="142">
        <v>1108.2328879242345</v>
      </c>
      <c r="U29" s="222">
        <v>5644.4992880601931</v>
      </c>
      <c r="V29" s="328">
        <v>1.8880756725394576E-2</v>
      </c>
    </row>
    <row r="30" spans="1:22" x14ac:dyDescent="0.2">
      <c r="A30" s="25">
        <v>2023</v>
      </c>
      <c r="B30" s="142">
        <v>3.4119999999999999</v>
      </c>
      <c r="C30" s="142">
        <v>8.0026938389125934</v>
      </c>
      <c r="D30" s="142">
        <v>3.3391850000000001</v>
      </c>
      <c r="E30" s="142">
        <v>393.7508514982726</v>
      </c>
      <c r="F30" s="142">
        <v>14.571823013714878</v>
      </c>
      <c r="G30" s="142">
        <v>13.938461888969197</v>
      </c>
      <c r="H30" s="142">
        <v>14.326931999999999</v>
      </c>
      <c r="I30" s="142">
        <v>11.222577028938471</v>
      </c>
      <c r="J30" s="142">
        <v>0.96560258392017795</v>
      </c>
      <c r="K30" s="142">
        <v>329.41013307825131</v>
      </c>
      <c r="L30" s="142">
        <v>549.16327390614492</v>
      </c>
      <c r="M30" s="142">
        <v>494.24694651553045</v>
      </c>
      <c r="N30" s="142">
        <v>456.45627884866326</v>
      </c>
      <c r="O30" s="142">
        <v>334.02348350145263</v>
      </c>
      <c r="P30" s="142">
        <v>69.299490847233926</v>
      </c>
      <c r="Q30" s="142">
        <v>707.18633103689831</v>
      </c>
      <c r="R30" s="142">
        <v>184.4727077018141</v>
      </c>
      <c r="S30" s="142">
        <v>562.26925305453199</v>
      </c>
      <c r="T30" s="142">
        <v>1091.7309949291243</v>
      </c>
      <c r="U30" s="222">
        <v>5752.3842247948132</v>
      </c>
      <c r="V30" s="328">
        <v>1.9113287331407713E-2</v>
      </c>
    </row>
    <row r="31" spans="1:22" x14ac:dyDescent="0.2">
      <c r="A31" s="25">
        <v>2024</v>
      </c>
      <c r="B31" s="142">
        <v>3.4119999999999999</v>
      </c>
      <c r="C31" s="142">
        <v>8.0209409360031998</v>
      </c>
      <c r="D31" s="142">
        <v>3.3408060000000002</v>
      </c>
      <c r="E31" s="142">
        <v>384.81582432316566</v>
      </c>
      <c r="F31" s="142">
        <v>14.628230887423127</v>
      </c>
      <c r="G31" s="142">
        <v>13.990705534099373</v>
      </c>
      <c r="H31" s="142">
        <v>14.344944</v>
      </c>
      <c r="I31" s="142">
        <v>11.275054646556331</v>
      </c>
      <c r="J31" s="142">
        <v>0.97075257976685347</v>
      </c>
      <c r="K31" s="142">
        <v>329.45959242741395</v>
      </c>
      <c r="L31" s="142">
        <v>546.99227029634028</v>
      </c>
      <c r="M31" s="142">
        <v>492.29304326670626</v>
      </c>
      <c r="N31" s="142">
        <v>452.66325105453086</v>
      </c>
      <c r="O31" s="142">
        <v>327.8439153843193</v>
      </c>
      <c r="P31" s="142">
        <v>67.401804770606972</v>
      </c>
      <c r="Q31" s="142">
        <v>694.61188966577618</v>
      </c>
      <c r="R31" s="142">
        <v>184.54783851606828</v>
      </c>
      <c r="S31" s="142">
        <v>557.83411928343378</v>
      </c>
      <c r="T31" s="142">
        <v>1077.7174695754325</v>
      </c>
      <c r="U31" s="222">
        <v>5864.2265284275773</v>
      </c>
      <c r="V31" s="328">
        <v>1.9442773511318068E-2</v>
      </c>
    </row>
    <row r="32" spans="1:22" x14ac:dyDescent="0.2">
      <c r="A32" s="25">
        <v>2025</v>
      </c>
      <c r="B32" s="142">
        <v>3.4119999999999999</v>
      </c>
      <c r="C32" s="142">
        <v>8.0361259348455096</v>
      </c>
      <c r="D32" s="142">
        <v>3.342616</v>
      </c>
      <c r="E32" s="142">
        <v>375.85359868167393</v>
      </c>
      <c r="F32" s="142">
        <v>14.672992341432238</v>
      </c>
      <c r="G32" s="142">
        <v>14.034720387994108</v>
      </c>
      <c r="H32" s="142">
        <v>14.363856999999999</v>
      </c>
      <c r="I32" s="142">
        <v>11.321808742299726</v>
      </c>
      <c r="J32" s="142">
        <v>0.97565016606731236</v>
      </c>
      <c r="K32" s="142">
        <v>329.48147231463878</v>
      </c>
      <c r="L32" s="142">
        <v>545.21915206469214</v>
      </c>
      <c r="M32" s="142">
        <v>490.69723685822294</v>
      </c>
      <c r="N32" s="142">
        <v>448.79838828056711</v>
      </c>
      <c r="O32" s="142">
        <v>323.03032893682263</v>
      </c>
      <c r="P32" s="142">
        <v>65.550107884228765</v>
      </c>
      <c r="Q32" s="142">
        <v>682.78469356820165</v>
      </c>
      <c r="R32" s="142">
        <v>184.6376965710092</v>
      </c>
      <c r="S32" s="142">
        <v>553.73474674180761</v>
      </c>
      <c r="T32" s="142">
        <v>1065.4145517058091</v>
      </c>
      <c r="U32" s="222">
        <v>5982.0669409221155</v>
      </c>
      <c r="V32" s="328">
        <v>2.0094792028120256E-2</v>
      </c>
    </row>
    <row r="33" spans="1:22" x14ac:dyDescent="0.2">
      <c r="A33" s="25">
        <v>2026</v>
      </c>
      <c r="B33" s="142">
        <v>3.4119999999999999</v>
      </c>
      <c r="C33" s="329">
        <v>8.0486505346126727</v>
      </c>
      <c r="D33" s="142">
        <v>3.3446470000000001</v>
      </c>
      <c r="E33" s="142">
        <v>366.96051238745656</v>
      </c>
      <c r="F33" s="142">
        <v>14.707224509420543</v>
      </c>
      <c r="G33" s="142">
        <v>14.071214237469412</v>
      </c>
      <c r="H33" s="142">
        <v>14.383884999999999</v>
      </c>
      <c r="I33" s="142">
        <v>11.362345396945585</v>
      </c>
      <c r="J33" s="142">
        <v>0.98005189237020607</v>
      </c>
      <c r="K33" s="142">
        <v>329.46941112716655</v>
      </c>
      <c r="L33" s="142">
        <v>543.86386135514078</v>
      </c>
      <c r="M33" s="142">
        <v>489.47747521962674</v>
      </c>
      <c r="N33" s="142">
        <v>445.16851006870934</v>
      </c>
      <c r="O33" s="142">
        <v>319.60989537214908</v>
      </c>
      <c r="P33" s="142">
        <v>63.744623055310612</v>
      </c>
      <c r="Q33" s="142">
        <v>671.64439878896007</v>
      </c>
      <c r="R33" s="142">
        <v>184.78206822402399</v>
      </c>
      <c r="S33" s="142">
        <v>547.29557654918642</v>
      </c>
      <c r="T33" s="142">
        <v>1054.4300712212589</v>
      </c>
      <c r="U33" s="222">
        <v>6093.2371875187528</v>
      </c>
      <c r="V33" s="328">
        <v>1.8583918851884373E-2</v>
      </c>
    </row>
    <row r="34" spans="1:22" x14ac:dyDescent="0.2">
      <c r="A34" s="25">
        <v>2027</v>
      </c>
      <c r="B34" s="142">
        <v>3.4119999999999999</v>
      </c>
      <c r="C34" s="329">
        <v>8.0588108335001927</v>
      </c>
      <c r="D34" s="142">
        <v>3.3468979999999999</v>
      </c>
      <c r="E34" s="142">
        <v>357.93818962937678</v>
      </c>
      <c r="F34" s="142">
        <v>14.731505262642544</v>
      </c>
      <c r="G34" s="142">
        <v>14.100804384273554</v>
      </c>
      <c r="H34" s="142">
        <v>14.405049999999999</v>
      </c>
      <c r="I34" s="142">
        <v>11.396952574282738</v>
      </c>
      <c r="J34" s="142">
        <v>0.98393036972039893</v>
      </c>
      <c r="K34" s="142">
        <v>329.40991895333542</v>
      </c>
      <c r="L34" s="142">
        <v>542.94891228335916</v>
      </c>
      <c r="M34" s="142">
        <v>488.65402105502324</v>
      </c>
      <c r="N34" s="142">
        <v>441.73776168054229</v>
      </c>
      <c r="O34" s="142">
        <v>317.41994457983418</v>
      </c>
      <c r="P34" s="142">
        <v>62.08722522070773</v>
      </c>
      <c r="Q34" s="142">
        <v>661.8954271056308</v>
      </c>
      <c r="R34" s="142">
        <v>184.95528856475121</v>
      </c>
      <c r="S34" s="142">
        <v>544.04129933955744</v>
      </c>
      <c r="T34" s="142">
        <v>1044.4228839671246</v>
      </c>
      <c r="U34" s="222">
        <v>6208.6636278159976</v>
      </c>
      <c r="V34" s="328">
        <v>1.8943368975309571E-2</v>
      </c>
    </row>
    <row r="35" spans="1:22" x14ac:dyDescent="0.2">
      <c r="A35" s="25">
        <v>2028</v>
      </c>
      <c r="B35" s="142">
        <v>3.4119999999999999</v>
      </c>
      <c r="C35" s="329">
        <v>8.0677913116560092</v>
      </c>
      <c r="D35" s="142">
        <v>3.349342</v>
      </c>
      <c r="E35" s="142">
        <v>349.05234168591141</v>
      </c>
      <c r="F35" s="142">
        <v>14.75171017154501</v>
      </c>
      <c r="G35" s="142">
        <v>14.126335329043666</v>
      </c>
      <c r="H35" s="142">
        <v>14.427125</v>
      </c>
      <c r="I35" s="142">
        <v>11.425125961365802</v>
      </c>
      <c r="J35" s="142">
        <v>0.98734296630378626</v>
      </c>
      <c r="K35" s="142">
        <v>329.37129474983703</v>
      </c>
      <c r="L35" s="142">
        <v>542.13572721280798</v>
      </c>
      <c r="M35" s="142">
        <v>487.92215449152718</v>
      </c>
      <c r="N35" s="142">
        <v>438.50383879903649</v>
      </c>
      <c r="O35" s="142">
        <v>316.41023492887791</v>
      </c>
      <c r="P35" s="142">
        <v>60.562851608393963</v>
      </c>
      <c r="Q35" s="142">
        <v>654.02148725595259</v>
      </c>
      <c r="R35" s="142">
        <v>185.29266901309492</v>
      </c>
      <c r="S35" s="142">
        <v>536.26648096792098</v>
      </c>
      <c r="T35" s="142">
        <v>1035.8894012326903</v>
      </c>
      <c r="U35" s="222">
        <v>6324.2277980935451</v>
      </c>
      <c r="V35" s="328">
        <v>1.8613372732869227E-2</v>
      </c>
    </row>
    <row r="36" spans="1:22" x14ac:dyDescent="0.2">
      <c r="A36" s="25">
        <v>2029</v>
      </c>
      <c r="B36" s="142">
        <v>3.4119999999999999</v>
      </c>
      <c r="C36" s="329">
        <v>8.0753240961059021</v>
      </c>
      <c r="D36" s="142">
        <v>3.3519139999999998</v>
      </c>
      <c r="E36" s="142">
        <v>340.33745453258416</v>
      </c>
      <c r="F36" s="142">
        <v>14.767425606577278</v>
      </c>
      <c r="G36" s="142">
        <v>14.147276285903795</v>
      </c>
      <c r="H36" s="142">
        <v>14.449783</v>
      </c>
      <c r="I36" s="142">
        <v>11.444206090028436</v>
      </c>
      <c r="J36" s="142">
        <v>0.9903785794200366</v>
      </c>
      <c r="K36" s="142">
        <v>329.35319879028862</v>
      </c>
      <c r="L36" s="142">
        <v>541.31658654470505</v>
      </c>
      <c r="M36" s="142">
        <v>487.18492789023458</v>
      </c>
      <c r="N36" s="142">
        <v>435.44977180467026</v>
      </c>
      <c r="O36" s="142">
        <v>315.72788272531017</v>
      </c>
      <c r="P36" s="142">
        <v>59.164125014364345</v>
      </c>
      <c r="Q36" s="142">
        <v>648.0225878107816</v>
      </c>
      <c r="R36" s="142">
        <v>185.80681674282997</v>
      </c>
      <c r="S36" s="142">
        <v>535.62350067198099</v>
      </c>
      <c r="T36" s="142">
        <v>1028.8691820986162</v>
      </c>
      <c r="U36" s="222">
        <v>6436.1394421853329</v>
      </c>
      <c r="V36" s="328">
        <v>1.7695700987482521E-2</v>
      </c>
    </row>
    <row r="37" spans="1:22" x14ac:dyDescent="0.2">
      <c r="A37" s="25">
        <v>2030</v>
      </c>
      <c r="B37" s="142">
        <v>3.4119999999999999</v>
      </c>
      <c r="C37" s="329">
        <v>8.0819678074129335</v>
      </c>
      <c r="D37" s="142">
        <v>3.3545720000000001</v>
      </c>
      <c r="E37" s="142">
        <v>331.68785546345759</v>
      </c>
      <c r="F37" s="142">
        <v>14.779140059645957</v>
      </c>
      <c r="G37" s="142">
        <v>14.165765209712536</v>
      </c>
      <c r="H37" s="142">
        <v>14.472835</v>
      </c>
      <c r="I37" s="142">
        <v>11.47885995033009</v>
      </c>
      <c r="J37" s="142">
        <v>0.99295612969892877</v>
      </c>
      <c r="K37" s="142">
        <v>329.36413534827159</v>
      </c>
      <c r="L37" s="142">
        <v>540.47093745039126</v>
      </c>
      <c r="M37" s="142">
        <v>486.42384370535217</v>
      </c>
      <c r="N37" s="142">
        <v>432.56288491193226</v>
      </c>
      <c r="O37" s="142">
        <v>315.37285467795004</v>
      </c>
      <c r="P37" s="142">
        <v>58.077102451704064</v>
      </c>
      <c r="Q37" s="142">
        <v>643.63135862527861</v>
      </c>
      <c r="R37" s="142">
        <v>186.45642335467332</v>
      </c>
      <c r="S37" s="142">
        <v>525.8067311104777</v>
      </c>
      <c r="T37" s="142">
        <v>1022.9015679586341</v>
      </c>
      <c r="U37" s="222">
        <v>6557.0254113105611</v>
      </c>
      <c r="V37" s="328">
        <v>1.8782372602570874E-2</v>
      </c>
    </row>
    <row r="38" spans="1:22" x14ac:dyDescent="0.2">
      <c r="A38" s="25">
        <v>2031</v>
      </c>
      <c r="B38" s="142">
        <v>3.4119999999999999</v>
      </c>
      <c r="C38" s="329">
        <v>8.0886714016290853</v>
      </c>
      <c r="D38" s="142">
        <v>3.357316</v>
      </c>
      <c r="E38" s="142">
        <v>322.93862412188832</v>
      </c>
      <c r="F38" s="142">
        <v>14.791544950575904</v>
      </c>
      <c r="G38" s="142">
        <v>14.183734031885001</v>
      </c>
      <c r="H38" s="142">
        <v>14.496015</v>
      </c>
      <c r="I38" s="142">
        <v>11.497620855324922</v>
      </c>
      <c r="J38" s="142">
        <v>0.99516301376201866</v>
      </c>
      <c r="K38" s="142">
        <v>329.38570207230572</v>
      </c>
      <c r="L38" s="142">
        <v>539.5574261634689</v>
      </c>
      <c r="M38" s="142">
        <v>485.60168354712204</v>
      </c>
      <c r="N38" s="142">
        <v>429.87715201545706</v>
      </c>
      <c r="O38" s="142">
        <v>315.37282126184851</v>
      </c>
      <c r="P38" s="142">
        <v>57.367054479116582</v>
      </c>
      <c r="Q38" s="142">
        <v>640.31407299486</v>
      </c>
      <c r="R38" s="142">
        <v>187.10621576754264</v>
      </c>
      <c r="S38" s="142">
        <v>526.35503708275883</v>
      </c>
      <c r="T38" s="142">
        <v>1018.4333713660682</v>
      </c>
      <c r="U38" s="222">
        <v>6668.5344909009173</v>
      </c>
      <c r="V38" s="328">
        <v>1.7006046582953349E-2</v>
      </c>
    </row>
    <row r="39" spans="1:22" x14ac:dyDescent="0.2">
      <c r="A39" s="25">
        <v>2032</v>
      </c>
      <c r="B39" s="142">
        <v>3.4119999999999999</v>
      </c>
      <c r="C39" s="329">
        <v>8.0947571538967615</v>
      </c>
      <c r="D39" s="142">
        <v>3.360147</v>
      </c>
      <c r="E39" s="142">
        <v>313.93900184917436</v>
      </c>
      <c r="F39" s="142">
        <v>14.805938117291035</v>
      </c>
      <c r="G39" s="142">
        <v>14.20010140849994</v>
      </c>
      <c r="H39" s="142">
        <v>14.51933</v>
      </c>
      <c r="I39" s="142">
        <v>11.514369333247819</v>
      </c>
      <c r="J39" s="142">
        <v>0.99699602800987341</v>
      </c>
      <c r="K39" s="142">
        <v>329.32268229408254</v>
      </c>
      <c r="L39" s="142">
        <v>538.55117452441368</v>
      </c>
      <c r="M39" s="142">
        <v>484.69605707197235</v>
      </c>
      <c r="N39" s="142">
        <v>427.3756400439799</v>
      </c>
      <c r="O39" s="142">
        <v>315.37275858685092</v>
      </c>
      <c r="P39" s="142">
        <v>56.987954057199239</v>
      </c>
      <c r="Q39" s="142">
        <v>637.92035046484057</v>
      </c>
      <c r="R39" s="142">
        <v>187.7066205866696</v>
      </c>
      <c r="S39" s="142">
        <v>525.90331554791555</v>
      </c>
      <c r="T39" s="142">
        <v>1014.519767394069</v>
      </c>
      <c r="U39" s="222">
        <v>6768.2896021059323</v>
      </c>
      <c r="V39" s="328">
        <v>1.4959075542179345E-2</v>
      </c>
    </row>
    <row r="40" spans="1:22" x14ac:dyDescent="0.2">
      <c r="A40" s="25">
        <v>2033</v>
      </c>
      <c r="B40" s="142">
        <v>3.4119999999999999</v>
      </c>
      <c r="C40" s="329">
        <v>8.099888129101851</v>
      </c>
      <c r="D40" s="142">
        <v>3.3630409999999999</v>
      </c>
      <c r="E40" s="142">
        <v>304.80724806014035</v>
      </c>
      <c r="F40" s="142">
        <v>14.819023805858137</v>
      </c>
      <c r="G40" s="142">
        <v>14.213596896331415</v>
      </c>
      <c r="H40" s="142">
        <v>14.542725000000001</v>
      </c>
      <c r="I40" s="142">
        <v>11.529592741262183</v>
      </c>
      <c r="J40" s="142">
        <v>0.99840088215962142</v>
      </c>
      <c r="K40" s="142">
        <v>329.18600465719777</v>
      </c>
      <c r="L40" s="142">
        <v>537.66179946372642</v>
      </c>
      <c r="M40" s="142">
        <v>483.89561951735379</v>
      </c>
      <c r="N40" s="142">
        <v>424.99354763359929</v>
      </c>
      <c r="O40" s="142">
        <v>315.37280790453929</v>
      </c>
      <c r="P40" s="142">
        <v>56.949201006514144</v>
      </c>
      <c r="Q40" s="142">
        <v>636.22942774744786</v>
      </c>
      <c r="R40" s="142">
        <v>188.13402347194253</v>
      </c>
      <c r="S40" s="142">
        <v>525.64916699304865</v>
      </c>
      <c r="T40" s="142">
        <v>1010.3927042898039</v>
      </c>
      <c r="U40" s="222">
        <v>6859.0788715097469</v>
      </c>
      <c r="V40" s="328">
        <v>1.3413916179881857E-2</v>
      </c>
    </row>
    <row r="41" spans="1:22" x14ac:dyDescent="0.2">
      <c r="A41" s="25">
        <v>2034</v>
      </c>
      <c r="B41" s="142">
        <v>3.4119999999999999</v>
      </c>
      <c r="C41" s="329">
        <v>8.1040094300469576</v>
      </c>
      <c r="D41" s="142">
        <v>3.36599</v>
      </c>
      <c r="E41" s="142">
        <v>295.59585213801108</v>
      </c>
      <c r="F41" s="142">
        <v>14.83007060690732</v>
      </c>
      <c r="G41" s="142">
        <v>14.223621727067526</v>
      </c>
      <c r="H41" s="142">
        <v>14.566195</v>
      </c>
      <c r="I41" s="142">
        <v>11.543258886169117</v>
      </c>
      <c r="J41" s="142">
        <v>0.99953704201496185</v>
      </c>
      <c r="K41" s="142">
        <v>329.00133654947155</v>
      </c>
      <c r="L41" s="142">
        <v>536.90120877695097</v>
      </c>
      <c r="M41" s="142">
        <v>483.21108789925586</v>
      </c>
      <c r="N41" s="142">
        <v>422.73971730722548</v>
      </c>
      <c r="O41" s="142">
        <v>315.37285444279377</v>
      </c>
      <c r="P41" s="142">
        <v>56.923364936639864</v>
      </c>
      <c r="Q41" s="142">
        <v>635.29815251080481</v>
      </c>
      <c r="R41" s="142">
        <v>188.4731909217991</v>
      </c>
      <c r="S41" s="142">
        <v>525.52582056366975</v>
      </c>
      <c r="T41" s="142">
        <v>1006.249470162321</v>
      </c>
      <c r="U41" s="222">
        <v>6942.7783611515397</v>
      </c>
      <c r="V41" s="328">
        <v>1.2202730309670562E-2</v>
      </c>
    </row>
    <row r="42" spans="1:22" x14ac:dyDescent="0.2">
      <c r="A42" s="25">
        <v>2035</v>
      </c>
      <c r="B42" s="142">
        <v>3.4119999999999999</v>
      </c>
      <c r="C42" s="329">
        <v>8.107164132742458</v>
      </c>
      <c r="D42" s="142">
        <v>3.368995</v>
      </c>
      <c r="E42" s="142">
        <v>286.40212008504233</v>
      </c>
      <c r="F42" s="142">
        <v>14.839158563907842</v>
      </c>
      <c r="G42" s="142">
        <v>14.23288253240586</v>
      </c>
      <c r="H42" s="142">
        <v>14.589767999999999</v>
      </c>
      <c r="I42" s="142">
        <v>11.55532082000933</v>
      </c>
      <c r="J42" s="142">
        <v>1.0002479670862745</v>
      </c>
      <c r="K42" s="142">
        <v>328.81468343272462</v>
      </c>
      <c r="L42" s="142">
        <v>536.2582533383636</v>
      </c>
      <c r="M42" s="142">
        <v>482.63242800452724</v>
      </c>
      <c r="N42" s="142">
        <v>420.61255118473372</v>
      </c>
      <c r="O42" s="142">
        <v>315.37283763768437</v>
      </c>
      <c r="P42" s="142">
        <v>56.910677257525563</v>
      </c>
      <c r="Q42" s="142">
        <v>635.67294616813729</v>
      </c>
      <c r="R42" s="142">
        <v>188.85189238694306</v>
      </c>
      <c r="S42" s="142">
        <v>525.33804758668998</v>
      </c>
      <c r="T42" s="142">
        <v>1002.7256442630295</v>
      </c>
      <c r="U42" s="222">
        <v>7026.4279933769449</v>
      </c>
      <c r="V42" s="328">
        <v>1.2048437653356281E-2</v>
      </c>
    </row>
    <row r="43" spans="1:22" x14ac:dyDescent="0.2">
      <c r="A43" s="25">
        <v>2036</v>
      </c>
      <c r="B43" s="142">
        <v>3.4119999999999999</v>
      </c>
      <c r="C43" s="329">
        <v>8.1103188354379583</v>
      </c>
      <c r="D43" s="142">
        <v>3.3719999999999999</v>
      </c>
      <c r="E43" s="142">
        <v>277.49433490328454</v>
      </c>
      <c r="F43" s="142">
        <v>14.848246520908365</v>
      </c>
      <c r="G43" s="142">
        <v>14.242143337744194</v>
      </c>
      <c r="H43" s="142">
        <v>14.613340999999998</v>
      </c>
      <c r="I43" s="142">
        <v>11.567382753849543</v>
      </c>
      <c r="J43" s="142">
        <v>1.0009588921575872</v>
      </c>
      <c r="K43" s="142">
        <v>328.62813621033769</v>
      </c>
      <c r="L43" s="142">
        <v>535.61529789977624</v>
      </c>
      <c r="M43" s="142">
        <v>482.05376810979863</v>
      </c>
      <c r="N43" s="142">
        <v>418.48538506224196</v>
      </c>
      <c r="O43" s="142">
        <v>315.37282083257577</v>
      </c>
      <c r="P43" s="142">
        <v>56.897992406374804</v>
      </c>
      <c r="Q43" s="142">
        <v>636.04796093470043</v>
      </c>
      <c r="R43" s="142">
        <v>189.23135478152744</v>
      </c>
      <c r="S43" s="142">
        <v>525.15034170192439</v>
      </c>
      <c r="T43" s="142">
        <v>999.21415859281308</v>
      </c>
      <c r="U43" s="222">
        <v>7111.0854729809435</v>
      </c>
      <c r="V43" s="328">
        <v>1.2048437653356059E-2</v>
      </c>
    </row>
    <row r="44" spans="1:22" x14ac:dyDescent="0.2">
      <c r="A44" s="25">
        <v>2037</v>
      </c>
      <c r="B44" s="142">
        <v>3.4119999999999999</v>
      </c>
      <c r="C44" s="329">
        <v>8.1134735381334586</v>
      </c>
      <c r="D44" s="142">
        <v>3.3750049999999998</v>
      </c>
      <c r="E44" s="142">
        <v>268.86360296687553</v>
      </c>
      <c r="F44" s="142">
        <v>14.857334477908887</v>
      </c>
      <c r="G44" s="142">
        <v>14.251404143082528</v>
      </c>
      <c r="H44" s="142">
        <v>14.636913999999997</v>
      </c>
      <c r="I44" s="142">
        <v>11.579444687689756</v>
      </c>
      <c r="J44" s="142">
        <v>1.0016698172288998</v>
      </c>
      <c r="K44" s="142">
        <v>328.4416948222335</v>
      </c>
      <c r="L44" s="142">
        <v>534.97234246118887</v>
      </c>
      <c r="M44" s="142">
        <v>481.47510821507001</v>
      </c>
      <c r="N44" s="142">
        <v>416.3582189397502</v>
      </c>
      <c r="O44" s="142">
        <v>315.37280402746813</v>
      </c>
      <c r="P44" s="142">
        <v>56.8853103825573</v>
      </c>
      <c r="Q44" s="142">
        <v>636.42319694093692</v>
      </c>
      <c r="R44" s="142">
        <v>189.61157963449699</v>
      </c>
      <c r="S44" s="142">
        <v>524.9627028854004</v>
      </c>
      <c r="T44" s="142">
        <v>995.71496993692222</v>
      </c>
      <c r="U44" s="222">
        <v>7196.7629429498402</v>
      </c>
      <c r="V44" s="328">
        <v>1.2048437653356059E-2</v>
      </c>
    </row>
    <row r="45" spans="1:22" x14ac:dyDescent="0.2">
      <c r="A45" s="25">
        <v>2038</v>
      </c>
      <c r="B45" s="142">
        <v>3.4119999999999999</v>
      </c>
      <c r="C45" s="329">
        <v>8.116628240828959</v>
      </c>
      <c r="D45" s="142">
        <v>3.3780099999999997</v>
      </c>
      <c r="E45" s="142">
        <v>260.5013072628102</v>
      </c>
      <c r="F45" s="142">
        <v>14.86642243490941</v>
      </c>
      <c r="G45" s="142">
        <v>14.260664948420862</v>
      </c>
      <c r="H45" s="142">
        <v>14.660486999999996</v>
      </c>
      <c r="I45" s="142">
        <v>11.59150662152997</v>
      </c>
      <c r="J45" s="142">
        <v>1.0023807423002125</v>
      </c>
      <c r="K45" s="142">
        <v>328.25535920836899</v>
      </c>
      <c r="L45" s="142">
        <v>534.32938702260151</v>
      </c>
      <c r="M45" s="142">
        <v>480.89644832034139</v>
      </c>
      <c r="N45" s="142">
        <v>414.23105281725844</v>
      </c>
      <c r="O45" s="142">
        <v>315.37278722236141</v>
      </c>
      <c r="P45" s="142">
        <v>56.87263118544282</v>
      </c>
      <c r="Q45" s="142">
        <v>636.7986543173671</v>
      </c>
      <c r="R45" s="142">
        <v>189.99256847786862</v>
      </c>
      <c r="S45" s="142">
        <v>524.77513111315454</v>
      </c>
      <c r="T45" s="142">
        <v>992.22803523194307</v>
      </c>
      <c r="U45" s="222">
        <v>7283.4726925739569</v>
      </c>
      <c r="V45" s="328">
        <v>1.2048437653356281E-2</v>
      </c>
    </row>
    <row r="46" spans="1:22" x14ac:dyDescent="0.2">
      <c r="A46" s="25">
        <v>2039</v>
      </c>
      <c r="B46" s="142">
        <v>3.4119999999999999</v>
      </c>
      <c r="C46" s="329">
        <v>8.1197829435244593</v>
      </c>
      <c r="D46" s="142">
        <v>3.3810149999999997</v>
      </c>
      <c r="E46" s="142">
        <v>252.39909878762444</v>
      </c>
      <c r="F46" s="142">
        <v>14.875510391909932</v>
      </c>
      <c r="G46" s="142">
        <v>14.269925753759196</v>
      </c>
      <c r="H46" s="142">
        <v>14.684059999999995</v>
      </c>
      <c r="I46" s="142">
        <v>11.603568555370183</v>
      </c>
      <c r="J46" s="142">
        <v>1.0030916673715251</v>
      </c>
      <c r="K46" s="142">
        <v>328.06912930873472</v>
      </c>
      <c r="L46" s="142">
        <v>533.68643158401414</v>
      </c>
      <c r="M46" s="142">
        <v>480.31778842561272</v>
      </c>
      <c r="N46" s="142">
        <v>412.10388669476669</v>
      </c>
      <c r="O46" s="142">
        <v>315.37277041725548</v>
      </c>
      <c r="P46" s="142">
        <v>56.859954814401334</v>
      </c>
      <c r="Q46" s="142">
        <v>637.17433319458837</v>
      </c>
      <c r="R46" s="142">
        <v>190.37432284673739</v>
      </c>
      <c r="S46" s="142">
        <v>524.58762636123129</v>
      </c>
      <c r="T46" s="142">
        <v>988.75331156526681</v>
      </c>
      <c r="U46" s="222">
        <v>7371.2271592103561</v>
      </c>
      <c r="V46" s="328">
        <v>1.2048437653356059E-2</v>
      </c>
    </row>
    <row r="47" spans="1:22" x14ac:dyDescent="0.2">
      <c r="A47" s="25">
        <v>2040</v>
      </c>
      <c r="B47" s="142">
        <v>3.4119999999999999</v>
      </c>
      <c r="C47" s="329">
        <v>8.1229376462199596</v>
      </c>
      <c r="D47" s="142">
        <v>3.3840199999999996</v>
      </c>
      <c r="E47" s="142">
        <v>244.54888821166284</v>
      </c>
      <c r="F47" s="142">
        <v>14.884598348910455</v>
      </c>
      <c r="G47" s="142">
        <v>14.27918655909753</v>
      </c>
      <c r="H47" s="142">
        <v>14.707632999999994</v>
      </c>
      <c r="I47" s="142">
        <v>11.615630489210396</v>
      </c>
      <c r="J47" s="142">
        <v>1.0038025924428378</v>
      </c>
      <c r="K47" s="142">
        <v>327.88300506335577</v>
      </c>
      <c r="L47" s="142">
        <v>533.04347614542678</v>
      </c>
      <c r="M47" s="142">
        <v>479.7391285308841</v>
      </c>
      <c r="N47" s="142">
        <v>409.97672057227493</v>
      </c>
      <c r="O47" s="142">
        <v>315.37275361215052</v>
      </c>
      <c r="P47" s="142">
        <v>56.847281268802945</v>
      </c>
      <c r="Q47" s="142">
        <v>637.5502337032749</v>
      </c>
      <c r="R47" s="142">
        <v>190.75684427928303</v>
      </c>
      <c r="S47" s="142">
        <v>524.40018860568409</v>
      </c>
      <c r="T47" s="142">
        <v>985.29075617456249</v>
      </c>
      <c r="U47" s="222">
        <v>7460.0389300668276</v>
      </c>
      <c r="V47" s="328">
        <v>1.2048437653356059E-2</v>
      </c>
    </row>
    <row r="48" spans="1:22" x14ac:dyDescent="0.2">
      <c r="A48" s="25">
        <v>2041</v>
      </c>
      <c r="B48" s="142">
        <v>3.4119999999999999</v>
      </c>
      <c r="C48" s="329">
        <v>8.12609234891546</v>
      </c>
      <c r="D48" s="142">
        <v>3.3870249999999995</v>
      </c>
      <c r="E48" s="142">
        <v>236.94283780260733</v>
      </c>
      <c r="F48" s="142">
        <v>14.893686305910977</v>
      </c>
      <c r="G48" s="142">
        <v>14.288447364435864</v>
      </c>
      <c r="H48" s="142">
        <v>14.731205999999993</v>
      </c>
      <c r="I48" s="142">
        <v>11.627692423050609</v>
      </c>
      <c r="J48" s="142">
        <v>1.0045135175141504</v>
      </c>
      <c r="K48" s="142">
        <v>327.69698641229098</v>
      </c>
      <c r="L48" s="142">
        <v>532.40052070683942</v>
      </c>
      <c r="M48" s="142">
        <v>479.16046863615549</v>
      </c>
      <c r="N48" s="142">
        <v>407.84955444978317</v>
      </c>
      <c r="O48" s="142">
        <v>315.37273680704646</v>
      </c>
      <c r="P48" s="142">
        <v>56.834610548017871</v>
      </c>
      <c r="Q48" s="142">
        <v>637.92635597417802</v>
      </c>
      <c r="R48" s="142">
        <v>191.14013431677583</v>
      </c>
      <c r="S48" s="142">
        <v>524.21281782257461</v>
      </c>
      <c r="T48" s="142">
        <v>981.84032644725016</v>
      </c>
      <c r="U48" s="222">
        <v>7549.9207440073469</v>
      </c>
      <c r="V48" s="328">
        <v>1.2048437653356059E-2</v>
      </c>
    </row>
    <row r="49" spans="1:22" x14ac:dyDescent="0.2">
      <c r="A49" s="25">
        <v>2042</v>
      </c>
      <c r="B49" s="142">
        <v>3.4119999999999999</v>
      </c>
      <c r="C49" s="329">
        <v>8.1292470516109603</v>
      </c>
      <c r="D49" s="142">
        <v>3.3900299999999994</v>
      </c>
      <c r="E49" s="142">
        <v>229.57335360020343</v>
      </c>
      <c r="F49" s="142">
        <v>14.9027742629115</v>
      </c>
      <c r="G49" s="142">
        <v>14.297708169774198</v>
      </c>
      <c r="H49" s="142">
        <v>14.754778999999992</v>
      </c>
      <c r="I49" s="142">
        <v>11.639754356890823</v>
      </c>
      <c r="J49" s="142">
        <v>1.0052244425854631</v>
      </c>
      <c r="K49" s="142">
        <v>327.51107329563337</v>
      </c>
      <c r="L49" s="142">
        <v>531.75756526825205</v>
      </c>
      <c r="M49" s="142">
        <v>478.58180874142687</v>
      </c>
      <c r="N49" s="142">
        <v>405.72238832729141</v>
      </c>
      <c r="O49" s="142">
        <v>315.37272000194326</v>
      </c>
      <c r="P49" s="142">
        <v>56.821942651416499</v>
      </c>
      <c r="Q49" s="142">
        <v>638.30270013812606</v>
      </c>
      <c r="R49" s="142">
        <v>191.52419450358303</v>
      </c>
      <c r="S49" s="142">
        <v>524.02551398797334</v>
      </c>
      <c r="T49" s="142">
        <v>978.40197991997638</v>
      </c>
      <c r="U49" s="222">
        <v>7640.8854933793009</v>
      </c>
      <c r="V49" s="328">
        <v>1.2048437653356281E-2</v>
      </c>
    </row>
    <row r="50" spans="1:22" x14ac:dyDescent="0.2">
      <c r="A50" s="25">
        <v>2043</v>
      </c>
      <c r="B50" s="142">
        <v>3.41</v>
      </c>
      <c r="C50" s="329">
        <v>8.1324017543064606</v>
      </c>
      <c r="D50" s="142">
        <v>3.3930349999999994</v>
      </c>
      <c r="E50" s="142">
        <v>222.43307783437066</v>
      </c>
      <c r="F50" s="142">
        <v>14.911862219912022</v>
      </c>
      <c r="G50" s="142">
        <v>14.306968975112532</v>
      </c>
      <c r="H50" s="142">
        <v>14.778351999999991</v>
      </c>
      <c r="I50" s="142">
        <v>11.651816290731036</v>
      </c>
      <c r="J50" s="142">
        <v>1.0059353676567757</v>
      </c>
      <c r="K50" s="142">
        <v>327.32526565350975</v>
      </c>
      <c r="L50" s="142">
        <v>531.11460982966469</v>
      </c>
      <c r="M50" s="142">
        <v>478.00314884669825</v>
      </c>
      <c r="N50" s="142">
        <v>403.59522220479965</v>
      </c>
      <c r="O50" s="142">
        <v>315.37270319684097</v>
      </c>
      <c r="P50" s="142">
        <v>56.809277578369361</v>
      </c>
      <c r="Q50" s="142">
        <v>638.6792663260245</v>
      </c>
      <c r="R50" s="142">
        <v>191.909026387175</v>
      </c>
      <c r="S50" s="142">
        <v>523.83827707795945</v>
      </c>
      <c r="T50" s="142">
        <v>974.97567427809224</v>
      </c>
      <c r="U50" s="222">
        <v>7732.9462258627145</v>
      </c>
      <c r="V50" s="328"/>
    </row>
    <row r="51" spans="1:22" x14ac:dyDescent="0.2">
      <c r="A51" s="25"/>
      <c r="B51" s="142"/>
      <c r="C51" s="329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222"/>
      <c r="V51" s="328"/>
    </row>
    <row r="52" spans="1:22" x14ac:dyDescent="0.2">
      <c r="A52" s="25"/>
      <c r="B52" s="142"/>
      <c r="C52" s="329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222"/>
      <c r="V52" s="328"/>
    </row>
    <row r="53" spans="1:22" x14ac:dyDescent="0.2">
      <c r="A53" s="186">
        <v>2016</v>
      </c>
      <c r="B53" s="172">
        <v>0</v>
      </c>
      <c r="C53" s="172">
        <v>6.8388949650861619E-3</v>
      </c>
      <c r="D53" s="172">
        <v>4.2923707384501242E-4</v>
      </c>
      <c r="E53" s="172">
        <v>-2.0302168625423223E-2</v>
      </c>
      <c r="F53" s="172">
        <v>1.4083565388641972E-2</v>
      </c>
      <c r="G53" s="172">
        <v>1.0738317151288035E-2</v>
      </c>
      <c r="H53" s="172">
        <v>9.7033208082764055E-4</v>
      </c>
      <c r="I53" s="172">
        <v>1.0775501630250428E-2</v>
      </c>
      <c r="J53" s="172">
        <v>8.0118713821628607E-3</v>
      </c>
      <c r="K53" s="172">
        <v>2.874756395263578E-4</v>
      </c>
      <c r="L53" s="172">
        <v>-9.8021633143858811E-3</v>
      </c>
      <c r="M53" s="172">
        <v>-9.8021633143861031E-3</v>
      </c>
      <c r="N53" s="172">
        <v>-1.146826692007441E-2</v>
      </c>
      <c r="O53" s="172">
        <v>-1.9342922517960437E-2</v>
      </c>
      <c r="P53" s="172">
        <v>-4.1230126936079081E-2</v>
      </c>
      <c r="Q53" s="172">
        <v>-2.4080397482719396E-2</v>
      </c>
      <c r="R53" s="172">
        <v>-2.6921564746932303E-3</v>
      </c>
      <c r="S53" s="172">
        <v>7.9850567704018438E-3</v>
      </c>
      <c r="T53" s="172">
        <v>-3.0529861178868023E-2</v>
      </c>
      <c r="U53" s="172">
        <v>1.9361014608766824E-2</v>
      </c>
      <c r="V53" s="328"/>
    </row>
    <row r="54" spans="1:22" x14ac:dyDescent="0.2">
      <c r="A54" s="186">
        <v>2017</v>
      </c>
      <c r="B54" s="172">
        <v>0</v>
      </c>
      <c r="C54" s="172">
        <v>5.9157277037307221E-3</v>
      </c>
      <c r="D54" s="172">
        <v>-2.2187222378633464E-4</v>
      </c>
      <c r="E54" s="172">
        <v>-2.0165207011416553E-2</v>
      </c>
      <c r="F54" s="172">
        <v>1.2333879104041934E-2</v>
      </c>
      <c r="G54" s="172">
        <v>9.3162095424015323E-3</v>
      </c>
      <c r="H54" s="172">
        <v>6.5669131971812789E-5</v>
      </c>
      <c r="I54" s="172">
        <v>9.3701556335685776E-3</v>
      </c>
      <c r="J54" s="172">
        <v>7.6798731684291077E-3</v>
      </c>
      <c r="K54" s="172">
        <v>4.9231523117199139E-4</v>
      </c>
      <c r="L54" s="172">
        <v>-8.5089509353680759E-3</v>
      </c>
      <c r="M54" s="172">
        <v>-8.5089509353679649E-3</v>
      </c>
      <c r="N54" s="172">
        <v>-1.023881214752731E-2</v>
      </c>
      <c r="O54" s="172">
        <v>-1.8223769742042317E-2</v>
      </c>
      <c r="P54" s="172">
        <v>-4.3010438919403593E-2</v>
      </c>
      <c r="Q54" s="172">
        <v>-2.3665850290053747E-2</v>
      </c>
      <c r="R54" s="172">
        <v>-2.0678087660551681E-3</v>
      </c>
      <c r="S54" s="172">
        <v>6.4735328371530176E-3</v>
      </c>
      <c r="T54" s="172">
        <v>-2.2826442652786216E-2</v>
      </c>
      <c r="U54" s="172">
        <v>1.8397180776354993E-2</v>
      </c>
      <c r="V54" s="328"/>
    </row>
    <row r="55" spans="1:22" x14ac:dyDescent="0.2">
      <c r="A55" s="186">
        <v>2018</v>
      </c>
      <c r="B55" s="172">
        <v>0</v>
      </c>
      <c r="C55" s="172">
        <v>5.1060251729595496E-3</v>
      </c>
      <c r="D55" s="172">
        <v>3.5987264110914907E-6</v>
      </c>
      <c r="E55" s="172">
        <v>-2.065160275213862E-2</v>
      </c>
      <c r="F55" s="172">
        <v>1.0470549328533307E-2</v>
      </c>
      <c r="G55" s="172">
        <v>8.0430823359569636E-3</v>
      </c>
      <c r="H55" s="172">
        <v>2.5662597318620861E-4</v>
      </c>
      <c r="I55" s="172">
        <v>8.6630668085785345E-3</v>
      </c>
      <c r="J55" s="172">
        <v>7.2274680332196084E-3</v>
      </c>
      <c r="K55" s="172">
        <v>4.3971694361011338E-4</v>
      </c>
      <c r="L55" s="172">
        <v>-7.4873678479204786E-3</v>
      </c>
      <c r="M55" s="172">
        <v>-7.4873678479205896E-3</v>
      </c>
      <c r="N55" s="172">
        <v>-9.5881760555093232E-3</v>
      </c>
      <c r="O55" s="172">
        <v>-1.8779809262642555E-2</v>
      </c>
      <c r="P55" s="172">
        <v>-4.458598386705459E-2</v>
      </c>
      <c r="Q55" s="172">
        <v>-2.3054188314019952E-2</v>
      </c>
      <c r="R55" s="172">
        <v>-2.6763403116227824E-3</v>
      </c>
      <c r="S55" s="172">
        <v>5.5487962391529422E-3</v>
      </c>
      <c r="T55" s="172">
        <v>-1.8586582117746664E-2</v>
      </c>
      <c r="U55" s="172">
        <v>1.9576642131790001E-2</v>
      </c>
      <c r="V55" s="328"/>
    </row>
    <row r="56" spans="1:22" x14ac:dyDescent="0.2">
      <c r="A56" s="25"/>
      <c r="B56" s="142"/>
      <c r="C56" s="329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222"/>
      <c r="V56" s="328"/>
    </row>
    <row r="57" spans="1:22" x14ac:dyDescent="0.2">
      <c r="A57" s="25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216"/>
      <c r="V57" s="328"/>
    </row>
    <row r="58" spans="1:22" x14ac:dyDescent="0.2">
      <c r="A58" s="21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3"/>
      <c r="N58" s="43"/>
      <c r="O58" s="43"/>
      <c r="P58" s="43"/>
      <c r="Q58" s="43"/>
      <c r="R58" s="42"/>
      <c r="S58" s="42"/>
      <c r="T58" s="43"/>
      <c r="U58" s="9"/>
    </row>
    <row r="59" spans="1:22" x14ac:dyDescent="0.2">
      <c r="A59" s="6" t="s">
        <v>60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3"/>
      <c r="N59" s="43"/>
      <c r="O59" s="43"/>
      <c r="P59" s="43"/>
      <c r="Q59" s="43"/>
      <c r="R59" s="42"/>
      <c r="S59" s="42"/>
      <c r="T59" s="43"/>
      <c r="U59" s="9"/>
    </row>
    <row r="60" spans="1:22" x14ac:dyDescent="0.2">
      <c r="A60" s="4"/>
      <c r="B60" s="140">
        <v>919.13428064024072</v>
      </c>
      <c r="C60" s="140">
        <v>418.88968674901759</v>
      </c>
      <c r="D60" s="140">
        <v>9.3587965337677108</v>
      </c>
      <c r="E60" s="140">
        <v>99.2573307558159</v>
      </c>
      <c r="F60" s="140">
        <v>2821.7797014184434</v>
      </c>
      <c r="G60" s="140">
        <v>664.51554558329576</v>
      </c>
      <c r="H60" s="140">
        <v>16.588492083481007</v>
      </c>
      <c r="I60" s="140">
        <v>440.90917356139823</v>
      </c>
      <c r="J60" s="140">
        <v>2139.998090022028</v>
      </c>
      <c r="K60" s="140">
        <v>577.19558573148345</v>
      </c>
      <c r="L60" s="140">
        <v>702.65994438463133</v>
      </c>
      <c r="M60" s="140">
        <v>127.37087069516286</v>
      </c>
      <c r="N60" s="140">
        <v>259.12054736191692</v>
      </c>
      <c r="O60" s="140">
        <v>270.30410944160957</v>
      </c>
      <c r="P60" s="140">
        <v>104.82412726214093</v>
      </c>
      <c r="Q60" s="140">
        <v>799.22911484244662</v>
      </c>
      <c r="R60" s="140">
        <v>725.96154439582835</v>
      </c>
      <c r="S60" s="140">
        <v>240.20316110961355</v>
      </c>
      <c r="T60" s="140">
        <v>2119.4256904455815</v>
      </c>
      <c r="U60" s="44">
        <v>4216.7914405770534</v>
      </c>
    </row>
  </sheetData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32"/>
  <sheetViews>
    <sheetView tabSelected="1" topLeftCell="BH1" zoomScale="85" workbookViewId="0"/>
  </sheetViews>
  <sheetFormatPr defaultColWidth="9.140625" defaultRowHeight="12.75" x14ac:dyDescent="0.2"/>
  <cols>
    <col min="1" max="1" width="7.140625" style="14" customWidth="1"/>
    <col min="2" max="2" width="12" style="14" bestFit="1" customWidth="1"/>
    <col min="3" max="4" width="12" style="14" customWidth="1"/>
    <col min="5" max="5" width="12" style="14" bestFit="1" customWidth="1"/>
    <col min="6" max="6" width="12" style="14" customWidth="1"/>
    <col min="7" max="7" width="6.140625" style="14" bestFit="1" customWidth="1"/>
    <col min="8" max="8" width="6.42578125" style="14" bestFit="1" customWidth="1"/>
    <col min="9" max="9" width="8.140625" style="14" bestFit="1" customWidth="1"/>
    <col min="10" max="10" width="7.7109375" style="14" bestFit="1" customWidth="1"/>
    <col min="11" max="12" width="10.28515625" style="14" bestFit="1" customWidth="1"/>
    <col min="13" max="13" width="7.42578125" style="30" bestFit="1" customWidth="1"/>
    <col min="14" max="14" width="7.5703125" style="30" bestFit="1" customWidth="1"/>
    <col min="15" max="16" width="7" style="30" bestFit="1" customWidth="1"/>
    <col min="17" max="17" width="8.5703125" style="30" bestFit="1" customWidth="1"/>
    <col min="18" max="18" width="7" style="30" bestFit="1" customWidth="1"/>
    <col min="19" max="19" width="11.85546875" style="30" bestFit="1" customWidth="1"/>
    <col min="20" max="20" width="12.28515625" style="14" bestFit="1" customWidth="1"/>
    <col min="21" max="21" width="5.28515625" style="60" bestFit="1" customWidth="1"/>
    <col min="22" max="23" width="10.140625" style="60" customWidth="1"/>
    <col min="24" max="24" width="10.28515625" style="60" bestFit="1" customWidth="1"/>
    <col min="25" max="25" width="10.140625" style="60" customWidth="1"/>
    <col min="26" max="29" width="10.28515625" style="60" customWidth="1"/>
    <col min="30" max="30" width="10.28515625" style="60" bestFit="1" customWidth="1"/>
    <col min="31" max="31" width="10.28515625" style="60" customWidth="1"/>
    <col min="32" max="32" width="10.28515625" style="60" bestFit="1" customWidth="1"/>
    <col min="33" max="33" width="10.28515625" style="60" customWidth="1"/>
    <col min="34" max="34" width="10.28515625" style="60" bestFit="1" customWidth="1"/>
    <col min="35" max="36" width="10.28515625" style="60" customWidth="1"/>
    <col min="37" max="37" width="10.28515625" style="60" bestFit="1" customWidth="1"/>
    <col min="38" max="38" width="10.28515625" style="60" customWidth="1"/>
    <col min="39" max="39" width="10.28515625" style="60" bestFit="1" customWidth="1"/>
    <col min="40" max="40" width="10.28515625" style="60" customWidth="1"/>
    <col min="41" max="41" width="10.28515625" style="60" bestFit="1" customWidth="1"/>
    <col min="42" max="42" width="10.28515625" style="60" customWidth="1"/>
    <col min="43" max="43" width="10.28515625" style="60" bestFit="1" customWidth="1"/>
    <col min="44" max="44" width="10.28515625" style="60" customWidth="1"/>
    <col min="45" max="45" width="10.28515625" style="60" bestFit="1" customWidth="1"/>
    <col min="46" max="46" width="10.28515625" style="60" customWidth="1"/>
    <col min="47" max="47" width="10.28515625" style="60" bestFit="1" customWidth="1"/>
    <col min="48" max="48" width="10.28515625" style="60" customWidth="1"/>
    <col min="49" max="49" width="10.28515625" style="60" bestFit="1" customWidth="1"/>
    <col min="50" max="50" width="10.28515625" style="60" customWidth="1"/>
    <col min="51" max="51" width="10.28515625" style="60" bestFit="1" customWidth="1"/>
    <col min="52" max="54" width="10.28515625" style="60" customWidth="1"/>
    <col min="55" max="55" width="11.28515625" style="60" bestFit="1" customWidth="1"/>
    <col min="56" max="56" width="12.5703125" style="60" bestFit="1" customWidth="1"/>
    <col min="57" max="57" width="14.28515625" style="60" bestFit="1" customWidth="1"/>
    <col min="58" max="58" width="11.28515625" style="14" bestFit="1" customWidth="1"/>
    <col min="59" max="59" width="39.42578125" style="14" bestFit="1" customWidth="1"/>
    <col min="60" max="60" width="8.140625" style="14" bestFit="1" customWidth="1"/>
    <col min="61" max="61" width="10.5703125" style="14" bestFit="1" customWidth="1"/>
    <col min="62" max="62" width="11.5703125" style="14" bestFit="1" customWidth="1"/>
    <col min="63" max="63" width="14.7109375" style="14" bestFit="1" customWidth="1"/>
    <col min="64" max="64" width="13.140625" style="14" bestFit="1" customWidth="1"/>
    <col min="65" max="65" width="12.28515625" style="14" bestFit="1" customWidth="1"/>
    <col min="66" max="66" width="5.7109375" style="14" customWidth="1"/>
    <col min="67" max="67" width="6.28515625" style="14" customWidth="1"/>
    <col min="68" max="76" width="6.7109375" style="14" bestFit="1" customWidth="1"/>
    <col min="77" max="77" width="9.140625" style="14"/>
    <col min="78" max="87" width="7.7109375" style="14" customWidth="1"/>
    <col min="88" max="16384" width="9.140625" style="14"/>
  </cols>
  <sheetData>
    <row r="1" spans="1:87" ht="18" x14ac:dyDescent="0.25">
      <c r="A1" s="59" t="s">
        <v>80</v>
      </c>
      <c r="J1" s="30"/>
      <c r="M1" s="14"/>
      <c r="N1" s="14"/>
      <c r="O1" s="14"/>
      <c r="P1" s="14"/>
      <c r="Q1" s="14"/>
      <c r="R1" s="14"/>
      <c r="S1" s="14"/>
    </row>
    <row r="2" spans="1:87" ht="18" x14ac:dyDescent="0.25">
      <c r="A2" s="60"/>
      <c r="B2" s="278" t="s">
        <v>101</v>
      </c>
      <c r="C2" s="278" t="s">
        <v>169</v>
      </c>
      <c r="D2" s="278" t="s">
        <v>114</v>
      </c>
      <c r="E2" s="278" t="s">
        <v>102</v>
      </c>
      <c r="F2" s="278" t="s">
        <v>103</v>
      </c>
      <c r="G2" s="278" t="s">
        <v>102</v>
      </c>
      <c r="H2" s="278" t="s">
        <v>103</v>
      </c>
      <c r="I2" s="278" t="s">
        <v>104</v>
      </c>
      <c r="J2" s="278" t="s">
        <v>114</v>
      </c>
      <c r="K2" s="278" t="s">
        <v>114</v>
      </c>
      <c r="L2" s="278" t="s">
        <v>114</v>
      </c>
      <c r="M2" s="278" t="s">
        <v>114</v>
      </c>
      <c r="N2" s="278" t="s">
        <v>114</v>
      </c>
      <c r="O2" s="278" t="s">
        <v>114</v>
      </c>
      <c r="P2" s="278" t="s">
        <v>114</v>
      </c>
      <c r="Q2" s="278" t="s">
        <v>114</v>
      </c>
      <c r="R2" s="330" t="s">
        <v>114</v>
      </c>
      <c r="S2" s="330" t="s">
        <v>114</v>
      </c>
      <c r="T2" s="330"/>
      <c r="V2" s="63" t="s">
        <v>48</v>
      </c>
      <c r="W2" s="63"/>
      <c r="Y2" s="63"/>
      <c r="BG2" s="59" t="s">
        <v>154</v>
      </c>
      <c r="BO2" s="59" t="s">
        <v>149</v>
      </c>
      <c r="BZ2" s="59" t="s">
        <v>150</v>
      </c>
    </row>
    <row r="3" spans="1:87" x14ac:dyDescent="0.2">
      <c r="A3" s="64"/>
      <c r="B3" s="8" t="s">
        <v>52</v>
      </c>
      <c r="C3" s="8" t="s">
        <v>170</v>
      </c>
      <c r="D3" s="8" t="s">
        <v>147</v>
      </c>
      <c r="E3" s="8" t="s">
        <v>51</v>
      </c>
      <c r="F3" s="8" t="s">
        <v>171</v>
      </c>
      <c r="G3" s="8" t="s">
        <v>105</v>
      </c>
      <c r="H3" s="8" t="s">
        <v>106</v>
      </c>
      <c r="I3" s="8" t="s">
        <v>5</v>
      </c>
      <c r="J3" s="8" t="s">
        <v>45</v>
      </c>
      <c r="K3" s="8" t="s">
        <v>9</v>
      </c>
      <c r="L3" s="8" t="s">
        <v>43</v>
      </c>
      <c r="M3" s="8" t="s">
        <v>10</v>
      </c>
      <c r="N3" s="8" t="s">
        <v>11</v>
      </c>
      <c r="O3" s="8" t="s">
        <v>12</v>
      </c>
      <c r="P3" s="8" t="s">
        <v>100</v>
      </c>
      <c r="Q3" s="8" t="s">
        <v>174</v>
      </c>
      <c r="R3" s="23" t="s">
        <v>13</v>
      </c>
      <c r="S3" s="23" t="s">
        <v>14</v>
      </c>
      <c r="T3" s="65"/>
      <c r="BO3" s="64" t="s">
        <v>15</v>
      </c>
      <c r="BP3" s="64" t="s">
        <v>83</v>
      </c>
      <c r="BQ3" s="64" t="s">
        <v>84</v>
      </c>
      <c r="BR3" s="64" t="s">
        <v>85</v>
      </c>
      <c r="BS3" s="64" t="s">
        <v>86</v>
      </c>
      <c r="BT3" s="64" t="s">
        <v>87</v>
      </c>
      <c r="BU3" s="64" t="s">
        <v>88</v>
      </c>
      <c r="BV3" s="64" t="s">
        <v>89</v>
      </c>
      <c r="BW3" s="64" t="s">
        <v>90</v>
      </c>
      <c r="BX3" s="64" t="s">
        <v>91</v>
      </c>
      <c r="BZ3" s="64" t="s">
        <v>15</v>
      </c>
      <c r="CA3" s="64" t="s">
        <v>83</v>
      </c>
      <c r="CB3" s="64" t="s">
        <v>84</v>
      </c>
      <c r="CC3" s="64" t="s">
        <v>85</v>
      </c>
      <c r="CD3" s="64" t="s">
        <v>86</v>
      </c>
      <c r="CE3" s="64" t="s">
        <v>87</v>
      </c>
      <c r="CF3" s="64" t="s">
        <v>88</v>
      </c>
      <c r="CG3" s="64" t="s">
        <v>89</v>
      </c>
      <c r="CH3" s="64" t="s">
        <v>90</v>
      </c>
      <c r="CI3" s="64" t="s">
        <v>91</v>
      </c>
    </row>
    <row r="4" spans="1:87" x14ac:dyDescent="0.2">
      <c r="A4" s="26">
        <v>2005</v>
      </c>
      <c r="B4" s="272">
        <v>7.0620322320644684</v>
      </c>
      <c r="C4" s="272">
        <v>3.3</v>
      </c>
      <c r="D4" s="100">
        <f t="shared" ref="D4:D42" si="0">1000*(AB93/AB49)/ 3.412</f>
        <v>625.46563419179665</v>
      </c>
      <c r="E4" s="272">
        <v>11.519958958691054</v>
      </c>
      <c r="F4" s="272">
        <v>13.8</v>
      </c>
      <c r="G4" s="272">
        <v>11.212047447874177</v>
      </c>
      <c r="H4" s="272">
        <v>9.4785066617465841</v>
      </c>
      <c r="I4" s="272">
        <v>0.88291869461439743</v>
      </c>
      <c r="J4" s="272">
        <v>666.18340837714163</v>
      </c>
      <c r="K4" s="272">
        <v>535.73422281363219</v>
      </c>
      <c r="L4" s="100">
        <f t="shared" ref="L4:L42" si="1">1000*(AQ93/AQ49)/ 3.412</f>
        <v>331.40747338337758</v>
      </c>
      <c r="M4" s="100">
        <f t="shared" ref="M4:M42" si="2">1000*(AM93/AM49)/ 3.412</f>
        <v>434.05618224643769</v>
      </c>
      <c r="N4" s="100">
        <f t="shared" ref="N4:N42" si="3">1000*(AK93/AK49)/ 3.412</f>
        <v>110.52562758422165</v>
      </c>
      <c r="O4" s="100">
        <f t="shared" ref="O4:O42" si="4">1000*(AS93/AS49)/ 3.412</f>
        <v>922.49348069682435</v>
      </c>
      <c r="P4" s="100">
        <f t="shared" ref="P4:P42" si="5">1000*(AY93/AY49)/ 3.412</f>
        <v>213.36398720339992</v>
      </c>
      <c r="Q4" s="100">
        <f t="shared" ref="Q4:Q42" si="6">1000*(BA93/BA49)/ 3.412</f>
        <v>482.72570571459363</v>
      </c>
      <c r="R4" s="101">
        <f t="shared" ref="R4:S34" si="7">1000*(BC93/BC49)/ 3.412</f>
        <v>2009.4019042164659</v>
      </c>
      <c r="S4" s="101">
        <f t="shared" si="7"/>
        <v>3997.88904540354</v>
      </c>
      <c r="T4" s="65"/>
      <c r="U4" s="66"/>
      <c r="V4" s="66" t="s">
        <v>36</v>
      </c>
      <c r="W4" s="66"/>
      <c r="X4" s="66" t="s">
        <v>39</v>
      </c>
      <c r="Y4" s="66"/>
      <c r="Z4" s="66" t="s">
        <v>167</v>
      </c>
      <c r="AA4" s="66"/>
      <c r="AB4" s="66" t="s">
        <v>147</v>
      </c>
      <c r="AC4" s="66"/>
      <c r="AD4" s="66" t="s">
        <v>4</v>
      </c>
      <c r="AE4" s="66"/>
      <c r="AF4" s="66" t="s">
        <v>2</v>
      </c>
      <c r="AG4" s="66"/>
      <c r="AH4" s="66" t="s">
        <v>40</v>
      </c>
      <c r="AI4" s="66"/>
      <c r="AJ4" s="66" t="s">
        <v>168</v>
      </c>
      <c r="AK4" s="66" t="s">
        <v>41</v>
      </c>
      <c r="AL4" s="66"/>
      <c r="AM4" s="66" t="s">
        <v>42</v>
      </c>
      <c r="AN4" s="66"/>
      <c r="AO4" s="66" t="s">
        <v>5</v>
      </c>
      <c r="AP4" s="66"/>
      <c r="AQ4" s="66" t="s">
        <v>43</v>
      </c>
      <c r="AR4" s="66"/>
      <c r="AS4" s="66" t="s">
        <v>44</v>
      </c>
      <c r="AT4" s="66"/>
      <c r="AU4" s="66" t="s">
        <v>45</v>
      </c>
      <c r="AV4" s="66"/>
      <c r="AW4" s="66" t="s">
        <v>9</v>
      </c>
      <c r="AX4" s="66"/>
      <c r="AY4" s="66" t="s">
        <v>100</v>
      </c>
      <c r="AZ4" s="66"/>
      <c r="BA4" s="66" t="s">
        <v>174</v>
      </c>
      <c r="BB4" s="66"/>
      <c r="BC4" s="66" t="s">
        <v>46</v>
      </c>
      <c r="BD4" s="66" t="s">
        <v>14</v>
      </c>
      <c r="BE4" s="90" t="s">
        <v>49</v>
      </c>
      <c r="BI4" s="8" t="s">
        <v>37</v>
      </c>
      <c r="BJ4" s="8" t="s">
        <v>38</v>
      </c>
      <c r="BK4" s="8" t="s">
        <v>35</v>
      </c>
      <c r="BL4" s="8" t="s">
        <v>75</v>
      </c>
      <c r="BM4" s="8" t="s">
        <v>74</v>
      </c>
      <c r="BO4" s="26">
        <v>1990</v>
      </c>
      <c r="BP4" s="29">
        <f t="shared" ref="BP4:BX19" si="8">BP65/BP$80</f>
        <v>1.083921568627451</v>
      </c>
      <c r="BQ4" s="29">
        <f t="shared" si="8"/>
        <v>1.3455696202531646</v>
      </c>
      <c r="BR4" s="29">
        <f t="shared" si="8"/>
        <v>0.94172932330827064</v>
      </c>
      <c r="BS4" s="29">
        <f t="shared" si="8"/>
        <v>0.89227642276422769</v>
      </c>
      <c r="BT4" s="29">
        <f t="shared" si="8"/>
        <v>0.98089552238805966</v>
      </c>
      <c r="BU4" s="29">
        <f t="shared" si="8"/>
        <v>0.94535131298793473</v>
      </c>
      <c r="BV4" s="29">
        <f t="shared" si="8"/>
        <v>0.78425196850393697</v>
      </c>
      <c r="BW4" s="29">
        <f t="shared" si="8"/>
        <v>0.80911854103343472</v>
      </c>
      <c r="BX4" s="29">
        <f t="shared" si="8"/>
        <v>0.89933909506863241</v>
      </c>
      <c r="BZ4" s="26">
        <v>1990</v>
      </c>
      <c r="CA4" s="29">
        <f t="shared" ref="CA4:CI19" si="9">CA65/CA$80</f>
        <v>0.70286885245901642</v>
      </c>
      <c r="CB4" s="29">
        <f t="shared" si="9"/>
        <v>0.71043376318874563</v>
      </c>
      <c r="CC4" s="29">
        <f t="shared" si="9"/>
        <v>0.61081081081081068</v>
      </c>
      <c r="CD4" s="29">
        <f t="shared" si="9"/>
        <v>0.56434316353887404</v>
      </c>
      <c r="CE4" s="29">
        <f t="shared" si="9"/>
        <v>0.59451219512195119</v>
      </c>
      <c r="CF4" s="29">
        <f t="shared" si="9"/>
        <v>0.54462242562929053</v>
      </c>
      <c r="CG4" s="29">
        <f t="shared" si="9"/>
        <v>0.61441213653603033</v>
      </c>
      <c r="CH4" s="29">
        <f t="shared" si="9"/>
        <v>0.65938864628820959</v>
      </c>
      <c r="CI4" s="29">
        <f t="shared" si="9"/>
        <v>0.67162162162162153</v>
      </c>
    </row>
    <row r="5" spans="1:87" x14ac:dyDescent="0.2">
      <c r="A5" s="26">
        <v>2006</v>
      </c>
      <c r="B5" s="272">
        <v>7.1493184332678767</v>
      </c>
      <c r="C5" s="272">
        <v>3.3058230000000002</v>
      </c>
      <c r="D5" s="100">
        <f t="shared" si="0"/>
        <v>533.93994402085536</v>
      </c>
      <c r="E5" s="272">
        <v>11.731493674165527</v>
      </c>
      <c r="F5" s="272">
        <v>13.899820999999999</v>
      </c>
      <c r="G5" s="272">
        <v>11.442723164233163</v>
      </c>
      <c r="H5" s="272">
        <v>9.5562644541554054</v>
      </c>
      <c r="I5" s="272">
        <v>0.88541958974073087</v>
      </c>
      <c r="J5" s="272">
        <v>653.83637638858977</v>
      </c>
      <c r="K5" s="272">
        <v>530.40085896318101</v>
      </c>
      <c r="L5" s="100">
        <f t="shared" si="1"/>
        <v>331.11462444562341</v>
      </c>
      <c r="M5" s="100">
        <f t="shared" si="2"/>
        <v>432.91685803373963</v>
      </c>
      <c r="N5" s="100">
        <f t="shared" si="3"/>
        <v>109.9791450154996</v>
      </c>
      <c r="O5" s="100">
        <f t="shared" si="4"/>
        <v>914.46699343519106</v>
      </c>
      <c r="P5" s="100">
        <f t="shared" si="5"/>
        <v>225.82494995553449</v>
      </c>
      <c r="Q5" s="100">
        <f t="shared" si="6"/>
        <v>458.71325765347331</v>
      </c>
      <c r="R5" s="101">
        <f t="shared" si="7"/>
        <v>1985.1797483947332</v>
      </c>
      <c r="S5" s="101">
        <f t="shared" si="7"/>
        <v>4248.1497410769371</v>
      </c>
      <c r="T5" s="65"/>
      <c r="U5" s="66" t="s">
        <v>15</v>
      </c>
      <c r="V5" s="67" t="s">
        <v>48</v>
      </c>
      <c r="W5" s="67"/>
      <c r="X5" s="67" t="s">
        <v>48</v>
      </c>
      <c r="Y5" s="67"/>
      <c r="Z5" s="67" t="s">
        <v>48</v>
      </c>
      <c r="AA5" s="67"/>
      <c r="AB5" s="67" t="s">
        <v>48</v>
      </c>
      <c r="AC5" s="67"/>
      <c r="AD5" s="67" t="s">
        <v>48</v>
      </c>
      <c r="AE5" s="67"/>
      <c r="AF5" s="67" t="s">
        <v>48</v>
      </c>
      <c r="AG5" s="67"/>
      <c r="AH5" s="67" t="s">
        <v>48</v>
      </c>
      <c r="AI5" s="67"/>
      <c r="AJ5" s="67" t="s">
        <v>48</v>
      </c>
      <c r="AK5" s="67" t="s">
        <v>48</v>
      </c>
      <c r="AL5" s="67"/>
      <c r="AM5" s="67" t="s">
        <v>48</v>
      </c>
      <c r="AN5" s="67"/>
      <c r="AO5" s="67" t="s">
        <v>48</v>
      </c>
      <c r="AP5" s="67"/>
      <c r="AQ5" s="67" t="s">
        <v>48</v>
      </c>
      <c r="AR5" s="67"/>
      <c r="AS5" s="67" t="s">
        <v>48</v>
      </c>
      <c r="AT5" s="67"/>
      <c r="AU5" s="67" t="s">
        <v>48</v>
      </c>
      <c r="AV5" s="67"/>
      <c r="AW5" s="67" t="s">
        <v>48</v>
      </c>
      <c r="AX5" s="67"/>
      <c r="AY5" s="67" t="s">
        <v>48</v>
      </c>
      <c r="AZ5" s="67"/>
      <c r="BA5" s="67" t="s">
        <v>48</v>
      </c>
      <c r="BB5" s="67"/>
      <c r="BC5" s="67" t="s">
        <v>48</v>
      </c>
      <c r="BD5" s="67" t="s">
        <v>48</v>
      </c>
      <c r="BE5" s="67" t="s">
        <v>48</v>
      </c>
      <c r="BG5" s="14" t="s">
        <v>115</v>
      </c>
      <c r="BH5" s="26" t="s">
        <v>0</v>
      </c>
      <c r="BI5" s="27">
        <f>V49</f>
        <v>2334318</v>
      </c>
      <c r="BJ5" s="27">
        <f>V93</f>
        <v>20494125</v>
      </c>
      <c r="BK5" s="27">
        <f t="shared" ref="BK5:BK13" si="10">1000*(BJ5/BI5)/3.412</f>
        <v>2573.1217711505083</v>
      </c>
      <c r="BL5" s="27">
        <f>$BK$5*V6</f>
        <v>871.42011256872252</v>
      </c>
      <c r="BM5" s="27">
        <f>BL5*$BL$28</f>
        <v>919.13428064024072</v>
      </c>
      <c r="BO5" s="26">
        <f t="shared" ref="BO5:BO13" si="11">BO6-1</f>
        <v>1991</v>
      </c>
      <c r="BP5" s="29">
        <f t="shared" si="8"/>
        <v>1.0207843137254902</v>
      </c>
      <c r="BQ5" s="29">
        <f t="shared" si="8"/>
        <v>1.1109704641350211</v>
      </c>
      <c r="BR5" s="29">
        <f t="shared" si="8"/>
        <v>1.0588972431077692</v>
      </c>
      <c r="BS5" s="29">
        <f t="shared" si="8"/>
        <v>1.0338753387533874</v>
      </c>
      <c r="BT5" s="29">
        <f t="shared" si="8"/>
        <v>1.0208955223880598</v>
      </c>
      <c r="BU5" s="29">
        <f t="shared" si="8"/>
        <v>1.1171043293115686</v>
      </c>
      <c r="BV5" s="29">
        <f t="shared" si="8"/>
        <v>0.81207349081364832</v>
      </c>
      <c r="BW5" s="29">
        <f t="shared" si="8"/>
        <v>0.87537993920972645</v>
      </c>
      <c r="BX5" s="29">
        <f t="shared" si="8"/>
        <v>0.9217081850533807</v>
      </c>
      <c r="BZ5" s="26">
        <f t="shared" ref="BZ5:BZ13" si="12">BZ6-1</f>
        <v>1991</v>
      </c>
      <c r="CA5" s="29">
        <f t="shared" si="9"/>
        <v>0.70081967213114749</v>
      </c>
      <c r="CB5" s="29">
        <f t="shared" si="9"/>
        <v>0.69167643610785468</v>
      </c>
      <c r="CC5" s="29">
        <f t="shared" si="9"/>
        <v>0.58648648648648649</v>
      </c>
      <c r="CD5" s="29">
        <f t="shared" si="9"/>
        <v>0.53351206434316356</v>
      </c>
      <c r="CE5" s="29">
        <f t="shared" si="9"/>
        <v>0.56707317073170738</v>
      </c>
      <c r="CF5" s="29">
        <f t="shared" si="9"/>
        <v>0.53432494279176201</v>
      </c>
      <c r="CG5" s="29">
        <f t="shared" si="9"/>
        <v>0.5802781289506953</v>
      </c>
      <c r="CH5" s="29">
        <f t="shared" si="9"/>
        <v>0.63755458515283836</v>
      </c>
      <c r="CI5" s="29">
        <f t="shared" si="9"/>
        <v>0.69324324324324316</v>
      </c>
    </row>
    <row r="6" spans="1:87" x14ac:dyDescent="0.2">
      <c r="A6" s="26">
        <v>2007</v>
      </c>
      <c r="B6" s="272">
        <v>7.2376834855257917</v>
      </c>
      <c r="C6" s="272">
        <v>3.3084030000000002</v>
      </c>
      <c r="D6" s="100">
        <f t="shared" si="0"/>
        <v>524.23621272693435</v>
      </c>
      <c r="E6" s="272">
        <v>11.946912686104191</v>
      </c>
      <c r="F6" s="272">
        <v>13.959336</v>
      </c>
      <c r="G6" s="272">
        <v>11.678144783279871</v>
      </c>
      <c r="H6" s="272">
        <v>9.6346601396940272</v>
      </c>
      <c r="I6" s="272">
        <v>0.88792756873160483</v>
      </c>
      <c r="J6" s="272">
        <v>641.71818408143679</v>
      </c>
      <c r="K6" s="272">
        <v>525.12059004068112</v>
      </c>
      <c r="L6" s="100">
        <f t="shared" si="1"/>
        <v>330.91645306583194</v>
      </c>
      <c r="M6" s="100">
        <f t="shared" si="2"/>
        <v>432.91899720505887</v>
      </c>
      <c r="N6" s="100">
        <f t="shared" si="3"/>
        <v>109.38776394353474</v>
      </c>
      <c r="O6" s="100">
        <f t="shared" si="4"/>
        <v>908.30124375978949</v>
      </c>
      <c r="P6" s="100">
        <f t="shared" si="5"/>
        <v>217.11185870931743</v>
      </c>
      <c r="Q6" s="100">
        <f t="shared" si="6"/>
        <v>459.56516805093412</v>
      </c>
      <c r="R6" s="101">
        <f t="shared" si="7"/>
        <v>1939.9335923414326</v>
      </c>
      <c r="S6" s="101">
        <f t="shared" si="7"/>
        <v>4571.464236516189</v>
      </c>
      <c r="T6" s="65"/>
      <c r="U6" s="8">
        <v>2005</v>
      </c>
      <c r="V6" s="53">
        <f t="shared" ref="V6:BD20" si="13">V49/$BC49</f>
        <v>0.33866260133467696</v>
      </c>
      <c r="W6" s="53"/>
      <c r="X6" s="53">
        <f t="shared" si="13"/>
        <v>0.14585055552541118</v>
      </c>
      <c r="Y6" s="53"/>
      <c r="Z6" s="53">
        <f t="shared" si="13"/>
        <v>4.7895224463255183E-3</v>
      </c>
      <c r="AA6" s="53"/>
      <c r="AB6" s="53">
        <f t="shared" ref="AB6:AB32" si="14">AB49/$BC49</f>
        <v>0.15045539127031082</v>
      </c>
      <c r="AC6" s="53"/>
      <c r="AD6" s="53">
        <f t="shared" si="13"/>
        <v>0.43823339698471758</v>
      </c>
      <c r="AE6" s="53"/>
      <c r="AF6" s="53">
        <f t="shared" si="13"/>
        <v>0.60157638006521053</v>
      </c>
      <c r="AG6" s="53"/>
      <c r="AH6" s="53">
        <f t="shared" si="13"/>
        <v>0.14585055552541118</v>
      </c>
      <c r="AI6" s="53"/>
      <c r="AJ6" s="53">
        <f t="shared" si="13"/>
        <v>4.7895224463255183E-3</v>
      </c>
      <c r="AK6" s="53">
        <f t="shared" si="13"/>
        <v>0.89918050172688591</v>
      </c>
      <c r="AL6" s="53"/>
      <c r="AM6" s="53">
        <f t="shared" si="13"/>
        <v>0.59041219228192388</v>
      </c>
      <c r="AN6" s="53"/>
      <c r="AO6" s="53">
        <f t="shared" si="13"/>
        <v>0.68160970201460835</v>
      </c>
      <c r="AP6" s="53"/>
      <c r="AQ6" s="53">
        <f t="shared" si="13"/>
        <v>1.6512366464841195</v>
      </c>
      <c r="AR6" s="53"/>
      <c r="AS6" s="53">
        <f t="shared" si="13"/>
        <v>0.8214036073244454</v>
      </c>
      <c r="AT6" s="53"/>
      <c r="AU6" s="53">
        <f t="shared" si="13"/>
        <v>1.201410640797568</v>
      </c>
      <c r="AV6" s="53"/>
      <c r="AW6" s="53">
        <f t="shared" si="13"/>
        <v>0.45856518308937183</v>
      </c>
      <c r="AX6" s="53"/>
      <c r="AY6" s="53">
        <f t="shared" si="13"/>
        <v>3.2258272963172629</v>
      </c>
      <c r="AZ6" s="53"/>
      <c r="BA6" s="53">
        <f t="shared" ref="BA6:BA36" si="15">BA49/$BC49</f>
        <v>0.4717662925443154</v>
      </c>
      <c r="BB6" s="53"/>
      <c r="BC6" s="53">
        <f t="shared" si="13"/>
        <v>1</v>
      </c>
      <c r="BD6" s="53">
        <f t="shared" si="13"/>
        <v>1</v>
      </c>
      <c r="BE6" s="105">
        <f t="shared" ref="BE6:BE31" si="16">AU6-1</f>
        <v>0.20141064079756799</v>
      </c>
      <c r="BG6" s="14" t="s">
        <v>20</v>
      </c>
      <c r="BH6" s="26" t="s">
        <v>1</v>
      </c>
      <c r="BI6" s="27">
        <f>X49</f>
        <v>1005312</v>
      </c>
      <c r="BJ6" s="27">
        <f>X93</f>
        <v>9340069</v>
      </c>
      <c r="BK6" s="27">
        <f t="shared" si="10"/>
        <v>2722.9533155983272</v>
      </c>
      <c r="BL6" s="27">
        <f>$BK$6*X6</f>
        <v>397.14425374977628</v>
      </c>
      <c r="BM6" s="27">
        <f t="shared" ref="BM6:BM24" si="17">BL6*$BL$28</f>
        <v>418.88968674901759</v>
      </c>
      <c r="BO6" s="26">
        <f t="shared" si="11"/>
        <v>1992</v>
      </c>
      <c r="BP6" s="29">
        <f t="shared" si="8"/>
        <v>1.044313725490196</v>
      </c>
      <c r="BQ6" s="29">
        <f t="shared" si="8"/>
        <v>1.0637130801687764</v>
      </c>
      <c r="BR6" s="29">
        <f t="shared" si="8"/>
        <v>1.1265664160401003</v>
      </c>
      <c r="BS6" s="29">
        <f t="shared" si="8"/>
        <v>1.1029810298102982</v>
      </c>
      <c r="BT6" s="29">
        <f t="shared" si="8"/>
        <v>1.04</v>
      </c>
      <c r="BU6" s="29">
        <f t="shared" si="8"/>
        <v>1.170333569907736</v>
      </c>
      <c r="BV6" s="29">
        <f t="shared" si="8"/>
        <v>0.83779527559055122</v>
      </c>
      <c r="BW6" s="29">
        <f t="shared" si="8"/>
        <v>0.95805471124620067</v>
      </c>
      <c r="BX6" s="29">
        <f t="shared" si="8"/>
        <v>0.9440772750381291</v>
      </c>
      <c r="BZ6" s="26">
        <f t="shared" si="12"/>
        <v>1992</v>
      </c>
      <c r="CA6" s="29">
        <f t="shared" si="9"/>
        <v>0.68032786885245899</v>
      </c>
      <c r="CB6" s="29">
        <f t="shared" si="9"/>
        <v>0.6846424384525206</v>
      </c>
      <c r="CC6" s="29">
        <f t="shared" si="9"/>
        <v>0.57837837837837835</v>
      </c>
      <c r="CD6" s="29">
        <f t="shared" si="9"/>
        <v>0.54691689008042899</v>
      </c>
      <c r="CE6" s="29">
        <f t="shared" si="9"/>
        <v>0.55589430894308944</v>
      </c>
      <c r="CF6" s="29">
        <f t="shared" si="9"/>
        <v>0.52517162471395873</v>
      </c>
      <c r="CG6" s="29">
        <f t="shared" si="9"/>
        <v>0.5752212389380531</v>
      </c>
      <c r="CH6" s="29">
        <f t="shared" si="9"/>
        <v>0.61572052401746735</v>
      </c>
      <c r="CI6" s="29">
        <f t="shared" si="9"/>
        <v>0.64999999999999991</v>
      </c>
    </row>
    <row r="7" spans="1:87" x14ac:dyDescent="0.2">
      <c r="A7" s="26">
        <v>2008</v>
      </c>
      <c r="B7" s="272">
        <v>7.2955227821573905</v>
      </c>
      <c r="C7" s="272">
        <v>3.3115579999999998</v>
      </c>
      <c r="D7" s="100">
        <f t="shared" si="0"/>
        <v>576.61851116012792</v>
      </c>
      <c r="E7" s="272">
        <v>12.091365945217705</v>
      </c>
      <c r="F7" s="272">
        <v>14.011077</v>
      </c>
      <c r="G7" s="272">
        <v>11.882268005355439</v>
      </c>
      <c r="H7" s="272">
        <v>9.7236867825604634</v>
      </c>
      <c r="I7" s="272">
        <v>0.89003327185459302</v>
      </c>
      <c r="J7" s="272">
        <v>631.02578946127517</v>
      </c>
      <c r="K7" s="272">
        <v>520.34729348969699</v>
      </c>
      <c r="L7" s="100">
        <f t="shared" si="1"/>
        <v>331.29103268549198</v>
      </c>
      <c r="M7" s="100">
        <f t="shared" si="2"/>
        <v>434.43420898297279</v>
      </c>
      <c r="N7" s="100">
        <f t="shared" si="3"/>
        <v>106.95894621882289</v>
      </c>
      <c r="O7" s="100">
        <f t="shared" si="4"/>
        <v>900.81947550189284</v>
      </c>
      <c r="P7" s="100">
        <f t="shared" si="5"/>
        <v>207.00907655867826</v>
      </c>
      <c r="Q7" s="100">
        <f t="shared" si="6"/>
        <v>524.57710434617502</v>
      </c>
      <c r="R7" s="101">
        <f t="shared" si="7"/>
        <v>1902.3936931178162</v>
      </c>
      <c r="S7" s="101">
        <f t="shared" si="7"/>
        <v>4808.0565437272035</v>
      </c>
      <c r="T7" s="65"/>
      <c r="U7" s="8">
        <v>2006</v>
      </c>
      <c r="V7" s="53">
        <f t="shared" si="13"/>
        <v>0.33567850018347783</v>
      </c>
      <c r="W7" s="53"/>
      <c r="X7" s="53">
        <f t="shared" si="13"/>
        <v>0.14961951922040129</v>
      </c>
      <c r="Y7" s="53"/>
      <c r="Z7" s="53">
        <f t="shared" si="13"/>
        <v>5.0756203659968998E-3</v>
      </c>
      <c r="AA7" s="53"/>
      <c r="AB7" s="53">
        <f t="shared" si="14"/>
        <v>0.15875288623092756</v>
      </c>
      <c r="AC7" s="53"/>
      <c r="AD7" s="53">
        <f t="shared" si="13"/>
        <v>0.43228213752185862</v>
      </c>
      <c r="AE7" s="53"/>
      <c r="AF7" s="53">
        <f t="shared" si="13"/>
        <v>0.60111356436041241</v>
      </c>
      <c r="AG7" s="53"/>
      <c r="AH7" s="53">
        <f t="shared" si="13"/>
        <v>0.14961951922040129</v>
      </c>
      <c r="AI7" s="53"/>
      <c r="AJ7" s="53">
        <f t="shared" si="13"/>
        <v>5.0756203659968998E-3</v>
      </c>
      <c r="AK7" s="53">
        <f t="shared" si="13"/>
        <v>0.89844224507773374</v>
      </c>
      <c r="AL7" s="53"/>
      <c r="AM7" s="53">
        <f t="shared" si="13"/>
        <v>0.59230806771275191</v>
      </c>
      <c r="AN7" s="53"/>
      <c r="AO7" s="53">
        <f t="shared" si="13"/>
        <v>0.68229512996982733</v>
      </c>
      <c r="AP7" s="53"/>
      <c r="AQ7" s="53">
        <f t="shared" si="13"/>
        <v>1.6491509273296754</v>
      </c>
      <c r="AR7" s="53"/>
      <c r="AS7" s="53">
        <f t="shared" si="13"/>
        <v>0.82165047133434099</v>
      </c>
      <c r="AT7" s="53"/>
      <c r="AU7" s="53">
        <f t="shared" si="13"/>
        <v>1.1998874803619688</v>
      </c>
      <c r="AV7" s="53"/>
      <c r="AW7" s="53">
        <f t="shared" si="13"/>
        <v>0.45796730740189479</v>
      </c>
      <c r="AX7" s="53"/>
      <c r="AY7" s="53">
        <f t="shared" si="13"/>
        <v>3.2368607481663374</v>
      </c>
      <c r="AZ7" s="53"/>
      <c r="BA7" s="53">
        <f t="shared" si="15"/>
        <v>0.46959990314327987</v>
      </c>
      <c r="BB7" s="53"/>
      <c r="BC7" s="53">
        <f t="shared" si="13"/>
        <v>1</v>
      </c>
      <c r="BD7" s="53">
        <f t="shared" si="13"/>
        <v>1</v>
      </c>
      <c r="BE7" s="105">
        <f t="shared" si="16"/>
        <v>0.19988748036196879</v>
      </c>
      <c r="BG7" s="331" t="s">
        <v>163</v>
      </c>
      <c r="BH7" s="26" t="s">
        <v>164</v>
      </c>
      <c r="BI7" s="27">
        <f>Z49</f>
        <v>33013</v>
      </c>
      <c r="BJ7" s="27">
        <f>Z93</f>
        <v>208675</v>
      </c>
      <c r="BK7" s="27">
        <f>1000*(BJ7/BI7)/3.412</f>
        <v>1852.5775966119993</v>
      </c>
      <c r="BL7" s="27">
        <f>$BK$7*Z6</f>
        <v>8.8729619825329529</v>
      </c>
      <c r="BM7" s="27">
        <f t="shared" si="17"/>
        <v>9.3587965337677108</v>
      </c>
      <c r="BO7" s="26">
        <f t="shared" si="11"/>
        <v>1993</v>
      </c>
      <c r="BP7" s="29">
        <f t="shared" si="8"/>
        <v>1.0949019607843138</v>
      </c>
      <c r="BQ7" s="29">
        <f t="shared" si="8"/>
        <v>1.0502109704641351</v>
      </c>
      <c r="BR7" s="29">
        <f t="shared" si="8"/>
        <v>1.1409774436090225</v>
      </c>
      <c r="BS7" s="29">
        <f t="shared" si="8"/>
        <v>1.1165311653116532</v>
      </c>
      <c r="BT7" s="29">
        <f t="shared" si="8"/>
        <v>1.0358208955223882</v>
      </c>
      <c r="BU7" s="29">
        <f t="shared" si="8"/>
        <v>1.1724627395315828</v>
      </c>
      <c r="BV7" s="29">
        <f t="shared" si="8"/>
        <v>0.88083989501312343</v>
      </c>
      <c r="BW7" s="29">
        <f t="shared" si="8"/>
        <v>0.9659574468085107</v>
      </c>
      <c r="BX7" s="29">
        <f t="shared" si="8"/>
        <v>0.94611082867310614</v>
      </c>
      <c r="BZ7" s="26">
        <f t="shared" si="12"/>
        <v>1993</v>
      </c>
      <c r="CA7" s="29">
        <f t="shared" si="9"/>
        <v>0.7018442622950819</v>
      </c>
      <c r="CB7" s="29">
        <f t="shared" si="9"/>
        <v>0.70457209847596725</v>
      </c>
      <c r="CC7" s="29">
        <f t="shared" si="9"/>
        <v>0.60270270270270265</v>
      </c>
      <c r="CD7" s="29">
        <f t="shared" si="9"/>
        <v>0.56702412868632712</v>
      </c>
      <c r="CE7" s="29">
        <f t="shared" si="9"/>
        <v>0.58536585365853655</v>
      </c>
      <c r="CF7" s="29">
        <f t="shared" si="9"/>
        <v>0.53775743707093826</v>
      </c>
      <c r="CG7" s="29">
        <f t="shared" si="9"/>
        <v>0.57901390644753481</v>
      </c>
      <c r="CH7" s="29">
        <f t="shared" si="9"/>
        <v>0.60553129548762741</v>
      </c>
      <c r="CI7" s="29">
        <f t="shared" si="9"/>
        <v>0.66486486486486485</v>
      </c>
    </row>
    <row r="8" spans="1:87" x14ac:dyDescent="0.2">
      <c r="A8" s="26">
        <v>2009</v>
      </c>
      <c r="B8" s="272">
        <v>7.4271160297289596</v>
      </c>
      <c r="C8" s="272">
        <v>3.3173560000000002</v>
      </c>
      <c r="D8" s="100">
        <f t="shared" si="0"/>
        <v>551.79539909444304</v>
      </c>
      <c r="E8" s="272">
        <v>12.45351991577868</v>
      </c>
      <c r="F8" s="272">
        <v>14.066179</v>
      </c>
      <c r="G8" s="272">
        <v>12.256263390646293</v>
      </c>
      <c r="H8" s="272">
        <v>9.8182594505674103</v>
      </c>
      <c r="I8" s="272">
        <v>0.89241345643186221</v>
      </c>
      <c r="J8" s="272">
        <v>621.16119108692885</v>
      </c>
      <c r="K8" s="272">
        <v>516.5742803585739</v>
      </c>
      <c r="L8" s="100">
        <f t="shared" si="1"/>
        <v>330.09551519454595</v>
      </c>
      <c r="M8" s="100">
        <f t="shared" si="2"/>
        <v>434.42156713561747</v>
      </c>
      <c r="N8" s="100">
        <f t="shared" si="3"/>
        <v>103.94227833086076</v>
      </c>
      <c r="O8" s="100">
        <f t="shared" si="4"/>
        <v>889.78382951916672</v>
      </c>
      <c r="P8" s="100">
        <f t="shared" si="5"/>
        <v>198.51790070008198</v>
      </c>
      <c r="Q8" s="100">
        <f t="shared" si="6"/>
        <v>521.8929234098299</v>
      </c>
      <c r="R8" s="101">
        <f t="shared" si="7"/>
        <v>1850.3865646921006</v>
      </c>
      <c r="S8" s="101">
        <f t="shared" si="7"/>
        <v>4671.1573105174311</v>
      </c>
      <c r="T8" s="65"/>
      <c r="U8" s="8">
        <v>2007</v>
      </c>
      <c r="V8" s="53">
        <f t="shared" si="13"/>
        <v>0.33295737742270831</v>
      </c>
      <c r="W8" s="53"/>
      <c r="X8" s="53">
        <f t="shared" si="13"/>
        <v>0.15503816522123012</v>
      </c>
      <c r="Y8" s="53"/>
      <c r="Z8" s="53">
        <f t="shared" si="13"/>
        <v>5.5085373321371103E-3</v>
      </c>
      <c r="AA8" s="53"/>
      <c r="AB8" s="53">
        <f t="shared" si="14"/>
        <v>0.15654946525968017</v>
      </c>
      <c r="AC8" s="53"/>
      <c r="AD8" s="53">
        <f t="shared" si="13"/>
        <v>0.4251820680423235</v>
      </c>
      <c r="AE8" s="53"/>
      <c r="AF8" s="53">
        <f t="shared" si="13"/>
        <v>0.60263112174420752</v>
      </c>
      <c r="AG8" s="53"/>
      <c r="AH8" s="53">
        <f t="shared" si="13"/>
        <v>0.15503816522123012</v>
      </c>
      <c r="AI8" s="53"/>
      <c r="AJ8" s="53">
        <f t="shared" si="13"/>
        <v>5.5085373321371103E-3</v>
      </c>
      <c r="AK8" s="53">
        <f t="shared" si="13"/>
        <v>0.89942111334216257</v>
      </c>
      <c r="AL8" s="53"/>
      <c r="AM8" s="53">
        <f t="shared" si="13"/>
        <v>0.59624072570883357</v>
      </c>
      <c r="AN8" s="53"/>
      <c r="AO8" s="53">
        <f t="shared" si="13"/>
        <v>0.68438116802665871</v>
      </c>
      <c r="AP8" s="53"/>
      <c r="AQ8" s="53">
        <f t="shared" si="13"/>
        <v>1.6500074051921789</v>
      </c>
      <c r="AR8" s="53"/>
      <c r="AS8" s="53">
        <f t="shared" si="13"/>
        <v>0.82396348670625597</v>
      </c>
      <c r="AT8" s="53"/>
      <c r="AU8" s="53">
        <f t="shared" si="13"/>
        <v>1.2000256333575425</v>
      </c>
      <c r="AV8" s="53"/>
      <c r="AW8" s="53">
        <f t="shared" si="13"/>
        <v>0.45802295609575483</v>
      </c>
      <c r="AX8" s="53"/>
      <c r="AY8" s="53">
        <f t="shared" si="13"/>
        <v>3.4855378020819985</v>
      </c>
      <c r="AZ8" s="53"/>
      <c r="BA8" s="53">
        <f t="shared" si="15"/>
        <v>0.46697483658734568</v>
      </c>
      <c r="BB8" s="53"/>
      <c r="BC8" s="53">
        <f t="shared" si="13"/>
        <v>1</v>
      </c>
      <c r="BD8" s="53">
        <f t="shared" si="13"/>
        <v>1</v>
      </c>
      <c r="BE8" s="105">
        <f t="shared" si="16"/>
        <v>0.20002563335754253</v>
      </c>
      <c r="BG8" s="14" t="s">
        <v>148</v>
      </c>
      <c r="BH8" s="26" t="s">
        <v>147</v>
      </c>
      <c r="BI8" s="27">
        <f>AB49</f>
        <v>1037052</v>
      </c>
      <c r="BJ8" s="27">
        <f>AB93</f>
        <v>2213161</v>
      </c>
      <c r="BK8" s="27">
        <f>1000*(BJ8/BI8)/3.412</f>
        <v>625.46563419179665</v>
      </c>
      <c r="BL8" s="27">
        <f>BK8*AB6</f>
        <v>94.104676718459871</v>
      </c>
      <c r="BM8" s="27">
        <f t="shared" si="17"/>
        <v>99.2573307558159</v>
      </c>
      <c r="BO8" s="26">
        <f t="shared" si="11"/>
        <v>1994</v>
      </c>
      <c r="BP8" s="29">
        <f t="shared" si="8"/>
        <v>1.1411764705882355</v>
      </c>
      <c r="BQ8" s="29">
        <f t="shared" si="8"/>
        <v>1.0696202531645571</v>
      </c>
      <c r="BR8" s="29">
        <f t="shared" si="8"/>
        <v>1.1604010025062657</v>
      </c>
      <c r="BS8" s="29">
        <f t="shared" si="8"/>
        <v>1.1510840108401084</v>
      </c>
      <c r="BT8" s="29">
        <f t="shared" si="8"/>
        <v>1.0602985074626867</v>
      </c>
      <c r="BU8" s="29">
        <f t="shared" si="8"/>
        <v>1.2072391767210788</v>
      </c>
      <c r="BV8" s="29">
        <f t="shared" si="8"/>
        <v>0.90603674540682422</v>
      </c>
      <c r="BW8" s="29">
        <f t="shared" si="8"/>
        <v>1.0249240121580547</v>
      </c>
      <c r="BX8" s="29">
        <f t="shared" si="8"/>
        <v>0.97661413319776302</v>
      </c>
      <c r="BZ8" s="26">
        <f t="shared" si="12"/>
        <v>1994</v>
      </c>
      <c r="CA8" s="29">
        <f t="shared" si="9"/>
        <v>0.73975409836065575</v>
      </c>
      <c r="CB8" s="29">
        <f t="shared" si="9"/>
        <v>0.73388042203985937</v>
      </c>
      <c r="CC8" s="29">
        <f t="shared" si="9"/>
        <v>0.5972972972972973</v>
      </c>
      <c r="CD8" s="29">
        <f t="shared" si="9"/>
        <v>0.55495978552278813</v>
      </c>
      <c r="CE8" s="29">
        <f t="shared" si="9"/>
        <v>0.59247967479674801</v>
      </c>
      <c r="CF8" s="29">
        <f t="shared" si="9"/>
        <v>0.55491990846681916</v>
      </c>
      <c r="CG8" s="29">
        <f t="shared" si="9"/>
        <v>0.58786346396965872</v>
      </c>
      <c r="CH8" s="29">
        <f t="shared" si="9"/>
        <v>0.62736535662299853</v>
      </c>
      <c r="CI8" s="29">
        <f t="shared" si="9"/>
        <v>0.67162162162162153</v>
      </c>
    </row>
    <row r="9" spans="1:87" x14ac:dyDescent="0.2">
      <c r="A9" s="26">
        <v>2010</v>
      </c>
      <c r="B9" s="272">
        <v>7.4697073514413974</v>
      </c>
      <c r="C9" s="272">
        <v>3.3234880000000002</v>
      </c>
      <c r="D9" s="100">
        <f t="shared" si="0"/>
        <v>598.27357529615711</v>
      </c>
      <c r="E9" s="272">
        <v>12.564630926138568</v>
      </c>
      <c r="F9" s="272">
        <v>14.118752000000001</v>
      </c>
      <c r="G9" s="272">
        <v>12.571036444997583</v>
      </c>
      <c r="H9" s="272">
        <v>9.9223769513750497</v>
      </c>
      <c r="I9" s="272">
        <v>0.8942953872890933</v>
      </c>
      <c r="J9" s="272">
        <v>612.69932999556579</v>
      </c>
      <c r="K9" s="272">
        <v>513.86544850921223</v>
      </c>
      <c r="L9" s="100">
        <f t="shared" si="1"/>
        <v>330.07492524795077</v>
      </c>
      <c r="M9" s="100">
        <f t="shared" si="2"/>
        <v>427.94894804679029</v>
      </c>
      <c r="N9" s="100">
        <f t="shared" si="3"/>
        <v>101.37010971405736</v>
      </c>
      <c r="O9" s="100">
        <f t="shared" si="4"/>
        <v>884.87274599410068</v>
      </c>
      <c r="P9" s="100">
        <f t="shared" si="5"/>
        <v>193.87628466526695</v>
      </c>
      <c r="Q9" s="100">
        <f t="shared" si="6"/>
        <v>593.83499995737009</v>
      </c>
      <c r="R9" s="101">
        <f t="shared" si="7"/>
        <v>1809.2759994356122</v>
      </c>
      <c r="S9" s="101">
        <f t="shared" si="7"/>
        <v>4821.2668852520537</v>
      </c>
      <c r="T9" s="65"/>
      <c r="U9" s="8">
        <v>2008</v>
      </c>
      <c r="V9" s="53">
        <f t="shared" si="13"/>
        <v>0.33154297414131129</v>
      </c>
      <c r="W9" s="53"/>
      <c r="X9" s="53">
        <f t="shared" si="13"/>
        <v>0.15851756673467984</v>
      </c>
      <c r="Y9" s="53"/>
      <c r="Z9" s="53">
        <f t="shared" si="13"/>
        <v>6.2926810486164412E-3</v>
      </c>
      <c r="AA9" s="53"/>
      <c r="AB9" s="53">
        <f t="shared" si="14"/>
        <v>0.15507597477916482</v>
      </c>
      <c r="AC9" s="53"/>
      <c r="AD9" s="53">
        <f t="shared" si="13"/>
        <v>0.42021805926630146</v>
      </c>
      <c r="AE9" s="53"/>
      <c r="AF9" s="53">
        <f t="shared" si="13"/>
        <v>0.60448382986156624</v>
      </c>
      <c r="AG9" s="53"/>
      <c r="AH9" s="53">
        <f t="shared" si="13"/>
        <v>0.15851756673467984</v>
      </c>
      <c r="AI9" s="53"/>
      <c r="AJ9" s="53">
        <f t="shared" si="13"/>
        <v>6.2926810486164412E-3</v>
      </c>
      <c r="AK9" s="53">
        <f t="shared" si="13"/>
        <v>0.8999453308868598</v>
      </c>
      <c r="AL9" s="53"/>
      <c r="AM9" s="53">
        <f t="shared" si="13"/>
        <v>0.59913299486234906</v>
      </c>
      <c r="AN9" s="53"/>
      <c r="AO9" s="53">
        <f t="shared" si="13"/>
        <v>0.68705174370689426</v>
      </c>
      <c r="AP9" s="53"/>
      <c r="AQ9" s="53">
        <f t="shared" si="13"/>
        <v>1.6508700486020023</v>
      </c>
      <c r="AR9" s="53"/>
      <c r="AS9" s="53">
        <f t="shared" si="13"/>
        <v>0.82548591385608627</v>
      </c>
      <c r="AT9" s="53"/>
      <c r="AU9" s="53">
        <f t="shared" si="13"/>
        <v>1.1998904919059419</v>
      </c>
      <c r="AV9" s="53"/>
      <c r="AW9" s="53">
        <f t="shared" si="13"/>
        <v>0.45772599704599937</v>
      </c>
      <c r="AX9" s="53"/>
      <c r="AY9" s="53">
        <f t="shared" si="13"/>
        <v>3.7403596497213178</v>
      </c>
      <c r="AZ9" s="53"/>
      <c r="BA9" s="53">
        <f t="shared" si="15"/>
        <v>0.46445629995705179</v>
      </c>
      <c r="BB9" s="53"/>
      <c r="BC9" s="53">
        <f t="shared" si="13"/>
        <v>1</v>
      </c>
      <c r="BD9" s="53">
        <f t="shared" si="13"/>
        <v>1</v>
      </c>
      <c r="BE9" s="105">
        <f t="shared" si="16"/>
        <v>0.19989049190594188</v>
      </c>
      <c r="BG9" s="14" t="s">
        <v>21</v>
      </c>
      <c r="BH9" s="26" t="s">
        <v>2</v>
      </c>
      <c r="BI9" s="27">
        <f>AF49</f>
        <v>4146518</v>
      </c>
      <c r="BJ9" s="27">
        <f>AF93</f>
        <v>62917799</v>
      </c>
      <c r="BK9" s="27">
        <f t="shared" si="10"/>
        <v>4447.1414594605158</v>
      </c>
      <c r="BL9" s="27">
        <f>$BK$9*AF6</f>
        <v>2675.2952608201745</v>
      </c>
      <c r="BM9" s="27">
        <f t="shared" si="17"/>
        <v>2821.7797014184434</v>
      </c>
      <c r="BO9" s="26">
        <f t="shared" si="11"/>
        <v>1995</v>
      </c>
      <c r="BP9" s="29">
        <f t="shared" si="8"/>
        <v>1.0721568627450981</v>
      </c>
      <c r="BQ9" s="29">
        <f t="shared" si="8"/>
        <v>1.1578059071729958</v>
      </c>
      <c r="BR9" s="29">
        <f t="shared" si="8"/>
        <v>1.2355889724310776</v>
      </c>
      <c r="BS9" s="29">
        <f t="shared" si="8"/>
        <v>1.1592140921409213</v>
      </c>
      <c r="BT9" s="29">
        <f t="shared" si="8"/>
        <v>1.0949253731343283</v>
      </c>
      <c r="BU9" s="29">
        <f t="shared" si="8"/>
        <v>1.0298083747338538</v>
      </c>
      <c r="BV9" s="29">
        <f t="shared" si="8"/>
        <v>0.92545931758530176</v>
      </c>
      <c r="BW9" s="29">
        <f t="shared" si="8"/>
        <v>1.0996960486322189</v>
      </c>
      <c r="BX9" s="29">
        <f t="shared" si="8"/>
        <v>1.0660904931367563</v>
      </c>
      <c r="BZ9" s="26">
        <f t="shared" si="12"/>
        <v>1995</v>
      </c>
      <c r="CA9" s="29">
        <f t="shared" si="9"/>
        <v>0.71721311475409832</v>
      </c>
      <c r="CB9" s="29">
        <f t="shared" si="9"/>
        <v>0.70339976553341155</v>
      </c>
      <c r="CC9" s="29">
        <f t="shared" si="9"/>
        <v>0.52702702702702697</v>
      </c>
      <c r="CD9" s="29">
        <f t="shared" si="9"/>
        <v>0.51474530831099197</v>
      </c>
      <c r="CE9" s="29">
        <f t="shared" si="9"/>
        <v>0.54166666666666663</v>
      </c>
      <c r="CF9" s="29">
        <f t="shared" si="9"/>
        <v>0.50800915331807783</v>
      </c>
      <c r="CG9" s="29">
        <f t="shared" si="9"/>
        <v>0.5689001264222503</v>
      </c>
      <c r="CH9" s="29">
        <f t="shared" si="9"/>
        <v>0.59970887918486171</v>
      </c>
      <c r="CI9" s="29">
        <f t="shared" si="9"/>
        <v>0.66081081081081072</v>
      </c>
    </row>
    <row r="10" spans="1:87" x14ac:dyDescent="0.2">
      <c r="A10" s="26">
        <v>2011</v>
      </c>
      <c r="B10" s="272">
        <v>7.5039452036262126</v>
      </c>
      <c r="C10" s="272">
        <v>3.3268019999999998</v>
      </c>
      <c r="D10" s="100">
        <f t="shared" si="0"/>
        <v>509.06540927287637</v>
      </c>
      <c r="E10" s="272">
        <v>12.62696153156714</v>
      </c>
      <c r="F10" s="272">
        <v>14.155542000000001</v>
      </c>
      <c r="G10" s="272">
        <v>12.729062875895734</v>
      </c>
      <c r="H10" s="272">
        <v>10.014895603620875</v>
      </c>
      <c r="I10" s="272">
        <v>0.89590851843833308</v>
      </c>
      <c r="J10" s="272">
        <v>607.12058353685688</v>
      </c>
      <c r="K10" s="272">
        <v>512.49681530582814</v>
      </c>
      <c r="L10" s="100">
        <f t="shared" si="1"/>
        <v>328.92853911352898</v>
      </c>
      <c r="M10" s="100">
        <f t="shared" si="2"/>
        <v>421.96543094946509</v>
      </c>
      <c r="N10" s="100">
        <f t="shared" si="3"/>
        <v>100.48012012401459</v>
      </c>
      <c r="O10" s="100">
        <f t="shared" si="4"/>
        <v>867.76923140759607</v>
      </c>
      <c r="P10" s="100">
        <f t="shared" si="5"/>
        <v>189.74116945998625</v>
      </c>
      <c r="Q10" s="100">
        <f t="shared" si="6"/>
        <v>545.5561867575326</v>
      </c>
      <c r="R10" s="101">
        <f t="shared" si="7"/>
        <v>1731.6968882082508</v>
      </c>
      <c r="S10" s="101">
        <f t="shared" si="7"/>
        <v>4753.8685520336949</v>
      </c>
      <c r="T10" s="65"/>
      <c r="U10" s="8">
        <v>2009</v>
      </c>
      <c r="V10" s="53">
        <f t="shared" si="13"/>
        <v>0.32993004926538561</v>
      </c>
      <c r="W10" s="53"/>
      <c r="X10" s="53">
        <f t="shared" si="13"/>
        <v>0.16217913658739067</v>
      </c>
      <c r="Y10" s="53"/>
      <c r="Z10" s="53">
        <f t="shared" si="13"/>
        <v>7.0244408540009583E-3</v>
      </c>
      <c r="AA10" s="53"/>
      <c r="AB10" s="53">
        <f t="shared" si="14"/>
        <v>0.15372822921947105</v>
      </c>
      <c r="AC10" s="53"/>
      <c r="AD10" s="53">
        <f t="shared" si="13"/>
        <v>0.41573185162043919</v>
      </c>
      <c r="AE10" s="53"/>
      <c r="AF10" s="53">
        <f t="shared" si="13"/>
        <v>0.6058808590941237</v>
      </c>
      <c r="AG10" s="53"/>
      <c r="AH10" s="53">
        <f t="shared" si="13"/>
        <v>0.16217913658739067</v>
      </c>
      <c r="AI10" s="53"/>
      <c r="AJ10" s="53">
        <f t="shared" si="13"/>
        <v>7.0244408540009583E-3</v>
      </c>
      <c r="AK10" s="53">
        <f t="shared" si="13"/>
        <v>0.90050200634927258</v>
      </c>
      <c r="AL10" s="53"/>
      <c r="AM10" s="53">
        <f t="shared" si="13"/>
        <v>0.60213563622519284</v>
      </c>
      <c r="AN10" s="53"/>
      <c r="AO10" s="53">
        <f t="shared" si="13"/>
        <v>0.68963990224390825</v>
      </c>
      <c r="AP10" s="53"/>
      <c r="AQ10" s="53">
        <f t="shared" si="13"/>
        <v>1.6517465288375823</v>
      </c>
      <c r="AR10" s="53"/>
      <c r="AS10" s="53">
        <f t="shared" si="13"/>
        <v>0.8271428231374488</v>
      </c>
      <c r="AT10" s="53"/>
      <c r="AU10" s="53">
        <f t="shared" si="13"/>
        <v>1.2000361704863762</v>
      </c>
      <c r="AV10" s="53"/>
      <c r="AW10" s="53">
        <f t="shared" si="13"/>
        <v>0.45777863352466036</v>
      </c>
      <c r="AX10" s="53"/>
      <c r="AY10" s="53">
        <f t="shared" si="13"/>
        <v>3.9234508277872155</v>
      </c>
      <c r="AZ10" s="53"/>
      <c r="BA10" s="53">
        <f t="shared" si="15"/>
        <v>0.4619730296064164</v>
      </c>
      <c r="BB10" s="53"/>
      <c r="BC10" s="53">
        <f t="shared" si="13"/>
        <v>1</v>
      </c>
      <c r="BD10" s="53">
        <f t="shared" si="13"/>
        <v>1</v>
      </c>
      <c r="BE10" s="105">
        <f t="shared" si="16"/>
        <v>0.20003617048637623</v>
      </c>
      <c r="BG10" s="14" t="s">
        <v>22</v>
      </c>
      <c r="BH10" s="26" t="s">
        <v>3</v>
      </c>
      <c r="BI10" s="27">
        <f>AH49</f>
        <v>1005312</v>
      </c>
      <c r="BJ10" s="27">
        <f>AH93</f>
        <v>14816839</v>
      </c>
      <c r="BK10" s="27">
        <f t="shared" si="10"/>
        <v>4319.6212877802727</v>
      </c>
      <c r="BL10" s="27">
        <f>$BK$10*AH6</f>
        <v>630.01916448214479</v>
      </c>
      <c r="BM10" s="27">
        <f t="shared" si="17"/>
        <v>664.51554558329576</v>
      </c>
      <c r="BO10" s="26">
        <f t="shared" si="11"/>
        <v>1996</v>
      </c>
      <c r="BP10" s="29">
        <f t="shared" si="8"/>
        <v>1.0588235294117647</v>
      </c>
      <c r="BQ10" s="29">
        <f t="shared" si="8"/>
        <v>1.1413502109704643</v>
      </c>
      <c r="BR10" s="29">
        <f t="shared" si="8"/>
        <v>1.2124060150375939</v>
      </c>
      <c r="BS10" s="29">
        <f t="shared" si="8"/>
        <v>1.1212737127371275</v>
      </c>
      <c r="BT10" s="29">
        <f t="shared" si="8"/>
        <v>1.0698507462686568</v>
      </c>
      <c r="BU10" s="29">
        <f t="shared" si="8"/>
        <v>1.0028388928317957</v>
      </c>
      <c r="BV10" s="29">
        <f t="shared" si="8"/>
        <v>0.91706036745406816</v>
      </c>
      <c r="BW10" s="29">
        <f t="shared" si="8"/>
        <v>1.0680851063829788</v>
      </c>
      <c r="BX10" s="29">
        <f t="shared" si="8"/>
        <v>1.0284697508896796</v>
      </c>
      <c r="BZ10" s="26">
        <f t="shared" si="12"/>
        <v>1996</v>
      </c>
      <c r="CA10" s="29">
        <f t="shared" si="9"/>
        <v>0.7018442622950819</v>
      </c>
      <c r="CB10" s="29">
        <f t="shared" si="9"/>
        <v>0.71160609613130132</v>
      </c>
      <c r="CC10" s="29">
        <f t="shared" si="9"/>
        <v>0.55810810810810807</v>
      </c>
      <c r="CD10" s="29">
        <f t="shared" si="9"/>
        <v>0.5630026809651475</v>
      </c>
      <c r="CE10" s="29">
        <f t="shared" si="9"/>
        <v>0.5792682926829269</v>
      </c>
      <c r="CF10" s="29">
        <f t="shared" si="9"/>
        <v>0.5389016018306636</v>
      </c>
      <c r="CG10" s="29">
        <f t="shared" si="9"/>
        <v>0.572692793931732</v>
      </c>
      <c r="CH10" s="29">
        <f t="shared" si="9"/>
        <v>0.54148471615720528</v>
      </c>
      <c r="CI10" s="29">
        <f t="shared" si="9"/>
        <v>0.64324324324324322</v>
      </c>
    </row>
    <row r="11" spans="1:87" x14ac:dyDescent="0.2">
      <c r="A11" s="26">
        <v>2012</v>
      </c>
      <c r="B11" s="272">
        <v>7.5557531472919797</v>
      </c>
      <c r="C11" s="272">
        <v>3.3280539999999998</v>
      </c>
      <c r="D11" s="100">
        <f t="shared" si="0"/>
        <v>508.66367701744895</v>
      </c>
      <c r="E11" s="272">
        <v>12.746315758264554</v>
      </c>
      <c r="F11" s="272">
        <v>14.183756000000001</v>
      </c>
      <c r="G11" s="272">
        <v>12.930696944524179</v>
      </c>
      <c r="H11" s="272">
        <v>10.108561422075836</v>
      </c>
      <c r="I11" s="272">
        <v>0.89780003217728965</v>
      </c>
      <c r="J11" s="272">
        <v>602.05445966407012</v>
      </c>
      <c r="K11" s="272">
        <v>512.46034783201901</v>
      </c>
      <c r="L11" s="100">
        <f t="shared" si="1"/>
        <v>330.05891472604372</v>
      </c>
      <c r="M11" s="100">
        <f t="shared" si="2"/>
        <v>417.28564094141103</v>
      </c>
      <c r="N11" s="100">
        <f t="shared" si="3"/>
        <v>100.33676143734998</v>
      </c>
      <c r="O11" s="100">
        <f t="shared" si="4"/>
        <v>872.18527161226473</v>
      </c>
      <c r="P11" s="100">
        <f t="shared" si="5"/>
        <v>189.98900793915473</v>
      </c>
      <c r="Q11" s="100">
        <f t="shared" si="6"/>
        <v>559.66193927224697</v>
      </c>
      <c r="R11" s="101">
        <f t="shared" si="7"/>
        <v>1694.093713982872</v>
      </c>
      <c r="S11" s="101">
        <f t="shared" si="7"/>
        <v>4792.2004181737066</v>
      </c>
      <c r="T11" s="65"/>
      <c r="U11" s="8">
        <v>2010</v>
      </c>
      <c r="V11" s="53">
        <f t="shared" si="13"/>
        <v>0.32809326250737536</v>
      </c>
      <c r="W11" s="53"/>
      <c r="X11" s="53">
        <f t="shared" si="13"/>
        <v>0.16567275605376494</v>
      </c>
      <c r="Y11" s="53"/>
      <c r="Z11" s="53">
        <f t="shared" si="13"/>
        <v>7.7155820897869083E-3</v>
      </c>
      <c r="AA11" s="53"/>
      <c r="AB11" s="53">
        <f t="shared" si="14"/>
        <v>0.15255755802339255</v>
      </c>
      <c r="AC11" s="53"/>
      <c r="AD11" s="53">
        <f t="shared" si="13"/>
        <v>0.41196471841936766</v>
      </c>
      <c r="AE11" s="53"/>
      <c r="AF11" s="53">
        <f t="shared" si="13"/>
        <v>0.6070487354523002</v>
      </c>
      <c r="AG11" s="53"/>
      <c r="AH11" s="53">
        <f t="shared" si="13"/>
        <v>0.16567275605376494</v>
      </c>
      <c r="AI11" s="53"/>
      <c r="AJ11" s="53">
        <f t="shared" si="13"/>
        <v>7.7155820897869083E-3</v>
      </c>
      <c r="AK11" s="53">
        <f t="shared" si="13"/>
        <v>0.90094852483590293</v>
      </c>
      <c r="AL11" s="53"/>
      <c r="AM11" s="53">
        <f t="shared" si="13"/>
        <v>0.60494229071408123</v>
      </c>
      <c r="AN11" s="53"/>
      <c r="AO11" s="53">
        <f t="shared" si="13"/>
        <v>0.69194891692521676</v>
      </c>
      <c r="AP11" s="53"/>
      <c r="AQ11" s="53">
        <f t="shared" si="13"/>
        <v>1.6526219235623778</v>
      </c>
      <c r="AR11" s="53"/>
      <c r="AS11" s="53">
        <f t="shared" si="13"/>
        <v>0.82863731626165515</v>
      </c>
      <c r="AT11" s="53"/>
      <c r="AU11" s="53">
        <f t="shared" si="13"/>
        <v>1.2003243686246003</v>
      </c>
      <c r="AV11" s="53"/>
      <c r="AW11" s="53">
        <f t="shared" si="13"/>
        <v>0.45787173695846789</v>
      </c>
      <c r="AX11" s="53"/>
      <c r="AY11" s="53">
        <f t="shared" si="13"/>
        <v>4.0711013891304644</v>
      </c>
      <c r="AZ11" s="53"/>
      <c r="BA11" s="53">
        <f t="shared" si="15"/>
        <v>0.45986952536697129</v>
      </c>
      <c r="BB11" s="53"/>
      <c r="BC11" s="53">
        <f t="shared" si="13"/>
        <v>1</v>
      </c>
      <c r="BD11" s="53">
        <f t="shared" si="13"/>
        <v>1</v>
      </c>
      <c r="BE11" s="105">
        <f t="shared" si="16"/>
        <v>0.20032436862460035</v>
      </c>
      <c r="BG11" s="125" t="s">
        <v>165</v>
      </c>
      <c r="BH11" s="26" t="s">
        <v>166</v>
      </c>
      <c r="BI11" s="27">
        <f>AJ49</f>
        <v>33013</v>
      </c>
      <c r="BJ11" s="27">
        <f>AJ93</f>
        <v>369877</v>
      </c>
      <c r="BK11" s="27">
        <f>1000*(BJ11/BI11)/3.412</f>
        <v>3283.698783764497</v>
      </c>
      <c r="BL11" s="27">
        <f>$BK$11*AJ6</f>
        <v>15.727349031811862</v>
      </c>
      <c r="BM11" s="27">
        <f t="shared" si="17"/>
        <v>16.588492083481007</v>
      </c>
      <c r="BO11" s="26">
        <f t="shared" si="11"/>
        <v>1997</v>
      </c>
      <c r="BP11" s="29">
        <f t="shared" si="8"/>
        <v>1.0615686274509804</v>
      </c>
      <c r="BQ11" s="29">
        <f t="shared" si="8"/>
        <v>1.1337552742616035</v>
      </c>
      <c r="BR11" s="29">
        <f t="shared" si="8"/>
        <v>1.2030075187969924</v>
      </c>
      <c r="BS11" s="29">
        <f t="shared" si="8"/>
        <v>1.1050135501355012</v>
      </c>
      <c r="BT11" s="29">
        <f t="shared" si="8"/>
        <v>1.0602985074626867</v>
      </c>
      <c r="BU11" s="29">
        <f t="shared" si="8"/>
        <v>0.99929027679205107</v>
      </c>
      <c r="BV11" s="29">
        <f t="shared" si="8"/>
        <v>0.90183727034120731</v>
      </c>
      <c r="BW11" s="29">
        <f t="shared" si="8"/>
        <v>1.0395136778115504</v>
      </c>
      <c r="BX11" s="29">
        <f t="shared" si="8"/>
        <v>1.0228774783934926</v>
      </c>
      <c r="BZ11" s="26">
        <f t="shared" si="12"/>
        <v>1997</v>
      </c>
      <c r="CA11" s="29">
        <f t="shared" si="9"/>
        <v>0.73053278688524592</v>
      </c>
      <c r="CB11" s="29">
        <f t="shared" si="9"/>
        <v>0.77373974208675267</v>
      </c>
      <c r="CC11" s="29">
        <f t="shared" si="9"/>
        <v>0.60810810810810811</v>
      </c>
      <c r="CD11" s="29">
        <f t="shared" si="9"/>
        <v>0.61260053619302957</v>
      </c>
      <c r="CE11" s="29">
        <f t="shared" si="9"/>
        <v>0.6239837398373983</v>
      </c>
      <c r="CF11" s="29">
        <f t="shared" si="9"/>
        <v>0.597254004576659</v>
      </c>
      <c r="CG11" s="29">
        <f t="shared" si="9"/>
        <v>0.60809102402022752</v>
      </c>
      <c r="CH11" s="29">
        <f t="shared" si="9"/>
        <v>0.58951965065502177</v>
      </c>
      <c r="CI11" s="29">
        <f t="shared" si="9"/>
        <v>0.66351351351351351</v>
      </c>
    </row>
    <row r="12" spans="1:87" x14ac:dyDescent="0.2">
      <c r="A12" s="26">
        <v>2013</v>
      </c>
      <c r="B12" s="272">
        <v>7.5952923732964592</v>
      </c>
      <c r="C12" s="272">
        <v>3.3305479999999998</v>
      </c>
      <c r="D12" s="100">
        <f t="shared" si="0"/>
        <v>488.13650115041224</v>
      </c>
      <c r="E12" s="272">
        <v>12.838628898765572</v>
      </c>
      <c r="F12" s="272">
        <v>14.205299999999999</v>
      </c>
      <c r="G12" s="272">
        <v>13.126534263570701</v>
      </c>
      <c r="H12" s="272">
        <v>10.200966225036705</v>
      </c>
      <c r="I12" s="272">
        <v>0.89939571748212199</v>
      </c>
      <c r="J12" s="272">
        <v>598.25098859697232</v>
      </c>
      <c r="K12" s="272">
        <v>512.1654316621474</v>
      </c>
      <c r="L12" s="100">
        <f t="shared" si="1"/>
        <v>328.95775826688026</v>
      </c>
      <c r="M12" s="100">
        <f t="shared" si="2"/>
        <v>407.95291675803401</v>
      </c>
      <c r="N12" s="100">
        <f t="shared" si="3"/>
        <v>99.685417401379254</v>
      </c>
      <c r="O12" s="100">
        <f t="shared" si="4"/>
        <v>867.40142220189921</v>
      </c>
      <c r="P12" s="100">
        <f t="shared" si="5"/>
        <v>188.72739015082587</v>
      </c>
      <c r="Q12" s="100">
        <f t="shared" si="6"/>
        <v>556.30015838775967</v>
      </c>
      <c r="R12" s="213">
        <f t="shared" si="7"/>
        <v>1475.1771637161594</v>
      </c>
      <c r="S12" s="101">
        <f t="shared" si="7"/>
        <v>4817.8438226066828</v>
      </c>
      <c r="T12" s="65"/>
      <c r="U12" s="8">
        <v>2011</v>
      </c>
      <c r="V12" s="53">
        <f t="shared" si="13"/>
        <v>0.32625933262823947</v>
      </c>
      <c r="W12" s="53">
        <f>V12/V11-1</f>
        <v>-5.5896602847632648E-3</v>
      </c>
      <c r="X12" s="53">
        <f t="shared" si="13"/>
        <v>0.16842520821910034</v>
      </c>
      <c r="Y12" s="53">
        <f>X12/X11-1</f>
        <v>1.6613788717573907E-2</v>
      </c>
      <c r="Z12" s="53">
        <f t="shared" si="13"/>
        <v>9.4804002402369501E-3</v>
      </c>
      <c r="AA12" s="53"/>
      <c r="AB12" s="53">
        <f t="shared" si="14"/>
        <v>0.15122096921380543</v>
      </c>
      <c r="AC12" s="53">
        <f>AB12/AB11-1</f>
        <v>-8.7612100436359475E-3</v>
      </c>
      <c r="AD12" s="53">
        <f t="shared" si="13"/>
        <v>0.40782151015227541</v>
      </c>
      <c r="AE12" s="53">
        <f>AD12/AD11-1</f>
        <v>-1.0057191992044801E-2</v>
      </c>
      <c r="AF12" s="53">
        <f t="shared" si="13"/>
        <v>0.6080288452063658</v>
      </c>
      <c r="AG12" s="53">
        <f>AF12/AF11-1</f>
        <v>1.6145487121974611E-3</v>
      </c>
      <c r="AH12" s="53">
        <f t="shared" si="13"/>
        <v>0.16842520821910034</v>
      </c>
      <c r="AI12" s="53">
        <f>AH12/AH11-1</f>
        <v>1.6613788717573907E-2</v>
      </c>
      <c r="AJ12" s="53">
        <f t="shared" si="13"/>
        <v>9.4804002402369501E-3</v>
      </c>
      <c r="AK12" s="53">
        <f t="shared" si="13"/>
        <v>0.90148523964222749</v>
      </c>
      <c r="AL12" s="53">
        <f>AK12/AK11-1</f>
        <v>5.9572194362855768E-4</v>
      </c>
      <c r="AM12" s="53">
        <f t="shared" si="13"/>
        <v>0.60799977301326158</v>
      </c>
      <c r="AN12" s="53">
        <f>AM12/AM11-1</f>
        <v>5.0541718542627123E-3</v>
      </c>
      <c r="AO12" s="53">
        <f t="shared" si="13"/>
        <v>0.69436207711315356</v>
      </c>
      <c r="AP12" s="53">
        <f>AO12/AO11-1</f>
        <v>3.4874831492763825E-3</v>
      </c>
      <c r="AQ12" s="53">
        <f t="shared" si="13"/>
        <v>1.6554781586064244</v>
      </c>
      <c r="AR12" s="53">
        <f>AQ12/AQ11-1</f>
        <v>1.7283051878493882E-3</v>
      </c>
      <c r="AS12" s="53">
        <f t="shared" si="13"/>
        <v>0.83020972652151348</v>
      </c>
      <c r="AT12" s="53">
        <f>AS12/AS11-1</f>
        <v>1.8975856252192447E-3</v>
      </c>
      <c r="AU12" s="53">
        <f t="shared" si="13"/>
        <v>1.2006729094542352</v>
      </c>
      <c r="AV12" s="53"/>
      <c r="AW12" s="53">
        <f t="shared" si="13"/>
        <v>0.45796810808370497</v>
      </c>
      <c r="AX12" s="53">
        <f>AW12/AW11-1</f>
        <v>2.1047624794934272E-4</v>
      </c>
      <c r="AY12" s="53">
        <f t="shared" si="13"/>
        <v>4.0733023201986187</v>
      </c>
      <c r="AZ12" s="53"/>
      <c r="BA12" s="53">
        <f t="shared" si="15"/>
        <v>0.45749862011910375</v>
      </c>
      <c r="BB12" s="53">
        <f>BA12/BA11-1</f>
        <v>-5.1556041813720643E-3</v>
      </c>
      <c r="BC12" s="53">
        <f t="shared" si="13"/>
        <v>1</v>
      </c>
      <c r="BD12" s="53">
        <f t="shared" si="13"/>
        <v>1</v>
      </c>
      <c r="BE12" s="105">
        <f t="shared" si="16"/>
        <v>0.20067290945423522</v>
      </c>
      <c r="BG12" s="14" t="s">
        <v>23</v>
      </c>
      <c r="BH12" s="26" t="s">
        <v>4</v>
      </c>
      <c r="BI12" s="27">
        <f>AD49</f>
        <v>3020635</v>
      </c>
      <c r="BJ12" s="27">
        <f>AD93</f>
        <v>9831042</v>
      </c>
      <c r="BK12" s="27">
        <f t="shared" si="10"/>
        <v>953.87678387562005</v>
      </c>
      <c r="BL12" s="27">
        <f>$BK$12*AD6</f>
        <v>418.02066330267024</v>
      </c>
      <c r="BM12" s="27">
        <f t="shared" si="17"/>
        <v>440.90917356139823</v>
      </c>
      <c r="BO12" s="26">
        <f t="shared" si="11"/>
        <v>1998</v>
      </c>
      <c r="BP12" s="29">
        <f t="shared" si="8"/>
        <v>1.0066666666666668</v>
      </c>
      <c r="BQ12" s="29">
        <f t="shared" si="8"/>
        <v>1.0945147679324896</v>
      </c>
      <c r="BR12" s="29">
        <f t="shared" si="8"/>
        <v>1.1835839598997493</v>
      </c>
      <c r="BS12" s="29">
        <f t="shared" si="8"/>
        <v>1.1016260162601628</v>
      </c>
      <c r="BT12" s="29">
        <f t="shared" si="8"/>
        <v>1.0352238805970149</v>
      </c>
      <c r="BU12" s="29">
        <f t="shared" si="8"/>
        <v>1.0163236337828248</v>
      </c>
      <c r="BV12" s="29">
        <f t="shared" si="8"/>
        <v>0.86876640419947504</v>
      </c>
      <c r="BW12" s="29">
        <f t="shared" si="8"/>
        <v>1.0297872340425533</v>
      </c>
      <c r="BX12" s="29">
        <f t="shared" si="8"/>
        <v>0.96136248093543464</v>
      </c>
      <c r="BZ12" s="26">
        <f t="shared" si="12"/>
        <v>1998</v>
      </c>
      <c r="CA12" s="29">
        <f t="shared" si="9"/>
        <v>0.72028688524590168</v>
      </c>
      <c r="CB12" s="29">
        <f t="shared" si="9"/>
        <v>0.74560375146541624</v>
      </c>
      <c r="CC12" s="29">
        <f t="shared" si="9"/>
        <v>0.57432432432432434</v>
      </c>
      <c r="CD12" s="29">
        <f t="shared" si="9"/>
        <v>0.579088471849866</v>
      </c>
      <c r="CE12" s="29">
        <f t="shared" si="9"/>
        <v>0.59857723577235766</v>
      </c>
      <c r="CF12" s="29">
        <f t="shared" si="9"/>
        <v>0.57093821510297482</v>
      </c>
      <c r="CG12" s="29">
        <f t="shared" si="9"/>
        <v>0.5802781289506953</v>
      </c>
      <c r="CH12" s="29">
        <f t="shared" si="9"/>
        <v>0.62299854439592428</v>
      </c>
      <c r="CI12" s="29">
        <f t="shared" si="9"/>
        <v>0.66891891891891886</v>
      </c>
    </row>
    <row r="13" spans="1:87" x14ac:dyDescent="0.2">
      <c r="A13" s="26">
        <v>2014</v>
      </c>
      <c r="B13" s="272">
        <v>7.635276291780289</v>
      </c>
      <c r="C13" s="272">
        <v>3.3323320000000001</v>
      </c>
      <c r="D13" s="100">
        <f t="shared" si="0"/>
        <v>477.20453272330167</v>
      </c>
      <c r="E13" s="272">
        <v>12.930065224586755</v>
      </c>
      <c r="F13" s="272">
        <v>14.223682999999999</v>
      </c>
      <c r="G13" s="272">
        <v>13.314643387856268</v>
      </c>
      <c r="H13" s="272">
        <v>10.419650598827442</v>
      </c>
      <c r="I13" s="272">
        <v>0.90115040773372079</v>
      </c>
      <c r="J13" s="272">
        <v>586.7019452343286</v>
      </c>
      <c r="K13" s="272">
        <v>498.38133561714113</v>
      </c>
      <c r="L13" s="100">
        <f t="shared" si="1"/>
        <v>328.65736082972791</v>
      </c>
      <c r="M13" s="100">
        <f t="shared" si="2"/>
        <v>399.64312438561626</v>
      </c>
      <c r="N13" s="100">
        <f t="shared" si="3"/>
        <v>99.271630484309156</v>
      </c>
      <c r="O13" s="100">
        <f t="shared" si="4"/>
        <v>862.7625119393374</v>
      </c>
      <c r="P13" s="100">
        <f t="shared" si="5"/>
        <v>187.76518042757556</v>
      </c>
      <c r="Q13" s="100">
        <f t="shared" si="6"/>
        <v>561.85662958823025</v>
      </c>
      <c r="R13" s="101">
        <f t="shared" si="7"/>
        <v>1379.7716408159679</v>
      </c>
      <c r="S13" s="101">
        <f t="shared" si="7"/>
        <v>4886.6071724942231</v>
      </c>
      <c r="T13" s="65"/>
      <c r="U13" s="8">
        <v>2012</v>
      </c>
      <c r="V13" s="53">
        <f t="shared" si="13"/>
        <v>0.32374173467976208</v>
      </c>
      <c r="W13" s="53">
        <f t="shared" ref="W13:AA37" si="18">V13/V12-1</f>
        <v>-7.7165545831178184E-3</v>
      </c>
      <c r="X13" s="53">
        <f t="shared" si="13"/>
        <v>0.17275708950062249</v>
      </c>
      <c r="Y13" s="53">
        <f t="shared" si="18"/>
        <v>2.5719910501086574E-2</v>
      </c>
      <c r="Z13" s="53">
        <f t="shared" si="13"/>
        <v>1.2211094203900954E-2</v>
      </c>
      <c r="AA13" s="53"/>
      <c r="AB13" s="53">
        <f t="shared" si="14"/>
        <v>0.14911855028358004</v>
      </c>
      <c r="AC13" s="53">
        <f t="shared" ref="AC13:AE28" si="19">AB13/AB12-1</f>
        <v>-1.3902958968956658E-2</v>
      </c>
      <c r="AD13" s="53">
        <f t="shared" si="13"/>
        <v>0.40139286208327568</v>
      </c>
      <c r="AE13" s="53">
        <f t="shared" si="19"/>
        <v>-1.5763386454528461E-2</v>
      </c>
      <c r="AF13" s="53">
        <f t="shared" si="13"/>
        <v>0.60756218010789875</v>
      </c>
      <c r="AG13" s="53">
        <f t="shared" ref="AG13:AG41" si="20">AF13/AF12-1</f>
        <v>-7.6750486781373972E-4</v>
      </c>
      <c r="AH13" s="53">
        <f t="shared" si="13"/>
        <v>0.17275708950062249</v>
      </c>
      <c r="AI13" s="53">
        <f t="shared" ref="AI13:AI41" si="21">AH13/AH12-1</f>
        <v>2.5719910501086574E-2</v>
      </c>
      <c r="AJ13" s="53">
        <f t="shared" si="13"/>
        <v>1.2211094203900954E-2</v>
      </c>
      <c r="AK13" s="53">
        <f t="shared" si="13"/>
        <v>0.90248014939825705</v>
      </c>
      <c r="AL13" s="53">
        <f t="shared" ref="AL13:AL41" si="22">AK13/AK12-1</f>
        <v>1.1036339945227347E-3</v>
      </c>
      <c r="AM13" s="53">
        <f t="shared" si="13"/>
        <v>0.61212754184534512</v>
      </c>
      <c r="AN13" s="53">
        <f t="shared" ref="AN13:AN41" si="23">AM13/AM12-1</f>
        <v>6.7890960084182606E-3</v>
      </c>
      <c r="AO13" s="53">
        <f t="shared" si="13"/>
        <v>0.69747129616821135</v>
      </c>
      <c r="AP13" s="53">
        <f t="shared" ref="AP13:AR36" si="24">AO13/AO12-1</f>
        <v>4.4778065472477202E-3</v>
      </c>
      <c r="AQ13" s="53">
        <f t="shared" si="13"/>
        <v>1.6588839396873702</v>
      </c>
      <c r="AR13" s="53">
        <f t="shared" si="24"/>
        <v>2.0572793807276391E-3</v>
      </c>
      <c r="AS13" s="53">
        <f t="shared" si="13"/>
        <v>0.83223931387467143</v>
      </c>
      <c r="AT13" s="53">
        <f t="shared" ref="AT13:AT41" si="25">AS13/AS12-1</f>
        <v>2.4446682426400024E-3</v>
      </c>
      <c r="AU13" s="53">
        <f t="shared" si="13"/>
        <v>1.200900262830267</v>
      </c>
      <c r="AV13" s="53"/>
      <c r="AW13" s="53">
        <f t="shared" si="13"/>
        <v>0.45794618896112876</v>
      </c>
      <c r="AX13" s="53">
        <f t="shared" ref="AX13:AX41" si="26">AW13/AW12-1</f>
        <v>-4.7861678988847522E-5</v>
      </c>
      <c r="AY13" s="53">
        <f t="shared" si="13"/>
        <v>4.0627656660672296</v>
      </c>
      <c r="AZ13" s="53"/>
      <c r="BA13" s="53">
        <f t="shared" si="15"/>
        <v>0.45347295614884492</v>
      </c>
      <c r="BB13" s="53">
        <f t="shared" ref="BB13:BB41" si="27">BA13/BA12-1</f>
        <v>-8.7992920485985282E-3</v>
      </c>
      <c r="BC13" s="53">
        <f t="shared" si="13"/>
        <v>1</v>
      </c>
      <c r="BD13" s="53">
        <f t="shared" si="13"/>
        <v>1</v>
      </c>
      <c r="BE13" s="105">
        <f t="shared" si="16"/>
        <v>0.20090026283026696</v>
      </c>
      <c r="BG13" s="14" t="s">
        <v>24</v>
      </c>
      <c r="BH13" s="26" t="s">
        <v>5</v>
      </c>
      <c r="BI13" s="27">
        <f>AO49</f>
        <v>4698168</v>
      </c>
      <c r="BJ13" s="27">
        <f>AO93</f>
        <v>47715975</v>
      </c>
      <c r="BK13" s="27">
        <f t="shared" si="10"/>
        <v>2976.6394783383407</v>
      </c>
      <c r="BL13" s="27">
        <f>$BK$13*AO6</f>
        <v>2028.9063478351156</v>
      </c>
      <c r="BM13" s="27">
        <f t="shared" si="17"/>
        <v>2139.998090022028</v>
      </c>
      <c r="BO13" s="26">
        <f t="shared" si="11"/>
        <v>1999</v>
      </c>
      <c r="BP13" s="29">
        <f t="shared" si="8"/>
        <v>0.95764705882352952</v>
      </c>
      <c r="BQ13" s="29">
        <f t="shared" si="8"/>
        <v>1.0244725738396625</v>
      </c>
      <c r="BR13" s="29">
        <f t="shared" si="8"/>
        <v>1.1328320802005012</v>
      </c>
      <c r="BS13" s="29">
        <f t="shared" si="8"/>
        <v>1.0907859078590787</v>
      </c>
      <c r="BT13" s="29">
        <f t="shared" si="8"/>
        <v>1.008955223880597</v>
      </c>
      <c r="BU13" s="29">
        <f t="shared" si="8"/>
        <v>0.9971611071682045</v>
      </c>
      <c r="BV13" s="29">
        <f t="shared" si="8"/>
        <v>0.84619422572178482</v>
      </c>
      <c r="BW13" s="29">
        <f t="shared" si="8"/>
        <v>0.98905775075987845</v>
      </c>
      <c r="BX13" s="29">
        <f t="shared" si="8"/>
        <v>0.94509405185561757</v>
      </c>
      <c r="BZ13" s="26">
        <f t="shared" si="12"/>
        <v>1999</v>
      </c>
      <c r="CA13" s="29">
        <f t="shared" si="9"/>
        <v>0.70389344262295084</v>
      </c>
      <c r="CB13" s="29">
        <f t="shared" si="9"/>
        <v>0.7198124267291911</v>
      </c>
      <c r="CC13" s="29">
        <f t="shared" si="9"/>
        <v>0.55810810810810807</v>
      </c>
      <c r="CD13" s="29">
        <f t="shared" si="9"/>
        <v>0.57238605898123318</v>
      </c>
      <c r="CE13" s="29">
        <f t="shared" si="9"/>
        <v>0.55081300813008127</v>
      </c>
      <c r="CF13" s="29">
        <f t="shared" si="9"/>
        <v>0.54919908466819223</v>
      </c>
      <c r="CG13" s="29">
        <f t="shared" si="9"/>
        <v>0.5777496839443742</v>
      </c>
      <c r="CH13" s="29">
        <f t="shared" si="9"/>
        <v>0.62008733624454149</v>
      </c>
      <c r="CI13" s="29">
        <f t="shared" si="9"/>
        <v>0.63783783783783776</v>
      </c>
    </row>
    <row r="14" spans="1:87" x14ac:dyDescent="0.2">
      <c r="A14" s="26">
        <v>2015</v>
      </c>
      <c r="B14" s="272">
        <v>7.7196976347319382</v>
      </c>
      <c r="C14" s="272">
        <v>3.3338220000000001</v>
      </c>
      <c r="D14" s="100">
        <f t="shared" si="0"/>
        <v>466.46549424398955</v>
      </c>
      <c r="E14" s="272">
        <v>13.171210355277122</v>
      </c>
      <c r="F14" s="272">
        <v>14.239455</v>
      </c>
      <c r="G14" s="272">
        <v>13.553538884491955</v>
      </c>
      <c r="H14" s="272">
        <v>10.552511931522398</v>
      </c>
      <c r="I14" s="272">
        <v>0.91566968633018497</v>
      </c>
      <c r="J14" s="272">
        <v>580.17728566208984</v>
      </c>
      <c r="K14" s="272">
        <v>492.0947901058417</v>
      </c>
      <c r="L14" s="100">
        <f t="shared" si="1"/>
        <v>328.40752335776909</v>
      </c>
      <c r="M14" s="100">
        <f t="shared" si="2"/>
        <v>391.49249812430116</v>
      </c>
      <c r="N14" s="100">
        <f t="shared" si="3"/>
        <v>95.534062964431186</v>
      </c>
      <c r="O14" s="100">
        <f t="shared" si="4"/>
        <v>840.55453418864613</v>
      </c>
      <c r="P14" s="100">
        <f t="shared" si="5"/>
        <v>186.83683348054376</v>
      </c>
      <c r="Q14" s="100">
        <f t="shared" si="6"/>
        <v>566.92481304903333</v>
      </c>
      <c r="R14" s="101">
        <f t="shared" si="7"/>
        <v>1320.4908456215621</v>
      </c>
      <c r="S14" s="101">
        <f t="shared" si="7"/>
        <v>4952.0930850566565</v>
      </c>
      <c r="T14" s="65"/>
      <c r="U14" s="8">
        <v>2013</v>
      </c>
      <c r="V14" s="53">
        <f t="shared" si="13"/>
        <v>0.32242258550973157</v>
      </c>
      <c r="W14" s="53">
        <f t="shared" si="18"/>
        <v>-4.0746960577553448E-3</v>
      </c>
      <c r="X14" s="53">
        <f t="shared" si="13"/>
        <v>0.17531986638202568</v>
      </c>
      <c r="Y14" s="53">
        <f t="shared" si="18"/>
        <v>1.4834568519365821E-2</v>
      </c>
      <c r="Z14" s="53">
        <f t="shared" si="13"/>
        <v>1.3711422590055686E-2</v>
      </c>
      <c r="AA14" s="53"/>
      <c r="AB14" s="53">
        <f t="shared" si="14"/>
        <v>0.14787201845712264</v>
      </c>
      <c r="AC14" s="53">
        <f t="shared" si="19"/>
        <v>-8.3593343959343924E-3</v>
      </c>
      <c r="AD14" s="53">
        <f t="shared" si="13"/>
        <v>0.39748041210584689</v>
      </c>
      <c r="AE14" s="53">
        <f t="shared" si="19"/>
        <v>-9.7471837369571546E-3</v>
      </c>
      <c r="AF14" s="53">
        <f t="shared" si="13"/>
        <v>0.60874410041983951</v>
      </c>
      <c r="AG14" s="53">
        <f t="shared" si="20"/>
        <v>1.9453487241929412E-3</v>
      </c>
      <c r="AH14" s="53">
        <f t="shared" si="13"/>
        <v>0.17531986638202568</v>
      </c>
      <c r="AI14" s="53">
        <f t="shared" si="21"/>
        <v>1.4834568519365821E-2</v>
      </c>
      <c r="AJ14" s="53">
        <f t="shared" si="13"/>
        <v>1.3711422590055686E-2</v>
      </c>
      <c r="AK14" s="53">
        <f t="shared" si="13"/>
        <v>0.90293452325275925</v>
      </c>
      <c r="AL14" s="53">
        <f t="shared" si="22"/>
        <v>5.0347240856774E-4</v>
      </c>
      <c r="AM14" s="53">
        <f t="shared" si="13"/>
        <v>0.61488223982715462</v>
      </c>
      <c r="AN14" s="53">
        <f t="shared" si="23"/>
        <v>4.5002026432352515E-3</v>
      </c>
      <c r="AO14" s="53">
        <f t="shared" si="13"/>
        <v>0.6998520360981777</v>
      </c>
      <c r="AP14" s="53">
        <f t="shared" si="24"/>
        <v>3.4133876806770047E-3</v>
      </c>
      <c r="AQ14" s="53">
        <f t="shared" si="13"/>
        <v>1.6617539143071216</v>
      </c>
      <c r="AR14" s="53">
        <f t="shared" si="24"/>
        <v>1.7300635391601649E-3</v>
      </c>
      <c r="AS14" s="53">
        <f t="shared" si="13"/>
        <v>0.8334370866884423</v>
      </c>
      <c r="AT14" s="53">
        <f t="shared" si="25"/>
        <v>1.4392168139647499E-3</v>
      </c>
      <c r="AU14" s="53">
        <f t="shared" si="13"/>
        <v>1.2009131029949156</v>
      </c>
      <c r="AV14" s="53"/>
      <c r="AW14" s="53">
        <f t="shared" si="13"/>
        <v>0.45762572006871827</v>
      </c>
      <c r="AX14" s="53">
        <f t="shared" si="26"/>
        <v>-6.9979595886038304E-4</v>
      </c>
      <c r="AY14" s="53">
        <f t="shared" si="13"/>
        <v>4.0449035520841612</v>
      </c>
      <c r="AZ14" s="53"/>
      <c r="BA14" s="53">
        <f t="shared" si="15"/>
        <v>0.45102554646839327</v>
      </c>
      <c r="BB14" s="53">
        <f t="shared" si="27"/>
        <v>-5.3970355834148664E-3</v>
      </c>
      <c r="BC14" s="53">
        <f t="shared" si="13"/>
        <v>1</v>
      </c>
      <c r="BD14" s="53">
        <f t="shared" si="13"/>
        <v>1</v>
      </c>
      <c r="BE14" s="105">
        <f t="shared" si="16"/>
        <v>0.2009131029949156</v>
      </c>
      <c r="BG14" s="14" t="s">
        <v>25</v>
      </c>
      <c r="BH14" s="26" t="s">
        <v>6</v>
      </c>
      <c r="BI14" s="332"/>
      <c r="BJ14" s="332"/>
      <c r="BK14" s="27">
        <f>L4</f>
        <v>331.40747338337758</v>
      </c>
      <c r="BL14" s="27">
        <f>$BK$14*AQ6</f>
        <v>547.23216496934344</v>
      </c>
      <c r="BM14" s="27">
        <f t="shared" si="17"/>
        <v>577.19558573148345</v>
      </c>
      <c r="BO14" s="26">
        <f>BO15-1</f>
        <v>2000</v>
      </c>
      <c r="BP14" s="29">
        <f t="shared" si="8"/>
        <v>0.93803921568627457</v>
      </c>
      <c r="BQ14" s="29">
        <f t="shared" si="8"/>
        <v>1.0291139240506331</v>
      </c>
      <c r="BR14" s="29">
        <f t="shared" si="8"/>
        <v>1.1027568922305764</v>
      </c>
      <c r="BS14" s="29">
        <f t="shared" si="8"/>
        <v>1.0670731707317074</v>
      </c>
      <c r="BT14" s="29">
        <f t="shared" si="8"/>
        <v>0.9850746268656716</v>
      </c>
      <c r="BU14" s="29">
        <f t="shared" si="8"/>
        <v>0.9772888573456352</v>
      </c>
      <c r="BV14" s="29">
        <f t="shared" si="8"/>
        <v>0.87349081364829395</v>
      </c>
      <c r="BW14" s="29">
        <f t="shared" si="8"/>
        <v>0.96534954407294837</v>
      </c>
      <c r="BX14" s="29">
        <f t="shared" si="8"/>
        <v>0.95017793594306044</v>
      </c>
      <c r="BZ14" s="26">
        <f>BZ15-1</f>
        <v>2000</v>
      </c>
      <c r="CA14" s="29">
        <f t="shared" si="9"/>
        <v>0.74590163934426235</v>
      </c>
      <c r="CB14" s="29">
        <f t="shared" si="9"/>
        <v>0.73505275498241496</v>
      </c>
      <c r="CC14" s="29">
        <f t="shared" si="9"/>
        <v>0.6527027027027027</v>
      </c>
      <c r="CD14" s="29">
        <f t="shared" si="9"/>
        <v>0.70911528150134051</v>
      </c>
      <c r="CE14" s="29">
        <f t="shared" si="9"/>
        <v>0.6707317073170731</v>
      </c>
      <c r="CF14" s="29">
        <f t="shared" si="9"/>
        <v>0.63958810068649885</v>
      </c>
      <c r="CG14" s="29">
        <f t="shared" si="9"/>
        <v>0.67888748419721867</v>
      </c>
      <c r="CH14" s="29">
        <f t="shared" si="9"/>
        <v>0.67831149927219803</v>
      </c>
      <c r="CI14" s="29">
        <f t="shared" si="9"/>
        <v>0.7675675675675675</v>
      </c>
    </row>
    <row r="15" spans="1:87" x14ac:dyDescent="0.2">
      <c r="A15" s="26">
        <v>2016</v>
      </c>
      <c r="B15" s="272">
        <v>7.7724918360180952</v>
      </c>
      <c r="C15" s="272">
        <v>3.3352529999999998</v>
      </c>
      <c r="D15" s="100">
        <f t="shared" si="0"/>
        <v>456.99523312190672</v>
      </c>
      <c r="E15" s="272">
        <v>13.312646989338417</v>
      </c>
      <c r="F15" s="272">
        <v>14.253272000000001</v>
      </c>
      <c r="G15" s="272">
        <v>13.744421035619197</v>
      </c>
      <c r="H15" s="272">
        <v>10.666220541043755</v>
      </c>
      <c r="I15" s="272">
        <v>0.92300591408560773</v>
      </c>
      <c r="J15" s="272">
        <v>574.49029315673295</v>
      </c>
      <c r="K15" s="272">
        <v>486.45131570292983</v>
      </c>
      <c r="L15" s="100">
        <f t="shared" si="1"/>
        <v>328.50193252057164</v>
      </c>
      <c r="M15" s="100">
        <f t="shared" si="2"/>
        <v>383.91988906672003</v>
      </c>
      <c r="N15" s="100">
        <f t="shared" si="3"/>
        <v>91.595181421688324</v>
      </c>
      <c r="O15" s="100">
        <f t="shared" si="4"/>
        <v>820.31364689948157</v>
      </c>
      <c r="P15" s="100">
        <f t="shared" si="5"/>
        <v>186.33383948957794</v>
      </c>
      <c r="Q15" s="100">
        <f t="shared" si="6"/>
        <v>571.45173986577925</v>
      </c>
      <c r="R15" s="101">
        <f t="shared" si="7"/>
        <v>1280.1764434167699</v>
      </c>
      <c r="S15" s="101">
        <f t="shared" si="7"/>
        <v>5047.970631620412</v>
      </c>
      <c r="T15" s="65"/>
      <c r="U15" s="8">
        <v>2014</v>
      </c>
      <c r="V15" s="53">
        <f t="shared" si="13"/>
        <v>0.32077427165230604</v>
      </c>
      <c r="W15" s="53">
        <f t="shared" si="18"/>
        <v>-5.1122778970946747E-3</v>
      </c>
      <c r="X15" s="53">
        <f t="shared" si="13"/>
        <v>0.17867097895504891</v>
      </c>
      <c r="Y15" s="53">
        <f t="shared" si="18"/>
        <v>1.9114277475668962E-2</v>
      </c>
      <c r="Z15" s="53">
        <f t="shared" si="13"/>
        <v>1.5868292109714674E-2</v>
      </c>
      <c r="AA15" s="53"/>
      <c r="AB15" s="53">
        <f t="shared" si="14"/>
        <v>0.14621212742292947</v>
      </c>
      <c r="AC15" s="53">
        <f t="shared" si="19"/>
        <v>-1.122518683055973E-2</v>
      </c>
      <c r="AD15" s="53">
        <f t="shared" si="13"/>
        <v>0.39212884396238634</v>
      </c>
      <c r="AE15" s="53">
        <f t="shared" si="19"/>
        <v>-1.3463727973683004E-2</v>
      </c>
      <c r="AF15" s="53">
        <f t="shared" si="13"/>
        <v>0.60912043527331661</v>
      </c>
      <c r="AG15" s="53">
        <f t="shared" si="20"/>
        <v>6.1821519620064436E-4</v>
      </c>
      <c r="AH15" s="53">
        <f t="shared" si="13"/>
        <v>0.17867097895504891</v>
      </c>
      <c r="AI15" s="53">
        <f t="shared" si="21"/>
        <v>1.9114277475668962E-2</v>
      </c>
      <c r="AJ15" s="53">
        <f t="shared" si="13"/>
        <v>1.5868292109714674E-2</v>
      </c>
      <c r="AK15" s="53">
        <f t="shared" si="13"/>
        <v>0.90375507950952505</v>
      </c>
      <c r="AL15" s="53">
        <f t="shared" si="22"/>
        <v>9.0876606845169405E-4</v>
      </c>
      <c r="AM15" s="53">
        <f t="shared" si="13"/>
        <v>0.61851441938507534</v>
      </c>
      <c r="AN15" s="53">
        <f t="shared" si="23"/>
        <v>5.9071141149591444E-3</v>
      </c>
      <c r="AO15" s="53">
        <f t="shared" si="13"/>
        <v>0.70247765289084552</v>
      </c>
      <c r="AP15" s="53">
        <f t="shared" si="24"/>
        <v>3.7516741500192019E-3</v>
      </c>
      <c r="AQ15" s="53">
        <f t="shared" si="13"/>
        <v>1.6648400928043812</v>
      </c>
      <c r="AR15" s="53">
        <f t="shared" si="24"/>
        <v>1.8571814218029115E-3</v>
      </c>
      <c r="AS15" s="53">
        <f t="shared" si="13"/>
        <v>0.83510743828754597</v>
      </c>
      <c r="AT15" s="53">
        <f t="shared" si="25"/>
        <v>2.0041723913926113E-3</v>
      </c>
      <c r="AU15" s="53">
        <f t="shared" si="13"/>
        <v>1.2008650537942946</v>
      </c>
      <c r="AV15" s="53"/>
      <c r="AW15" s="53">
        <f t="shared" si="13"/>
        <v>0.45748392456501363</v>
      </c>
      <c r="AX15" s="53">
        <f t="shared" si="26"/>
        <v>-3.0985038096931206E-4</v>
      </c>
      <c r="AY15" s="53">
        <f t="shared" si="13"/>
        <v>4.025574630189845</v>
      </c>
      <c r="AZ15" s="53"/>
      <c r="BA15" s="53">
        <f t="shared" si="15"/>
        <v>0.44759339875550308</v>
      </c>
      <c r="BB15" s="53">
        <f t="shared" si="27"/>
        <v>-7.6096525790267933E-3</v>
      </c>
      <c r="BC15" s="53">
        <f t="shared" si="13"/>
        <v>1</v>
      </c>
      <c r="BD15" s="53">
        <f t="shared" si="13"/>
        <v>1</v>
      </c>
      <c r="BE15" s="105">
        <f t="shared" si="16"/>
        <v>0.20086505379429465</v>
      </c>
      <c r="BG15" s="14" t="s">
        <v>26</v>
      </c>
      <c r="BH15" s="26" t="s">
        <v>7</v>
      </c>
      <c r="BI15" s="332"/>
      <c r="BJ15" s="332"/>
      <c r="BK15" s="27">
        <f>J4</f>
        <v>666.18340837714163</v>
      </c>
      <c r="BL15" s="27">
        <f>$BK$15*1</f>
        <v>666.18340837714163</v>
      </c>
      <c r="BM15" s="27">
        <f t="shared" si="17"/>
        <v>702.65994438463133</v>
      </c>
      <c r="BO15" s="28">
        <v>2001</v>
      </c>
      <c r="BP15" s="29">
        <f t="shared" si="8"/>
        <v>0.98078431372549024</v>
      </c>
      <c r="BQ15" s="29">
        <f t="shared" si="8"/>
        <v>1.0113924050632912</v>
      </c>
      <c r="BR15" s="29">
        <f t="shared" si="8"/>
        <v>1.0664160401002505</v>
      </c>
      <c r="BS15" s="29">
        <f t="shared" si="8"/>
        <v>1.0447154471544715</v>
      </c>
      <c r="BT15" s="29">
        <f t="shared" si="8"/>
        <v>1.0065671641791045</v>
      </c>
      <c r="BU15" s="29">
        <f t="shared" si="8"/>
        <v>0.96664300922640167</v>
      </c>
      <c r="BV15" s="29">
        <f t="shared" si="8"/>
        <v>0.92913385826771644</v>
      </c>
      <c r="BW15" s="29">
        <f t="shared" si="8"/>
        <v>0.99209726443769009</v>
      </c>
      <c r="BX15" s="29">
        <f t="shared" si="8"/>
        <v>1.0676156583629892</v>
      </c>
      <c r="BZ15" s="28">
        <v>2001</v>
      </c>
      <c r="CA15" s="29">
        <f t="shared" si="9"/>
        <v>0.89241803278688536</v>
      </c>
      <c r="CB15" s="29">
        <f t="shared" si="9"/>
        <v>0.86400937866354055</v>
      </c>
      <c r="CC15" s="29">
        <f t="shared" si="9"/>
        <v>0.78648648648648645</v>
      </c>
      <c r="CD15" s="29">
        <f t="shared" si="9"/>
        <v>0.86327077747989278</v>
      </c>
      <c r="CE15" s="29">
        <f t="shared" si="9"/>
        <v>0.80182926829268286</v>
      </c>
      <c r="CF15" s="29">
        <f t="shared" si="9"/>
        <v>0.83180778032036606</v>
      </c>
      <c r="CG15" s="29">
        <f t="shared" si="9"/>
        <v>0.82048040455120097</v>
      </c>
      <c r="CH15" s="29">
        <f t="shared" si="9"/>
        <v>0.85735080058224156</v>
      </c>
      <c r="CI15" s="29">
        <f t="shared" si="9"/>
        <v>0.95270270270270263</v>
      </c>
    </row>
    <row r="16" spans="1:87" x14ac:dyDescent="0.2">
      <c r="A16" s="26">
        <v>2017</v>
      </c>
      <c r="B16" s="272">
        <v>7.818471781299448</v>
      </c>
      <c r="C16" s="272">
        <v>3.3345129999999998</v>
      </c>
      <c r="D16" s="100">
        <f t="shared" si="0"/>
        <v>447.77982964277294</v>
      </c>
      <c r="E16" s="272">
        <v>13.436670398255115</v>
      </c>
      <c r="F16" s="272">
        <v>14.254208</v>
      </c>
      <c r="G16" s="272">
        <v>13.913943063027574</v>
      </c>
      <c r="H16" s="272">
        <v>10.7661646875353</v>
      </c>
      <c r="I16" s="272">
        <v>0.93009448243949511</v>
      </c>
      <c r="J16" s="272">
        <v>569.60198343941704</v>
      </c>
      <c r="K16" s="272">
        <v>481.47063206253006</v>
      </c>
      <c r="L16" s="100">
        <f t="shared" si="1"/>
        <v>328.66365902542094</v>
      </c>
      <c r="M16" s="100">
        <f t="shared" si="2"/>
        <v>376.92342140897767</v>
      </c>
      <c r="N16" s="100">
        <f t="shared" si="3"/>
        <v>87.655632465839105</v>
      </c>
      <c r="O16" s="100">
        <f t="shared" si="4"/>
        <v>800.9002269410704</v>
      </c>
      <c r="P16" s="100">
        <f t="shared" si="5"/>
        <v>185.94853674286867</v>
      </c>
      <c r="Q16" s="100">
        <f t="shared" si="6"/>
        <v>575.15105146864869</v>
      </c>
      <c r="R16" s="101">
        <f t="shared" si="7"/>
        <v>1250.9545692456691</v>
      </c>
      <c r="S16" s="101">
        <f t="shared" si="7"/>
        <v>5140.8390598840633</v>
      </c>
      <c r="T16" s="65"/>
      <c r="U16" s="8">
        <v>2015</v>
      </c>
      <c r="V16" s="53">
        <f t="shared" si="13"/>
        <v>0.31907695073155601</v>
      </c>
      <c r="W16" s="53">
        <f t="shared" si="18"/>
        <v>-5.2913249931396678E-3</v>
      </c>
      <c r="X16" s="53">
        <f t="shared" si="13"/>
        <v>0.18241799010806256</v>
      </c>
      <c r="Y16" s="53">
        <f t="shared" si="18"/>
        <v>2.0971571180322224E-2</v>
      </c>
      <c r="Z16" s="53">
        <f t="shared" si="13"/>
        <v>1.8414492316820415E-2</v>
      </c>
      <c r="AA16" s="53"/>
      <c r="AB16" s="53">
        <f t="shared" si="14"/>
        <v>0.14431781244783892</v>
      </c>
      <c r="AC16" s="53">
        <f t="shared" si="19"/>
        <v>-1.2955936066856411E-2</v>
      </c>
      <c r="AD16" s="53">
        <f t="shared" si="13"/>
        <v>0.38585935446289377</v>
      </c>
      <c r="AE16" s="53">
        <f t="shared" si="19"/>
        <v>-1.5988340556998049E-2</v>
      </c>
      <c r="AF16" s="53">
        <f t="shared" si="13"/>
        <v>0.60906060382851357</v>
      </c>
      <c r="AG16" s="53">
        <f t="shared" si="20"/>
        <v>-9.8225968689136245E-5</v>
      </c>
      <c r="AH16" s="53">
        <f t="shared" si="13"/>
        <v>0.18241799010806256</v>
      </c>
      <c r="AI16" s="53">
        <f t="shared" si="21"/>
        <v>2.0971571180322224E-2</v>
      </c>
      <c r="AJ16" s="53">
        <f t="shared" si="13"/>
        <v>1.8414492316820415E-2</v>
      </c>
      <c r="AK16" s="53">
        <f t="shared" si="13"/>
        <v>0.90482845212600971</v>
      </c>
      <c r="AL16" s="53">
        <f t="shared" si="22"/>
        <v>1.1876808671074102E-3</v>
      </c>
      <c r="AM16" s="53">
        <f t="shared" si="13"/>
        <v>0.62274064378010141</v>
      </c>
      <c r="AN16" s="53">
        <f t="shared" si="23"/>
        <v>6.8328631678915563E-3</v>
      </c>
      <c r="AO16" s="53">
        <f t="shared" si="13"/>
        <v>0.70516958138007324</v>
      </c>
      <c r="AP16" s="53">
        <f t="shared" si="24"/>
        <v>3.8320485757088463E-3</v>
      </c>
      <c r="AQ16" s="53">
        <f t="shared" si="13"/>
        <v>1.6680300123463381</v>
      </c>
      <c r="AR16" s="53">
        <f t="shared" si="24"/>
        <v>1.9160516110490189E-3</v>
      </c>
      <c r="AS16" s="53">
        <f t="shared" si="13"/>
        <v>0.83707564108715349</v>
      </c>
      <c r="AT16" s="53">
        <f t="shared" si="25"/>
        <v>2.3568258518251728E-3</v>
      </c>
      <c r="AU16" s="53">
        <f t="shared" si="13"/>
        <v>1.200697936397775</v>
      </c>
      <c r="AV16" s="53"/>
      <c r="AW16" s="53">
        <f t="shared" si="13"/>
        <v>0.45744189551092013</v>
      </c>
      <c r="AX16" s="53">
        <f t="shared" si="26"/>
        <v>-9.1870012992156802E-5</v>
      </c>
      <c r="AY16" s="53">
        <f t="shared" si="13"/>
        <v>4.0097500255103595</v>
      </c>
      <c r="AZ16" s="53"/>
      <c r="BA16" s="53">
        <f t="shared" si="15"/>
        <v>0.44350898201164896</v>
      </c>
      <c r="BB16" s="53">
        <f t="shared" si="27"/>
        <v>-9.1252836954488492E-3</v>
      </c>
      <c r="BC16" s="53">
        <f t="shared" si="13"/>
        <v>1</v>
      </c>
      <c r="BD16" s="53">
        <f t="shared" si="13"/>
        <v>1</v>
      </c>
      <c r="BE16" s="105">
        <f t="shared" si="16"/>
        <v>0.200697936397775</v>
      </c>
      <c r="BG16" s="14" t="s">
        <v>27</v>
      </c>
      <c r="BH16" s="26" t="s">
        <v>8</v>
      </c>
      <c r="BI16" s="332"/>
      <c r="BJ16" s="332"/>
      <c r="BK16" s="27">
        <f>BK15*0.9</f>
        <v>599.56506753942745</v>
      </c>
      <c r="BL16" s="27">
        <f>$BK$16*BE6</f>
        <v>120.75878445295321</v>
      </c>
      <c r="BM16" s="27">
        <f t="shared" si="17"/>
        <v>127.37087069516286</v>
      </c>
      <c r="BO16" s="28">
        <v>2002</v>
      </c>
      <c r="BP16" s="29">
        <f t="shared" si="8"/>
        <v>0.90313725490196084</v>
      </c>
      <c r="BQ16" s="29">
        <f t="shared" si="8"/>
        <v>0.98438818565400843</v>
      </c>
      <c r="BR16" s="29">
        <f t="shared" si="8"/>
        <v>1.0407268170426065</v>
      </c>
      <c r="BS16" s="29">
        <f t="shared" si="8"/>
        <v>1.0291327913279134</v>
      </c>
      <c r="BT16" s="29">
        <f t="shared" si="8"/>
        <v>0.97194029850746277</v>
      </c>
      <c r="BU16" s="29">
        <f t="shared" si="8"/>
        <v>0.96025550035486151</v>
      </c>
      <c r="BV16" s="29">
        <f t="shared" si="8"/>
        <v>0.83254593175853009</v>
      </c>
      <c r="BW16" s="29">
        <f t="shared" si="8"/>
        <v>0.98601823708206682</v>
      </c>
      <c r="BX16" s="29">
        <f t="shared" si="8"/>
        <v>1.0955770208439246</v>
      </c>
      <c r="BZ16" s="28">
        <v>2002</v>
      </c>
      <c r="CA16" s="29">
        <f t="shared" si="9"/>
        <v>0.73463114754098358</v>
      </c>
      <c r="CB16" s="29">
        <f t="shared" si="9"/>
        <v>0.72567409144196959</v>
      </c>
      <c r="CC16" s="29">
        <f t="shared" si="9"/>
        <v>0.56486486486486476</v>
      </c>
      <c r="CD16" s="29">
        <f t="shared" si="9"/>
        <v>0.64611260053619302</v>
      </c>
      <c r="CE16" s="29">
        <f t="shared" si="9"/>
        <v>0.68089430894308944</v>
      </c>
      <c r="CF16" s="29">
        <f t="shared" si="9"/>
        <v>0.66132723112128144</v>
      </c>
      <c r="CG16" s="29">
        <f t="shared" si="9"/>
        <v>0.66118836915297097</v>
      </c>
      <c r="CH16" s="29">
        <f t="shared" si="9"/>
        <v>0.69723435225618635</v>
      </c>
      <c r="CI16" s="29">
        <f t="shared" si="9"/>
        <v>0.69324324324324316</v>
      </c>
    </row>
    <row r="17" spans="1:87" x14ac:dyDescent="0.2">
      <c r="A17" s="26">
        <v>2018</v>
      </c>
      <c r="B17" s="272">
        <v>7.8583930950288376</v>
      </c>
      <c r="C17" s="272">
        <v>3.3345250000000002</v>
      </c>
      <c r="D17" s="100">
        <f t="shared" si="0"/>
        <v>438.53245848057009</v>
      </c>
      <c r="E17" s="272">
        <v>13.544742644589398</v>
      </c>
      <c r="F17" s="272">
        <v>14.257866</v>
      </c>
      <c r="G17" s="272">
        <v>14.05962969022341</v>
      </c>
      <c r="H17" s="272">
        <v>10.859432691495577</v>
      </c>
      <c r="I17" s="272">
        <v>0.93681671057920068</v>
      </c>
      <c r="J17" s="272">
        <v>565.33716386250103</v>
      </c>
      <c r="K17" s="272">
        <v>476.85420687675719</v>
      </c>
      <c r="L17" s="100">
        <f t="shared" si="1"/>
        <v>328.80817800504337</v>
      </c>
      <c r="M17" s="100">
        <f t="shared" si="2"/>
        <v>369.84487144829444</v>
      </c>
      <c r="N17" s="100">
        <f t="shared" si="3"/>
        <v>83.747419850860737</v>
      </c>
      <c r="O17" s="100">
        <f t="shared" si="4"/>
        <v>782.43612228842971</v>
      </c>
      <c r="P17" s="100">
        <f t="shared" si="5"/>
        <v>185.45087517809648</v>
      </c>
      <c r="Q17" s="100">
        <f t="shared" si="6"/>
        <v>578.34244745998274</v>
      </c>
      <c r="R17" s="101">
        <f t="shared" si="7"/>
        <v>1227.7035994188141</v>
      </c>
      <c r="S17" s="101">
        <f t="shared" si="7"/>
        <v>5241.4794264165421</v>
      </c>
      <c r="T17" s="65"/>
      <c r="U17" s="8">
        <v>2016</v>
      </c>
      <c r="V17" s="53">
        <f t="shared" si="13"/>
        <v>0.31766249858525114</v>
      </c>
      <c r="W17" s="53">
        <f t="shared" si="18"/>
        <v>-4.4329499296703601E-3</v>
      </c>
      <c r="X17" s="53">
        <f t="shared" si="13"/>
        <v>0.18626015949824998</v>
      </c>
      <c r="Y17" s="53">
        <f t="shared" si="18"/>
        <v>2.1062447776731608E-2</v>
      </c>
      <c r="Z17" s="53">
        <f t="shared" si="13"/>
        <v>2.1025169716473655E-2</v>
      </c>
      <c r="AA17" s="53"/>
      <c r="AB17" s="53">
        <f t="shared" si="14"/>
        <v>0.14235696622327193</v>
      </c>
      <c r="AC17" s="53">
        <f t="shared" si="19"/>
        <v>-1.3587000740298172E-2</v>
      </c>
      <c r="AD17" s="53">
        <f t="shared" si="13"/>
        <v>0.37913894114858387</v>
      </c>
      <c r="AE17" s="53">
        <f t="shared" si="19"/>
        <v>-1.7416743268190427E-2</v>
      </c>
      <c r="AF17" s="53">
        <f t="shared" si="13"/>
        <v>0.60894713857705096</v>
      </c>
      <c r="AG17" s="53">
        <f t="shared" si="20"/>
        <v>-1.8629550286031193E-4</v>
      </c>
      <c r="AH17" s="53">
        <f t="shared" si="13"/>
        <v>0.18626015949824998</v>
      </c>
      <c r="AI17" s="53">
        <f t="shared" si="21"/>
        <v>2.1062447776731608E-2</v>
      </c>
      <c r="AJ17" s="53">
        <f t="shared" si="13"/>
        <v>2.1025169716473655E-2</v>
      </c>
      <c r="AK17" s="53">
        <f t="shared" si="13"/>
        <v>0.90604252574842881</v>
      </c>
      <c r="AL17" s="53">
        <f t="shared" si="22"/>
        <v>1.3417721553368178E-3</v>
      </c>
      <c r="AM17" s="53">
        <f t="shared" si="13"/>
        <v>0.62723103222210597</v>
      </c>
      <c r="AN17" s="53">
        <f t="shared" si="23"/>
        <v>7.2106879273969859E-3</v>
      </c>
      <c r="AO17" s="53">
        <f t="shared" si="13"/>
        <v>0.7079862304898128</v>
      </c>
      <c r="AP17" s="53">
        <f t="shared" si="24"/>
        <v>3.9942861747199743E-3</v>
      </c>
      <c r="AQ17" s="53">
        <f t="shared" si="13"/>
        <v>1.6698926499260061</v>
      </c>
      <c r="AR17" s="53">
        <f t="shared" si="24"/>
        <v>1.1166691042014953E-3</v>
      </c>
      <c r="AS17" s="53">
        <f t="shared" si="13"/>
        <v>0.83913024444724427</v>
      </c>
      <c r="AT17" s="53">
        <f t="shared" si="25"/>
        <v>2.4545014324182102E-3</v>
      </c>
      <c r="AU17" s="53">
        <f t="shared" si="13"/>
        <v>1.2002994729660184</v>
      </c>
      <c r="AV17" s="53"/>
      <c r="AW17" s="53">
        <f t="shared" si="13"/>
        <v>0.45735653379060864</v>
      </c>
      <c r="AX17" s="53">
        <f t="shared" si="26"/>
        <v>-1.8660669507797323E-4</v>
      </c>
      <c r="AY17" s="53">
        <f t="shared" si="13"/>
        <v>3.9990287615769162</v>
      </c>
      <c r="AZ17" s="53"/>
      <c r="BA17" s="53">
        <f t="shared" si="15"/>
        <v>0.43902646060805373</v>
      </c>
      <c r="BB17" s="53">
        <f t="shared" si="27"/>
        <v>-1.0106946162090291E-2</v>
      </c>
      <c r="BC17" s="53">
        <f t="shared" si="13"/>
        <v>1</v>
      </c>
      <c r="BD17" s="53">
        <f t="shared" si="13"/>
        <v>1</v>
      </c>
      <c r="BE17" s="105">
        <f t="shared" si="16"/>
        <v>0.20029947296601835</v>
      </c>
      <c r="BG17" s="14" t="s">
        <v>28</v>
      </c>
      <c r="BH17" s="26" t="s">
        <v>9</v>
      </c>
      <c r="BI17" s="332"/>
      <c r="BJ17" s="332"/>
      <c r="BK17" s="27">
        <f>K4</f>
        <v>535.73422281363219</v>
      </c>
      <c r="BL17" s="27">
        <f>$BK$17*AW6</f>
        <v>245.66906197177556</v>
      </c>
      <c r="BM17" s="27">
        <f t="shared" si="17"/>
        <v>259.12054736191692</v>
      </c>
      <c r="BO17" s="28">
        <v>2003</v>
      </c>
      <c r="BP17" s="29">
        <f t="shared" si="8"/>
        <v>0.92352941176470593</v>
      </c>
      <c r="BQ17" s="29">
        <f t="shared" si="8"/>
        <v>0.98902953586497899</v>
      </c>
      <c r="BR17" s="29">
        <f t="shared" si="8"/>
        <v>1.0294486215538847</v>
      </c>
      <c r="BS17" s="29">
        <f t="shared" si="8"/>
        <v>1.0142276422764229</v>
      </c>
      <c r="BT17" s="29">
        <f t="shared" si="8"/>
        <v>0.97492537313432825</v>
      </c>
      <c r="BU17" s="29">
        <f t="shared" si="8"/>
        <v>0.97019162526614622</v>
      </c>
      <c r="BV17" s="29">
        <f t="shared" si="8"/>
        <v>0.91181102362204725</v>
      </c>
      <c r="BW17" s="29">
        <f t="shared" si="8"/>
        <v>0.98358662613981762</v>
      </c>
      <c r="BX17" s="29">
        <f t="shared" si="8"/>
        <v>1.0371123538383322</v>
      </c>
      <c r="BZ17" s="28">
        <v>2003</v>
      </c>
      <c r="CA17" s="29">
        <f t="shared" si="9"/>
        <v>0.85143442622950827</v>
      </c>
      <c r="CB17" s="29">
        <f t="shared" si="9"/>
        <v>0.87690504103165312</v>
      </c>
      <c r="CC17" s="29">
        <f t="shared" si="9"/>
        <v>0.7743243243243243</v>
      </c>
      <c r="CD17" s="29">
        <f t="shared" si="9"/>
        <v>0.79356568364611257</v>
      </c>
      <c r="CE17" s="29">
        <f t="shared" si="9"/>
        <v>0.78760162601626016</v>
      </c>
      <c r="CF17" s="29">
        <f t="shared" si="9"/>
        <v>0.76659038901601828</v>
      </c>
      <c r="CG17" s="29">
        <f t="shared" si="9"/>
        <v>0.79646017699115046</v>
      </c>
      <c r="CH17" s="29">
        <f t="shared" si="9"/>
        <v>0.75400291120815133</v>
      </c>
      <c r="CI17" s="29">
        <f t="shared" si="9"/>
        <v>0.81216216216216208</v>
      </c>
    </row>
    <row r="18" spans="1:87" x14ac:dyDescent="0.2">
      <c r="A18" s="26">
        <v>2019</v>
      </c>
      <c r="B18" s="272">
        <v>7.8939579576833134</v>
      </c>
      <c r="C18" s="272">
        <v>3.3349419999999999</v>
      </c>
      <c r="D18" s="100">
        <f t="shared" si="0"/>
        <v>429.42555322894378</v>
      </c>
      <c r="E18" s="272">
        <v>13.642327006047207</v>
      </c>
      <c r="F18" s="272">
        <v>14.262814000000001</v>
      </c>
      <c r="G18" s="272">
        <v>14.188567517923714</v>
      </c>
      <c r="H18" s="272">
        <v>10.943669477595282</v>
      </c>
      <c r="I18" s="272">
        <v>0.94315748647008857</v>
      </c>
      <c r="J18" s="272">
        <v>561.57704513679948</v>
      </c>
      <c r="K18" s="272">
        <v>472.4249847580972</v>
      </c>
      <c r="L18" s="100">
        <f t="shared" si="1"/>
        <v>328.99642436566</v>
      </c>
      <c r="M18" s="100">
        <f t="shared" si="2"/>
        <v>362.60486587139661</v>
      </c>
      <c r="N18" s="100">
        <f t="shared" si="3"/>
        <v>79.98067356503465</v>
      </c>
      <c r="O18" s="100">
        <f t="shared" si="4"/>
        <v>765.27659559803544</v>
      </c>
      <c r="P18" s="100">
        <f t="shared" si="5"/>
        <v>185.06933170221558</v>
      </c>
      <c r="Q18" s="100">
        <f t="shared" si="6"/>
        <v>573.86311445651086</v>
      </c>
      <c r="R18" s="101">
        <f t="shared" si="7"/>
        <v>1209.2391816136676</v>
      </c>
      <c r="S18" s="101">
        <f t="shared" si="7"/>
        <v>5346.734848924134</v>
      </c>
      <c r="T18" s="65"/>
      <c r="U18" s="8">
        <v>2017</v>
      </c>
      <c r="V18" s="53">
        <f t="shared" si="13"/>
        <v>0.31656272713310502</v>
      </c>
      <c r="W18" s="53">
        <f t="shared" si="18"/>
        <v>-3.4620751805582994E-3</v>
      </c>
      <c r="X18" s="53">
        <f t="shared" si="13"/>
        <v>0.19015501229334264</v>
      </c>
      <c r="Y18" s="53">
        <f t="shared" si="18"/>
        <v>2.0910820679981512E-2</v>
      </c>
      <c r="Z18" s="53">
        <f t="shared" si="13"/>
        <v>2.3304531637212959E-2</v>
      </c>
      <c r="AA18" s="53"/>
      <c r="AB18" s="53">
        <f t="shared" si="14"/>
        <v>0.14043520514062724</v>
      </c>
      <c r="AC18" s="53">
        <f t="shared" si="19"/>
        <v>-1.3499592844867236E-2</v>
      </c>
      <c r="AD18" s="53">
        <f t="shared" si="13"/>
        <v>0.37235827486981543</v>
      </c>
      <c r="AE18" s="53">
        <f t="shared" si="19"/>
        <v>-1.7884383646340152E-2</v>
      </c>
      <c r="AF18" s="53">
        <f t="shared" si="13"/>
        <v>0.60902283666543111</v>
      </c>
      <c r="AG18" s="53">
        <f t="shared" si="20"/>
        <v>1.243097858329989E-4</v>
      </c>
      <c r="AH18" s="53">
        <f t="shared" si="13"/>
        <v>0.19015501229334264</v>
      </c>
      <c r="AI18" s="53">
        <f t="shared" si="21"/>
        <v>2.0910820679981512E-2</v>
      </c>
      <c r="AJ18" s="53">
        <f t="shared" si="13"/>
        <v>2.3304531637212959E-2</v>
      </c>
      <c r="AK18" s="53">
        <f t="shared" si="13"/>
        <v>0.90731717983106763</v>
      </c>
      <c r="AL18" s="53">
        <f t="shared" si="22"/>
        <v>1.4068369269819581E-3</v>
      </c>
      <c r="AM18" s="53">
        <f t="shared" si="13"/>
        <v>0.63180958056163439</v>
      </c>
      <c r="AN18" s="53">
        <f t="shared" si="23"/>
        <v>7.2996202424933099E-3</v>
      </c>
      <c r="AO18" s="53">
        <f t="shared" si="13"/>
        <v>0.71163279773717136</v>
      </c>
      <c r="AP18" s="53">
        <f t="shared" si="24"/>
        <v>5.1506188825674037E-3</v>
      </c>
      <c r="AQ18" s="53">
        <f t="shared" si="13"/>
        <v>1.6716756802039643</v>
      </c>
      <c r="AR18" s="53">
        <f t="shared" si="24"/>
        <v>1.0677514378167885E-3</v>
      </c>
      <c r="AS18" s="53">
        <f t="shared" si="13"/>
        <v>0.84118603029486372</v>
      </c>
      <c r="AT18" s="53">
        <f t="shared" si="25"/>
        <v>2.4499007886120694E-3</v>
      </c>
      <c r="AU18" s="53">
        <f t="shared" si="13"/>
        <v>1.1997405397374101</v>
      </c>
      <c r="AV18" s="53"/>
      <c r="AW18" s="53">
        <f t="shared" si="13"/>
        <v>0.45724516900481221</v>
      </c>
      <c r="AX18" s="53">
        <f t="shared" si="26"/>
        <v>-2.434966542916861E-4</v>
      </c>
      <c r="AY18" s="53">
        <f t="shared" si="13"/>
        <v>3.9952860372232877</v>
      </c>
      <c r="AZ18" s="53"/>
      <c r="BA18" s="53">
        <f t="shared" si="15"/>
        <v>0.43429021983125732</v>
      </c>
      <c r="BB18" s="53">
        <f t="shared" si="27"/>
        <v>-1.0788053116973173E-2</v>
      </c>
      <c r="BC18" s="53">
        <f t="shared" si="13"/>
        <v>1</v>
      </c>
      <c r="BD18" s="53">
        <f t="shared" si="13"/>
        <v>1</v>
      </c>
      <c r="BE18" s="105">
        <f t="shared" si="16"/>
        <v>0.19974053973741013</v>
      </c>
      <c r="BG18" s="14" t="s">
        <v>29</v>
      </c>
      <c r="BH18" s="26" t="s">
        <v>10</v>
      </c>
      <c r="BI18" s="332"/>
      <c r="BJ18" s="332"/>
      <c r="BK18" s="27">
        <f>M4</f>
        <v>434.05618224643769</v>
      </c>
      <c r="BL18" s="27">
        <f>$BK$18*AM6</f>
        <v>256.27206213364155</v>
      </c>
      <c r="BM18" s="27">
        <f t="shared" si="17"/>
        <v>270.30410944160957</v>
      </c>
      <c r="BO18" s="28">
        <v>2004</v>
      </c>
      <c r="BP18" s="29">
        <f t="shared" si="8"/>
        <v>0.915686274509804</v>
      </c>
      <c r="BQ18" s="29">
        <f t="shared" si="8"/>
        <v>0.9776371308016879</v>
      </c>
      <c r="BR18" s="29">
        <f t="shared" si="8"/>
        <v>1.0181704260651629</v>
      </c>
      <c r="BS18" s="29">
        <f t="shared" si="8"/>
        <v>1.0060975609756098</v>
      </c>
      <c r="BT18" s="29">
        <f t="shared" si="8"/>
        <v>0.97552238805970148</v>
      </c>
      <c r="BU18" s="29">
        <f t="shared" si="8"/>
        <v>0.99148332150461327</v>
      </c>
      <c r="BV18" s="29">
        <f t="shared" si="8"/>
        <v>0.93175853018372701</v>
      </c>
      <c r="BW18" s="29">
        <f t="shared" si="8"/>
        <v>0.98237082066869308</v>
      </c>
      <c r="BX18" s="29">
        <f t="shared" si="8"/>
        <v>1.0081342145399084</v>
      </c>
      <c r="BZ18" s="28">
        <v>2004</v>
      </c>
      <c r="CA18" s="29">
        <f t="shared" si="9"/>
        <v>0.94569672131147542</v>
      </c>
      <c r="CB18" s="29">
        <f t="shared" si="9"/>
        <v>0.93200468933177028</v>
      </c>
      <c r="CC18" s="29">
        <f t="shared" si="9"/>
        <v>0.84189189189189195</v>
      </c>
      <c r="CD18" s="29">
        <f t="shared" si="9"/>
        <v>0.88471849865951735</v>
      </c>
      <c r="CE18" s="29">
        <f t="shared" si="9"/>
        <v>0.86788617886178854</v>
      </c>
      <c r="CF18" s="29">
        <f t="shared" si="9"/>
        <v>0.84668192219679639</v>
      </c>
      <c r="CG18" s="29">
        <f t="shared" si="9"/>
        <v>0.87357774968394442</v>
      </c>
      <c r="CH18" s="29">
        <f t="shared" si="9"/>
        <v>0.87190684133915575</v>
      </c>
      <c r="CI18" s="29">
        <f t="shared" si="9"/>
        <v>0.86486486486486491</v>
      </c>
    </row>
    <row r="19" spans="1:87" x14ac:dyDescent="0.2">
      <c r="A19" s="26">
        <v>2020</v>
      </c>
      <c r="B19" s="272">
        <v>7.9270415292061527</v>
      </c>
      <c r="C19" s="272">
        <v>3.3356319999999999</v>
      </c>
      <c r="D19" s="100">
        <f t="shared" si="0"/>
        <v>420.48538208687728</v>
      </c>
      <c r="E19" s="272">
        <v>13.727833420247292</v>
      </c>
      <c r="F19" s="272">
        <v>14.278371</v>
      </c>
      <c r="G19" s="272">
        <v>14.314729754811003</v>
      </c>
      <c r="H19" s="272">
        <v>11.039761593119149</v>
      </c>
      <c r="I19" s="272">
        <v>0.94909895098020136</v>
      </c>
      <c r="J19" s="272">
        <v>558.00115103846008</v>
      </c>
      <c r="K19" s="272">
        <v>468.26730085436054</v>
      </c>
      <c r="L19" s="100">
        <f t="shared" si="1"/>
        <v>329.16260409006964</v>
      </c>
      <c r="M19" s="100">
        <f t="shared" si="2"/>
        <v>355.18136124074647</v>
      </c>
      <c r="N19" s="100">
        <f t="shared" si="3"/>
        <v>76.615365865777122</v>
      </c>
      <c r="O19" s="100">
        <f t="shared" si="4"/>
        <v>748.97512130199311</v>
      </c>
      <c r="P19" s="100">
        <f t="shared" si="5"/>
        <v>184.68586236787786</v>
      </c>
      <c r="Q19" s="100">
        <f t="shared" si="6"/>
        <v>574.57845024020685</v>
      </c>
      <c r="R19" s="101">
        <f t="shared" si="7"/>
        <v>1156.1344173288071</v>
      </c>
      <c r="S19" s="101">
        <f t="shared" si="7"/>
        <v>5445.7501732501569</v>
      </c>
      <c r="T19" s="65"/>
      <c r="U19" s="8">
        <v>2018</v>
      </c>
      <c r="V19" s="53">
        <f t="shared" si="13"/>
        <v>0.31566298050182012</v>
      </c>
      <c r="W19" s="53">
        <f t="shared" si="18"/>
        <v>-2.8422380595254371E-3</v>
      </c>
      <c r="X19" s="53">
        <f t="shared" si="13"/>
        <v>0.19395459690595143</v>
      </c>
      <c r="Y19" s="53">
        <f t="shared" si="18"/>
        <v>1.9981511750778225E-2</v>
      </c>
      <c r="Z19" s="53">
        <f t="shared" si="13"/>
        <v>2.5275760269874385E-2</v>
      </c>
      <c r="AA19" s="53"/>
      <c r="AB19" s="53">
        <f t="shared" si="14"/>
        <v>0.13860719188296566</v>
      </c>
      <c r="AC19" s="53">
        <f t="shared" si="19"/>
        <v>-1.301677350655106E-2</v>
      </c>
      <c r="AD19" s="53">
        <f t="shared" si="13"/>
        <v>0.36579662532202045</v>
      </c>
      <c r="AE19" s="53">
        <f t="shared" si="19"/>
        <v>-1.7621871167195269E-2</v>
      </c>
      <c r="AF19" s="53">
        <f t="shared" si="13"/>
        <v>0.60929036277697268</v>
      </c>
      <c r="AG19" s="53">
        <f t="shared" si="20"/>
        <v>4.3927106741414867E-4</v>
      </c>
      <c r="AH19" s="53">
        <f t="shared" si="13"/>
        <v>0.19395459690595143</v>
      </c>
      <c r="AI19" s="53">
        <f t="shared" si="21"/>
        <v>1.9981511750778225E-2</v>
      </c>
      <c r="AJ19" s="53">
        <f t="shared" si="13"/>
        <v>2.5275760269874385E-2</v>
      </c>
      <c r="AK19" s="53">
        <f t="shared" si="13"/>
        <v>0.90859053146146507</v>
      </c>
      <c r="AL19" s="53">
        <f t="shared" si="22"/>
        <v>1.4034250190595454E-3</v>
      </c>
      <c r="AM19" s="53">
        <f t="shared" si="13"/>
        <v>0.63638428548062598</v>
      </c>
      <c r="AN19" s="53">
        <f t="shared" si="23"/>
        <v>7.2406387299872588E-3</v>
      </c>
      <c r="AO19" s="53">
        <f t="shared" si="13"/>
        <v>0.7150413936194252</v>
      </c>
      <c r="AP19" s="53">
        <f t="shared" si="24"/>
        <v>4.7898240399997238E-3</v>
      </c>
      <c r="AQ19" s="53">
        <f t="shared" si="13"/>
        <v>1.6734283049301795</v>
      </c>
      <c r="AR19" s="53">
        <f t="shared" si="24"/>
        <v>1.0484238940422497E-3</v>
      </c>
      <c r="AS19" s="53">
        <f t="shared" si="13"/>
        <v>0.84320975358854344</v>
      </c>
      <c r="AT19" s="53">
        <f t="shared" si="25"/>
        <v>2.4057975534499398E-3</v>
      </c>
      <c r="AU19" s="53">
        <f t="shared" si="13"/>
        <v>1.1991388431733487</v>
      </c>
      <c r="AV19" s="53"/>
      <c r="AW19" s="53">
        <f t="shared" si="13"/>
        <v>0.45716019774076677</v>
      </c>
      <c r="AX19" s="53">
        <f t="shared" si="26"/>
        <v>-1.8583304932529021E-4</v>
      </c>
      <c r="AY19" s="53">
        <f t="shared" si="13"/>
        <v>3.9982530870666295</v>
      </c>
      <c r="AZ19" s="53"/>
      <c r="BA19" s="53">
        <f t="shared" si="15"/>
        <v>0.42969338531599804</v>
      </c>
      <c r="BB19" s="53">
        <f t="shared" si="27"/>
        <v>-1.058470650581389E-2</v>
      </c>
      <c r="BC19" s="53">
        <f t="shared" si="13"/>
        <v>1</v>
      </c>
      <c r="BD19" s="53">
        <f t="shared" si="13"/>
        <v>1</v>
      </c>
      <c r="BE19" s="105">
        <f t="shared" si="16"/>
        <v>0.19913884317334873</v>
      </c>
      <c r="BG19" s="14" t="s">
        <v>30</v>
      </c>
      <c r="BH19" s="26" t="s">
        <v>11</v>
      </c>
      <c r="BI19" s="332"/>
      <c r="BJ19" s="332"/>
      <c r="BK19" s="27">
        <f>N4</f>
        <v>110.52562758422165</v>
      </c>
      <c r="BL19" s="27">
        <f>$BK$19*AK6</f>
        <v>99.382489264859359</v>
      </c>
      <c r="BM19" s="27">
        <f t="shared" si="17"/>
        <v>104.82412726214093</v>
      </c>
      <c r="BO19" s="28">
        <v>2005</v>
      </c>
      <c r="BP19" s="29">
        <f t="shared" si="8"/>
        <v>1</v>
      </c>
      <c r="BQ19" s="29">
        <f t="shared" si="8"/>
        <v>1</v>
      </c>
      <c r="BR19" s="29">
        <f t="shared" si="8"/>
        <v>1</v>
      </c>
      <c r="BS19" s="29">
        <f t="shared" si="8"/>
        <v>1</v>
      </c>
      <c r="BT19" s="29">
        <f t="shared" si="8"/>
        <v>1</v>
      </c>
      <c r="BU19" s="29">
        <f t="shared" si="8"/>
        <v>1</v>
      </c>
      <c r="BV19" s="29">
        <f t="shared" si="8"/>
        <v>1</v>
      </c>
      <c r="BW19" s="29">
        <f t="shared" si="8"/>
        <v>1</v>
      </c>
      <c r="BX19" s="29">
        <f t="shared" si="8"/>
        <v>1</v>
      </c>
      <c r="BZ19" s="28">
        <v>2005</v>
      </c>
      <c r="CA19" s="29">
        <f t="shared" si="9"/>
        <v>1</v>
      </c>
      <c r="CB19" s="29">
        <f t="shared" si="9"/>
        <v>1</v>
      </c>
      <c r="CC19" s="29">
        <f t="shared" si="9"/>
        <v>1</v>
      </c>
      <c r="CD19" s="29">
        <f t="shared" si="9"/>
        <v>1</v>
      </c>
      <c r="CE19" s="29">
        <f t="shared" si="9"/>
        <v>1</v>
      </c>
      <c r="CF19" s="29">
        <f t="shared" si="9"/>
        <v>1</v>
      </c>
      <c r="CG19" s="29">
        <f t="shared" si="9"/>
        <v>1</v>
      </c>
      <c r="CH19" s="29">
        <f t="shared" si="9"/>
        <v>1</v>
      </c>
      <c r="CI19" s="29">
        <f t="shared" si="9"/>
        <v>1</v>
      </c>
    </row>
    <row r="20" spans="1:87" x14ac:dyDescent="0.2">
      <c r="A20" s="26">
        <v>2021</v>
      </c>
      <c r="B20" s="272">
        <v>7.9555547310816221</v>
      </c>
      <c r="C20" s="272">
        <v>3.3365279999999999</v>
      </c>
      <c r="D20" s="100">
        <f t="shared" si="0"/>
        <v>411.57729582256735</v>
      </c>
      <c r="E20" s="272">
        <v>13.805823365108106</v>
      </c>
      <c r="F20" s="272">
        <v>14.293405</v>
      </c>
      <c r="G20" s="272">
        <v>14.415726050970072</v>
      </c>
      <c r="H20" s="272">
        <v>11.107200771893995</v>
      </c>
      <c r="I20" s="272">
        <v>0.95479661493906631</v>
      </c>
      <c r="J20" s="272">
        <v>554.68486448447015</v>
      </c>
      <c r="K20" s="272">
        <v>464.24668202818481</v>
      </c>
      <c r="L20" s="100">
        <f t="shared" si="1"/>
        <v>329.24403959933665</v>
      </c>
      <c r="M20" s="100">
        <f t="shared" si="2"/>
        <v>347.52380912576609</v>
      </c>
      <c r="N20" s="100">
        <f t="shared" si="3"/>
        <v>73.716061215639286</v>
      </c>
      <c r="O20" s="100">
        <f t="shared" si="4"/>
        <v>734.1250934847061</v>
      </c>
      <c r="P20" s="100">
        <f t="shared" si="5"/>
        <v>184.59002001228802</v>
      </c>
      <c r="Q20" s="100">
        <f t="shared" si="6"/>
        <v>569.67098028906935</v>
      </c>
      <c r="R20" s="101">
        <f t="shared" si="7"/>
        <v>1129.0855932606335</v>
      </c>
      <c r="S20" s="101">
        <f t="shared" si="7"/>
        <v>5539.901750820366</v>
      </c>
      <c r="T20" s="65"/>
      <c r="U20" s="8">
        <v>2019</v>
      </c>
      <c r="V20" s="53">
        <f t="shared" si="13"/>
        <v>0.31484770711740878</v>
      </c>
      <c r="W20" s="53">
        <f t="shared" si="18"/>
        <v>-2.5827335949095698E-3</v>
      </c>
      <c r="X20" s="53">
        <f t="shared" si="13"/>
        <v>0.197679238953475</v>
      </c>
      <c r="Y20" s="53">
        <f t="shared" si="18"/>
        <v>1.9203680175364113E-2</v>
      </c>
      <c r="Z20" s="53">
        <f t="shared" si="13"/>
        <v>2.7001596704346768E-2</v>
      </c>
      <c r="AA20" s="53"/>
      <c r="AB20" s="53">
        <f t="shared" si="14"/>
        <v>0.13685554903225236</v>
      </c>
      <c r="AC20" s="53">
        <f t="shared" si="19"/>
        <v>-1.2637460054686911E-2</v>
      </c>
      <c r="AD20" s="53">
        <f t="shared" si="13"/>
        <v>0.35949534539563849</v>
      </c>
      <c r="AE20" s="53">
        <f t="shared" si="19"/>
        <v>-1.7226183868795375E-2</v>
      </c>
      <c r="AF20" s="53">
        <f t="shared" si="13"/>
        <v>0.60965540739968538</v>
      </c>
      <c r="AG20" s="53">
        <f t="shared" si="20"/>
        <v>5.9913080037721222E-4</v>
      </c>
      <c r="AH20" s="53">
        <f t="shared" si="13"/>
        <v>0.197679238953475</v>
      </c>
      <c r="AI20" s="53">
        <f t="shared" si="21"/>
        <v>1.9203680175364113E-2</v>
      </c>
      <c r="AJ20" s="53">
        <f t="shared" si="13"/>
        <v>2.7001596704346768E-2</v>
      </c>
      <c r="AK20" s="53">
        <f t="shared" si="13"/>
        <v>0.90984648041402105</v>
      </c>
      <c r="AL20" s="53">
        <f t="shared" si="22"/>
        <v>1.382304689589775E-3</v>
      </c>
      <c r="AM20" s="53">
        <f t="shared" si="13"/>
        <v>0.64093358354402119</v>
      </c>
      <c r="AN20" s="53">
        <f t="shared" si="23"/>
        <v>7.1486649925043277E-3</v>
      </c>
      <c r="AO20" s="53">
        <f t="shared" si="13"/>
        <v>0.71823014752921654</v>
      </c>
      <c r="AP20" s="53">
        <f t="shared" si="24"/>
        <v>4.4595375012492777E-3</v>
      </c>
      <c r="AQ20" s="53">
        <f t="shared" si="13"/>
        <v>1.6750029431894469</v>
      </c>
      <c r="AR20" s="53">
        <f t="shared" si="24"/>
        <v>9.4096547466548941E-4</v>
      </c>
      <c r="AS20" s="53">
        <f t="shared" si="13"/>
        <v>0.84518014694507204</v>
      </c>
      <c r="AT20" s="53">
        <f t="shared" si="25"/>
        <v>2.3367772350153526E-3</v>
      </c>
      <c r="AU20" s="53">
        <f t="shared" si="13"/>
        <v>1.1985527596076038</v>
      </c>
      <c r="AV20" s="53"/>
      <c r="AW20" s="53">
        <f t="shared" si="13"/>
        <v>0.45708958169992203</v>
      </c>
      <c r="AX20" s="53">
        <f t="shared" si="26"/>
        <v>-1.5446673002972311E-4</v>
      </c>
      <c r="AY20" s="53">
        <f t="shared" si="13"/>
        <v>4.0068115096745238</v>
      </c>
      <c r="AZ20" s="53"/>
      <c r="BA20" s="53">
        <f t="shared" si="15"/>
        <v>0.42544551286536469</v>
      </c>
      <c r="BB20" s="53">
        <f t="shared" si="27"/>
        <v>-9.8858222997997292E-3</v>
      </c>
      <c r="BC20" s="53">
        <f t="shared" si="13"/>
        <v>1</v>
      </c>
      <c r="BD20" s="53">
        <f t="shared" si="13"/>
        <v>1</v>
      </c>
      <c r="BE20" s="105">
        <f t="shared" si="16"/>
        <v>0.19855275960760377</v>
      </c>
      <c r="BG20" s="14" t="s">
        <v>31</v>
      </c>
      <c r="BH20" s="26" t="s">
        <v>12</v>
      </c>
      <c r="BI20" s="332"/>
      <c r="BJ20" s="332"/>
      <c r="BK20" s="27">
        <f>O4</f>
        <v>922.49348069682435</v>
      </c>
      <c r="BL20" s="27">
        <f>$BK$20*AS6</f>
        <v>757.73947277765512</v>
      </c>
      <c r="BM20" s="27">
        <f t="shared" si="17"/>
        <v>799.22911484244662</v>
      </c>
      <c r="BO20" s="28">
        <v>2006</v>
      </c>
      <c r="BP20" s="29">
        <f t="shared" ref="BP20:BX35" si="28">BP87/BP$80</f>
        <v>1.152156862745098</v>
      </c>
      <c r="BQ20" s="29">
        <f t="shared" si="28"/>
        <v>1.0362869198312237</v>
      </c>
      <c r="BR20" s="29">
        <f t="shared" si="28"/>
        <v>1.0520050125313283</v>
      </c>
      <c r="BS20" s="29">
        <f t="shared" si="28"/>
        <v>1.0108401084010841</v>
      </c>
      <c r="BT20" s="29">
        <f t="shared" si="28"/>
        <v>1.0704477611940297</v>
      </c>
      <c r="BU20" s="29">
        <f t="shared" si="28"/>
        <v>1.0645848119233499</v>
      </c>
      <c r="BV20" s="29">
        <f t="shared" si="28"/>
        <v>1.1076115485564304</v>
      </c>
      <c r="BW20" s="29">
        <f t="shared" si="28"/>
        <v>1.003647416413374</v>
      </c>
      <c r="BX20" s="29">
        <f t="shared" si="28"/>
        <v>1.0859176410777833</v>
      </c>
      <c r="BZ20" s="28">
        <v>2006</v>
      </c>
      <c r="CA20" s="29">
        <f t="shared" ref="CA20:CI35" si="29">CA87/CA$80</f>
        <v>1.0973360655737705</v>
      </c>
      <c r="CB20" s="29">
        <f t="shared" si="29"/>
        <v>1.1113716295427902</v>
      </c>
      <c r="CC20" s="29">
        <f t="shared" si="29"/>
        <v>1.0202702702702702</v>
      </c>
      <c r="CD20" s="29">
        <f t="shared" si="29"/>
        <v>1.0281501340482573</v>
      </c>
      <c r="CE20" s="29">
        <f t="shared" si="29"/>
        <v>1.068089430894309</v>
      </c>
      <c r="CF20" s="29">
        <f t="shared" si="29"/>
        <v>1.0800915331807779</v>
      </c>
      <c r="CG20" s="29">
        <f t="shared" si="29"/>
        <v>1.0379266750948168</v>
      </c>
      <c r="CH20" s="29">
        <f t="shared" si="29"/>
        <v>1.066957787481805</v>
      </c>
      <c r="CI20" s="29">
        <f t="shared" si="29"/>
        <v>0.99054054054054053</v>
      </c>
    </row>
    <row r="21" spans="1:87" x14ac:dyDescent="0.2">
      <c r="A21" s="26">
        <v>2022</v>
      </c>
      <c r="B21" s="272">
        <v>7.9811119745167272</v>
      </c>
      <c r="C21" s="272">
        <v>3.3376610000000002</v>
      </c>
      <c r="D21" s="100">
        <f t="shared" si="0"/>
        <v>402.64748910755401</v>
      </c>
      <c r="E21" s="272">
        <v>13.877305800658281</v>
      </c>
      <c r="F21" s="272">
        <v>14.309097</v>
      </c>
      <c r="G21" s="272">
        <v>14.501238178887728</v>
      </c>
      <c r="H21" s="272">
        <v>11.165479345696623</v>
      </c>
      <c r="I21" s="272">
        <v>0.96028622244341422</v>
      </c>
      <c r="J21" s="272">
        <v>551.72844755323456</v>
      </c>
      <c r="K21" s="272">
        <v>460.3085544878769</v>
      </c>
      <c r="L21" s="100">
        <f t="shared" si="1"/>
        <v>329.3229315946499</v>
      </c>
      <c r="M21" s="100">
        <f t="shared" si="2"/>
        <v>340.56660123253715</v>
      </c>
      <c r="N21" s="100">
        <f t="shared" si="3"/>
        <v>71.321556044416468</v>
      </c>
      <c r="O21" s="100">
        <f t="shared" si="4"/>
        <v>720.18633536618677</v>
      </c>
      <c r="P21" s="100">
        <f t="shared" si="5"/>
        <v>184.45390724929186</v>
      </c>
      <c r="Q21" s="100">
        <f t="shared" si="6"/>
        <v>567.38653807174683</v>
      </c>
      <c r="R21" s="101">
        <f t="shared" si="7"/>
        <v>1108.2328879242345</v>
      </c>
      <c r="S21" s="101">
        <f t="shared" si="7"/>
        <v>5644.4992880601931</v>
      </c>
      <c r="T21" s="65"/>
      <c r="U21" s="8">
        <v>2020</v>
      </c>
      <c r="V21" s="53">
        <f t="shared" ref="V21:BD32" si="30">V64/$BC64</f>
        <v>0.31407454291427545</v>
      </c>
      <c r="W21" s="53">
        <f t="shared" si="18"/>
        <v>-2.4556767785036682E-3</v>
      </c>
      <c r="X21" s="53">
        <f t="shared" si="30"/>
        <v>0.2013046183273158</v>
      </c>
      <c r="Y21" s="53">
        <f t="shared" si="18"/>
        <v>1.8339707260275562E-2</v>
      </c>
      <c r="Z21" s="53">
        <f t="shared" si="30"/>
        <v>2.8510327673497243E-2</v>
      </c>
      <c r="AA21" s="53"/>
      <c r="AB21" s="53">
        <f t="shared" si="14"/>
        <v>0.13518397902564905</v>
      </c>
      <c r="AC21" s="53">
        <f t="shared" si="19"/>
        <v>-1.2214119328178508E-2</v>
      </c>
      <c r="AD21" s="53">
        <f t="shared" si="30"/>
        <v>0.35350825065972935</v>
      </c>
      <c r="AE21" s="53">
        <f t="shared" si="19"/>
        <v>-1.6654164824637996E-2</v>
      </c>
      <c r="AF21" s="53">
        <f t="shared" si="30"/>
        <v>0.6100972676646057</v>
      </c>
      <c r="AG21" s="53">
        <f t="shared" si="20"/>
        <v>7.2477051717623198E-4</v>
      </c>
      <c r="AH21" s="53">
        <f t="shared" si="30"/>
        <v>0.2013046183273158</v>
      </c>
      <c r="AI21" s="53">
        <f t="shared" si="21"/>
        <v>1.8339707260275562E-2</v>
      </c>
      <c r="AJ21" s="53">
        <f t="shared" si="30"/>
        <v>2.8510327673497243E-2</v>
      </c>
      <c r="AK21" s="53">
        <f t="shared" si="30"/>
        <v>0.91106804170263123</v>
      </c>
      <c r="AL21" s="53">
        <f t="shared" si="22"/>
        <v>1.3426015431243776E-3</v>
      </c>
      <c r="AM21" s="53">
        <f t="shared" si="30"/>
        <v>0.64542489359664579</v>
      </c>
      <c r="AN21" s="53">
        <f t="shared" si="23"/>
        <v>7.0074500196886103E-3</v>
      </c>
      <c r="AO21" s="53">
        <f t="shared" si="30"/>
        <v>0.72118547701237268</v>
      </c>
      <c r="AP21" s="53">
        <f t="shared" si="24"/>
        <v>4.1147388386895134E-3</v>
      </c>
      <c r="AQ21" s="53">
        <f t="shared" si="30"/>
        <v>1.6764948632754157</v>
      </c>
      <c r="AR21" s="53">
        <f t="shared" si="24"/>
        <v>8.9069699371879807E-4</v>
      </c>
      <c r="AS21" s="53">
        <f t="shared" si="30"/>
        <v>0.84708155783008821</v>
      </c>
      <c r="AT21" s="53">
        <f t="shared" si="25"/>
        <v>2.24971077691416E-3</v>
      </c>
      <c r="AU21" s="53">
        <f t="shared" si="30"/>
        <v>1.1980089841151256</v>
      </c>
      <c r="AV21" s="53"/>
      <c r="AW21" s="53">
        <f t="shared" si="30"/>
        <v>0.4570256021278768</v>
      </c>
      <c r="AX21" s="53">
        <f t="shared" si="26"/>
        <v>-1.3997162614665104E-4</v>
      </c>
      <c r="AY21" s="53">
        <f t="shared" si="30"/>
        <v>4.019040286456665</v>
      </c>
      <c r="AZ21" s="53"/>
      <c r="BA21" s="53">
        <f t="shared" si="15"/>
        <v>0.42147549789666683</v>
      </c>
      <c r="BB21" s="53">
        <f t="shared" si="27"/>
        <v>-9.3314298744389124E-3</v>
      </c>
      <c r="BC21" s="53">
        <f t="shared" si="30"/>
        <v>1</v>
      </c>
      <c r="BD21" s="53">
        <f t="shared" si="30"/>
        <v>1</v>
      </c>
      <c r="BE21" s="105">
        <f t="shared" si="16"/>
        <v>0.19800898411512557</v>
      </c>
      <c r="BG21" s="14" t="s">
        <v>117</v>
      </c>
      <c r="BH21" s="26" t="s">
        <v>100</v>
      </c>
      <c r="BI21" s="332"/>
      <c r="BJ21" s="332"/>
      <c r="BK21" s="27">
        <f>P4</f>
        <v>213.36398720339992</v>
      </c>
      <c r="BL21" s="27">
        <f>$BK$21*AY6</f>
        <v>688.27537397181459</v>
      </c>
      <c r="BM21" s="27">
        <f t="shared" si="17"/>
        <v>725.96154439582835</v>
      </c>
      <c r="BO21" s="28">
        <v>2007</v>
      </c>
      <c r="BP21" s="29">
        <f t="shared" si="28"/>
        <v>1.1694117647058824</v>
      </c>
      <c r="BQ21" s="29">
        <f t="shared" si="28"/>
        <v>1.0510548523206751</v>
      </c>
      <c r="BR21" s="29">
        <f t="shared" si="28"/>
        <v>1.0895989974937343</v>
      </c>
      <c r="BS21" s="29">
        <f t="shared" si="28"/>
        <v>1.0047425474254743</v>
      </c>
      <c r="BT21" s="29">
        <f t="shared" si="28"/>
        <v>1.0686567164179104</v>
      </c>
      <c r="BU21" s="29">
        <f t="shared" si="28"/>
        <v>1.0589070262597586</v>
      </c>
      <c r="BV21" s="29">
        <f t="shared" si="28"/>
        <v>1.0456692913385828</v>
      </c>
      <c r="BW21" s="29">
        <f t="shared" si="28"/>
        <v>1.0103343465045593</v>
      </c>
      <c r="BX21" s="29">
        <f t="shared" si="28"/>
        <v>1.0732079308591762</v>
      </c>
      <c r="BZ21" s="28">
        <v>2007</v>
      </c>
      <c r="CA21" s="29">
        <f t="shared" si="29"/>
        <v>1.0174180327868851</v>
      </c>
      <c r="CB21" s="29">
        <f t="shared" si="29"/>
        <v>1.0480656506447832</v>
      </c>
      <c r="CC21" s="29">
        <f t="shared" si="29"/>
        <v>0.92837837837837833</v>
      </c>
      <c r="CD21" s="29">
        <f t="shared" si="29"/>
        <v>0.95040214477211793</v>
      </c>
      <c r="CE21" s="29">
        <f t="shared" si="29"/>
        <v>0.97560975609756095</v>
      </c>
      <c r="CF21" s="29">
        <f t="shared" si="29"/>
        <v>0.94393592677345539</v>
      </c>
      <c r="CG21" s="29">
        <f t="shared" si="29"/>
        <v>0.92414664981036654</v>
      </c>
      <c r="CH21" s="29">
        <f t="shared" si="29"/>
        <v>0.94177583697234346</v>
      </c>
      <c r="CI21" s="29">
        <f t="shared" si="29"/>
        <v>0.95810810810810809</v>
      </c>
    </row>
    <row r="22" spans="1:87" x14ac:dyDescent="0.2">
      <c r="A22" s="26">
        <v>2023</v>
      </c>
      <c r="B22" s="272">
        <v>8.0026938389125934</v>
      </c>
      <c r="C22" s="272">
        <v>3.3391850000000001</v>
      </c>
      <c r="D22" s="100">
        <f t="shared" si="0"/>
        <v>393.7508514982726</v>
      </c>
      <c r="E22" s="272">
        <v>13.938461888969197</v>
      </c>
      <c r="F22" s="272">
        <v>14.326931999999999</v>
      </c>
      <c r="G22" s="272">
        <v>14.571823013714878</v>
      </c>
      <c r="H22" s="272">
        <v>11.222577028938471</v>
      </c>
      <c r="I22" s="272">
        <v>0.96560258392017795</v>
      </c>
      <c r="J22" s="272">
        <v>549.16327390614492</v>
      </c>
      <c r="K22" s="272">
        <v>456.45627884866326</v>
      </c>
      <c r="L22" s="100">
        <f t="shared" si="1"/>
        <v>329.41013307825131</v>
      </c>
      <c r="M22" s="100">
        <f t="shared" si="2"/>
        <v>334.02348350145263</v>
      </c>
      <c r="N22" s="100">
        <f t="shared" si="3"/>
        <v>69.299490847233926</v>
      </c>
      <c r="O22" s="100">
        <f t="shared" si="4"/>
        <v>707.18633103689831</v>
      </c>
      <c r="P22" s="100">
        <f t="shared" si="5"/>
        <v>184.4727077018141</v>
      </c>
      <c r="Q22" s="100">
        <f t="shared" si="6"/>
        <v>562.26925305453199</v>
      </c>
      <c r="R22" s="101">
        <f t="shared" si="7"/>
        <v>1091.7309949291243</v>
      </c>
      <c r="S22" s="101">
        <f t="shared" si="7"/>
        <v>5752.3842247948132</v>
      </c>
      <c r="T22" s="65"/>
      <c r="U22" s="8">
        <v>2021</v>
      </c>
      <c r="V22" s="53">
        <f t="shared" si="30"/>
        <v>0.31334255029153313</v>
      </c>
      <c r="W22" s="53">
        <f t="shared" si="18"/>
        <v>-2.3306334093499137E-3</v>
      </c>
      <c r="X22" s="53">
        <f t="shared" si="30"/>
        <v>0.20479066953542818</v>
      </c>
      <c r="Y22" s="53">
        <f t="shared" si="18"/>
        <v>1.7317293746555551E-2</v>
      </c>
      <c r="Z22" s="53">
        <f t="shared" si="30"/>
        <v>2.9814234481623857E-2</v>
      </c>
      <c r="AA22" s="53"/>
      <c r="AB22" s="53">
        <f t="shared" si="14"/>
        <v>0.13360634726027087</v>
      </c>
      <c r="AC22" s="53">
        <f t="shared" si="19"/>
        <v>-1.1670256910242593E-2</v>
      </c>
      <c r="AD22" s="53">
        <f t="shared" si="30"/>
        <v>0.34788996537119243</v>
      </c>
      <c r="AE22" s="53">
        <f t="shared" si="19"/>
        <v>-1.5892939635926084E-2</v>
      </c>
      <c r="AF22" s="53">
        <f t="shared" si="30"/>
        <v>0.61062920789173614</v>
      </c>
      <c r="AG22" s="53">
        <f t="shared" si="20"/>
        <v>8.7189413118782255E-4</v>
      </c>
      <c r="AH22" s="53">
        <f t="shared" si="30"/>
        <v>0.20479066953542818</v>
      </c>
      <c r="AI22" s="53">
        <f t="shared" si="21"/>
        <v>1.7317293746555551E-2</v>
      </c>
      <c r="AJ22" s="53">
        <f t="shared" si="30"/>
        <v>2.9814234481623857E-2</v>
      </c>
      <c r="AK22" s="53">
        <f t="shared" si="30"/>
        <v>0.91223430805341754</v>
      </c>
      <c r="AL22" s="53">
        <f t="shared" si="22"/>
        <v>1.2801089462064486E-3</v>
      </c>
      <c r="AM22" s="53">
        <f t="shared" si="30"/>
        <v>0.64980759265325494</v>
      </c>
      <c r="AN22" s="53">
        <f t="shared" si="23"/>
        <v>6.7904090779431492E-3</v>
      </c>
      <c r="AO22" s="53">
        <f t="shared" si="30"/>
        <v>0.72396945059939488</v>
      </c>
      <c r="AP22" s="53">
        <f t="shared" si="24"/>
        <v>3.8602740567590388E-3</v>
      </c>
      <c r="AQ22" s="53">
        <f t="shared" si="30"/>
        <v>1.6788297238875565</v>
      </c>
      <c r="AR22" s="53">
        <f t="shared" si="24"/>
        <v>1.3927037077698934E-3</v>
      </c>
      <c r="AS22" s="53">
        <f t="shared" si="30"/>
        <v>0.84889188317405151</v>
      </c>
      <c r="AT22" s="53">
        <f t="shared" si="25"/>
        <v>2.1371322834611295E-3</v>
      </c>
      <c r="AU22" s="53">
        <f t="shared" si="30"/>
        <v>1.1975132523036962</v>
      </c>
      <c r="AV22" s="53"/>
      <c r="AW22" s="53">
        <f t="shared" si="30"/>
        <v>0.45695954755303303</v>
      </c>
      <c r="AX22" s="53">
        <f t="shared" si="26"/>
        <v>-1.4453145411597035E-4</v>
      </c>
      <c r="AY22" s="53">
        <f t="shared" si="30"/>
        <v>4.0320553499074707</v>
      </c>
      <c r="AZ22" s="53"/>
      <c r="BA22" s="53">
        <f t="shared" si="15"/>
        <v>0.41780499110326086</v>
      </c>
      <c r="BB22" s="53">
        <f t="shared" si="27"/>
        <v>-8.7087074141279919E-3</v>
      </c>
      <c r="BC22" s="53">
        <f t="shared" si="30"/>
        <v>1</v>
      </c>
      <c r="BD22" s="53">
        <f t="shared" si="30"/>
        <v>1</v>
      </c>
      <c r="BE22" s="105">
        <f t="shared" si="16"/>
        <v>0.19751325230369621</v>
      </c>
      <c r="BG22" s="14" t="s">
        <v>175</v>
      </c>
      <c r="BH22" s="26" t="s">
        <v>174</v>
      </c>
      <c r="BI22" s="332"/>
      <c r="BJ22" s="332"/>
      <c r="BK22" s="27">
        <f>Q4</f>
        <v>482.72570571459363</v>
      </c>
      <c r="BL22" s="27">
        <f>BK22*BA6</f>
        <v>227.73371650081208</v>
      </c>
      <c r="BM22" s="27">
        <f t="shared" si="17"/>
        <v>240.20316110961355</v>
      </c>
      <c r="BO22" s="28">
        <v>2008</v>
      </c>
      <c r="BP22" s="29">
        <f t="shared" si="28"/>
        <v>1.2133333333333334</v>
      </c>
      <c r="BQ22" s="29">
        <f t="shared" si="28"/>
        <v>1.0970464135021096</v>
      </c>
      <c r="BR22" s="29">
        <f t="shared" si="28"/>
        <v>1.1372180451127818</v>
      </c>
      <c r="BS22" s="29">
        <f t="shared" si="28"/>
        <v>1.0264227642276422</v>
      </c>
      <c r="BT22" s="29">
        <f t="shared" si="28"/>
        <v>1.1128358208955225</v>
      </c>
      <c r="BU22" s="29">
        <f t="shared" si="28"/>
        <v>1.1554293825408091</v>
      </c>
      <c r="BV22" s="29">
        <f t="shared" si="28"/>
        <v>1.0876640419947505</v>
      </c>
      <c r="BW22" s="29">
        <f t="shared" si="28"/>
        <v>1.0449848024316111</v>
      </c>
      <c r="BX22" s="29">
        <f t="shared" si="28"/>
        <v>1.0259278088459582</v>
      </c>
      <c r="BZ22" s="28">
        <v>2008</v>
      </c>
      <c r="CA22" s="29">
        <f t="shared" si="29"/>
        <v>1.0286885245901638</v>
      </c>
      <c r="CB22" s="29">
        <f t="shared" si="29"/>
        <v>1.1031652989449003</v>
      </c>
      <c r="CC22" s="29">
        <f t="shared" si="29"/>
        <v>0.99729729729729721</v>
      </c>
      <c r="CD22" s="29">
        <f t="shared" si="29"/>
        <v>0.94235924932975879</v>
      </c>
      <c r="CE22" s="29">
        <f t="shared" si="29"/>
        <v>0.99796747967479682</v>
      </c>
      <c r="CF22" s="29">
        <f t="shared" si="29"/>
        <v>0.98970251716247137</v>
      </c>
      <c r="CG22" s="29">
        <f t="shared" si="29"/>
        <v>1.0050568900126422</v>
      </c>
      <c r="CH22" s="29">
        <f t="shared" si="29"/>
        <v>0.95050946142649206</v>
      </c>
      <c r="CI22" s="29">
        <f t="shared" si="29"/>
        <v>1.0013513513513512</v>
      </c>
    </row>
    <row r="23" spans="1:87" x14ac:dyDescent="0.2">
      <c r="A23" s="26">
        <v>2024</v>
      </c>
      <c r="B23" s="272">
        <v>8.0209409360031998</v>
      </c>
      <c r="C23" s="272">
        <v>3.3408060000000002</v>
      </c>
      <c r="D23" s="100">
        <f t="shared" si="0"/>
        <v>384.81582432316566</v>
      </c>
      <c r="E23" s="272">
        <v>13.990705534099373</v>
      </c>
      <c r="F23" s="272">
        <v>14.344944</v>
      </c>
      <c r="G23" s="272">
        <v>14.628230887423127</v>
      </c>
      <c r="H23" s="272">
        <v>11.275054646556331</v>
      </c>
      <c r="I23" s="272">
        <v>0.97075257976685347</v>
      </c>
      <c r="J23" s="272">
        <v>546.99227029634028</v>
      </c>
      <c r="K23" s="272">
        <v>452.66325105453086</v>
      </c>
      <c r="L23" s="100">
        <f t="shared" si="1"/>
        <v>329.45959242741395</v>
      </c>
      <c r="M23" s="100">
        <f t="shared" si="2"/>
        <v>327.8439153843193</v>
      </c>
      <c r="N23" s="100">
        <f t="shared" si="3"/>
        <v>67.401804770606972</v>
      </c>
      <c r="O23" s="100">
        <f t="shared" si="4"/>
        <v>694.61188966577618</v>
      </c>
      <c r="P23" s="100">
        <f t="shared" si="5"/>
        <v>184.54783851606828</v>
      </c>
      <c r="Q23" s="100">
        <f t="shared" si="6"/>
        <v>557.83411928343378</v>
      </c>
      <c r="R23" s="101">
        <f t="shared" si="7"/>
        <v>1077.7174695754325</v>
      </c>
      <c r="S23" s="101">
        <f t="shared" si="7"/>
        <v>5864.2265284275773</v>
      </c>
      <c r="T23" s="65"/>
      <c r="U23" s="8">
        <v>2022</v>
      </c>
      <c r="V23" s="53">
        <f t="shared" si="30"/>
        <v>0.31260616292035304</v>
      </c>
      <c r="W23" s="53">
        <f t="shared" si="18"/>
        <v>-2.3501033309869523E-3</v>
      </c>
      <c r="X23" s="53">
        <f t="shared" si="30"/>
        <v>0.2082107636981492</v>
      </c>
      <c r="Y23" s="53">
        <f t="shared" si="18"/>
        <v>1.6700439382709931E-2</v>
      </c>
      <c r="Z23" s="53">
        <f t="shared" si="30"/>
        <v>3.0974512959381813E-2</v>
      </c>
      <c r="AA23" s="53"/>
      <c r="AB23" s="53">
        <f t="shared" si="14"/>
        <v>0.13208416514447088</v>
      </c>
      <c r="AC23" s="53">
        <f t="shared" si="19"/>
        <v>-1.1393037434327291E-2</v>
      </c>
      <c r="AD23" s="53">
        <f t="shared" si="30"/>
        <v>0.34252804090550676</v>
      </c>
      <c r="AE23" s="53">
        <f t="shared" si="19"/>
        <v>-1.5412702289255731E-2</v>
      </c>
      <c r="AF23" s="53">
        <f t="shared" si="30"/>
        <v>0.61117400868706084</v>
      </c>
      <c r="AG23" s="53">
        <f t="shared" si="20"/>
        <v>8.9219576837096248E-4</v>
      </c>
      <c r="AH23" s="53">
        <f t="shared" si="30"/>
        <v>0.2082107636981492</v>
      </c>
      <c r="AI23" s="53">
        <f t="shared" si="21"/>
        <v>1.6700439382709931E-2</v>
      </c>
      <c r="AJ23" s="53">
        <f t="shared" si="30"/>
        <v>3.0974512959381813E-2</v>
      </c>
      <c r="AK23" s="53">
        <f t="shared" si="30"/>
        <v>0.9133442603914983</v>
      </c>
      <c r="AL23" s="53">
        <f t="shared" si="22"/>
        <v>1.2167404013221361E-3</v>
      </c>
      <c r="AM23" s="53">
        <f t="shared" si="30"/>
        <v>0.65415513544440917</v>
      </c>
      <c r="AN23" s="53">
        <f t="shared" si="23"/>
        <v>6.6905078369470239E-3</v>
      </c>
      <c r="AO23" s="53">
        <f t="shared" si="30"/>
        <v>0.72663088328045966</v>
      </c>
      <c r="AP23" s="53">
        <f t="shared" si="24"/>
        <v>3.6761671074121427E-3</v>
      </c>
      <c r="AQ23" s="53">
        <f t="shared" si="30"/>
        <v>1.6810241859167985</v>
      </c>
      <c r="AR23" s="53">
        <f t="shared" si="24"/>
        <v>1.3071379413991391E-3</v>
      </c>
      <c r="AS23" s="53">
        <f t="shared" si="30"/>
        <v>0.8506433169030474</v>
      </c>
      <c r="AT23" s="53">
        <f t="shared" si="25"/>
        <v>2.0631999948534929E-3</v>
      </c>
      <c r="AU23" s="53">
        <f t="shared" si="30"/>
        <v>1.1970701391090923</v>
      </c>
      <c r="AV23" s="53"/>
      <c r="AW23" s="53">
        <f t="shared" si="30"/>
        <v>0.45689692389914355</v>
      </c>
      <c r="AX23" s="53">
        <f t="shared" si="26"/>
        <v>-1.3704419619819941E-4</v>
      </c>
      <c r="AY23" s="53">
        <f t="shared" si="30"/>
        <v>4.0496743220584159</v>
      </c>
      <c r="AZ23" s="53"/>
      <c r="BA23" s="53">
        <f t="shared" si="15"/>
        <v>0.41432072354790961</v>
      </c>
      <c r="BB23" s="53">
        <f t="shared" si="27"/>
        <v>-8.3394589091687621E-3</v>
      </c>
      <c r="BC23" s="53">
        <f t="shared" si="30"/>
        <v>1</v>
      </c>
      <c r="BD23" s="53">
        <f t="shared" si="30"/>
        <v>1</v>
      </c>
      <c r="BE23" s="105">
        <f t="shared" si="16"/>
        <v>0.19707013910909232</v>
      </c>
      <c r="BG23" s="14" t="s">
        <v>32</v>
      </c>
      <c r="BH23" s="26" t="s">
        <v>13</v>
      </c>
      <c r="BI23" s="332"/>
      <c r="BJ23" s="332"/>
      <c r="BK23" s="27">
        <f>R4</f>
        <v>2009.4019042164659</v>
      </c>
      <c r="BL23" s="27">
        <f>$BK$23</f>
        <v>2009.4019042164659</v>
      </c>
      <c r="BM23" s="27">
        <f t="shared" si="17"/>
        <v>2119.4256904455815</v>
      </c>
      <c r="BO23" s="28">
        <v>2009</v>
      </c>
      <c r="BP23" s="29">
        <f t="shared" si="28"/>
        <v>1.1878431372549019</v>
      </c>
      <c r="BQ23" s="29">
        <f t="shared" si="28"/>
        <v>1.0843881856540085</v>
      </c>
      <c r="BR23" s="29">
        <f t="shared" si="28"/>
        <v>1.1854636591478698</v>
      </c>
      <c r="BS23" s="29">
        <f t="shared" si="28"/>
        <v>1.0724932249322494</v>
      </c>
      <c r="BT23" s="29">
        <f t="shared" si="28"/>
        <v>1.1701492537313434</v>
      </c>
      <c r="BU23" s="29">
        <f t="shared" si="28"/>
        <v>1.1809794180269695</v>
      </c>
      <c r="BV23" s="29">
        <f t="shared" si="28"/>
        <v>1.0031496062992125</v>
      </c>
      <c r="BW23" s="29">
        <f t="shared" si="28"/>
        <v>1.0717325227963526</v>
      </c>
      <c r="BX23" s="29">
        <f t="shared" si="28"/>
        <v>1.0691408235892221</v>
      </c>
      <c r="BZ23" s="28">
        <v>2009</v>
      </c>
      <c r="CA23" s="29">
        <f t="shared" si="29"/>
        <v>0.99180327868852458</v>
      </c>
      <c r="CB23" s="29">
        <f t="shared" si="29"/>
        <v>1.0058616647127785</v>
      </c>
      <c r="CC23" s="29">
        <f t="shared" si="29"/>
        <v>0.84729729729729719</v>
      </c>
      <c r="CD23" s="29">
        <f t="shared" si="29"/>
        <v>0.79624664879356577</v>
      </c>
      <c r="CE23" s="29">
        <f t="shared" si="29"/>
        <v>0.88211382113821135</v>
      </c>
      <c r="CF23" s="29">
        <f t="shared" si="29"/>
        <v>0.87185354691075512</v>
      </c>
      <c r="CG23" s="29">
        <f t="shared" si="29"/>
        <v>0.8508217446270544</v>
      </c>
      <c r="CH23" s="29">
        <f t="shared" si="29"/>
        <v>0.8675400291120815</v>
      </c>
      <c r="CI23" s="29">
        <f t="shared" si="29"/>
        <v>0.80675675675675673</v>
      </c>
    </row>
    <row r="24" spans="1:87" x14ac:dyDescent="0.2">
      <c r="A24" s="26">
        <v>2025</v>
      </c>
      <c r="B24" s="272">
        <v>8.0361259348455096</v>
      </c>
      <c r="C24" s="272">
        <v>3.342616</v>
      </c>
      <c r="D24" s="100">
        <f t="shared" si="0"/>
        <v>375.85359868167393</v>
      </c>
      <c r="E24" s="272">
        <v>14.034720387994108</v>
      </c>
      <c r="F24" s="272">
        <v>14.363856999999999</v>
      </c>
      <c r="G24" s="272">
        <v>14.672992341432238</v>
      </c>
      <c r="H24" s="272">
        <v>11.321808742299726</v>
      </c>
      <c r="I24" s="272">
        <v>0.97565016606731236</v>
      </c>
      <c r="J24" s="272">
        <v>545.21915206469214</v>
      </c>
      <c r="K24" s="272">
        <v>448.79838828056711</v>
      </c>
      <c r="L24" s="100">
        <f t="shared" si="1"/>
        <v>329.48147231463878</v>
      </c>
      <c r="M24" s="100">
        <f t="shared" si="2"/>
        <v>323.03032893682263</v>
      </c>
      <c r="N24" s="100">
        <f t="shared" si="3"/>
        <v>65.550107884228765</v>
      </c>
      <c r="O24" s="100">
        <f t="shared" si="4"/>
        <v>682.78469356820165</v>
      </c>
      <c r="P24" s="100">
        <f t="shared" si="5"/>
        <v>184.6376965710092</v>
      </c>
      <c r="Q24" s="100">
        <f t="shared" si="6"/>
        <v>553.73474674180761</v>
      </c>
      <c r="R24" s="101">
        <f t="shared" si="7"/>
        <v>1065.4145517058091</v>
      </c>
      <c r="S24" s="101">
        <f t="shared" si="7"/>
        <v>5982.0669409221155</v>
      </c>
      <c r="T24" s="65"/>
      <c r="U24" s="8">
        <v>2023</v>
      </c>
      <c r="V24" s="53">
        <f t="shared" si="30"/>
        <v>0.31178159085463808</v>
      </c>
      <c r="W24" s="53">
        <f t="shared" si="18"/>
        <v>-2.6377345155701448E-3</v>
      </c>
      <c r="X24" s="53">
        <f t="shared" si="30"/>
        <v>0.21164194723859875</v>
      </c>
      <c r="Y24" s="53">
        <f t="shared" si="18"/>
        <v>1.6479376375679866E-2</v>
      </c>
      <c r="Z24" s="53">
        <f t="shared" si="30"/>
        <v>3.2052487441034727E-2</v>
      </c>
      <c r="AA24" s="53"/>
      <c r="AB24" s="53">
        <f t="shared" si="14"/>
        <v>0.13057948479766221</v>
      </c>
      <c r="AC24" s="53">
        <f t="shared" si="19"/>
        <v>-1.1391829937849707E-2</v>
      </c>
      <c r="AD24" s="53">
        <f t="shared" si="30"/>
        <v>0.33731684433167453</v>
      </c>
      <c r="AE24" s="53">
        <f t="shared" si="19"/>
        <v>-1.521392689502421E-2</v>
      </c>
      <c r="AF24" s="53">
        <f t="shared" si="30"/>
        <v>0.6116408793828727</v>
      </c>
      <c r="AG24" s="53">
        <f t="shared" si="20"/>
        <v>7.6389160726053618E-4</v>
      </c>
      <c r="AH24" s="53">
        <f t="shared" si="30"/>
        <v>0.21164194723859875</v>
      </c>
      <c r="AI24" s="53">
        <f t="shared" si="21"/>
        <v>1.6479376375679866E-2</v>
      </c>
      <c r="AJ24" s="53">
        <f t="shared" si="30"/>
        <v>3.2052487441034727E-2</v>
      </c>
      <c r="AK24" s="53">
        <f t="shared" si="30"/>
        <v>0.91442118291902164</v>
      </c>
      <c r="AL24" s="53">
        <f t="shared" si="22"/>
        <v>1.1790981497619146E-3</v>
      </c>
      <c r="AM24" s="53">
        <f t="shared" si="30"/>
        <v>0.65856393289054549</v>
      </c>
      <c r="AN24" s="53">
        <f t="shared" si="23"/>
        <v>6.7396817776890217E-3</v>
      </c>
      <c r="AO24" s="53">
        <f t="shared" si="30"/>
        <v>0.72917914544047702</v>
      </c>
      <c r="AP24" s="53">
        <f t="shared" si="24"/>
        <v>3.5069554826969718E-3</v>
      </c>
      <c r="AQ24" s="53">
        <f t="shared" si="30"/>
        <v>1.6831721157585064</v>
      </c>
      <c r="AR24" s="53">
        <f t="shared" si="24"/>
        <v>1.2777507068029159E-3</v>
      </c>
      <c r="AS24" s="53">
        <f t="shared" si="30"/>
        <v>0.85238318394809087</v>
      </c>
      <c r="AT24" s="53">
        <f t="shared" si="25"/>
        <v>2.0453543929290774E-3</v>
      </c>
      <c r="AU24" s="53">
        <f t="shared" si="30"/>
        <v>1.1967098260401652</v>
      </c>
      <c r="AV24" s="53"/>
      <c r="AW24" s="53">
        <f t="shared" si="30"/>
        <v>0.45687753094081279</v>
      </c>
      <c r="AX24" s="53">
        <f t="shared" si="26"/>
        <v>-4.2444930828722249E-5</v>
      </c>
      <c r="AY24" s="53">
        <f t="shared" si="30"/>
        <v>4.0678850614102959</v>
      </c>
      <c r="AZ24" s="53"/>
      <c r="BA24" s="53">
        <f t="shared" si="15"/>
        <v>0.41092843550053221</v>
      </c>
      <c r="BB24" s="53">
        <f t="shared" si="27"/>
        <v>-8.1875896004635074E-3</v>
      </c>
      <c r="BC24" s="53">
        <f t="shared" si="30"/>
        <v>1</v>
      </c>
      <c r="BD24" s="53">
        <f t="shared" si="30"/>
        <v>1</v>
      </c>
      <c r="BE24" s="105">
        <f t="shared" si="16"/>
        <v>0.19670982604016518</v>
      </c>
      <c r="BG24" s="14" t="s">
        <v>33</v>
      </c>
      <c r="BH24" s="26" t="s">
        <v>14</v>
      </c>
      <c r="BI24" s="332"/>
      <c r="BJ24" s="332"/>
      <c r="BK24" s="27">
        <f>S4</f>
        <v>3997.88904540354</v>
      </c>
      <c r="BL24" s="27">
        <f>$BK$24</f>
        <v>3997.88904540354</v>
      </c>
      <c r="BM24" s="27">
        <f t="shared" si="17"/>
        <v>4216.7914405770534</v>
      </c>
      <c r="BO24" s="28">
        <v>2010</v>
      </c>
      <c r="BP24" s="29">
        <f t="shared" si="28"/>
        <v>1.2219607843137255</v>
      </c>
      <c r="BQ24" s="29">
        <f t="shared" si="28"/>
        <v>1.1118143459915613</v>
      </c>
      <c r="BR24" s="29">
        <f t="shared" si="28"/>
        <v>1.2487468671679196</v>
      </c>
      <c r="BS24" s="29">
        <f t="shared" si="28"/>
        <v>1.1327913279132791</v>
      </c>
      <c r="BT24" s="29">
        <f t="shared" si="28"/>
        <v>1.1808955223880597</v>
      </c>
      <c r="BU24" s="29">
        <f t="shared" si="28"/>
        <v>1.1249112845990064</v>
      </c>
      <c r="BV24" s="29">
        <f t="shared" si="28"/>
        <v>0.96115485564304448</v>
      </c>
      <c r="BW24" s="29">
        <f t="shared" si="28"/>
        <v>0.98419452887538006</v>
      </c>
      <c r="BX24" s="29">
        <f t="shared" si="28"/>
        <v>1.0437214031520081</v>
      </c>
      <c r="BZ24" s="28">
        <v>2010</v>
      </c>
      <c r="CA24" s="29">
        <f t="shared" si="29"/>
        <v>0.89446721311475419</v>
      </c>
      <c r="CB24" s="29">
        <f t="shared" si="29"/>
        <v>0.89331770222743268</v>
      </c>
      <c r="CC24" s="29">
        <f t="shared" si="29"/>
        <v>0.79999999999999993</v>
      </c>
      <c r="CD24" s="29">
        <f t="shared" si="29"/>
        <v>0.78552278820375343</v>
      </c>
      <c r="CE24" s="29">
        <f t="shared" si="29"/>
        <v>0.80081300813008127</v>
      </c>
      <c r="CF24" s="29">
        <f t="shared" si="29"/>
        <v>0.77345537757437066</v>
      </c>
      <c r="CG24" s="29">
        <f t="shared" si="29"/>
        <v>0.76106194690265483</v>
      </c>
      <c r="CH24" s="29">
        <f t="shared" si="29"/>
        <v>0.84133915574963614</v>
      </c>
      <c r="CI24" s="29">
        <f t="shared" si="29"/>
        <v>0.8540540540540541</v>
      </c>
    </row>
    <row r="25" spans="1:87" x14ac:dyDescent="0.2">
      <c r="A25" s="26">
        <f t="shared" ref="A25:A42" si="31">A24+1</f>
        <v>2026</v>
      </c>
      <c r="B25" s="272">
        <v>8.0486505346126727</v>
      </c>
      <c r="C25" s="272">
        <v>3.3446470000000001</v>
      </c>
      <c r="D25" s="100">
        <f t="shared" si="0"/>
        <v>366.96051238745656</v>
      </c>
      <c r="E25" s="272">
        <v>14.071214237469412</v>
      </c>
      <c r="F25" s="272">
        <v>14.383884999999999</v>
      </c>
      <c r="G25" s="272">
        <v>14.707224509420543</v>
      </c>
      <c r="H25" s="272">
        <v>11.362345396945585</v>
      </c>
      <c r="I25" s="272">
        <v>0.98005189237020607</v>
      </c>
      <c r="J25" s="272">
        <v>543.86386135514078</v>
      </c>
      <c r="K25" s="272">
        <v>445.16851006870934</v>
      </c>
      <c r="L25" s="100">
        <f t="shared" si="1"/>
        <v>329.46941112716655</v>
      </c>
      <c r="M25" s="100">
        <f t="shared" si="2"/>
        <v>319.60989537214908</v>
      </c>
      <c r="N25" s="100">
        <f t="shared" si="3"/>
        <v>63.744623055310612</v>
      </c>
      <c r="O25" s="100">
        <f t="shared" si="4"/>
        <v>671.64439878896007</v>
      </c>
      <c r="P25" s="100">
        <f t="shared" si="5"/>
        <v>184.78206822402399</v>
      </c>
      <c r="Q25" s="100">
        <f t="shared" si="6"/>
        <v>547.29557654918642</v>
      </c>
      <c r="R25" s="101">
        <f t="shared" si="7"/>
        <v>1054.4300712212589</v>
      </c>
      <c r="S25" s="101">
        <f t="shared" si="7"/>
        <v>6093.2371875187528</v>
      </c>
      <c r="T25" s="65"/>
      <c r="U25" s="8">
        <v>2024</v>
      </c>
      <c r="V25" s="53">
        <f t="shared" si="30"/>
        <v>0.31088937562203706</v>
      </c>
      <c r="W25" s="53">
        <f t="shared" si="18"/>
        <v>-2.8616674581566359E-3</v>
      </c>
      <c r="X25" s="53">
        <f t="shared" si="30"/>
        <v>0.21510699189401064</v>
      </c>
      <c r="Y25" s="53">
        <f t="shared" si="18"/>
        <v>1.6372201733267477E-2</v>
      </c>
      <c r="Z25" s="53">
        <f t="shared" si="30"/>
        <v>3.3056939884273023E-2</v>
      </c>
      <c r="AA25" s="53"/>
      <c r="AB25" s="53">
        <f t="shared" si="14"/>
        <v>0.1290827644040862</v>
      </c>
      <c r="AC25" s="53">
        <f t="shared" si="19"/>
        <v>-1.1462140441856006E-2</v>
      </c>
      <c r="AD25" s="53">
        <f t="shared" si="30"/>
        <v>0.3322135502217321</v>
      </c>
      <c r="AE25" s="53">
        <f t="shared" si="19"/>
        <v>-1.5129081739317152E-2</v>
      </c>
      <c r="AF25" s="53">
        <f t="shared" si="30"/>
        <v>0.61202144513595091</v>
      </c>
      <c r="AG25" s="53">
        <f t="shared" si="20"/>
        <v>6.2220457445905097E-4</v>
      </c>
      <c r="AH25" s="53">
        <f t="shared" si="30"/>
        <v>0.21510699189401064</v>
      </c>
      <c r="AI25" s="53">
        <f t="shared" si="21"/>
        <v>1.6372201733267477E-2</v>
      </c>
      <c r="AJ25" s="53">
        <f t="shared" si="30"/>
        <v>3.3056939884273023E-2</v>
      </c>
      <c r="AK25" s="53">
        <f t="shared" si="30"/>
        <v>0.91548056329612393</v>
      </c>
      <c r="AL25" s="53">
        <f t="shared" si="22"/>
        <v>1.1585256300827851E-3</v>
      </c>
      <c r="AM25" s="53">
        <f t="shared" si="30"/>
        <v>0.66304733948786954</v>
      </c>
      <c r="AN25" s="53">
        <f t="shared" si="23"/>
        <v>6.8078532294437721E-3</v>
      </c>
      <c r="AO25" s="53">
        <f t="shared" si="30"/>
        <v>0.73162368146358381</v>
      </c>
      <c r="AP25" s="53">
        <f t="shared" si="24"/>
        <v>3.3524491730081429E-3</v>
      </c>
      <c r="AQ25" s="53">
        <f t="shared" si="30"/>
        <v>1.6853772178524866</v>
      </c>
      <c r="AR25" s="53">
        <f t="shared" si="24"/>
        <v>1.3100871107210033E-3</v>
      </c>
      <c r="AS25" s="53">
        <f t="shared" si="30"/>
        <v>0.85411380932920489</v>
      </c>
      <c r="AT25" s="53">
        <f t="shared" si="25"/>
        <v>2.030337310384267E-3</v>
      </c>
      <c r="AU25" s="53">
        <f t="shared" si="30"/>
        <v>1.1964114799123395</v>
      </c>
      <c r="AV25" s="53"/>
      <c r="AW25" s="53">
        <f t="shared" si="30"/>
        <v>0.45688219688160181</v>
      </c>
      <c r="AX25" s="53">
        <f t="shared" si="26"/>
        <v>1.0212672922227384E-5</v>
      </c>
      <c r="AY25" s="53">
        <f t="shared" si="30"/>
        <v>4.0866216866943121</v>
      </c>
      <c r="AZ25" s="53"/>
      <c r="BA25" s="53">
        <f t="shared" si="15"/>
        <v>0.40771043601344903</v>
      </c>
      <c r="BB25" s="53">
        <f t="shared" si="27"/>
        <v>-7.8310460145292193E-3</v>
      </c>
      <c r="BC25" s="53">
        <f t="shared" si="30"/>
        <v>1</v>
      </c>
      <c r="BD25" s="53">
        <f t="shared" si="30"/>
        <v>1</v>
      </c>
      <c r="BE25" s="105">
        <f t="shared" si="16"/>
        <v>0.19641147991233954</v>
      </c>
      <c r="BI25" s="332"/>
      <c r="BJ25" s="332"/>
      <c r="BK25" s="332"/>
      <c r="BL25" s="332"/>
      <c r="BM25" s="332"/>
      <c r="BO25" s="28">
        <v>2011</v>
      </c>
      <c r="BP25" s="29">
        <f t="shared" si="28"/>
        <v>1.2937254901960784</v>
      </c>
      <c r="BQ25" s="29">
        <f t="shared" si="28"/>
        <v>1.078902953586498</v>
      </c>
      <c r="BR25" s="29">
        <f t="shared" si="28"/>
        <v>1.1372180451127818</v>
      </c>
      <c r="BS25" s="29">
        <f t="shared" si="28"/>
        <v>1.0210027100271004</v>
      </c>
      <c r="BT25" s="29">
        <f t="shared" si="28"/>
        <v>1.0961194029850745</v>
      </c>
      <c r="BU25" s="29">
        <f t="shared" si="28"/>
        <v>1.0390347764371894</v>
      </c>
      <c r="BV25" s="29">
        <f t="shared" si="28"/>
        <v>0.8671916010498687</v>
      </c>
      <c r="BW25" s="29">
        <f t="shared" si="28"/>
        <v>0.93130699088145907</v>
      </c>
      <c r="BX25" s="29">
        <f t="shared" si="28"/>
        <v>1.0427046263345197</v>
      </c>
      <c r="BZ25" s="28">
        <v>2011</v>
      </c>
      <c r="CA25" s="29">
        <f t="shared" si="29"/>
        <v>0.81147540983606559</v>
      </c>
      <c r="CB25" s="29">
        <f t="shared" si="29"/>
        <v>0.81711606096131306</v>
      </c>
      <c r="CC25" s="29">
        <f t="shared" si="29"/>
        <v>0.73918918918918908</v>
      </c>
      <c r="CD25" s="29">
        <f t="shared" si="29"/>
        <v>0.72788203753351199</v>
      </c>
      <c r="CE25" s="29">
        <f t="shared" si="29"/>
        <v>0.76117886178861793</v>
      </c>
      <c r="CF25" s="29">
        <f t="shared" si="29"/>
        <v>0.72997711670480547</v>
      </c>
      <c r="CG25" s="29">
        <f t="shared" si="29"/>
        <v>0.73830594184576481</v>
      </c>
      <c r="CH25" s="29">
        <f t="shared" si="29"/>
        <v>0.79621542940320233</v>
      </c>
      <c r="CI25" s="29">
        <f t="shared" si="29"/>
        <v>0.79729729729729726</v>
      </c>
    </row>
    <row r="26" spans="1:87" x14ac:dyDescent="0.2">
      <c r="A26" s="26">
        <f t="shared" si="31"/>
        <v>2027</v>
      </c>
      <c r="B26" s="272">
        <v>8.0588108335001927</v>
      </c>
      <c r="C26" s="272">
        <v>3.3468979999999999</v>
      </c>
      <c r="D26" s="100">
        <f t="shared" si="0"/>
        <v>357.93818962937678</v>
      </c>
      <c r="E26" s="272">
        <v>14.100804384273554</v>
      </c>
      <c r="F26" s="272">
        <v>14.405049999999999</v>
      </c>
      <c r="G26" s="272">
        <v>14.731505262642544</v>
      </c>
      <c r="H26" s="272">
        <v>11.396952574282738</v>
      </c>
      <c r="I26" s="272">
        <v>0.98393036972039893</v>
      </c>
      <c r="J26" s="272">
        <v>542.94891228335916</v>
      </c>
      <c r="K26" s="272">
        <v>441.73776168054229</v>
      </c>
      <c r="L26" s="100">
        <f t="shared" si="1"/>
        <v>329.40991895333542</v>
      </c>
      <c r="M26" s="100">
        <f t="shared" si="2"/>
        <v>317.41994457983418</v>
      </c>
      <c r="N26" s="100">
        <f t="shared" si="3"/>
        <v>62.08722522070773</v>
      </c>
      <c r="O26" s="100">
        <f t="shared" si="4"/>
        <v>661.8954271056308</v>
      </c>
      <c r="P26" s="100">
        <f t="shared" si="5"/>
        <v>184.95528856475121</v>
      </c>
      <c r="Q26" s="100">
        <f t="shared" si="6"/>
        <v>544.04129933955744</v>
      </c>
      <c r="R26" s="101">
        <f t="shared" si="7"/>
        <v>1044.4228839671246</v>
      </c>
      <c r="S26" s="101">
        <f t="shared" si="7"/>
        <v>6208.6636278159976</v>
      </c>
      <c r="T26" s="65"/>
      <c r="U26" s="8">
        <v>2025</v>
      </c>
      <c r="V26" s="53">
        <f t="shared" si="30"/>
        <v>0.30995669799041659</v>
      </c>
      <c r="W26" s="53">
        <f t="shared" si="18"/>
        <v>-3.0000305727860832E-3</v>
      </c>
      <c r="X26" s="53">
        <f t="shared" si="30"/>
        <v>0.21858723438008901</v>
      </c>
      <c r="Y26" s="53">
        <f t="shared" si="18"/>
        <v>1.6179123028196019E-2</v>
      </c>
      <c r="Z26" s="53">
        <f t="shared" si="30"/>
        <v>3.3979878927436986E-2</v>
      </c>
      <c r="AA26" s="53"/>
      <c r="AB26" s="53">
        <f t="shared" si="14"/>
        <v>0.12760007355212286</v>
      </c>
      <c r="AC26" s="53">
        <f t="shared" si="19"/>
        <v>-1.1486358064984326E-2</v>
      </c>
      <c r="AD26" s="53">
        <f t="shared" si="30"/>
        <v>0.32723916338065745</v>
      </c>
      <c r="AE26" s="53">
        <f t="shared" si="19"/>
        <v>-1.4973461611528349E-2</v>
      </c>
      <c r="AF26" s="53">
        <f t="shared" si="30"/>
        <v>0.61233656586099849</v>
      </c>
      <c r="AG26" s="53">
        <f t="shared" si="20"/>
        <v>5.1488510337671656E-4</v>
      </c>
      <c r="AH26" s="53">
        <f t="shared" si="30"/>
        <v>0.21858723438008901</v>
      </c>
      <c r="AI26" s="53">
        <f t="shared" si="21"/>
        <v>1.6179123028196019E-2</v>
      </c>
      <c r="AJ26" s="53">
        <f t="shared" si="30"/>
        <v>3.3979878927436986E-2</v>
      </c>
      <c r="AK26" s="53">
        <f t="shared" si="30"/>
        <v>0.91651389377967774</v>
      </c>
      <c r="AL26" s="53">
        <f t="shared" si="22"/>
        <v>1.1287301172548947E-3</v>
      </c>
      <c r="AM26" s="53">
        <f t="shared" si="30"/>
        <v>0.66756123033952963</v>
      </c>
      <c r="AN26" s="53">
        <f t="shared" si="23"/>
        <v>6.8077957377019604E-3</v>
      </c>
      <c r="AO26" s="53">
        <f t="shared" si="30"/>
        <v>0.73396737987387972</v>
      </c>
      <c r="AP26" s="53">
        <f t="shared" si="24"/>
        <v>3.2034206514577335E-3</v>
      </c>
      <c r="AQ26" s="53">
        <f t="shared" si="30"/>
        <v>1.6874800345646903</v>
      </c>
      <c r="AR26" s="53">
        <f t="shared" si="24"/>
        <v>1.2476831239496278E-3</v>
      </c>
      <c r="AS26" s="53">
        <f t="shared" si="30"/>
        <v>0.85581308146137969</v>
      </c>
      <c r="AT26" s="53">
        <f t="shared" si="25"/>
        <v>1.9895148791815309E-3</v>
      </c>
      <c r="AU26" s="53">
        <f t="shared" si="30"/>
        <v>1.1961530557181368</v>
      </c>
      <c r="AV26" s="53"/>
      <c r="AW26" s="53">
        <f t="shared" si="30"/>
        <v>0.45687694321223271</v>
      </c>
      <c r="AX26" s="53">
        <f t="shared" si="26"/>
        <v>-1.1498958385702807E-5</v>
      </c>
      <c r="AY26" s="53">
        <f t="shared" si="30"/>
        <v>4.1059420981343964</v>
      </c>
      <c r="AZ26" s="53"/>
      <c r="BA26" s="53">
        <f t="shared" si="15"/>
        <v>0.40455121787653098</v>
      </c>
      <c r="BB26" s="53">
        <f t="shared" si="27"/>
        <v>-7.7486810683792262E-3</v>
      </c>
      <c r="BC26" s="53">
        <f t="shared" si="30"/>
        <v>1</v>
      </c>
      <c r="BD26" s="53">
        <f t="shared" si="30"/>
        <v>1</v>
      </c>
      <c r="BE26" s="105">
        <f t="shared" si="16"/>
        <v>0.19615305571813679</v>
      </c>
      <c r="BI26" s="332"/>
      <c r="BJ26" s="332"/>
      <c r="BK26" s="332"/>
      <c r="BL26" s="27">
        <f>SUM(BL5:BL24)</f>
        <v>16756.048274531411</v>
      </c>
      <c r="BM26" s="27">
        <f>SUM(BM5:BM24)</f>
        <v>17673.517233594954</v>
      </c>
      <c r="BO26" s="28">
        <v>2012</v>
      </c>
      <c r="BP26" s="29">
        <f t="shared" si="28"/>
        <v>1.3160784313725491</v>
      </c>
      <c r="BQ26" s="29">
        <f t="shared" si="28"/>
        <v>1.1130801687763714</v>
      </c>
      <c r="BR26" s="29">
        <f t="shared" si="28"/>
        <v>1.131578947368421</v>
      </c>
      <c r="BS26" s="29">
        <f t="shared" si="28"/>
        <v>1.0203252032520325</v>
      </c>
      <c r="BT26" s="29">
        <f t="shared" si="28"/>
        <v>1.1002985074626865</v>
      </c>
      <c r="BU26" s="29">
        <f t="shared" si="28"/>
        <v>1.0369056068133429</v>
      </c>
      <c r="BV26" s="29">
        <f t="shared" si="28"/>
        <v>0.87611548556430452</v>
      </c>
      <c r="BW26" s="29">
        <f t="shared" si="28"/>
        <v>0.95987841945288754</v>
      </c>
      <c r="BX26" s="29">
        <f t="shared" si="28"/>
        <v>1.0416878495170308</v>
      </c>
      <c r="BZ26" s="28">
        <v>2012</v>
      </c>
      <c r="CA26" s="29">
        <f t="shared" si="29"/>
        <v>0.81045081967213117</v>
      </c>
      <c r="CB26" s="29">
        <f t="shared" si="29"/>
        <v>0.82297772567409144</v>
      </c>
      <c r="CC26" s="29">
        <f t="shared" si="29"/>
        <v>0.7121621621621621</v>
      </c>
      <c r="CD26" s="29">
        <f t="shared" si="29"/>
        <v>0.71983914209115285</v>
      </c>
      <c r="CE26" s="29">
        <f t="shared" si="29"/>
        <v>0.75406504065040647</v>
      </c>
      <c r="CF26" s="29">
        <f t="shared" si="29"/>
        <v>0.72540045766590389</v>
      </c>
      <c r="CG26" s="29">
        <f t="shared" si="29"/>
        <v>0.72945638432364091</v>
      </c>
      <c r="CH26" s="29">
        <f t="shared" si="29"/>
        <v>0.7889374090247453</v>
      </c>
      <c r="CI26" s="29">
        <f t="shared" si="29"/>
        <v>0.79054054054054046</v>
      </c>
    </row>
    <row r="27" spans="1:87" x14ac:dyDescent="0.2">
      <c r="A27" s="26">
        <f t="shared" si="31"/>
        <v>2028</v>
      </c>
      <c r="B27" s="272">
        <v>8.0677913116560092</v>
      </c>
      <c r="C27" s="272">
        <v>3.349342</v>
      </c>
      <c r="D27" s="100">
        <f t="shared" si="0"/>
        <v>349.05234168591141</v>
      </c>
      <c r="E27" s="272">
        <v>14.126335329043666</v>
      </c>
      <c r="F27" s="272">
        <v>14.427125</v>
      </c>
      <c r="G27" s="272">
        <v>14.75171017154501</v>
      </c>
      <c r="H27" s="272">
        <v>11.425125961365802</v>
      </c>
      <c r="I27" s="272">
        <v>0.98734296630378626</v>
      </c>
      <c r="J27" s="272">
        <v>542.13572721280798</v>
      </c>
      <c r="K27" s="272">
        <v>438.50383879903649</v>
      </c>
      <c r="L27" s="100">
        <f t="shared" si="1"/>
        <v>329.37129474983703</v>
      </c>
      <c r="M27" s="100">
        <f t="shared" si="2"/>
        <v>316.41023492887791</v>
      </c>
      <c r="N27" s="100">
        <f t="shared" si="3"/>
        <v>60.562851608393963</v>
      </c>
      <c r="O27" s="100">
        <f t="shared" si="4"/>
        <v>654.02148725595259</v>
      </c>
      <c r="P27" s="100">
        <f t="shared" si="5"/>
        <v>185.29266901309492</v>
      </c>
      <c r="Q27" s="100">
        <f t="shared" si="6"/>
        <v>536.26648096792098</v>
      </c>
      <c r="R27" s="101">
        <f t="shared" si="7"/>
        <v>1035.8894012326903</v>
      </c>
      <c r="S27" s="101">
        <f t="shared" si="7"/>
        <v>6324.2277980935451</v>
      </c>
      <c r="T27" s="65"/>
      <c r="U27" s="23">
        <v>2026</v>
      </c>
      <c r="V27" s="53">
        <f t="shared" si="30"/>
        <v>0.30903182166524668</v>
      </c>
      <c r="W27" s="53">
        <f t="shared" si="18"/>
        <v>-2.9838888179100076E-3</v>
      </c>
      <c r="X27" s="53">
        <f t="shared" si="30"/>
        <v>0.22204180949065874</v>
      </c>
      <c r="Y27" s="53">
        <f t="shared" si="18"/>
        <v>1.5804102743542492E-2</v>
      </c>
      <c r="Z27" s="53">
        <f t="shared" si="30"/>
        <v>3.4810946517703834E-2</v>
      </c>
      <c r="AA27" s="53"/>
      <c r="AB27" s="53">
        <f t="shared" si="14"/>
        <v>0.12614736033663437</v>
      </c>
      <c r="AC27" s="53">
        <f t="shared" si="19"/>
        <v>-1.13848932453402E-2</v>
      </c>
      <c r="AD27" s="53">
        <f t="shared" si="30"/>
        <v>0.32242589073515526</v>
      </c>
      <c r="AE27" s="53">
        <f t="shared" si="19"/>
        <v>-1.4708730445882501E-2</v>
      </c>
      <c r="AF27" s="53">
        <f t="shared" si="30"/>
        <v>0.61262707241012826</v>
      </c>
      <c r="AG27" s="53">
        <f t="shared" si="20"/>
        <v>4.7442299762279205E-4</v>
      </c>
      <c r="AH27" s="53">
        <f t="shared" si="30"/>
        <v>0.22204180949065874</v>
      </c>
      <c r="AI27" s="53">
        <f t="shared" si="21"/>
        <v>1.5804102743542492E-2</v>
      </c>
      <c r="AJ27" s="53">
        <f t="shared" si="30"/>
        <v>3.4810946517703834E-2</v>
      </c>
      <c r="AK27" s="53">
        <f t="shared" si="30"/>
        <v>0.91751104028368191</v>
      </c>
      <c r="AL27" s="53">
        <f t="shared" si="22"/>
        <v>1.0879775099665867E-3</v>
      </c>
      <c r="AM27" s="53">
        <f t="shared" si="30"/>
        <v>0.67205652511041469</v>
      </c>
      <c r="AN27" s="53">
        <f t="shared" si="23"/>
        <v>6.7339062944065109E-3</v>
      </c>
      <c r="AO27" s="53">
        <f t="shared" si="30"/>
        <v>0.73622590629540641</v>
      </c>
      <c r="AP27" s="53">
        <f t="shared" si="24"/>
        <v>3.0771482268254768E-3</v>
      </c>
      <c r="AQ27" s="53">
        <f t="shared" si="30"/>
        <v>1.6895609748901801</v>
      </c>
      <c r="AR27" s="53">
        <f t="shared" si="24"/>
        <v>1.2331644125358476E-3</v>
      </c>
      <c r="AS27" s="53">
        <f t="shared" si="30"/>
        <v>0.85745882065192691</v>
      </c>
      <c r="AT27" s="53">
        <f t="shared" si="25"/>
        <v>1.9230124266587101E-3</v>
      </c>
      <c r="AU27" s="53">
        <f t="shared" si="30"/>
        <v>1.1959103424992095</v>
      </c>
      <c r="AV27" s="53"/>
      <c r="AW27" s="53">
        <f t="shared" si="30"/>
        <v>0.45683648198425086</v>
      </c>
      <c r="AX27" s="53">
        <f t="shared" si="26"/>
        <v>-8.8560450648644817E-5</v>
      </c>
      <c r="AY27" s="53">
        <f t="shared" si="30"/>
        <v>4.1252872638868698</v>
      </c>
      <c r="AZ27" s="53"/>
      <c r="BA27" s="53">
        <f t="shared" si="15"/>
        <v>0.40146161673864272</v>
      </c>
      <c r="BB27" s="53">
        <f t="shared" si="27"/>
        <v>-7.6371074943375472E-3</v>
      </c>
      <c r="BC27" s="53">
        <f t="shared" si="30"/>
        <v>1</v>
      </c>
      <c r="BD27" s="53">
        <f t="shared" si="30"/>
        <v>1</v>
      </c>
      <c r="BE27" s="105">
        <f t="shared" si="16"/>
        <v>0.19591034249920947</v>
      </c>
      <c r="BI27" s="332"/>
      <c r="BJ27" s="332"/>
      <c r="BK27" s="332" t="s">
        <v>153</v>
      </c>
      <c r="BL27" s="27">
        <v>17673.517233594957</v>
      </c>
      <c r="BM27" s="27"/>
      <c r="BO27" s="28">
        <v>2013</v>
      </c>
      <c r="BP27" s="29">
        <f t="shared" si="28"/>
        <v>1.328235294117647</v>
      </c>
      <c r="BQ27" s="29">
        <f t="shared" si="28"/>
        <v>1.1295358649789029</v>
      </c>
      <c r="BR27" s="29">
        <f t="shared" si="28"/>
        <v>1.1409774436090225</v>
      </c>
      <c r="BS27" s="29">
        <f t="shared" si="28"/>
        <v>1.046070460704607</v>
      </c>
      <c r="BT27" s="29">
        <f t="shared" si="28"/>
        <v>1.1062686567164179</v>
      </c>
      <c r="BU27" s="29">
        <f t="shared" si="28"/>
        <v>1.0312278211497516</v>
      </c>
      <c r="BV27" s="29">
        <f t="shared" si="28"/>
        <v>0.87874015748031487</v>
      </c>
      <c r="BW27" s="29">
        <f t="shared" si="28"/>
        <v>0.98723404255319147</v>
      </c>
      <c r="BX27" s="29">
        <f t="shared" si="28"/>
        <v>1.0350788002033553</v>
      </c>
      <c r="BZ27" s="28">
        <v>2013</v>
      </c>
      <c r="CA27" s="29">
        <f t="shared" si="29"/>
        <v>0.82274590163934425</v>
      </c>
      <c r="CB27" s="29">
        <f t="shared" si="29"/>
        <v>0.8429073856975382</v>
      </c>
      <c r="CC27" s="29">
        <f t="shared" si="29"/>
        <v>0.70540540540540531</v>
      </c>
      <c r="CD27" s="29">
        <f t="shared" si="29"/>
        <v>0.71447721179624668</v>
      </c>
      <c r="CE27" s="29">
        <f t="shared" si="29"/>
        <v>0.75508130081300806</v>
      </c>
      <c r="CF27" s="29">
        <f t="shared" si="29"/>
        <v>0.72540045766590389</v>
      </c>
      <c r="CG27" s="29">
        <f t="shared" si="29"/>
        <v>0.72566371681415931</v>
      </c>
      <c r="CH27" s="29">
        <f t="shared" si="29"/>
        <v>0.79184861717612809</v>
      </c>
      <c r="CI27" s="29">
        <f t="shared" si="29"/>
        <v>0.78783783783783778</v>
      </c>
    </row>
    <row r="28" spans="1:87" x14ac:dyDescent="0.2">
      <c r="A28" s="26">
        <f t="shared" si="31"/>
        <v>2029</v>
      </c>
      <c r="B28" s="272">
        <v>8.0753240961059021</v>
      </c>
      <c r="C28" s="272">
        <v>3.3519139999999998</v>
      </c>
      <c r="D28" s="100">
        <f t="shared" si="0"/>
        <v>340.33745453258416</v>
      </c>
      <c r="E28" s="272">
        <v>14.147276285903795</v>
      </c>
      <c r="F28" s="272">
        <v>14.449783</v>
      </c>
      <c r="G28" s="272">
        <v>14.767425606577278</v>
      </c>
      <c r="H28" s="272">
        <v>11.444206090028436</v>
      </c>
      <c r="I28" s="272">
        <v>0.9903785794200366</v>
      </c>
      <c r="J28" s="272">
        <v>541.31658654470505</v>
      </c>
      <c r="K28" s="272">
        <v>435.44977180467026</v>
      </c>
      <c r="L28" s="100">
        <f t="shared" si="1"/>
        <v>329.35319879028862</v>
      </c>
      <c r="M28" s="100">
        <f t="shared" si="2"/>
        <v>315.72788272531017</v>
      </c>
      <c r="N28" s="100">
        <f t="shared" si="3"/>
        <v>59.164125014364345</v>
      </c>
      <c r="O28" s="100">
        <f t="shared" si="4"/>
        <v>648.0225878107816</v>
      </c>
      <c r="P28" s="100">
        <f t="shared" si="5"/>
        <v>185.80681674282997</v>
      </c>
      <c r="Q28" s="100">
        <f t="shared" si="6"/>
        <v>535.62350067198099</v>
      </c>
      <c r="R28" s="101">
        <f t="shared" si="7"/>
        <v>1028.8691820986162</v>
      </c>
      <c r="S28" s="101">
        <f t="shared" si="7"/>
        <v>6436.1394421853329</v>
      </c>
      <c r="T28" s="65"/>
      <c r="U28" s="23">
        <v>2027</v>
      </c>
      <c r="V28" s="53">
        <f t="shared" si="30"/>
        <v>0.30815499910348892</v>
      </c>
      <c r="W28" s="53">
        <f t="shared" si="18"/>
        <v>-2.8373212733656672E-3</v>
      </c>
      <c r="X28" s="53">
        <f t="shared" si="30"/>
        <v>0.22540785362530927</v>
      </c>
      <c r="Y28" s="53">
        <f t="shared" si="18"/>
        <v>1.5159505961385822E-2</v>
      </c>
      <c r="Z28" s="53">
        <f t="shared" si="30"/>
        <v>3.5543659145791072E-2</v>
      </c>
      <c r="AA28" s="53"/>
      <c r="AB28" s="53">
        <f t="shared" si="14"/>
        <v>0.12474804033993438</v>
      </c>
      <c r="AC28" s="53">
        <f t="shared" si="19"/>
        <v>-1.1092741005168882E-2</v>
      </c>
      <c r="AD28" s="53">
        <f t="shared" si="30"/>
        <v>0.31783060347092323</v>
      </c>
      <c r="AE28" s="53">
        <f t="shared" si="19"/>
        <v>-1.4252227864686717E-2</v>
      </c>
      <c r="AF28" s="53">
        <f t="shared" si="30"/>
        <v>0.61294378180640974</v>
      </c>
      <c r="AG28" s="53">
        <f t="shared" si="20"/>
        <v>5.1696931223665921E-4</v>
      </c>
      <c r="AH28" s="53">
        <f t="shared" si="30"/>
        <v>0.22540785362530927</v>
      </c>
      <c r="AI28" s="53">
        <f t="shared" si="21"/>
        <v>1.5159505961385822E-2</v>
      </c>
      <c r="AJ28" s="53">
        <f t="shared" si="30"/>
        <v>3.5543659145791072E-2</v>
      </c>
      <c r="AK28" s="53">
        <f t="shared" si="30"/>
        <v>0.91846084720647858</v>
      </c>
      <c r="AL28" s="53">
        <f t="shared" si="22"/>
        <v>1.0351994483934757E-3</v>
      </c>
      <c r="AM28" s="53">
        <f t="shared" si="30"/>
        <v>0.67638719475919196</v>
      </c>
      <c r="AN28" s="53">
        <f t="shared" si="23"/>
        <v>6.4439068545101286E-3</v>
      </c>
      <c r="AO28" s="53">
        <f t="shared" si="30"/>
        <v>0.73840408309538286</v>
      </c>
      <c r="AP28" s="53">
        <f t="shared" si="24"/>
        <v>2.9585712501434269E-3</v>
      </c>
      <c r="AQ28" s="53">
        <f t="shared" si="30"/>
        <v>1.6916997449007842</v>
      </c>
      <c r="AR28" s="53">
        <f t="shared" si="24"/>
        <v>1.2658732312063048E-3</v>
      </c>
      <c r="AS28" s="53">
        <f t="shared" si="30"/>
        <v>0.85902817259475273</v>
      </c>
      <c r="AT28" s="53">
        <f t="shared" si="25"/>
        <v>1.8302359309017024E-3</v>
      </c>
      <c r="AU28" s="53">
        <f t="shared" si="30"/>
        <v>1.1956712535203669</v>
      </c>
      <c r="AV28" s="53"/>
      <c r="AW28" s="53">
        <f t="shared" si="30"/>
        <v>0.45675117589028497</v>
      </c>
      <c r="AX28" s="53">
        <f t="shared" si="26"/>
        <v>-1.8673222767884301E-4</v>
      </c>
      <c r="AY28" s="53">
        <f t="shared" si="30"/>
        <v>4.144768157058369</v>
      </c>
      <c r="AZ28" s="53"/>
      <c r="BA28" s="53">
        <f t="shared" si="15"/>
        <v>0.39848585055808694</v>
      </c>
      <c r="BB28" s="53">
        <f t="shared" si="27"/>
        <v>-7.4123304856141825E-3</v>
      </c>
      <c r="BC28" s="53">
        <f t="shared" si="30"/>
        <v>1</v>
      </c>
      <c r="BD28" s="53">
        <f t="shared" si="30"/>
        <v>1</v>
      </c>
      <c r="BE28" s="105">
        <f t="shared" si="16"/>
        <v>0.19567125352036685</v>
      </c>
      <c r="BI28" s="331"/>
      <c r="BJ28" s="331"/>
      <c r="BK28" s="331" t="s">
        <v>76</v>
      </c>
      <c r="BL28" s="69">
        <f>BL27/BL26</f>
        <v>1.0547544948565268</v>
      </c>
      <c r="BM28" s="13"/>
      <c r="BO28" s="28">
        <v>2014</v>
      </c>
      <c r="BP28" s="29">
        <f t="shared" si="28"/>
        <v>1.3203921568627452</v>
      </c>
      <c r="BQ28" s="29">
        <f t="shared" si="28"/>
        <v>1.1358649789029538</v>
      </c>
      <c r="BR28" s="29">
        <f t="shared" si="28"/>
        <v>1.1416040100250626</v>
      </c>
      <c r="BS28" s="29">
        <f t="shared" si="28"/>
        <v>1.0420054200542006</v>
      </c>
      <c r="BT28" s="29">
        <f t="shared" si="28"/>
        <v>1.102686567164179</v>
      </c>
      <c r="BU28" s="29">
        <f t="shared" si="28"/>
        <v>1.0198722498225692</v>
      </c>
      <c r="BV28" s="29">
        <f t="shared" si="28"/>
        <v>0.88136482939632543</v>
      </c>
      <c r="BW28" s="29">
        <f t="shared" si="28"/>
        <v>0.99209726443769009</v>
      </c>
      <c r="BX28" s="29">
        <f t="shared" si="28"/>
        <v>1.0366039654295882</v>
      </c>
      <c r="BZ28" s="28">
        <v>2014</v>
      </c>
      <c r="CA28" s="29">
        <f t="shared" si="29"/>
        <v>0.82889344262295084</v>
      </c>
      <c r="CB28" s="29">
        <f t="shared" si="29"/>
        <v>0.85932004689331776</v>
      </c>
      <c r="CC28" s="29">
        <f t="shared" si="29"/>
        <v>0.69729729729729728</v>
      </c>
      <c r="CD28" s="29">
        <f t="shared" si="29"/>
        <v>0.70643431635388731</v>
      </c>
      <c r="CE28" s="29">
        <f t="shared" si="29"/>
        <v>0.74288617886178854</v>
      </c>
      <c r="CF28" s="29">
        <f t="shared" si="29"/>
        <v>0.72311212814645309</v>
      </c>
      <c r="CG28" s="29">
        <f t="shared" si="29"/>
        <v>0.7193426042983565</v>
      </c>
      <c r="CH28" s="29">
        <f t="shared" si="29"/>
        <v>0.7831149927219796</v>
      </c>
      <c r="CI28" s="29">
        <f t="shared" si="29"/>
        <v>0.77567567567567564</v>
      </c>
    </row>
    <row r="29" spans="1:87" x14ac:dyDescent="0.2">
      <c r="A29" s="26">
        <f t="shared" si="31"/>
        <v>2030</v>
      </c>
      <c r="B29" s="272">
        <v>8.0819678074129335</v>
      </c>
      <c r="C29" s="272">
        <v>3.3545720000000001</v>
      </c>
      <c r="D29" s="100">
        <f t="shared" si="0"/>
        <v>331.68785546345759</v>
      </c>
      <c r="E29" s="272">
        <v>14.165765209712536</v>
      </c>
      <c r="F29" s="272">
        <v>14.472835</v>
      </c>
      <c r="G29" s="272">
        <v>14.779140059645957</v>
      </c>
      <c r="H29" s="272">
        <v>11.47885995033009</v>
      </c>
      <c r="I29" s="272">
        <v>0.99295612969892877</v>
      </c>
      <c r="J29" s="272">
        <v>540.47093745039126</v>
      </c>
      <c r="K29" s="272">
        <v>432.56288491193226</v>
      </c>
      <c r="L29" s="100">
        <f t="shared" si="1"/>
        <v>329.36413534827159</v>
      </c>
      <c r="M29" s="100">
        <f t="shared" si="2"/>
        <v>315.37285467795004</v>
      </c>
      <c r="N29" s="100">
        <f t="shared" si="3"/>
        <v>58.077102451704064</v>
      </c>
      <c r="O29" s="100">
        <f t="shared" si="4"/>
        <v>643.63135862527861</v>
      </c>
      <c r="P29" s="100">
        <f t="shared" si="5"/>
        <v>186.45642335467332</v>
      </c>
      <c r="Q29" s="100">
        <f t="shared" si="6"/>
        <v>525.8067311104777</v>
      </c>
      <c r="R29" s="101">
        <f t="shared" si="7"/>
        <v>1022.9015679586341</v>
      </c>
      <c r="S29" s="101">
        <f t="shared" si="7"/>
        <v>6557.0254113105611</v>
      </c>
      <c r="T29" s="72">
        <f>S29/5481-1</f>
        <v>0.19631917739656291</v>
      </c>
      <c r="U29" s="23">
        <v>2028</v>
      </c>
      <c r="V29" s="53">
        <f t="shared" si="30"/>
        <v>0.30732242011292016</v>
      </c>
      <c r="W29" s="53">
        <f t="shared" si="18"/>
        <v>-2.7018188670993037E-3</v>
      </c>
      <c r="X29" s="53">
        <f t="shared" si="30"/>
        <v>0.22867485469452586</v>
      </c>
      <c r="Y29" s="53">
        <f t="shared" si="18"/>
        <v>1.4493732213285204E-2</v>
      </c>
      <c r="Z29" s="53">
        <f t="shared" si="30"/>
        <v>3.6187704465309938E-2</v>
      </c>
      <c r="AA29" s="53"/>
      <c r="AB29" s="53">
        <f t="shared" si="14"/>
        <v>0.12340320384038785</v>
      </c>
      <c r="AC29" s="53">
        <f t="shared" ref="AC29:AE41" si="32">AB29/AB28-1</f>
        <v>-1.0780421847765287E-2</v>
      </c>
      <c r="AD29" s="53">
        <f t="shared" si="30"/>
        <v>0.31345818858033669</v>
      </c>
      <c r="AE29" s="53">
        <f t="shared" si="32"/>
        <v>-1.3757060656956366E-2</v>
      </c>
      <c r="AF29" s="53">
        <f t="shared" si="30"/>
        <v>0.6132918150380019</v>
      </c>
      <c r="AG29" s="53">
        <f t="shared" si="20"/>
        <v>5.6780612174001099E-4</v>
      </c>
      <c r="AH29" s="53">
        <f t="shared" si="30"/>
        <v>0.22867485469452586</v>
      </c>
      <c r="AI29" s="53">
        <f t="shared" si="21"/>
        <v>1.4493732213285204E-2</v>
      </c>
      <c r="AJ29" s="53">
        <f t="shared" si="30"/>
        <v>3.6187704465309938E-2</v>
      </c>
      <c r="AK29" s="53">
        <f t="shared" si="30"/>
        <v>0.91935855494295393</v>
      </c>
      <c r="AL29" s="53">
        <f t="shared" si="22"/>
        <v>9.7740446879779341E-4</v>
      </c>
      <c r="AM29" s="53">
        <f t="shared" si="30"/>
        <v>0.68054307293590122</v>
      </c>
      <c r="AN29" s="53">
        <f t="shared" si="23"/>
        <v>6.1442295314133588E-3</v>
      </c>
      <c r="AO29" s="53">
        <f t="shared" si="30"/>
        <v>0.74050547956525781</v>
      </c>
      <c r="AP29" s="53">
        <f t="shared" si="24"/>
        <v>2.8458624728426862E-3</v>
      </c>
      <c r="AQ29" s="53">
        <f t="shared" si="30"/>
        <v>1.6937350685173262</v>
      </c>
      <c r="AR29" s="53">
        <f t="shared" si="24"/>
        <v>1.2031234400058377E-3</v>
      </c>
      <c r="AS29" s="53">
        <f t="shared" si="30"/>
        <v>0.86051561558210665</v>
      </c>
      <c r="AT29" s="53">
        <f t="shared" si="25"/>
        <v>1.7315415661642852E-3</v>
      </c>
      <c r="AU29" s="53">
        <f t="shared" si="30"/>
        <v>1.1954348706058779</v>
      </c>
      <c r="AV29" s="53"/>
      <c r="AW29" s="53">
        <f t="shared" si="30"/>
        <v>0.4566200889224214</v>
      </c>
      <c r="AX29" s="53">
        <f t="shared" si="26"/>
        <v>-2.8699864342562886E-4</v>
      </c>
      <c r="AY29" s="53">
        <f t="shared" si="30"/>
        <v>4.1642425743521887</v>
      </c>
      <c r="AZ29" s="53"/>
      <c r="BA29" s="53">
        <f t="shared" si="15"/>
        <v>0.39561069851676134</v>
      </c>
      <c r="BB29" s="53">
        <f t="shared" si="27"/>
        <v>-7.2151923018066721E-3</v>
      </c>
      <c r="BC29" s="53">
        <f t="shared" si="30"/>
        <v>1</v>
      </c>
      <c r="BD29" s="53">
        <f t="shared" si="30"/>
        <v>1</v>
      </c>
      <c r="BE29" s="105">
        <f t="shared" si="16"/>
        <v>0.19543487060587794</v>
      </c>
      <c r="BK29" s="15"/>
      <c r="BL29" s="65"/>
      <c r="BO29" s="28">
        <v>2015</v>
      </c>
      <c r="BP29" s="29">
        <f t="shared" si="28"/>
        <v>1.3094117647058823</v>
      </c>
      <c r="BQ29" s="29">
        <f t="shared" si="28"/>
        <v>1.131223628691983</v>
      </c>
      <c r="BR29" s="29">
        <f t="shared" si="28"/>
        <v>1.1447368421052631</v>
      </c>
      <c r="BS29" s="29">
        <f t="shared" si="28"/>
        <v>1.0392953929539295</v>
      </c>
      <c r="BT29" s="29">
        <f t="shared" si="28"/>
        <v>1.1032835820895524</v>
      </c>
      <c r="BU29" s="29">
        <f t="shared" si="28"/>
        <v>1.0127750177430801</v>
      </c>
      <c r="BV29" s="29">
        <f t="shared" si="28"/>
        <v>0.88713910761154846</v>
      </c>
      <c r="BW29" s="29">
        <f t="shared" si="28"/>
        <v>1.0024316109422491</v>
      </c>
      <c r="BX29" s="29">
        <f t="shared" si="28"/>
        <v>1.0325368581596337</v>
      </c>
      <c r="BZ29" s="28">
        <v>2015</v>
      </c>
      <c r="CA29" s="29">
        <f t="shared" si="29"/>
        <v>0.82172131147540983</v>
      </c>
      <c r="CB29" s="29">
        <f t="shared" si="29"/>
        <v>0.8440797186400939</v>
      </c>
      <c r="CC29" s="29">
        <f t="shared" si="29"/>
        <v>0.70945945945945943</v>
      </c>
      <c r="CD29" s="29">
        <f t="shared" si="29"/>
        <v>0.71715817694369965</v>
      </c>
      <c r="CE29" s="29">
        <f t="shared" si="29"/>
        <v>0.75406504065040647</v>
      </c>
      <c r="CF29" s="29">
        <f t="shared" si="29"/>
        <v>0.73798627002288331</v>
      </c>
      <c r="CG29" s="29">
        <f t="shared" si="29"/>
        <v>0.73072060682680151</v>
      </c>
      <c r="CH29" s="29">
        <f t="shared" si="29"/>
        <v>0.79621542940320233</v>
      </c>
      <c r="CI29" s="29">
        <f t="shared" si="29"/>
        <v>0.78243243243243243</v>
      </c>
    </row>
    <row r="30" spans="1:87" x14ac:dyDescent="0.2">
      <c r="A30" s="26">
        <f t="shared" si="31"/>
        <v>2031</v>
      </c>
      <c r="B30" s="272">
        <v>8.0886714016290853</v>
      </c>
      <c r="C30" s="272">
        <v>3.357316</v>
      </c>
      <c r="D30" s="100">
        <f t="shared" si="0"/>
        <v>322.93862412188832</v>
      </c>
      <c r="E30" s="272">
        <v>14.183734031885001</v>
      </c>
      <c r="F30" s="272">
        <v>14.496015</v>
      </c>
      <c r="G30" s="272">
        <v>14.791544950575904</v>
      </c>
      <c r="H30" s="272">
        <v>11.497620855324922</v>
      </c>
      <c r="I30" s="272">
        <v>0.99516301376201866</v>
      </c>
      <c r="J30" s="272">
        <v>539.5574261634689</v>
      </c>
      <c r="K30" s="272">
        <v>429.87715201545706</v>
      </c>
      <c r="L30" s="100">
        <f t="shared" si="1"/>
        <v>329.38570207230572</v>
      </c>
      <c r="M30" s="100">
        <f t="shared" si="2"/>
        <v>315.37282126184851</v>
      </c>
      <c r="N30" s="100">
        <f t="shared" si="3"/>
        <v>57.367054479116582</v>
      </c>
      <c r="O30" s="100">
        <f t="shared" si="4"/>
        <v>640.31407299486</v>
      </c>
      <c r="P30" s="100">
        <f t="shared" si="5"/>
        <v>187.10621576754264</v>
      </c>
      <c r="Q30" s="100">
        <f t="shared" si="6"/>
        <v>526.35503708275883</v>
      </c>
      <c r="R30" s="101">
        <f t="shared" si="7"/>
        <v>1018.4333713660682</v>
      </c>
      <c r="S30" s="101">
        <f t="shared" si="7"/>
        <v>6668.5344909009173</v>
      </c>
      <c r="T30" s="72"/>
      <c r="U30" s="23">
        <v>2029</v>
      </c>
      <c r="V30" s="53">
        <f t="shared" si="30"/>
        <v>0.30650695509549447</v>
      </c>
      <c r="W30" s="53">
        <f t="shared" si="18"/>
        <v>-2.6534511121123483E-3</v>
      </c>
      <c r="X30" s="53">
        <f t="shared" si="30"/>
        <v>0.23187829803361018</v>
      </c>
      <c r="Y30" s="53">
        <f t="shared" si="18"/>
        <v>1.4008725810118472E-2</v>
      </c>
      <c r="Z30" s="53">
        <f t="shared" si="30"/>
        <v>3.6764911733532191E-2</v>
      </c>
      <c r="AA30" s="53"/>
      <c r="AB30" s="53">
        <f t="shared" si="14"/>
        <v>0.1220963364192682</v>
      </c>
      <c r="AC30" s="53">
        <f t="shared" si="32"/>
        <v>-1.0590222785544334E-2</v>
      </c>
      <c r="AD30" s="53">
        <f t="shared" si="30"/>
        <v>0.30925886892963417</v>
      </c>
      <c r="AE30" s="53">
        <f t="shared" si="32"/>
        <v>-1.3396745734164384E-2</v>
      </c>
      <c r="AF30" s="53">
        <f t="shared" si="30"/>
        <v>0.61363745212667131</v>
      </c>
      <c r="AG30" s="53">
        <f t="shared" si="20"/>
        <v>5.6357688166430719E-4</v>
      </c>
      <c r="AH30" s="53">
        <f t="shared" si="30"/>
        <v>0.23187829803361018</v>
      </c>
      <c r="AI30" s="53">
        <f t="shared" si="21"/>
        <v>1.4008725810118472E-2</v>
      </c>
      <c r="AJ30" s="53">
        <f t="shared" si="30"/>
        <v>3.6764911733532191E-2</v>
      </c>
      <c r="AK30" s="53">
        <f t="shared" si="30"/>
        <v>0.92021832991175778</v>
      </c>
      <c r="AL30" s="53">
        <f t="shared" si="22"/>
        <v>9.3519004547393259E-4</v>
      </c>
      <c r="AM30" s="53">
        <f t="shared" si="30"/>
        <v>0.68457477563480384</v>
      </c>
      <c r="AN30" s="53">
        <f t="shared" si="23"/>
        <v>5.9242432393142863E-3</v>
      </c>
      <c r="AO30" s="53">
        <f t="shared" si="30"/>
        <v>0.74252680941111038</v>
      </c>
      <c r="AP30" s="53">
        <f t="shared" si="24"/>
        <v>2.7296622396897341E-3</v>
      </c>
      <c r="AQ30" s="53">
        <f t="shared" si="30"/>
        <v>1.6958399456928523</v>
      </c>
      <c r="AR30" s="53">
        <f t="shared" si="24"/>
        <v>1.2427428673178476E-3</v>
      </c>
      <c r="AS30" s="53">
        <f t="shared" si="30"/>
        <v>0.86194538605575133</v>
      </c>
      <c r="AT30" s="53">
        <f t="shared" si="25"/>
        <v>1.661527632682791E-3</v>
      </c>
      <c r="AU30" s="53">
        <f t="shared" si="30"/>
        <v>1.1952125861534819</v>
      </c>
      <c r="AV30" s="53"/>
      <c r="AW30" s="53">
        <f t="shared" si="30"/>
        <v>0.4564584946656508</v>
      </c>
      <c r="AX30" s="53">
        <f t="shared" si="26"/>
        <v>-3.5389213197334346E-4</v>
      </c>
      <c r="AY30" s="53">
        <f t="shared" si="30"/>
        <v>4.1838908461498772</v>
      </c>
      <c r="AZ30" s="53"/>
      <c r="BA30" s="53">
        <f t="shared" si="15"/>
        <v>0.39282447838229856</v>
      </c>
      <c r="BB30" s="53">
        <f t="shared" si="27"/>
        <v>-7.0428331309263514E-3</v>
      </c>
      <c r="BC30" s="53">
        <f t="shared" si="30"/>
        <v>1</v>
      </c>
      <c r="BD30" s="53">
        <f t="shared" si="30"/>
        <v>1</v>
      </c>
      <c r="BE30" s="105">
        <f t="shared" si="16"/>
        <v>0.19521258615348192</v>
      </c>
      <c r="BK30" s="15"/>
      <c r="BL30" s="65"/>
      <c r="BO30" s="28">
        <v>2016</v>
      </c>
      <c r="BP30" s="29">
        <f t="shared" si="28"/>
        <v>1.2788235294117647</v>
      </c>
      <c r="BQ30" s="29">
        <f t="shared" si="28"/>
        <v>1.1172995780590718</v>
      </c>
      <c r="BR30" s="29">
        <f t="shared" si="28"/>
        <v>1.1416040100250626</v>
      </c>
      <c r="BS30" s="29">
        <f t="shared" si="28"/>
        <v>1.0284552845528456</v>
      </c>
      <c r="BT30" s="29">
        <f t="shared" si="28"/>
        <v>1.1020895522388061</v>
      </c>
      <c r="BU30" s="29">
        <f t="shared" si="28"/>
        <v>1.0113555713271825</v>
      </c>
      <c r="BV30" s="29">
        <f t="shared" si="28"/>
        <v>0.89553805774278206</v>
      </c>
      <c r="BW30" s="29">
        <f t="shared" si="28"/>
        <v>1.0012158054711247</v>
      </c>
      <c r="BX30" s="29">
        <f t="shared" si="28"/>
        <v>1.0157600406710727</v>
      </c>
      <c r="BZ30" s="28">
        <v>2016</v>
      </c>
      <c r="CA30" s="29">
        <f t="shared" si="29"/>
        <v>0.81967213114754101</v>
      </c>
      <c r="CB30" s="29">
        <f t="shared" si="29"/>
        <v>0.82297772567409144</v>
      </c>
      <c r="CC30" s="29">
        <f t="shared" si="29"/>
        <v>0.72297297297297292</v>
      </c>
      <c r="CD30" s="29">
        <f t="shared" si="29"/>
        <v>0.73056300268096519</v>
      </c>
      <c r="CE30" s="29">
        <f t="shared" si="29"/>
        <v>0.76219512195121952</v>
      </c>
      <c r="CF30" s="29">
        <f t="shared" si="29"/>
        <v>0.74485125858123569</v>
      </c>
      <c r="CG30" s="29">
        <f t="shared" si="29"/>
        <v>0.73577749683944371</v>
      </c>
      <c r="CH30" s="29">
        <f t="shared" si="29"/>
        <v>0.80640465793304217</v>
      </c>
      <c r="CI30" s="29">
        <f t="shared" si="29"/>
        <v>0.7986486486486486</v>
      </c>
    </row>
    <row r="31" spans="1:87" x14ac:dyDescent="0.2">
      <c r="A31" s="26">
        <f t="shared" si="31"/>
        <v>2032</v>
      </c>
      <c r="B31" s="272">
        <v>8.0947571538967615</v>
      </c>
      <c r="C31" s="272">
        <v>3.360147</v>
      </c>
      <c r="D31" s="100">
        <f t="shared" si="0"/>
        <v>313.93900184917436</v>
      </c>
      <c r="E31" s="272">
        <v>14.20010140849994</v>
      </c>
      <c r="F31" s="272">
        <v>14.51933</v>
      </c>
      <c r="G31" s="272">
        <v>14.805938117291035</v>
      </c>
      <c r="H31" s="272">
        <v>11.514369333247819</v>
      </c>
      <c r="I31" s="272">
        <v>0.99699602800987341</v>
      </c>
      <c r="J31" s="272">
        <v>538.55117452441368</v>
      </c>
      <c r="K31" s="272">
        <v>427.3756400439799</v>
      </c>
      <c r="L31" s="100">
        <f t="shared" si="1"/>
        <v>329.32268229408254</v>
      </c>
      <c r="M31" s="100">
        <f t="shared" si="2"/>
        <v>315.37275858685092</v>
      </c>
      <c r="N31" s="100">
        <f t="shared" si="3"/>
        <v>56.987954057199239</v>
      </c>
      <c r="O31" s="100">
        <f t="shared" si="4"/>
        <v>637.92035046484057</v>
      </c>
      <c r="P31" s="100">
        <f t="shared" si="5"/>
        <v>187.7066205866696</v>
      </c>
      <c r="Q31" s="100">
        <f t="shared" si="6"/>
        <v>525.90331554791555</v>
      </c>
      <c r="R31" s="101">
        <f t="shared" si="7"/>
        <v>1014.519767394069</v>
      </c>
      <c r="S31" s="101">
        <f t="shared" si="7"/>
        <v>6768.2896021059323</v>
      </c>
      <c r="T31" s="72"/>
      <c r="U31" s="23">
        <v>2030</v>
      </c>
      <c r="V31" s="53">
        <f t="shared" si="30"/>
        <v>0.30567874888988383</v>
      </c>
      <c r="W31" s="53">
        <f t="shared" si="18"/>
        <v>-2.7020796489025667E-3</v>
      </c>
      <c r="X31" s="53">
        <f t="shared" si="30"/>
        <v>0.23505448743825552</v>
      </c>
      <c r="Y31" s="53">
        <f t="shared" si="18"/>
        <v>1.369765705363668E-2</v>
      </c>
      <c r="Z31" s="53">
        <f t="shared" si="30"/>
        <v>3.7296119364096089E-2</v>
      </c>
      <c r="AA31" s="53"/>
      <c r="AB31" s="53">
        <f t="shared" si="14"/>
        <v>0.12081171970758989</v>
      </c>
      <c r="AC31" s="53">
        <f t="shared" si="32"/>
        <v>-1.0521337079820725E-2</v>
      </c>
      <c r="AD31" s="53">
        <f t="shared" si="30"/>
        <v>0.30518217832319244</v>
      </c>
      <c r="AE31" s="53">
        <f t="shared" si="32"/>
        <v>-1.318212997593704E-2</v>
      </c>
      <c r="AF31" s="53">
        <f t="shared" si="30"/>
        <v>0.61394711901913435</v>
      </c>
      <c r="AG31" s="53">
        <f t="shared" si="20"/>
        <v>5.0464144812178979E-4</v>
      </c>
      <c r="AH31" s="53">
        <f t="shared" si="30"/>
        <v>0.23505448743825552</v>
      </c>
      <c r="AI31" s="53">
        <f t="shared" si="21"/>
        <v>1.369765705363668E-2</v>
      </c>
      <c r="AJ31" s="53">
        <f t="shared" si="30"/>
        <v>3.7296119364096089E-2</v>
      </c>
      <c r="AK31" s="53">
        <f t="shared" si="30"/>
        <v>0.92105135801155258</v>
      </c>
      <c r="AL31" s="53">
        <f t="shared" si="22"/>
        <v>9.0525049623235709E-4</v>
      </c>
      <c r="AM31" s="53">
        <f t="shared" si="30"/>
        <v>0.68853477049035938</v>
      </c>
      <c r="AN31" s="53">
        <f t="shared" si="23"/>
        <v>5.7846052710361917E-3</v>
      </c>
      <c r="AO31" s="53">
        <f t="shared" si="30"/>
        <v>0.744447698848415</v>
      </c>
      <c r="AP31" s="53">
        <f t="shared" si="24"/>
        <v>2.5869630738695193E-3</v>
      </c>
      <c r="AQ31" s="53">
        <f t="shared" si="30"/>
        <v>1.6978526362048338</v>
      </c>
      <c r="AR31" s="53">
        <f t="shared" si="24"/>
        <v>1.1868399002472607E-3</v>
      </c>
      <c r="AS31" s="53">
        <f t="shared" si="30"/>
        <v>0.8633402249223836</v>
      </c>
      <c r="AT31" s="53">
        <f t="shared" si="25"/>
        <v>1.6182450642436841E-3</v>
      </c>
      <c r="AU31" s="53">
        <f t="shared" si="30"/>
        <v>1.1950124360536378</v>
      </c>
      <c r="AV31" s="53"/>
      <c r="AW31" s="53">
        <f t="shared" si="30"/>
        <v>0.45628676686459152</v>
      </c>
      <c r="AX31" s="53">
        <f t="shared" si="26"/>
        <v>-3.7621777897911546E-4</v>
      </c>
      <c r="AY31" s="53">
        <f t="shared" si="30"/>
        <v>4.203608955610032</v>
      </c>
      <c r="AZ31" s="53"/>
      <c r="BA31" s="53">
        <f t="shared" si="15"/>
        <v>0.39010824550265327</v>
      </c>
      <c r="BB31" s="53">
        <f t="shared" si="27"/>
        <v>-6.914622252745195E-3</v>
      </c>
      <c r="BC31" s="53">
        <f t="shared" si="30"/>
        <v>1</v>
      </c>
      <c r="BD31" s="53">
        <f t="shared" si="30"/>
        <v>1</v>
      </c>
      <c r="BE31" s="105">
        <f t="shared" si="16"/>
        <v>0.19501243605363783</v>
      </c>
      <c r="BH31" s="26"/>
      <c r="BI31" s="70"/>
      <c r="BJ31" s="70"/>
      <c r="BK31" s="15"/>
      <c r="BL31" s="65"/>
      <c r="BO31" s="28">
        <v>2017</v>
      </c>
      <c r="BP31" s="29">
        <f t="shared" si="28"/>
        <v>1.2521568627450981</v>
      </c>
      <c r="BQ31" s="29">
        <f t="shared" si="28"/>
        <v>1.1012658227848102</v>
      </c>
      <c r="BR31" s="29">
        <f t="shared" si="28"/>
        <v>1.1303258145363408</v>
      </c>
      <c r="BS31" s="29">
        <f t="shared" si="28"/>
        <v>1.0230352303523036</v>
      </c>
      <c r="BT31" s="29">
        <f t="shared" si="28"/>
        <v>1.1092537313432835</v>
      </c>
      <c r="BU31" s="29">
        <f t="shared" si="28"/>
        <v>1.0269694819020583</v>
      </c>
      <c r="BV31" s="29">
        <f t="shared" si="28"/>
        <v>0.8971128608923884</v>
      </c>
      <c r="BW31" s="29">
        <f t="shared" si="28"/>
        <v>1.003647416413374</v>
      </c>
      <c r="BX31" s="29">
        <f t="shared" si="28"/>
        <v>1.0035587188612098</v>
      </c>
      <c r="BZ31" s="28">
        <v>2017</v>
      </c>
      <c r="CA31" s="29">
        <f t="shared" si="29"/>
        <v>0.83094262295081966</v>
      </c>
      <c r="CB31" s="29">
        <f t="shared" si="29"/>
        <v>0.82297772567409144</v>
      </c>
      <c r="CC31" s="29">
        <f t="shared" si="29"/>
        <v>0.73648648648648651</v>
      </c>
      <c r="CD31" s="29">
        <f t="shared" si="29"/>
        <v>0.74798927613941024</v>
      </c>
      <c r="CE31" s="29">
        <f t="shared" si="29"/>
        <v>0.77134146341463417</v>
      </c>
      <c r="CF31" s="29">
        <f t="shared" si="29"/>
        <v>0.75171624713958807</v>
      </c>
      <c r="CG31" s="29">
        <f t="shared" si="29"/>
        <v>0.74083438685208602</v>
      </c>
      <c r="CH31" s="29">
        <f t="shared" si="29"/>
        <v>0.81804949053857356</v>
      </c>
      <c r="CI31" s="29">
        <f t="shared" si="29"/>
        <v>0.81756756756756754</v>
      </c>
    </row>
    <row r="32" spans="1:87" x14ac:dyDescent="0.2">
      <c r="A32" s="26">
        <f t="shared" si="31"/>
        <v>2033</v>
      </c>
      <c r="B32" s="272">
        <v>8.099888129101851</v>
      </c>
      <c r="C32" s="272">
        <v>3.3630409999999999</v>
      </c>
      <c r="D32" s="100">
        <f t="shared" si="0"/>
        <v>304.80724806014035</v>
      </c>
      <c r="E32" s="272">
        <v>14.213596896331415</v>
      </c>
      <c r="F32" s="272">
        <v>14.542725000000001</v>
      </c>
      <c r="G32" s="272">
        <v>14.819023805858137</v>
      </c>
      <c r="H32" s="272">
        <v>11.529592741262183</v>
      </c>
      <c r="I32" s="272">
        <v>0.99840088215962142</v>
      </c>
      <c r="J32" s="272">
        <v>537.66179946372642</v>
      </c>
      <c r="K32" s="272">
        <v>424.99354763359929</v>
      </c>
      <c r="L32" s="100">
        <f t="shared" si="1"/>
        <v>329.18600465719777</v>
      </c>
      <c r="M32" s="100">
        <f t="shared" si="2"/>
        <v>315.37280790453929</v>
      </c>
      <c r="N32" s="100">
        <f t="shared" si="3"/>
        <v>56.949201006514144</v>
      </c>
      <c r="O32" s="100">
        <f t="shared" si="4"/>
        <v>636.22942774744786</v>
      </c>
      <c r="P32" s="100">
        <f t="shared" si="5"/>
        <v>188.13402347194253</v>
      </c>
      <c r="Q32" s="100">
        <f t="shared" si="6"/>
        <v>525.64916699304865</v>
      </c>
      <c r="R32" s="101">
        <f t="shared" si="7"/>
        <v>1010.3927042898039</v>
      </c>
      <c r="S32" s="101">
        <f t="shared" si="7"/>
        <v>6859.0788715097469</v>
      </c>
      <c r="T32" s="72"/>
      <c r="U32" s="23">
        <v>2031</v>
      </c>
      <c r="V32" s="53">
        <f>V75/$BC75</f>
        <v>0.30486732491638829</v>
      </c>
      <c r="W32" s="53">
        <f t="shared" si="18"/>
        <v>-2.6544991316613809E-3</v>
      </c>
      <c r="X32" s="53">
        <f>X75/$BC75</f>
        <v>0.23817664167555633</v>
      </c>
      <c r="Y32" s="53">
        <f t="shared" si="18"/>
        <v>1.3282682969925963E-2</v>
      </c>
      <c r="Z32" s="53">
        <f>Z75/$BC75</f>
        <v>3.7777775503480979E-2</v>
      </c>
      <c r="AA32" s="53"/>
      <c r="AB32" s="53">
        <f t="shared" si="14"/>
        <v>0.11955807684098356</v>
      </c>
      <c r="AC32" s="53">
        <f t="shared" si="32"/>
        <v>-1.0376831566015432E-2</v>
      </c>
      <c r="AD32" s="53">
        <f t="shared" si="30"/>
        <v>0.30123834323391585</v>
      </c>
      <c r="AE32" s="53">
        <f t="shared" si="32"/>
        <v>-1.292288793187657E-2</v>
      </c>
      <c r="AF32" s="53">
        <f t="shared" si="30"/>
        <v>0.6142448078088435</v>
      </c>
      <c r="AG32" s="53">
        <f t="shared" si="20"/>
        <v>4.8487692260001936E-4</v>
      </c>
      <c r="AH32" s="53">
        <f t="shared" si="30"/>
        <v>0.23817664167555633</v>
      </c>
      <c r="AI32" s="53">
        <f t="shared" si="21"/>
        <v>1.3282682969925963E-2</v>
      </c>
      <c r="AJ32" s="53">
        <f t="shared" si="30"/>
        <v>3.7777775503480979E-2</v>
      </c>
      <c r="AK32" s="53">
        <f t="shared" si="30"/>
        <v>0.92185720895795475</v>
      </c>
      <c r="AL32" s="53">
        <f t="shared" si="22"/>
        <v>8.7492509445064037E-4</v>
      </c>
      <c r="AM32" s="53">
        <f t="shared" si="30"/>
        <v>0.69240363264330029</v>
      </c>
      <c r="AN32" s="53">
        <f t="shared" si="23"/>
        <v>5.6189786177183176E-3</v>
      </c>
      <c r="AO32" s="53">
        <f t="shared" si="30"/>
        <v>0.74632334337094219</v>
      </c>
      <c r="AP32" s="53">
        <f t="shared" si="24"/>
        <v>2.5195114786822348E-3</v>
      </c>
      <c r="AQ32" s="53">
        <f t="shared" si="30"/>
        <v>1.6995144490055467</v>
      </c>
      <c r="AR32" s="53">
        <f t="shared" si="24"/>
        <v>9.7877328413353837E-4</v>
      </c>
      <c r="AS32" s="53">
        <f t="shared" si="30"/>
        <v>0.86469730758510954</v>
      </c>
      <c r="AT32" s="53">
        <f t="shared" si="25"/>
        <v>1.5718978724150734E-3</v>
      </c>
      <c r="AU32" s="53">
        <f t="shared" si="30"/>
        <v>1.1948237687213006</v>
      </c>
      <c r="AV32" s="53"/>
      <c r="AW32" s="53">
        <f t="shared" si="30"/>
        <v>0.45609885094565827</v>
      </c>
      <c r="AX32" s="53">
        <f t="shared" si="26"/>
        <v>-4.1183731937821655E-4</v>
      </c>
      <c r="AY32" s="53">
        <f t="shared" si="30"/>
        <v>4.2238144574090732</v>
      </c>
      <c r="AZ32" s="53"/>
      <c r="BA32" s="53">
        <f t="shared" si="15"/>
        <v>0.38746489480751889</v>
      </c>
      <c r="BB32" s="53">
        <f t="shared" si="27"/>
        <v>-6.7759416152007867E-3</v>
      </c>
      <c r="BC32" s="53">
        <f t="shared" si="30"/>
        <v>1</v>
      </c>
      <c r="BD32" s="53">
        <f t="shared" si="30"/>
        <v>1</v>
      </c>
      <c r="BE32" s="105">
        <f>AU32-1</f>
        <v>0.19482376872130058</v>
      </c>
      <c r="BK32" s="15"/>
      <c r="BL32" s="65"/>
      <c r="BO32" s="28">
        <v>2018</v>
      </c>
      <c r="BP32" s="29">
        <f t="shared" si="28"/>
        <v>1.2313725490196077</v>
      </c>
      <c r="BQ32" s="29">
        <f t="shared" si="28"/>
        <v>1.0886075949367089</v>
      </c>
      <c r="BR32" s="29">
        <f t="shared" si="28"/>
        <v>1.1177944862155387</v>
      </c>
      <c r="BS32" s="29">
        <f t="shared" si="28"/>
        <v>1.0142276422764229</v>
      </c>
      <c r="BT32" s="29">
        <f t="shared" si="28"/>
        <v>1.1164179104477612</v>
      </c>
      <c r="BU32" s="29">
        <f t="shared" si="28"/>
        <v>1.0262597586941093</v>
      </c>
      <c r="BV32" s="29">
        <f t="shared" si="28"/>
        <v>0.90393700787401565</v>
      </c>
      <c r="BW32" s="29">
        <f t="shared" si="28"/>
        <v>1.0042553191489363</v>
      </c>
      <c r="BX32" s="29">
        <f t="shared" si="28"/>
        <v>0.98678190137264865</v>
      </c>
      <c r="BZ32" s="28">
        <v>2018</v>
      </c>
      <c r="CA32" s="29">
        <f t="shared" si="29"/>
        <v>0.83913934426229508</v>
      </c>
      <c r="CB32" s="29">
        <f t="shared" si="29"/>
        <v>0.82415005861664725</v>
      </c>
      <c r="CC32" s="29">
        <f t="shared" si="29"/>
        <v>0.74729729729729732</v>
      </c>
      <c r="CD32" s="29">
        <f t="shared" si="29"/>
        <v>0.76005361930294901</v>
      </c>
      <c r="CE32" s="29">
        <f t="shared" si="29"/>
        <v>0.77947154471544711</v>
      </c>
      <c r="CF32" s="29">
        <f t="shared" si="29"/>
        <v>0.75858123569794045</v>
      </c>
      <c r="CG32" s="29">
        <f t="shared" si="29"/>
        <v>0.74462705436156762</v>
      </c>
      <c r="CH32" s="29">
        <f t="shared" si="29"/>
        <v>0.8340611353711791</v>
      </c>
      <c r="CI32" s="29">
        <f t="shared" si="29"/>
        <v>0.83513513513513504</v>
      </c>
    </row>
    <row r="33" spans="1:87" x14ac:dyDescent="0.2">
      <c r="A33" s="26">
        <f t="shared" si="31"/>
        <v>2034</v>
      </c>
      <c r="B33" s="272">
        <v>8.1040094300469576</v>
      </c>
      <c r="C33" s="272">
        <v>3.36599</v>
      </c>
      <c r="D33" s="100">
        <f t="shared" si="0"/>
        <v>295.59585213801108</v>
      </c>
      <c r="E33" s="272">
        <v>14.223621727067526</v>
      </c>
      <c r="F33" s="272">
        <v>14.566195</v>
      </c>
      <c r="G33" s="272">
        <v>14.83007060690732</v>
      </c>
      <c r="H33" s="272">
        <v>11.543258886169117</v>
      </c>
      <c r="I33" s="272">
        <v>0.99953704201496185</v>
      </c>
      <c r="J33" s="272">
        <v>536.90120877695097</v>
      </c>
      <c r="K33" s="272">
        <v>422.73971730722548</v>
      </c>
      <c r="L33" s="100">
        <f t="shared" si="1"/>
        <v>329.00133654947155</v>
      </c>
      <c r="M33" s="100">
        <f t="shared" si="2"/>
        <v>315.37285444279377</v>
      </c>
      <c r="N33" s="100">
        <f t="shared" si="3"/>
        <v>56.923364936639864</v>
      </c>
      <c r="O33" s="100">
        <f t="shared" si="4"/>
        <v>635.29815251080481</v>
      </c>
      <c r="P33" s="100">
        <f t="shared" si="5"/>
        <v>188.4731909217991</v>
      </c>
      <c r="Q33" s="100">
        <f t="shared" si="6"/>
        <v>525.52582056366975</v>
      </c>
      <c r="R33" s="101">
        <f t="shared" si="7"/>
        <v>1006.249470162321</v>
      </c>
      <c r="S33" s="101">
        <f t="shared" si="7"/>
        <v>6942.7783611515397</v>
      </c>
      <c r="T33" s="72"/>
      <c r="U33" s="23">
        <v>2032</v>
      </c>
      <c r="V33" s="53">
        <f t="shared" ref="V33:BD36" si="33">V76/$BC76</f>
        <v>0.30410468742474256</v>
      </c>
      <c r="W33" s="53">
        <f t="shared" si="18"/>
        <v>-2.5015389624155615E-3</v>
      </c>
      <c r="X33" s="53">
        <f t="shared" si="33"/>
        <v>0.24119980585198572</v>
      </c>
      <c r="Y33" s="53">
        <f t="shared" si="18"/>
        <v>1.2692949884428817E-2</v>
      </c>
      <c r="Z33" s="53">
        <f t="shared" si="33"/>
        <v>3.8207634375478333E-2</v>
      </c>
      <c r="AA33" s="53"/>
      <c r="AB33" s="53">
        <f t="shared" si="33"/>
        <v>0.11835257085381699</v>
      </c>
      <c r="AC33" s="53">
        <f t="shared" si="32"/>
        <v>-1.0083015878299295E-2</v>
      </c>
      <c r="AD33" s="53">
        <f t="shared" si="33"/>
        <v>0.29746291228112526</v>
      </c>
      <c r="AE33" s="53">
        <f t="shared" si="32"/>
        <v>-1.2533035842183349E-2</v>
      </c>
      <c r="AF33" s="53">
        <f t="shared" si="33"/>
        <v>0.61457321558269051</v>
      </c>
      <c r="AG33" s="53">
        <f t="shared" si="20"/>
        <v>5.3465290983667479E-4</v>
      </c>
      <c r="AH33" s="53">
        <f t="shared" si="33"/>
        <v>0.24119980585198572</v>
      </c>
      <c r="AI33" s="53">
        <f t="shared" si="21"/>
        <v>1.2692949884428817E-2</v>
      </c>
      <c r="AJ33" s="53">
        <f t="shared" si="33"/>
        <v>3.8207634375478333E-2</v>
      </c>
      <c r="AK33" s="53">
        <f t="shared" si="33"/>
        <v>0.92262549657934256</v>
      </c>
      <c r="AL33" s="53">
        <f t="shared" si="22"/>
        <v>8.3341282567639396E-4</v>
      </c>
      <c r="AM33" s="53">
        <f t="shared" si="33"/>
        <v>0.69615395851806361</v>
      </c>
      <c r="AN33" s="53">
        <f t="shared" si="23"/>
        <v>5.4163867691539025E-3</v>
      </c>
      <c r="AO33" s="53">
        <f t="shared" si="33"/>
        <v>0.74815126805882781</v>
      </c>
      <c r="AP33" s="53">
        <f t="shared" si="24"/>
        <v>2.4492396012021356E-3</v>
      </c>
      <c r="AQ33" s="53">
        <f t="shared" si="33"/>
        <v>1.7014893065750776</v>
      </c>
      <c r="AR33" s="53">
        <f t="shared" si="24"/>
        <v>1.1620128152993736E-3</v>
      </c>
      <c r="AS33" s="53">
        <f t="shared" si="33"/>
        <v>0.86600741466742448</v>
      </c>
      <c r="AT33" s="53">
        <f t="shared" si="25"/>
        <v>1.5151048474681961E-3</v>
      </c>
      <c r="AU33" s="53">
        <f t="shared" si="33"/>
        <v>1.1946337227159831</v>
      </c>
      <c r="AV33" s="53"/>
      <c r="AW33" s="53">
        <f t="shared" si="33"/>
        <v>0.45589398607011683</v>
      </c>
      <c r="AX33" s="53">
        <f t="shared" si="26"/>
        <v>-4.4916770808933748E-4</v>
      </c>
      <c r="AY33" s="53">
        <f t="shared" si="33"/>
        <v>4.2440224644096753</v>
      </c>
      <c r="AZ33" s="53"/>
      <c r="BA33" s="53">
        <f t="shared" si="15"/>
        <v>0.38509121020019288</v>
      </c>
      <c r="BB33" s="53">
        <f t="shared" si="27"/>
        <v>-6.1261926929023769E-3</v>
      </c>
      <c r="BC33" s="53">
        <f t="shared" si="33"/>
        <v>1</v>
      </c>
      <c r="BD33" s="53">
        <f t="shared" si="33"/>
        <v>1</v>
      </c>
      <c r="BE33" s="105">
        <f>AU33-1</f>
        <v>0.19463372271598312</v>
      </c>
      <c r="BO33" s="28">
        <v>2019</v>
      </c>
      <c r="BP33" s="29">
        <f t="shared" si="28"/>
        <v>1.2176470588235295</v>
      </c>
      <c r="BQ33" s="29">
        <f t="shared" si="28"/>
        <v>1.0839662447257385</v>
      </c>
      <c r="BR33" s="29">
        <f t="shared" si="28"/>
        <v>1.1077694235588971</v>
      </c>
      <c r="BS33" s="29">
        <f t="shared" si="28"/>
        <v>1.0060975609756098</v>
      </c>
      <c r="BT33" s="29">
        <f t="shared" si="28"/>
        <v>1.1200000000000001</v>
      </c>
      <c r="BU33" s="29">
        <f t="shared" si="28"/>
        <v>1.0262597586941093</v>
      </c>
      <c r="BV33" s="29">
        <f t="shared" si="28"/>
        <v>0.89606299212598428</v>
      </c>
      <c r="BW33" s="29">
        <f t="shared" si="28"/>
        <v>1.0072948328267477</v>
      </c>
      <c r="BX33" s="29">
        <f t="shared" si="28"/>
        <v>0.97559735638027456</v>
      </c>
      <c r="BZ33" s="28">
        <v>2019</v>
      </c>
      <c r="CA33" s="29">
        <f t="shared" si="29"/>
        <v>0.8473360655737705</v>
      </c>
      <c r="CB33" s="29">
        <f t="shared" si="29"/>
        <v>0.82766705744431424</v>
      </c>
      <c r="CC33" s="29">
        <f t="shared" si="29"/>
        <v>0.75675675675675669</v>
      </c>
      <c r="CD33" s="29">
        <f t="shared" si="29"/>
        <v>0.77077747989276135</v>
      </c>
      <c r="CE33" s="29">
        <f t="shared" si="29"/>
        <v>0.78556910569105698</v>
      </c>
      <c r="CF33" s="29">
        <f t="shared" si="29"/>
        <v>0.76544622425629294</v>
      </c>
      <c r="CG33" s="29">
        <f t="shared" si="29"/>
        <v>0.74968394437420982</v>
      </c>
      <c r="CH33" s="29">
        <f t="shared" si="29"/>
        <v>0.85007278020378452</v>
      </c>
      <c r="CI33" s="29">
        <f t="shared" si="29"/>
        <v>0.85135135135135132</v>
      </c>
    </row>
    <row r="34" spans="1:87" x14ac:dyDescent="0.2">
      <c r="A34" s="26">
        <f t="shared" si="31"/>
        <v>2035</v>
      </c>
      <c r="B34" s="272">
        <v>8.107164132742458</v>
      </c>
      <c r="C34" s="272">
        <v>3.368995</v>
      </c>
      <c r="D34" s="100">
        <f t="shared" si="0"/>
        <v>286.40212008504233</v>
      </c>
      <c r="E34" s="272">
        <v>14.23288253240586</v>
      </c>
      <c r="F34" s="272">
        <v>14.589767999999999</v>
      </c>
      <c r="G34" s="272">
        <v>14.839158563907842</v>
      </c>
      <c r="H34" s="272">
        <v>11.55532082000933</v>
      </c>
      <c r="I34" s="272">
        <v>1.0002479670862745</v>
      </c>
      <c r="J34" s="272">
        <v>536.2582533383636</v>
      </c>
      <c r="K34" s="272">
        <v>420.61255118473372</v>
      </c>
      <c r="L34" s="100">
        <f t="shared" si="1"/>
        <v>328.81468343272462</v>
      </c>
      <c r="M34" s="100">
        <f t="shared" si="2"/>
        <v>315.37283763768437</v>
      </c>
      <c r="N34" s="100">
        <f t="shared" si="3"/>
        <v>56.910677257525563</v>
      </c>
      <c r="O34" s="100">
        <f t="shared" si="4"/>
        <v>635.67294616813729</v>
      </c>
      <c r="P34" s="100">
        <f t="shared" si="5"/>
        <v>188.85189238694306</v>
      </c>
      <c r="Q34" s="100">
        <f t="shared" si="6"/>
        <v>525.33804758668998</v>
      </c>
      <c r="R34" s="101">
        <f t="shared" si="7"/>
        <v>1002.7256442630295</v>
      </c>
      <c r="S34" s="101">
        <f t="shared" si="7"/>
        <v>7026.4279933769449</v>
      </c>
      <c r="T34" s="72"/>
      <c r="U34" s="23">
        <v>2033</v>
      </c>
      <c r="V34" s="53">
        <f t="shared" si="33"/>
        <v>0.3033501775723369</v>
      </c>
      <c r="W34" s="53">
        <f t="shared" si="18"/>
        <v>-2.4810859010266917E-3</v>
      </c>
      <c r="X34" s="53">
        <f t="shared" si="33"/>
        <v>0.24417575604632827</v>
      </c>
      <c r="Y34" s="53">
        <f t="shared" si="18"/>
        <v>1.2338111897854276E-2</v>
      </c>
      <c r="Z34" s="53">
        <f t="shared" si="33"/>
        <v>3.8604959043935093E-2</v>
      </c>
      <c r="AA34" s="53"/>
      <c r="AB34" s="53">
        <f t="shared" si="33"/>
        <v>0.11717356989501214</v>
      </c>
      <c r="AC34" s="53">
        <f t="shared" si="32"/>
        <v>-9.961768893563705E-3</v>
      </c>
      <c r="AD34" s="53">
        <f t="shared" si="33"/>
        <v>0.29379601926857096</v>
      </c>
      <c r="AE34" s="53">
        <f t="shared" si="32"/>
        <v>-1.2327227567411114E-2</v>
      </c>
      <c r="AF34" s="53">
        <f t="shared" si="33"/>
        <v>0.6148823915499404</v>
      </c>
      <c r="AG34" s="53">
        <f t="shared" si="20"/>
        <v>5.0307426261131383E-4</v>
      </c>
      <c r="AH34" s="53">
        <f t="shared" si="33"/>
        <v>0.24417575604632827</v>
      </c>
      <c r="AI34" s="53">
        <f t="shared" si="21"/>
        <v>1.2338111897854276E-2</v>
      </c>
      <c r="AJ34" s="53">
        <f t="shared" si="33"/>
        <v>3.8604959043935093E-2</v>
      </c>
      <c r="AK34" s="53">
        <f t="shared" si="33"/>
        <v>0.92337223492705467</v>
      </c>
      <c r="AL34" s="53">
        <f t="shared" si="22"/>
        <v>8.0936235827078207E-4</v>
      </c>
      <c r="AM34" s="53">
        <f t="shared" si="33"/>
        <v>0.69984595662725024</v>
      </c>
      <c r="AN34" s="53">
        <f t="shared" si="23"/>
        <v>5.3034218422689516E-3</v>
      </c>
      <c r="AO34" s="53">
        <f t="shared" si="33"/>
        <v>0.74992141158117431</v>
      </c>
      <c r="AP34" s="53">
        <f t="shared" si="24"/>
        <v>2.3660235542197761E-3</v>
      </c>
      <c r="AQ34" s="53">
        <f t="shared" si="33"/>
        <v>1.7034483221694321</v>
      </c>
      <c r="AR34" s="53">
        <f t="shared" si="24"/>
        <v>1.1513534565186223E-3</v>
      </c>
      <c r="AS34" s="53">
        <f t="shared" si="33"/>
        <v>0.86729585895826844</v>
      </c>
      <c r="AT34" s="53">
        <f t="shared" si="25"/>
        <v>1.4877982209180463E-3</v>
      </c>
      <c r="AU34" s="53">
        <f t="shared" si="33"/>
        <v>1.1944579077742943</v>
      </c>
      <c r="AV34" s="53"/>
      <c r="AW34" s="53">
        <f t="shared" si="33"/>
        <v>0.45568961687236559</v>
      </c>
      <c r="AX34" s="53">
        <f t="shared" si="26"/>
        <v>-4.482822849077861E-4</v>
      </c>
      <c r="AY34" s="53">
        <f t="shared" si="33"/>
        <v>4.2644268361125119</v>
      </c>
      <c r="AZ34" s="53"/>
      <c r="BA34" s="53">
        <f t="shared" si="15"/>
        <v>0.38281932385422895</v>
      </c>
      <c r="BB34" s="53">
        <f t="shared" si="27"/>
        <v>-5.8996058226903347E-3</v>
      </c>
      <c r="BC34" s="53">
        <f t="shared" si="33"/>
        <v>1</v>
      </c>
      <c r="BD34" s="53">
        <f t="shared" si="33"/>
        <v>1</v>
      </c>
      <c r="BE34" s="105">
        <f>AU34-1</f>
        <v>0.19445790777429428</v>
      </c>
      <c r="BO34" s="28">
        <v>2020</v>
      </c>
      <c r="BP34" s="29">
        <f t="shared" si="28"/>
        <v>1.2047058823529411</v>
      </c>
      <c r="BQ34" s="29">
        <f t="shared" si="28"/>
        <v>1.0767932489451477</v>
      </c>
      <c r="BR34" s="29">
        <f t="shared" si="28"/>
        <v>1.0971177944862156</v>
      </c>
      <c r="BS34" s="29">
        <f t="shared" si="28"/>
        <v>0.99796747967479682</v>
      </c>
      <c r="BT34" s="29">
        <f t="shared" si="28"/>
        <v>1.1247761194029851</v>
      </c>
      <c r="BU34" s="29">
        <f t="shared" si="28"/>
        <v>1.022001419446416</v>
      </c>
      <c r="BV34" s="29">
        <f t="shared" si="28"/>
        <v>0.90026246719160097</v>
      </c>
      <c r="BW34" s="29">
        <f t="shared" si="28"/>
        <v>1.0072948328267477</v>
      </c>
      <c r="BX34" s="29">
        <f t="shared" si="28"/>
        <v>0.96593797661413316</v>
      </c>
      <c r="BZ34" s="28">
        <v>2020</v>
      </c>
      <c r="CA34" s="29">
        <f t="shared" si="29"/>
        <v>0.85655737704918034</v>
      </c>
      <c r="CB34" s="29">
        <f t="shared" si="29"/>
        <v>0.83235638921453692</v>
      </c>
      <c r="CC34" s="29">
        <f t="shared" si="29"/>
        <v>0.77162162162162162</v>
      </c>
      <c r="CD34" s="29">
        <f t="shared" si="29"/>
        <v>0.78686327077747986</v>
      </c>
      <c r="CE34" s="29">
        <f t="shared" si="29"/>
        <v>0.7967479674796748</v>
      </c>
      <c r="CF34" s="29">
        <f t="shared" si="29"/>
        <v>0.78146453089244849</v>
      </c>
      <c r="CG34" s="29">
        <f t="shared" si="29"/>
        <v>0.76359039190897593</v>
      </c>
      <c r="CH34" s="29">
        <f t="shared" si="29"/>
        <v>0.86462882096069871</v>
      </c>
      <c r="CI34" s="29">
        <f t="shared" si="29"/>
        <v>0.86486486486486491</v>
      </c>
    </row>
    <row r="35" spans="1:87" x14ac:dyDescent="0.2">
      <c r="A35" s="26">
        <f t="shared" si="31"/>
        <v>2036</v>
      </c>
      <c r="B35" s="221">
        <f>(B34+(B34-B33))</f>
        <v>8.1103188354379583</v>
      </c>
      <c r="C35" s="221">
        <f>(C34+(C34-C33))</f>
        <v>3.3719999999999999</v>
      </c>
      <c r="D35" s="100">
        <f t="shared" si="0"/>
        <v>277.49433490328454</v>
      </c>
      <c r="E35" s="221">
        <f t="shared" ref="E35:K42" si="34">(E34+(E34-E33))</f>
        <v>14.242143337744194</v>
      </c>
      <c r="F35" s="221">
        <f t="shared" si="34"/>
        <v>14.613340999999998</v>
      </c>
      <c r="G35" s="221">
        <f t="shared" si="34"/>
        <v>14.848246520908365</v>
      </c>
      <c r="H35" s="221">
        <f t="shared" si="34"/>
        <v>11.567382753849543</v>
      </c>
      <c r="I35" s="221">
        <f t="shared" si="34"/>
        <v>1.0009588921575872</v>
      </c>
      <c r="J35" s="221">
        <f t="shared" si="34"/>
        <v>535.61529789977624</v>
      </c>
      <c r="K35" s="221">
        <f t="shared" si="34"/>
        <v>418.48538506224196</v>
      </c>
      <c r="L35" s="100">
        <f t="shared" si="1"/>
        <v>328.62813621033769</v>
      </c>
      <c r="M35" s="100">
        <f t="shared" si="2"/>
        <v>315.37282083257577</v>
      </c>
      <c r="N35" s="100">
        <f t="shared" si="3"/>
        <v>56.897992406374804</v>
      </c>
      <c r="O35" s="100">
        <f t="shared" si="4"/>
        <v>636.04796093470043</v>
      </c>
      <c r="P35" s="100">
        <f t="shared" si="5"/>
        <v>189.23135478152744</v>
      </c>
      <c r="Q35" s="100">
        <f t="shared" si="6"/>
        <v>525.15034170192439</v>
      </c>
      <c r="R35" s="101">
        <f t="shared" ref="R35:S42" si="35">1000*(BC124/BC80)/ 3.412</f>
        <v>999.21415859281308</v>
      </c>
      <c r="S35" s="101">
        <f t="shared" si="35"/>
        <v>7111.0854729809435</v>
      </c>
      <c r="T35" s="72"/>
      <c r="U35" s="23">
        <v>2034</v>
      </c>
      <c r="V35" s="53">
        <f t="shared" si="33"/>
        <v>0.30257921747414562</v>
      </c>
      <c r="W35" s="53">
        <f t="shared" si="18"/>
        <v>-2.5414855674756875E-3</v>
      </c>
      <c r="X35" s="53">
        <f t="shared" si="33"/>
        <v>0.24713947693927085</v>
      </c>
      <c r="Y35" s="53">
        <f t="shared" si="18"/>
        <v>1.2137654208308257E-2</v>
      </c>
      <c r="Z35" s="53">
        <f t="shared" si="33"/>
        <v>3.8979838378365175E-2</v>
      </c>
      <c r="AA35" s="53"/>
      <c r="AB35" s="53">
        <f t="shared" si="33"/>
        <v>0.1160071594964369</v>
      </c>
      <c r="AC35" s="53">
        <f t="shared" si="32"/>
        <v>-9.9545520343908844E-3</v>
      </c>
      <c r="AD35" s="53">
        <f t="shared" si="33"/>
        <v>0.29019844063325123</v>
      </c>
      <c r="AE35" s="53">
        <f t="shared" si="32"/>
        <v>-1.2245157862506795E-2</v>
      </c>
      <c r="AF35" s="53">
        <f t="shared" si="33"/>
        <v>0.61514364516967168</v>
      </c>
      <c r="AG35" s="53">
        <f t="shared" si="20"/>
        <v>4.2488388563666213E-4</v>
      </c>
      <c r="AH35" s="53">
        <f t="shared" si="33"/>
        <v>0.24713947693927085</v>
      </c>
      <c r="AI35" s="53">
        <f t="shared" si="21"/>
        <v>1.2137654208308257E-2</v>
      </c>
      <c r="AJ35" s="53">
        <f t="shared" si="33"/>
        <v>3.8979838378365175E-2</v>
      </c>
      <c r="AK35" s="53">
        <f t="shared" si="33"/>
        <v>0.92410534053132165</v>
      </c>
      <c r="AL35" s="53">
        <f t="shared" si="22"/>
        <v>7.9394373854535516E-4</v>
      </c>
      <c r="AM35" s="53">
        <f t="shared" si="33"/>
        <v>0.70351290552529255</v>
      </c>
      <c r="AN35" s="53">
        <f t="shared" si="23"/>
        <v>5.2396514737533817E-3</v>
      </c>
      <c r="AO35" s="53">
        <f t="shared" si="33"/>
        <v>0.75164497425112864</v>
      </c>
      <c r="AP35" s="53">
        <f t="shared" si="24"/>
        <v>2.298324388845252E-3</v>
      </c>
      <c r="AQ35" s="53">
        <f t="shared" si="33"/>
        <v>1.7054007119524062</v>
      </c>
      <c r="AR35" s="53">
        <f t="shared" si="24"/>
        <v>1.1461397199814538E-3</v>
      </c>
      <c r="AS35" s="53">
        <f t="shared" si="33"/>
        <v>0.86857582870505046</v>
      </c>
      <c r="AT35" s="53">
        <f t="shared" si="25"/>
        <v>1.4758167395372279E-3</v>
      </c>
      <c r="AU35" s="53">
        <f t="shared" si="33"/>
        <v>1.1943024931658344</v>
      </c>
      <c r="AV35" s="53">
        <f t="shared" ref="AV35:AV41" si="36">AU35/AU34-1</f>
        <v>-1.3011308933397192E-4</v>
      </c>
      <c r="AW35" s="53">
        <f t="shared" si="33"/>
        <v>0.45549620151406472</v>
      </c>
      <c r="AX35" s="53">
        <f t="shared" si="26"/>
        <v>-4.2444539252040059E-4</v>
      </c>
      <c r="AY35" s="53">
        <f t="shared" si="33"/>
        <v>4.2853685563976898</v>
      </c>
      <c r="AZ35" s="53">
        <f t="shared" ref="AZ35:AZ41" si="37">AY35/AY34-1</f>
        <v>4.9107936634853466E-3</v>
      </c>
      <c r="BA35" s="53">
        <f t="shared" si="15"/>
        <v>0.38048071221888874</v>
      </c>
      <c r="BB35" s="53">
        <f t="shared" si="27"/>
        <v>-6.1089174177391126E-3</v>
      </c>
      <c r="BC35" s="53">
        <f t="shared" si="33"/>
        <v>1</v>
      </c>
      <c r="BD35" s="53">
        <f t="shared" si="33"/>
        <v>1</v>
      </c>
      <c r="BE35" s="105">
        <f>AU35-1</f>
        <v>0.19430249316583437</v>
      </c>
      <c r="BO35" s="26">
        <v>2021</v>
      </c>
      <c r="BP35" s="29">
        <f t="shared" si="28"/>
        <v>1.1945098039215687</v>
      </c>
      <c r="BQ35" s="29">
        <f t="shared" si="28"/>
        <v>1.0713080168776372</v>
      </c>
      <c r="BR35" s="29">
        <f t="shared" si="28"/>
        <v>1.0883458646616542</v>
      </c>
      <c r="BS35" s="29">
        <f t="shared" si="28"/>
        <v>0.99390243902439024</v>
      </c>
      <c r="BT35" s="29">
        <f t="shared" si="28"/>
        <v>1.1247761194029851</v>
      </c>
      <c r="BU35" s="29">
        <f t="shared" si="28"/>
        <v>1.0163236337828248</v>
      </c>
      <c r="BV35" s="29">
        <f t="shared" si="28"/>
        <v>0.89921259842519674</v>
      </c>
      <c r="BW35" s="29">
        <f t="shared" si="28"/>
        <v>1.0121580547112461</v>
      </c>
      <c r="BX35" s="29">
        <f t="shared" si="28"/>
        <v>0.95678698525673611</v>
      </c>
      <c r="BZ35" s="26">
        <v>2021</v>
      </c>
      <c r="CA35" s="29">
        <f t="shared" si="29"/>
        <v>0.86680327868852469</v>
      </c>
      <c r="CB35" s="29">
        <f t="shared" si="29"/>
        <v>0.84056271981242681</v>
      </c>
      <c r="CC35" s="29">
        <f t="shared" si="29"/>
        <v>0.78648648648648645</v>
      </c>
      <c r="CD35" s="29">
        <f t="shared" si="29"/>
        <v>0.80160857908847194</v>
      </c>
      <c r="CE35" s="29">
        <f t="shared" si="29"/>
        <v>0.80894308943089432</v>
      </c>
      <c r="CF35" s="29">
        <f t="shared" si="29"/>
        <v>0.79633867276887871</v>
      </c>
      <c r="CG35" s="29">
        <f t="shared" si="29"/>
        <v>0.77623261694058154</v>
      </c>
      <c r="CH35" s="29">
        <f t="shared" si="29"/>
        <v>0.88355167394468703</v>
      </c>
      <c r="CI35" s="29">
        <f t="shared" si="29"/>
        <v>0.88243243243243241</v>
      </c>
    </row>
    <row r="36" spans="1:87" x14ac:dyDescent="0.2">
      <c r="A36" s="26">
        <f t="shared" si="31"/>
        <v>2037</v>
      </c>
      <c r="B36" s="221">
        <f t="shared" ref="B36:C42" si="38">(B35+(B35-B34))</f>
        <v>8.1134735381334586</v>
      </c>
      <c r="C36" s="221">
        <f t="shared" si="38"/>
        <v>3.3750049999999998</v>
      </c>
      <c r="D36" s="100">
        <f t="shared" si="0"/>
        <v>268.86360296687553</v>
      </c>
      <c r="E36" s="221">
        <f t="shared" si="34"/>
        <v>14.251404143082528</v>
      </c>
      <c r="F36" s="221">
        <f t="shared" si="34"/>
        <v>14.636913999999997</v>
      </c>
      <c r="G36" s="221">
        <f t="shared" si="34"/>
        <v>14.857334477908887</v>
      </c>
      <c r="H36" s="221">
        <f t="shared" si="34"/>
        <v>11.579444687689756</v>
      </c>
      <c r="I36" s="221">
        <f t="shared" si="34"/>
        <v>1.0016698172288998</v>
      </c>
      <c r="J36" s="221">
        <f t="shared" si="34"/>
        <v>534.97234246118887</v>
      </c>
      <c r="K36" s="221">
        <f t="shared" si="34"/>
        <v>416.3582189397502</v>
      </c>
      <c r="L36" s="100">
        <f t="shared" si="1"/>
        <v>328.4416948222335</v>
      </c>
      <c r="M36" s="100">
        <f t="shared" si="2"/>
        <v>315.37280402746813</v>
      </c>
      <c r="N36" s="100">
        <f t="shared" si="3"/>
        <v>56.8853103825573</v>
      </c>
      <c r="O36" s="100">
        <f t="shared" si="4"/>
        <v>636.42319694093692</v>
      </c>
      <c r="P36" s="100">
        <f t="shared" si="5"/>
        <v>189.61157963449699</v>
      </c>
      <c r="Q36" s="100">
        <f t="shared" si="6"/>
        <v>524.9627028854004</v>
      </c>
      <c r="R36" s="101">
        <f t="shared" si="35"/>
        <v>995.71496993692222</v>
      </c>
      <c r="S36" s="101">
        <f t="shared" si="35"/>
        <v>7196.7629429498402</v>
      </c>
      <c r="T36" s="72"/>
      <c r="U36" s="23">
        <v>2035</v>
      </c>
      <c r="V36" s="53">
        <f t="shared" si="33"/>
        <v>0.30180272484319032</v>
      </c>
      <c r="W36" s="53">
        <f t="shared" si="18"/>
        <v>-2.5662457502444447E-3</v>
      </c>
      <c r="X36" s="53">
        <f t="shared" si="33"/>
        <v>0.25009259742780759</v>
      </c>
      <c r="Y36" s="53">
        <f t="shared" si="18"/>
        <v>1.1949205869940416E-2</v>
      </c>
      <c r="Z36" s="53">
        <f t="shared" si="33"/>
        <v>3.933280936740037E-2</v>
      </c>
      <c r="AA36" s="53">
        <f t="shared" si="18"/>
        <v>9.0552194087880622E-3</v>
      </c>
      <c r="AB36" s="53">
        <f t="shared" si="33"/>
        <v>0.11485264945423153</v>
      </c>
      <c r="AC36" s="53">
        <f t="shared" si="32"/>
        <v>-9.9520585386011495E-3</v>
      </c>
      <c r="AD36" s="53">
        <f t="shared" si="33"/>
        <v>0.28666202632917798</v>
      </c>
      <c r="AE36" s="53">
        <f t="shared" si="32"/>
        <v>-1.2186193338449169E-2</v>
      </c>
      <c r="AF36" s="53">
        <f t="shared" si="33"/>
        <v>0.61535634420727903</v>
      </c>
      <c r="AG36" s="53">
        <f t="shared" si="20"/>
        <v>3.457713320742517E-4</v>
      </c>
      <c r="AH36" s="53">
        <f t="shared" si="33"/>
        <v>0.25009259742780759</v>
      </c>
      <c r="AI36" s="53">
        <f t="shared" si="21"/>
        <v>1.1949205869940416E-2</v>
      </c>
      <c r="AJ36" s="53">
        <f t="shared" si="33"/>
        <v>3.933280936740037E-2</v>
      </c>
      <c r="AK36" s="53">
        <f t="shared" si="33"/>
        <v>0.92482796488590957</v>
      </c>
      <c r="AL36" s="53">
        <f t="shared" si="22"/>
        <v>7.8197184118899976E-4</v>
      </c>
      <c r="AM36" s="53">
        <f t="shared" si="33"/>
        <v>0.70716242481210045</v>
      </c>
      <c r="AN36" s="53">
        <f t="shared" si="23"/>
        <v>5.1875655132196385E-3</v>
      </c>
      <c r="AO36" s="53">
        <f t="shared" si="33"/>
        <v>0.75333455401090632</v>
      </c>
      <c r="AP36" s="53">
        <f t="shared" si="24"/>
        <v>2.2478428216206048E-3</v>
      </c>
      <c r="AQ36" s="53">
        <f t="shared" si="33"/>
        <v>1.7073443145840344</v>
      </c>
      <c r="AR36" s="53">
        <f t="shared" si="24"/>
        <v>1.1396750441150516E-3</v>
      </c>
      <c r="AS36" s="53">
        <f t="shared" si="33"/>
        <v>0.86985076225144942</v>
      </c>
      <c r="AT36" s="53">
        <f t="shared" si="25"/>
        <v>1.4678436864858924E-3</v>
      </c>
      <c r="AU36" s="53">
        <f t="shared" si="33"/>
        <v>1.1941616578123475</v>
      </c>
      <c r="AV36" s="53">
        <f t="shared" si="36"/>
        <v>-1.1792268231269887E-4</v>
      </c>
      <c r="AW36" s="53">
        <f t="shared" si="33"/>
        <v>0.45530777710427517</v>
      </c>
      <c r="AX36" s="53">
        <f t="shared" si="26"/>
        <v>-4.1366845467261104E-4</v>
      </c>
      <c r="AY36" s="53">
        <f t="shared" si="33"/>
        <v>4.3063590030369312</v>
      </c>
      <c r="AZ36" s="53">
        <f t="shared" si="37"/>
        <v>4.8981660183939901E-3</v>
      </c>
      <c r="BA36" s="53">
        <f t="shared" si="15"/>
        <v>0.37814729347799025</v>
      </c>
      <c r="BB36" s="53">
        <f t="shared" si="27"/>
        <v>-6.1328174227031074E-3</v>
      </c>
      <c r="BC36" s="53">
        <f t="shared" si="33"/>
        <v>1</v>
      </c>
      <c r="BD36" s="53">
        <f t="shared" si="33"/>
        <v>1</v>
      </c>
      <c r="BE36" s="105">
        <f>AU36-1</f>
        <v>0.19416165781234751</v>
      </c>
      <c r="BO36" s="26">
        <v>2022</v>
      </c>
      <c r="BP36" s="29">
        <f t="shared" ref="BP36:BX36" si="39">BP103/BP$80</f>
        <v>1.1823529411764706</v>
      </c>
      <c r="BQ36" s="29">
        <f t="shared" si="39"/>
        <v>1.0649789029535865</v>
      </c>
      <c r="BR36" s="29">
        <f t="shared" si="39"/>
        <v>1.0808270676691729</v>
      </c>
      <c r="BS36" s="29">
        <f t="shared" si="39"/>
        <v>0.99119241192411933</v>
      </c>
      <c r="BT36" s="29">
        <f t="shared" si="39"/>
        <v>1.120597014925373</v>
      </c>
      <c r="BU36" s="29">
        <f t="shared" si="39"/>
        <v>1.0056777856635912</v>
      </c>
      <c r="BV36" s="29">
        <f t="shared" si="39"/>
        <v>0.91076115485564313</v>
      </c>
      <c r="BW36" s="29">
        <f t="shared" si="39"/>
        <v>1.0206686930091184</v>
      </c>
      <c r="BX36" s="29">
        <f t="shared" si="39"/>
        <v>0.9527198779867817</v>
      </c>
      <c r="BZ36" s="26">
        <v>2022</v>
      </c>
      <c r="CA36" s="29">
        <f t="shared" ref="CA36:CI36" si="40">CA103/CA$80</f>
        <v>0.88012295081967218</v>
      </c>
      <c r="CB36" s="29">
        <f t="shared" si="40"/>
        <v>0.84994138335287228</v>
      </c>
      <c r="CC36" s="29">
        <f t="shared" si="40"/>
        <v>0.80135135135135127</v>
      </c>
      <c r="CD36" s="29">
        <f t="shared" si="40"/>
        <v>0.8163538873994638</v>
      </c>
      <c r="CE36" s="29">
        <f t="shared" si="40"/>
        <v>0.82113821138211385</v>
      </c>
      <c r="CF36" s="29">
        <f t="shared" si="40"/>
        <v>0.81006864988558347</v>
      </c>
      <c r="CG36" s="29">
        <f t="shared" si="40"/>
        <v>0.78761061946902655</v>
      </c>
      <c r="CH36" s="29">
        <f t="shared" si="40"/>
        <v>0.90393013100436681</v>
      </c>
      <c r="CI36" s="29">
        <f t="shared" si="40"/>
        <v>0.9</v>
      </c>
    </row>
    <row r="37" spans="1:87" x14ac:dyDescent="0.2">
      <c r="A37" s="26">
        <f t="shared" si="31"/>
        <v>2038</v>
      </c>
      <c r="B37" s="221">
        <f t="shared" si="38"/>
        <v>8.116628240828959</v>
      </c>
      <c r="C37" s="221">
        <f t="shared" si="38"/>
        <v>3.3780099999999997</v>
      </c>
      <c r="D37" s="100">
        <f t="shared" si="0"/>
        <v>260.5013072628102</v>
      </c>
      <c r="E37" s="221">
        <f t="shared" si="34"/>
        <v>14.260664948420862</v>
      </c>
      <c r="F37" s="221">
        <f t="shared" si="34"/>
        <v>14.660486999999996</v>
      </c>
      <c r="G37" s="221">
        <f t="shared" si="34"/>
        <v>14.86642243490941</v>
      </c>
      <c r="H37" s="221">
        <f t="shared" si="34"/>
        <v>11.59150662152997</v>
      </c>
      <c r="I37" s="221">
        <f t="shared" si="34"/>
        <v>1.0023807423002125</v>
      </c>
      <c r="J37" s="221">
        <f t="shared" si="34"/>
        <v>534.32938702260151</v>
      </c>
      <c r="K37" s="221">
        <f t="shared" si="34"/>
        <v>414.23105281725844</v>
      </c>
      <c r="L37" s="100">
        <f t="shared" si="1"/>
        <v>328.25535920836899</v>
      </c>
      <c r="M37" s="100">
        <f t="shared" si="2"/>
        <v>315.37278722236141</v>
      </c>
      <c r="N37" s="100">
        <f t="shared" si="3"/>
        <v>56.87263118544282</v>
      </c>
      <c r="O37" s="100">
        <f t="shared" si="4"/>
        <v>636.7986543173671</v>
      </c>
      <c r="P37" s="100">
        <f t="shared" si="5"/>
        <v>189.99256847786862</v>
      </c>
      <c r="Q37" s="100">
        <f t="shared" si="6"/>
        <v>524.77513111315454</v>
      </c>
      <c r="R37" s="101">
        <f t="shared" si="35"/>
        <v>992.22803523194307</v>
      </c>
      <c r="S37" s="101">
        <f t="shared" si="35"/>
        <v>7283.4726925739569</v>
      </c>
      <c r="T37" s="72"/>
      <c r="U37" s="23">
        <v>2036</v>
      </c>
      <c r="V37" s="218">
        <f>V36*(1+W36)</f>
        <v>0.30102822488314929</v>
      </c>
      <c r="W37" s="53">
        <f t="shared" si="18"/>
        <v>-2.5662457502444447E-3</v>
      </c>
      <c r="X37" s="218">
        <f>X36*(1+Y36)</f>
        <v>0.25308100536102057</v>
      </c>
      <c r="Y37" s="53">
        <f t="shared" si="18"/>
        <v>1.1949205869940416E-2</v>
      </c>
      <c r="Z37" s="218">
        <f>Z36*(1+AA36)</f>
        <v>3.9688976586186218E-2</v>
      </c>
      <c r="AA37" s="53">
        <f t="shared" si="18"/>
        <v>9.0552194087880622E-3</v>
      </c>
      <c r="AB37" s="218">
        <f>AB36*(1+AC36)</f>
        <v>0.11370962916354958</v>
      </c>
      <c r="AC37" s="53">
        <f t="shared" si="32"/>
        <v>-9.9520585386011495E-3</v>
      </c>
      <c r="AD37" s="218">
        <f>AD36*(1+AE36)</f>
        <v>0.283168707453539</v>
      </c>
      <c r="AE37" s="53">
        <f t="shared" si="32"/>
        <v>-1.2186193338449169E-2</v>
      </c>
      <c r="AF37" s="218">
        <f>AF36*(1+AG36)</f>
        <v>0.61556911679011594</v>
      </c>
      <c r="AG37" s="53">
        <f t="shared" si="20"/>
        <v>3.457713320742517E-4</v>
      </c>
      <c r="AH37" s="218">
        <f>AH36*(1+AI36)</f>
        <v>0.25308100536102057</v>
      </c>
      <c r="AI37" s="53">
        <f t="shared" si="21"/>
        <v>1.1949205869940416E-2</v>
      </c>
      <c r="AJ37" s="218">
        <f>AJ36*(1+AK36)</f>
        <v>7.5708891407898687E-2</v>
      </c>
      <c r="AK37" s="218">
        <f>AK36*(1+AL36)</f>
        <v>0.92555115431239443</v>
      </c>
      <c r="AL37" s="53">
        <f t="shared" si="22"/>
        <v>7.8197184118899976E-4</v>
      </c>
      <c r="AM37" s="218">
        <f>AM36*(1+AN36)</f>
        <v>0.71083087621930052</v>
      </c>
      <c r="AN37" s="53">
        <f t="shared" si="23"/>
        <v>5.1875655132196385E-3</v>
      </c>
      <c r="AO37" s="218">
        <f>AO36*(1+AP36)</f>
        <v>0.75502793168041848</v>
      </c>
      <c r="AP37" s="53">
        <f t="shared" ref="AP37:AP41" si="41">AO37/AO36-1</f>
        <v>2.2478428216206048E-3</v>
      </c>
      <c r="AQ37" s="218">
        <f>AQ36*(1+AR36)</f>
        <v>1.7092901322910774</v>
      </c>
      <c r="AR37" s="53">
        <f t="shared" ref="AR37:AR41" si="42">AQ37/AQ36-1</f>
        <v>1.1396750441150516E-3</v>
      </c>
      <c r="AS37" s="218">
        <f>AS36*(1+AT36)</f>
        <v>0.87112756720100515</v>
      </c>
      <c r="AT37" s="53">
        <f t="shared" si="25"/>
        <v>1.4678436864858924E-3</v>
      </c>
      <c r="AU37" s="218">
        <f>AU36*(1+AV36)</f>
        <v>1.1940208390665432</v>
      </c>
      <c r="AV37" s="53">
        <f t="shared" si="36"/>
        <v>-1.1792268231280989E-4</v>
      </c>
      <c r="AW37" s="218">
        <f>AW36*(1+AX36)</f>
        <v>0.45511943063972005</v>
      </c>
      <c r="AX37" s="53">
        <f t="shared" si="26"/>
        <v>-4.1366845467261104E-4</v>
      </c>
      <c r="AY37" s="218">
        <f>AY36*(1+AZ36)</f>
        <v>4.3274522643686115</v>
      </c>
      <c r="AZ37" s="53">
        <f t="shared" si="37"/>
        <v>4.8981660183939901E-3</v>
      </c>
      <c r="BA37" s="218">
        <f>BA36*(1+BB36)</f>
        <v>0.37582818516820043</v>
      </c>
      <c r="BB37" s="53">
        <f t="shared" si="27"/>
        <v>-6.1328174227029963E-3</v>
      </c>
      <c r="BC37" s="219">
        <f>BC36</f>
        <v>1</v>
      </c>
      <c r="BD37" s="219">
        <f>BD36</f>
        <v>1</v>
      </c>
      <c r="BE37" s="105">
        <f t="shared" ref="BE37:BE41" si="43">AU37-1</f>
        <v>0.19402083906654322</v>
      </c>
      <c r="BO37" s="26"/>
      <c r="BP37" s="29"/>
      <c r="BQ37" s="29"/>
      <c r="BR37" s="29"/>
      <c r="BS37" s="29"/>
      <c r="BT37" s="29"/>
      <c r="BU37" s="29"/>
      <c r="BV37" s="29"/>
      <c r="BW37" s="29"/>
      <c r="BX37" s="29"/>
      <c r="BZ37" s="26"/>
      <c r="CA37" s="29"/>
      <c r="CB37" s="29"/>
      <c r="CC37" s="29"/>
      <c r="CD37" s="29"/>
      <c r="CE37" s="29"/>
      <c r="CF37" s="29"/>
      <c r="CG37" s="29"/>
      <c r="CH37" s="29"/>
      <c r="CI37" s="29"/>
    </row>
    <row r="38" spans="1:87" x14ac:dyDescent="0.2">
      <c r="A38" s="26">
        <f t="shared" si="31"/>
        <v>2039</v>
      </c>
      <c r="B38" s="221">
        <f t="shared" si="38"/>
        <v>8.1197829435244593</v>
      </c>
      <c r="C38" s="221">
        <f t="shared" si="38"/>
        <v>3.3810149999999997</v>
      </c>
      <c r="D38" s="100">
        <f t="shared" si="0"/>
        <v>252.39909878762444</v>
      </c>
      <c r="E38" s="221">
        <f t="shared" si="34"/>
        <v>14.269925753759196</v>
      </c>
      <c r="F38" s="221">
        <f t="shared" si="34"/>
        <v>14.684059999999995</v>
      </c>
      <c r="G38" s="221">
        <f t="shared" si="34"/>
        <v>14.875510391909932</v>
      </c>
      <c r="H38" s="221">
        <f t="shared" si="34"/>
        <v>11.603568555370183</v>
      </c>
      <c r="I38" s="221">
        <f t="shared" si="34"/>
        <v>1.0030916673715251</v>
      </c>
      <c r="J38" s="221">
        <f t="shared" si="34"/>
        <v>533.68643158401414</v>
      </c>
      <c r="K38" s="221">
        <f t="shared" si="34"/>
        <v>412.10388669476669</v>
      </c>
      <c r="L38" s="100">
        <f t="shared" si="1"/>
        <v>328.06912930873472</v>
      </c>
      <c r="M38" s="100">
        <f t="shared" si="2"/>
        <v>315.37277041725548</v>
      </c>
      <c r="N38" s="100">
        <f t="shared" si="3"/>
        <v>56.859954814401334</v>
      </c>
      <c r="O38" s="100">
        <f t="shared" si="4"/>
        <v>637.17433319458837</v>
      </c>
      <c r="P38" s="100">
        <f t="shared" si="5"/>
        <v>190.37432284673739</v>
      </c>
      <c r="Q38" s="100">
        <f t="shared" si="6"/>
        <v>524.58762636123129</v>
      </c>
      <c r="R38" s="101">
        <f t="shared" si="35"/>
        <v>988.75331156526681</v>
      </c>
      <c r="S38" s="101">
        <f t="shared" si="35"/>
        <v>7371.2271592103561</v>
      </c>
      <c r="T38" s="72"/>
      <c r="U38" s="23">
        <v>2037</v>
      </c>
      <c r="V38" s="218">
        <f t="shared" ref="V38:V41" si="44">V37*(1+W37)</f>
        <v>0.30025571248033928</v>
      </c>
      <c r="W38" s="53">
        <f t="shared" ref="W38:W41" si="45">V38/V37-1</f>
        <v>-2.5662457502444447E-3</v>
      </c>
      <c r="X38" s="218">
        <f t="shared" ref="X38:X41" si="46">X37*(1+Y37)</f>
        <v>0.25610512239585093</v>
      </c>
      <c r="Y38" s="53">
        <f t="shared" ref="Y38:AA41" si="47">X38/X37-1</f>
        <v>1.1949205869940416E-2</v>
      </c>
      <c r="Z38" s="218">
        <f t="shared" ref="Z38:AB41" si="48">Z37*(1+AA37)</f>
        <v>4.0048368977284386E-2</v>
      </c>
      <c r="AA38" s="53">
        <f t="shared" si="47"/>
        <v>9.0552194087880622E-3</v>
      </c>
      <c r="AB38" s="218">
        <f t="shared" si="48"/>
        <v>0.1125779842777113</v>
      </c>
      <c r="AC38" s="53">
        <f t="shared" si="32"/>
        <v>-9.9520585386011495E-3</v>
      </c>
      <c r="AD38" s="218">
        <f t="shared" ref="AD38:AD41" si="49">AD37*(1+AE37)</f>
        <v>0.27971795883711142</v>
      </c>
      <c r="AE38" s="53">
        <f t="shared" si="32"/>
        <v>-1.2186193338449169E-2</v>
      </c>
      <c r="AF38" s="218">
        <f t="shared" ref="AF38:AF41" si="50">AF37*(1+AG37)</f>
        <v>0.6157819629436122</v>
      </c>
      <c r="AG38" s="53">
        <f t="shared" si="20"/>
        <v>3.457713320742517E-4</v>
      </c>
      <c r="AH38" s="218">
        <f t="shared" ref="AH38:AH41" si="51">AH37*(1+AI37)</f>
        <v>0.25610512239585093</v>
      </c>
      <c r="AI38" s="53">
        <f t="shared" si="21"/>
        <v>1.1949205869940416E-2</v>
      </c>
      <c r="AJ38" s="218">
        <f t="shared" ref="AJ38:AK44" si="52">AJ37*(1+AK37)</f>
        <v>0.14578134324219102</v>
      </c>
      <c r="AK38" s="218">
        <f t="shared" si="52"/>
        <v>0.92627490925264666</v>
      </c>
      <c r="AL38" s="53">
        <f t="shared" si="22"/>
        <v>7.8197184118899976E-4</v>
      </c>
      <c r="AM38" s="218">
        <f t="shared" ref="AM38:AM41" si="53">AM37*(1+AN37)</f>
        <v>0.71451835795850749</v>
      </c>
      <c r="AN38" s="53">
        <f t="shared" si="23"/>
        <v>5.1875655132196385E-3</v>
      </c>
      <c r="AO38" s="218">
        <f t="shared" ref="AO38:AO41" si="54">AO37*(1+AP37)</f>
        <v>0.75672511579676938</v>
      </c>
      <c r="AP38" s="53">
        <f t="shared" si="41"/>
        <v>2.2478428216206048E-3</v>
      </c>
      <c r="AQ38" s="218">
        <f t="shared" ref="AQ38:AQ41" si="55">AQ37*(1+AR37)</f>
        <v>1.7112381675980017</v>
      </c>
      <c r="AR38" s="53">
        <f t="shared" si="42"/>
        <v>1.1396750441150516E-3</v>
      </c>
      <c r="AS38" s="218">
        <f t="shared" ref="AS38:AS41" si="56">AS37*(1+AT37)</f>
        <v>0.87240624630064501</v>
      </c>
      <c r="AT38" s="53">
        <f t="shared" si="25"/>
        <v>1.4678436864858924E-3</v>
      </c>
      <c r="AU38" s="218">
        <f t="shared" ref="AU38:AU41" si="57">AU37*(1+AV37)</f>
        <v>1.1938800369264631</v>
      </c>
      <c r="AV38" s="53">
        <f t="shared" si="36"/>
        <v>-1.1792268231280989E-4</v>
      </c>
      <c r="AW38" s="218">
        <f t="shared" ref="AW38:AW41" si="58">AW37*(1+AX37)</f>
        <v>0.45493116208815582</v>
      </c>
      <c r="AX38" s="53">
        <f t="shared" si="26"/>
        <v>-4.1366845467261104E-4</v>
      </c>
      <c r="AY38" s="218">
        <f t="shared" ref="AY38:BA41" si="59">AY37*(1+AZ37)</f>
        <v>4.3486488439961644</v>
      </c>
      <c r="AZ38" s="53">
        <f t="shared" si="37"/>
        <v>4.8981660183939901E-3</v>
      </c>
      <c r="BA38" s="218">
        <f t="shared" si="59"/>
        <v>0.37352329952625807</v>
      </c>
      <c r="BB38" s="53">
        <f t="shared" si="27"/>
        <v>-6.1328174227029963E-3</v>
      </c>
      <c r="BC38" s="219">
        <f t="shared" ref="BC38:BD44" si="60">BC37</f>
        <v>1</v>
      </c>
      <c r="BD38" s="219">
        <f t="shared" si="60"/>
        <v>1</v>
      </c>
      <c r="BE38" s="105">
        <f t="shared" si="43"/>
        <v>0.19388003692646305</v>
      </c>
      <c r="BO38" s="26"/>
      <c r="BP38" s="29"/>
      <c r="BQ38" s="29"/>
      <c r="BR38" s="29"/>
      <c r="BS38" s="29"/>
      <c r="BT38" s="29"/>
      <c r="BU38" s="29"/>
      <c r="BV38" s="29"/>
      <c r="BW38" s="29"/>
      <c r="BX38" s="29"/>
      <c r="BZ38" s="26"/>
      <c r="CA38" s="29"/>
      <c r="CB38" s="29"/>
      <c r="CC38" s="29"/>
      <c r="CD38" s="29"/>
      <c r="CE38" s="29"/>
      <c r="CF38" s="29"/>
      <c r="CG38" s="29"/>
      <c r="CH38" s="29"/>
      <c r="CI38" s="29"/>
    </row>
    <row r="39" spans="1:87" x14ac:dyDescent="0.2">
      <c r="A39" s="26">
        <f t="shared" si="31"/>
        <v>2040</v>
      </c>
      <c r="B39" s="221">
        <f t="shared" si="38"/>
        <v>8.1229376462199596</v>
      </c>
      <c r="C39" s="221">
        <f t="shared" si="38"/>
        <v>3.3840199999999996</v>
      </c>
      <c r="D39" s="100">
        <f t="shared" si="0"/>
        <v>244.54888821166284</v>
      </c>
      <c r="E39" s="221">
        <f t="shared" si="34"/>
        <v>14.27918655909753</v>
      </c>
      <c r="F39" s="221">
        <f t="shared" si="34"/>
        <v>14.707632999999994</v>
      </c>
      <c r="G39" s="221">
        <f t="shared" si="34"/>
        <v>14.884598348910455</v>
      </c>
      <c r="H39" s="221">
        <f t="shared" si="34"/>
        <v>11.615630489210396</v>
      </c>
      <c r="I39" s="221">
        <f t="shared" si="34"/>
        <v>1.0038025924428378</v>
      </c>
      <c r="J39" s="221">
        <f t="shared" si="34"/>
        <v>533.04347614542678</v>
      </c>
      <c r="K39" s="221">
        <f t="shared" si="34"/>
        <v>409.97672057227493</v>
      </c>
      <c r="L39" s="100">
        <f t="shared" si="1"/>
        <v>327.88300506335577</v>
      </c>
      <c r="M39" s="100">
        <f t="shared" si="2"/>
        <v>315.37275361215052</v>
      </c>
      <c r="N39" s="100">
        <f t="shared" si="3"/>
        <v>56.847281268802945</v>
      </c>
      <c r="O39" s="100">
        <f t="shared" si="4"/>
        <v>637.5502337032749</v>
      </c>
      <c r="P39" s="100">
        <f t="shared" si="5"/>
        <v>190.75684427928303</v>
      </c>
      <c r="Q39" s="100">
        <f t="shared" si="6"/>
        <v>524.40018860568409</v>
      </c>
      <c r="R39" s="101">
        <f t="shared" si="35"/>
        <v>985.29075617456249</v>
      </c>
      <c r="S39" s="101">
        <f t="shared" si="35"/>
        <v>7460.0389300668276</v>
      </c>
      <c r="T39" s="72"/>
      <c r="U39" s="23">
        <v>2038</v>
      </c>
      <c r="V39" s="218">
        <f t="shared" si="44"/>
        <v>0.29948518253419998</v>
      </c>
      <c r="W39" s="53">
        <f t="shared" si="45"/>
        <v>-2.5662457502444447E-3</v>
      </c>
      <c r="X39" s="218">
        <f t="shared" si="46"/>
        <v>0.25916537522770522</v>
      </c>
      <c r="Y39" s="53">
        <f t="shared" si="47"/>
        <v>1.1949205869940416E-2</v>
      </c>
      <c r="Z39" s="218">
        <f t="shared" si="48"/>
        <v>4.04110157453378E-2</v>
      </c>
      <c r="AA39" s="53">
        <f t="shared" si="47"/>
        <v>9.0552194087880622E-3</v>
      </c>
      <c r="AB39" s="218">
        <f t="shared" si="48"/>
        <v>0.1114576015880218</v>
      </c>
      <c r="AC39" s="53">
        <f t="shared" si="32"/>
        <v>-9.9520585386011495E-3</v>
      </c>
      <c r="AD39" s="218">
        <f t="shared" si="49"/>
        <v>0.27630926171048603</v>
      </c>
      <c r="AE39" s="53">
        <f t="shared" si="32"/>
        <v>-1.2186193338449169E-2</v>
      </c>
      <c r="AF39" s="218">
        <f t="shared" si="50"/>
        <v>0.61599488269320657</v>
      </c>
      <c r="AG39" s="53">
        <f t="shared" si="20"/>
        <v>3.457713320742517E-4</v>
      </c>
      <c r="AH39" s="218">
        <f t="shared" si="51"/>
        <v>0.25916537522770522</v>
      </c>
      <c r="AI39" s="53">
        <f t="shared" si="21"/>
        <v>1.1949205869940416E-2</v>
      </c>
      <c r="AJ39" s="218">
        <f t="shared" si="52"/>
        <v>0.28081494372458049</v>
      </c>
      <c r="AK39" s="218">
        <f t="shared" si="52"/>
        <v>0.92699923014888208</v>
      </c>
      <c r="AL39" s="53">
        <f t="shared" si="22"/>
        <v>7.8197184118899976E-4</v>
      </c>
      <c r="AM39" s="218">
        <f t="shared" si="53"/>
        <v>0.71822496875081532</v>
      </c>
      <c r="AN39" s="53">
        <f t="shared" si="23"/>
        <v>5.1875655132196385E-3</v>
      </c>
      <c r="AO39" s="218">
        <f t="shared" si="54"/>
        <v>0.75842611491625311</v>
      </c>
      <c r="AP39" s="53">
        <f t="shared" si="41"/>
        <v>2.2478428216206048E-3</v>
      </c>
      <c r="AQ39" s="218">
        <f t="shared" si="55"/>
        <v>1.7131884230321504</v>
      </c>
      <c r="AR39" s="53">
        <f t="shared" si="42"/>
        <v>1.1396750441150516E-3</v>
      </c>
      <c r="AS39" s="218">
        <f t="shared" si="56"/>
        <v>0.87368680230132822</v>
      </c>
      <c r="AT39" s="53">
        <f t="shared" si="25"/>
        <v>1.4678436864858924E-3</v>
      </c>
      <c r="AU39" s="218">
        <f t="shared" si="57"/>
        <v>1.193739251390149</v>
      </c>
      <c r="AV39" s="53">
        <f t="shared" si="36"/>
        <v>-1.1792268231280989E-4</v>
      </c>
      <c r="AW39" s="218">
        <f t="shared" si="58"/>
        <v>0.45474297141735237</v>
      </c>
      <c r="AX39" s="53">
        <f t="shared" si="26"/>
        <v>-4.1366845467261104E-4</v>
      </c>
      <c r="AY39" s="218">
        <f t="shared" si="59"/>
        <v>4.369949247989755</v>
      </c>
      <c r="AZ39" s="53">
        <f t="shared" si="37"/>
        <v>4.8981660183939901E-3</v>
      </c>
      <c r="BA39" s="218">
        <f t="shared" si="59"/>
        <v>0.3712325493271379</v>
      </c>
      <c r="BB39" s="53">
        <f t="shared" si="27"/>
        <v>-6.1328174227031074E-3</v>
      </c>
      <c r="BC39" s="219">
        <f t="shared" si="60"/>
        <v>1</v>
      </c>
      <c r="BD39" s="219">
        <f t="shared" si="60"/>
        <v>1</v>
      </c>
      <c r="BE39" s="105">
        <f t="shared" si="43"/>
        <v>0.19373925139014903</v>
      </c>
      <c r="BO39" s="26"/>
      <c r="BP39" s="29"/>
      <c r="BQ39" s="29"/>
      <c r="BR39" s="29"/>
      <c r="BS39" s="29"/>
      <c r="BT39" s="29"/>
      <c r="BU39" s="29"/>
      <c r="BV39" s="29"/>
      <c r="BW39" s="29"/>
      <c r="BX39" s="29"/>
      <c r="BZ39" s="26"/>
      <c r="CA39" s="29"/>
      <c r="CB39" s="29"/>
      <c r="CC39" s="29"/>
      <c r="CD39" s="29"/>
      <c r="CE39" s="29"/>
      <c r="CF39" s="29"/>
      <c r="CG39" s="29"/>
      <c r="CH39" s="29"/>
      <c r="CI39" s="29"/>
    </row>
    <row r="40" spans="1:87" x14ac:dyDescent="0.2">
      <c r="A40" s="26">
        <f t="shared" si="31"/>
        <v>2041</v>
      </c>
      <c r="B40" s="221">
        <f t="shared" si="38"/>
        <v>8.12609234891546</v>
      </c>
      <c r="C40" s="221">
        <f t="shared" si="38"/>
        <v>3.3870249999999995</v>
      </c>
      <c r="D40" s="100">
        <f t="shared" si="0"/>
        <v>236.94283780260733</v>
      </c>
      <c r="E40" s="221">
        <f t="shared" si="34"/>
        <v>14.288447364435864</v>
      </c>
      <c r="F40" s="221">
        <f t="shared" si="34"/>
        <v>14.731205999999993</v>
      </c>
      <c r="G40" s="221">
        <f t="shared" si="34"/>
        <v>14.893686305910977</v>
      </c>
      <c r="H40" s="221">
        <f t="shared" si="34"/>
        <v>11.627692423050609</v>
      </c>
      <c r="I40" s="221">
        <f t="shared" si="34"/>
        <v>1.0045135175141504</v>
      </c>
      <c r="J40" s="221">
        <f t="shared" si="34"/>
        <v>532.40052070683942</v>
      </c>
      <c r="K40" s="221">
        <f t="shared" si="34"/>
        <v>407.84955444978317</v>
      </c>
      <c r="L40" s="100">
        <f t="shared" si="1"/>
        <v>327.69698641229098</v>
      </c>
      <c r="M40" s="100">
        <f t="shared" si="2"/>
        <v>315.37273680704646</v>
      </c>
      <c r="N40" s="100">
        <f t="shared" si="3"/>
        <v>56.834610548017871</v>
      </c>
      <c r="O40" s="100">
        <f t="shared" si="4"/>
        <v>637.92635597417802</v>
      </c>
      <c r="P40" s="100">
        <f t="shared" si="5"/>
        <v>191.14013431677583</v>
      </c>
      <c r="Q40" s="100">
        <f t="shared" si="6"/>
        <v>524.21281782257461</v>
      </c>
      <c r="R40" s="101">
        <f t="shared" si="35"/>
        <v>981.84032644725016</v>
      </c>
      <c r="S40" s="101">
        <f t="shared" si="35"/>
        <v>7549.9207440073469</v>
      </c>
      <c r="T40" s="72"/>
      <c r="U40" s="23">
        <v>2039</v>
      </c>
      <c r="V40" s="218">
        <f t="shared" si="44"/>
        <v>0.29871662995726039</v>
      </c>
      <c r="W40" s="53">
        <f t="shared" si="45"/>
        <v>-2.5662457502444447E-3</v>
      </c>
      <c r="X40" s="218">
        <f t="shared" si="46"/>
        <v>0.26226219565066144</v>
      </c>
      <c r="Y40" s="53">
        <f t="shared" si="47"/>
        <v>1.1949205869940416E-2</v>
      </c>
      <c r="Z40" s="218">
        <f t="shared" si="48"/>
        <v>4.0776946359443823E-2</v>
      </c>
      <c r="AA40" s="53">
        <f t="shared" si="47"/>
        <v>9.0552194087880622E-3</v>
      </c>
      <c r="AB40" s="218">
        <f t="shared" si="48"/>
        <v>0.11034836901244573</v>
      </c>
      <c r="AC40" s="53">
        <f t="shared" si="32"/>
        <v>-9.9520585386011495E-3</v>
      </c>
      <c r="AD40" s="218">
        <f t="shared" si="49"/>
        <v>0.2729421036260779</v>
      </c>
      <c r="AE40" s="53">
        <f t="shared" si="32"/>
        <v>-1.2186193338449169E-2</v>
      </c>
      <c r="AF40" s="218">
        <f t="shared" si="50"/>
        <v>0.61620787606434635</v>
      </c>
      <c r="AG40" s="53">
        <f t="shared" si="20"/>
        <v>3.457713320742517E-4</v>
      </c>
      <c r="AH40" s="218">
        <f t="shared" si="51"/>
        <v>0.26226219565066144</v>
      </c>
      <c r="AI40" s="53">
        <f t="shared" si="21"/>
        <v>1.1949205869940416E-2</v>
      </c>
      <c r="AJ40" s="218">
        <f t="shared" si="52"/>
        <v>0.54113018037156824</v>
      </c>
      <c r="AK40" s="218">
        <f t="shared" si="52"/>
        <v>0.92772411744366234</v>
      </c>
      <c r="AL40" s="53">
        <f t="shared" si="22"/>
        <v>7.8197184118899976E-4</v>
      </c>
      <c r="AM40" s="218">
        <f t="shared" si="53"/>
        <v>0.72195080782944032</v>
      </c>
      <c r="AN40" s="53">
        <f t="shared" si="23"/>
        <v>5.1875655132196385E-3</v>
      </c>
      <c r="AO40" s="218">
        <f t="shared" si="54"/>
        <v>0.76013093761439721</v>
      </c>
      <c r="AP40" s="53">
        <f t="shared" si="41"/>
        <v>2.2478428216206048E-3</v>
      </c>
      <c r="AQ40" s="218">
        <f t="shared" si="55"/>
        <v>1.7151409011237468</v>
      </c>
      <c r="AR40" s="53">
        <f t="shared" si="42"/>
        <v>1.1396750441150516E-3</v>
      </c>
      <c r="AS40" s="218">
        <f t="shared" si="56"/>
        <v>0.87496923795805226</v>
      </c>
      <c r="AT40" s="53">
        <f t="shared" si="25"/>
        <v>1.4678436864858924E-3</v>
      </c>
      <c r="AU40" s="218">
        <f t="shared" si="57"/>
        <v>1.1935984824556429</v>
      </c>
      <c r="AV40" s="53">
        <f t="shared" si="36"/>
        <v>-1.1792268231292091E-4</v>
      </c>
      <c r="AW40" s="218">
        <f t="shared" si="58"/>
        <v>0.45455485859509293</v>
      </c>
      <c r="AX40" s="53">
        <f t="shared" si="26"/>
        <v>-4.1366845467261104E-4</v>
      </c>
      <c r="AY40" s="218">
        <f t="shared" si="59"/>
        <v>4.3913539848983651</v>
      </c>
      <c r="AZ40" s="53">
        <f t="shared" si="37"/>
        <v>4.8981660183939901E-3</v>
      </c>
      <c r="BA40" s="218">
        <f t="shared" si="59"/>
        <v>0.36895584788074992</v>
      </c>
      <c r="BB40" s="53">
        <f t="shared" si="27"/>
        <v>-6.1328174227031074E-3</v>
      </c>
      <c r="BC40" s="219">
        <f t="shared" si="60"/>
        <v>1</v>
      </c>
      <c r="BD40" s="219">
        <f t="shared" si="60"/>
        <v>1</v>
      </c>
      <c r="BE40" s="105">
        <f t="shared" si="43"/>
        <v>0.19359848245564293</v>
      </c>
      <c r="BO40" s="26"/>
      <c r="BP40" s="29"/>
      <c r="BQ40" s="29"/>
      <c r="BR40" s="29"/>
      <c r="BS40" s="29"/>
      <c r="BT40" s="29"/>
      <c r="BU40" s="29"/>
      <c r="BV40" s="29"/>
      <c r="BW40" s="29"/>
      <c r="BX40" s="29"/>
      <c r="BZ40" s="26"/>
      <c r="CA40" s="29"/>
      <c r="CB40" s="29"/>
      <c r="CC40" s="29"/>
      <c r="CD40" s="29"/>
      <c r="CE40" s="29"/>
      <c r="CF40" s="29"/>
      <c r="CG40" s="29"/>
      <c r="CH40" s="29"/>
      <c r="CI40" s="29"/>
    </row>
    <row r="41" spans="1:87" x14ac:dyDescent="0.2">
      <c r="A41" s="26">
        <f t="shared" si="31"/>
        <v>2042</v>
      </c>
      <c r="B41" s="221">
        <f t="shared" si="38"/>
        <v>8.1292470516109603</v>
      </c>
      <c r="C41" s="221">
        <f t="shared" si="38"/>
        <v>3.3900299999999994</v>
      </c>
      <c r="D41" s="100">
        <f t="shared" si="0"/>
        <v>229.57335360020343</v>
      </c>
      <c r="E41" s="221">
        <f t="shared" si="34"/>
        <v>14.297708169774198</v>
      </c>
      <c r="F41" s="221">
        <f t="shared" si="34"/>
        <v>14.754778999999992</v>
      </c>
      <c r="G41" s="221">
        <f t="shared" si="34"/>
        <v>14.9027742629115</v>
      </c>
      <c r="H41" s="221">
        <f t="shared" si="34"/>
        <v>11.639754356890823</v>
      </c>
      <c r="I41" s="221">
        <f t="shared" si="34"/>
        <v>1.0052244425854631</v>
      </c>
      <c r="J41" s="221">
        <f t="shared" si="34"/>
        <v>531.75756526825205</v>
      </c>
      <c r="K41" s="221">
        <f t="shared" si="34"/>
        <v>405.72238832729141</v>
      </c>
      <c r="L41" s="100">
        <f t="shared" si="1"/>
        <v>327.51107329563337</v>
      </c>
      <c r="M41" s="100">
        <f t="shared" si="2"/>
        <v>315.37272000194326</v>
      </c>
      <c r="N41" s="100">
        <f t="shared" si="3"/>
        <v>56.821942651416499</v>
      </c>
      <c r="O41" s="100">
        <f t="shared" si="4"/>
        <v>638.30270013812606</v>
      </c>
      <c r="P41" s="100">
        <f t="shared" si="5"/>
        <v>191.52419450358303</v>
      </c>
      <c r="Q41" s="100">
        <f t="shared" si="6"/>
        <v>524.02551398797334</v>
      </c>
      <c r="R41" s="101">
        <f t="shared" si="35"/>
        <v>978.40197991997638</v>
      </c>
      <c r="S41" s="101">
        <f t="shared" si="35"/>
        <v>7640.8854933793009</v>
      </c>
      <c r="T41" s="72"/>
      <c r="U41" s="23">
        <v>2040</v>
      </c>
      <c r="V41" s="218">
        <f t="shared" si="44"/>
        <v>0.29795004967510524</v>
      </c>
      <c r="W41" s="53">
        <f t="shared" si="45"/>
        <v>-2.5662457502444447E-3</v>
      </c>
      <c r="X41" s="218">
        <f t="shared" si="46"/>
        <v>0.26539602061839379</v>
      </c>
      <c r="Y41" s="53">
        <f t="shared" si="47"/>
        <v>1.1949205869940416E-2</v>
      </c>
      <c r="Z41" s="218">
        <f t="shared" si="48"/>
        <v>4.1146190555548967E-2</v>
      </c>
      <c r="AA41" s="53">
        <f t="shared" si="47"/>
        <v>9.0552194087880622E-3</v>
      </c>
      <c r="AB41" s="218">
        <f t="shared" si="48"/>
        <v>0.1092501755843947</v>
      </c>
      <c r="AC41" s="53">
        <f t="shared" si="32"/>
        <v>-9.9520585386011495E-3</v>
      </c>
      <c r="AD41" s="218">
        <f t="shared" si="49"/>
        <v>0.26961597838108747</v>
      </c>
      <c r="AE41" s="53">
        <f t="shared" si="32"/>
        <v>-1.218619333844928E-2</v>
      </c>
      <c r="AF41" s="218">
        <f t="shared" si="50"/>
        <v>0.61642094308248774</v>
      </c>
      <c r="AG41" s="53">
        <f t="shared" si="20"/>
        <v>3.457713320742517E-4</v>
      </c>
      <c r="AH41" s="218">
        <f t="shared" si="51"/>
        <v>0.26539602061839379</v>
      </c>
      <c r="AI41" s="53">
        <f t="shared" si="21"/>
        <v>1.1949205869940416E-2</v>
      </c>
      <c r="AJ41" s="218">
        <f t="shared" si="52"/>
        <v>1.0431496993789111</v>
      </c>
      <c r="AK41" s="218">
        <f t="shared" si="52"/>
        <v>0.92844957157989516</v>
      </c>
      <c r="AL41" s="53">
        <f t="shared" si="22"/>
        <v>7.8197184118899976E-4</v>
      </c>
      <c r="AM41" s="218">
        <f t="shared" si="53"/>
        <v>0.72569597494237736</v>
      </c>
      <c r="AN41" s="53">
        <f t="shared" si="23"/>
        <v>5.1875655132196385E-3</v>
      </c>
      <c r="AO41" s="218">
        <f t="shared" si="54"/>
        <v>0.76183959248600552</v>
      </c>
      <c r="AP41" s="53">
        <f t="shared" si="41"/>
        <v>2.2478428216206048E-3</v>
      </c>
      <c r="AQ41" s="218">
        <f t="shared" si="55"/>
        <v>1.7170956044058985</v>
      </c>
      <c r="AR41" s="53">
        <f t="shared" si="42"/>
        <v>1.1396750441150516E-3</v>
      </c>
      <c r="AS41" s="218">
        <f t="shared" si="56"/>
        <v>0.87625355602985833</v>
      </c>
      <c r="AT41" s="53">
        <f t="shared" si="25"/>
        <v>1.4678436864858924E-3</v>
      </c>
      <c r="AU41" s="218">
        <f t="shared" si="57"/>
        <v>1.1934577301209872</v>
      </c>
      <c r="AV41" s="53">
        <f t="shared" si="36"/>
        <v>-1.1792268231280989E-4</v>
      </c>
      <c r="AW41" s="218">
        <f t="shared" si="58"/>
        <v>0.45436682358917396</v>
      </c>
      <c r="AX41" s="53">
        <f t="shared" si="26"/>
        <v>-4.1366845467261104E-4</v>
      </c>
      <c r="AY41" s="218">
        <f t="shared" si="59"/>
        <v>4.4128635657619331</v>
      </c>
      <c r="AZ41" s="53">
        <f t="shared" si="37"/>
        <v>4.8981660183939901E-3</v>
      </c>
      <c r="BA41" s="218">
        <f t="shared" si="59"/>
        <v>0.36669310902865865</v>
      </c>
      <c r="BB41" s="53">
        <f t="shared" si="27"/>
        <v>-6.1328174227031074E-3</v>
      </c>
      <c r="BC41" s="219">
        <f t="shared" si="60"/>
        <v>1</v>
      </c>
      <c r="BD41" s="219">
        <f t="shared" si="60"/>
        <v>1</v>
      </c>
      <c r="BE41" s="105">
        <f t="shared" si="43"/>
        <v>0.19345773012098721</v>
      </c>
      <c r="BO41" s="26"/>
      <c r="BP41" s="29"/>
      <c r="BQ41" s="29"/>
      <c r="BR41" s="29"/>
      <c r="BS41" s="29"/>
      <c r="BT41" s="29"/>
      <c r="BU41" s="29"/>
      <c r="BV41" s="29"/>
      <c r="BW41" s="29"/>
      <c r="BX41" s="29"/>
      <c r="BZ41" s="26"/>
      <c r="CA41" s="29"/>
      <c r="CB41" s="29"/>
      <c r="CC41" s="29"/>
      <c r="CD41" s="29"/>
      <c r="CE41" s="29"/>
      <c r="CF41" s="29"/>
      <c r="CG41" s="29"/>
      <c r="CH41" s="29"/>
      <c r="CI41" s="29"/>
    </row>
    <row r="42" spans="1:87" x14ac:dyDescent="0.2">
      <c r="A42" s="26">
        <f t="shared" si="31"/>
        <v>2043</v>
      </c>
      <c r="B42" s="221">
        <f t="shared" si="38"/>
        <v>8.1324017543064606</v>
      </c>
      <c r="C42" s="221">
        <f t="shared" si="38"/>
        <v>3.3930349999999994</v>
      </c>
      <c r="D42" s="100">
        <f t="shared" si="0"/>
        <v>222.43307783437066</v>
      </c>
      <c r="E42" s="221">
        <f t="shared" si="34"/>
        <v>14.306968975112532</v>
      </c>
      <c r="F42" s="221">
        <f t="shared" si="34"/>
        <v>14.778351999999991</v>
      </c>
      <c r="G42" s="221">
        <f t="shared" si="34"/>
        <v>14.911862219912022</v>
      </c>
      <c r="H42" s="221">
        <f t="shared" si="34"/>
        <v>11.651816290731036</v>
      </c>
      <c r="I42" s="221">
        <f t="shared" si="34"/>
        <v>1.0059353676567757</v>
      </c>
      <c r="J42" s="221">
        <f t="shared" si="34"/>
        <v>531.11460982966469</v>
      </c>
      <c r="K42" s="221">
        <f t="shared" si="34"/>
        <v>403.59522220479965</v>
      </c>
      <c r="L42" s="100">
        <f t="shared" si="1"/>
        <v>327.32526565350975</v>
      </c>
      <c r="M42" s="100">
        <f t="shared" si="2"/>
        <v>315.37270319684097</v>
      </c>
      <c r="N42" s="100">
        <f t="shared" si="3"/>
        <v>56.809277578369361</v>
      </c>
      <c r="O42" s="100">
        <f t="shared" si="4"/>
        <v>638.6792663260245</v>
      </c>
      <c r="P42" s="100">
        <f t="shared" si="5"/>
        <v>191.909026387175</v>
      </c>
      <c r="Q42" s="100">
        <f t="shared" si="6"/>
        <v>523.83827707795945</v>
      </c>
      <c r="R42" s="101">
        <f t="shared" si="35"/>
        <v>974.97567427809224</v>
      </c>
      <c r="S42" s="101">
        <f t="shared" si="35"/>
        <v>7732.9462258627145</v>
      </c>
      <c r="T42" s="72"/>
      <c r="U42" s="23">
        <v>2041</v>
      </c>
      <c r="V42" s="218">
        <f>V41*(1+W41)</f>
        <v>0.29718543662634139</v>
      </c>
      <c r="W42" s="53">
        <f>V42/V41-1</f>
        <v>-2.5662457502444447E-3</v>
      </c>
      <c r="X42" s="218">
        <f>X41*(1+Y41)</f>
        <v>0.26856729230582593</v>
      </c>
      <c r="Y42" s="53">
        <f>X42/X41-1</f>
        <v>1.1949205869940416E-2</v>
      </c>
      <c r="Z42" s="218">
        <f>Z41*(1+AA41)</f>
        <v>4.1518778338865268E-2</v>
      </c>
      <c r="AA42" s="53">
        <f>Z42/Z41-1</f>
        <v>9.0552194087880622E-3</v>
      </c>
      <c r="AB42" s="218">
        <f>AB41*(1+AC41)</f>
        <v>0.10816291144162636</v>
      </c>
      <c r="AC42" s="53">
        <f>AB42/AB41-1</f>
        <v>-9.9520585386010385E-3</v>
      </c>
      <c r="AD42" s="218">
        <f>AD41*(1+AE41)</f>
        <v>0.2663303859414004</v>
      </c>
      <c r="AE42" s="53">
        <f>AD42/AD41-1</f>
        <v>-1.2186193338449169E-2</v>
      </c>
      <c r="AF42" s="218">
        <f>AF41*(1+AG41)</f>
        <v>0.61663408377309581</v>
      </c>
      <c r="AG42" s="53">
        <f>AF42/AF41-1</f>
        <v>3.457713320742517E-4</v>
      </c>
      <c r="AH42" s="218">
        <f>AH41*(1+AI41)</f>
        <v>0.26856729230582593</v>
      </c>
      <c r="AI42" s="53">
        <f>AH42/AH41-1</f>
        <v>1.1949205869940416E-2</v>
      </c>
      <c r="AJ42" s="218">
        <f t="shared" si="52"/>
        <v>2.0116615908609576</v>
      </c>
      <c r="AK42" s="218">
        <f t="shared" si="52"/>
        <v>0.92917559300083463</v>
      </c>
      <c r="AL42" s="53">
        <f>AK42/AK41-1</f>
        <v>7.8197184118899976E-4</v>
      </c>
      <c r="AM42" s="218">
        <f>AM41*(1+AN41)</f>
        <v>0.72946057035507073</v>
      </c>
      <c r="AN42" s="53">
        <f>AM42/AM41-1</f>
        <v>5.1875655132196385E-3</v>
      </c>
      <c r="AO42" s="218">
        <f>AO41*(1+AP41)</f>
        <v>0.76355208814520159</v>
      </c>
      <c r="AP42" s="53">
        <f>AO42/AO41-1</f>
        <v>2.2478428216206048E-3</v>
      </c>
      <c r="AQ42" s="218">
        <f>AQ41*(1+AR41)</f>
        <v>1.7190525354145996</v>
      </c>
      <c r="AR42" s="53">
        <f>AQ42/AQ41-1</f>
        <v>1.1396750441150516E-3</v>
      </c>
      <c r="AS42" s="218">
        <f>AS41*(1+AT41)</f>
        <v>0.87753975927983752</v>
      </c>
      <c r="AT42" s="53">
        <f>AS42/AS41-1</f>
        <v>1.4678436864858924E-3</v>
      </c>
      <c r="AU42" s="218">
        <f>AU41*(1+AV41)</f>
        <v>1.1933169943842243</v>
      </c>
      <c r="AV42" s="53">
        <f>AU42/AU41-1</f>
        <v>-1.1792268231280989E-4</v>
      </c>
      <c r="AW42" s="218">
        <f>AW41*(1+AX41)</f>
        <v>0.45417886636740534</v>
      </c>
      <c r="AX42" s="53">
        <f>AW42/AW41-1</f>
        <v>-4.1366845467261104E-4</v>
      </c>
      <c r="AY42" s="218">
        <f>AY41*(1+AZ41)</f>
        <v>4.4344785041235575</v>
      </c>
      <c r="AZ42" s="53">
        <f>AY42/AY41-1</f>
        <v>4.8981660183939901E-3</v>
      </c>
      <c r="BA42" s="218">
        <f>BA41*(1+BB41)</f>
        <v>0.36444424714082252</v>
      </c>
      <c r="BB42" s="53">
        <f>BA42/BA41-1</f>
        <v>-6.1328174227031074E-3</v>
      </c>
      <c r="BC42" s="219">
        <f t="shared" si="60"/>
        <v>1</v>
      </c>
      <c r="BD42" s="219">
        <f t="shared" si="60"/>
        <v>1</v>
      </c>
      <c r="BE42" s="105">
        <f>AU42-1</f>
        <v>0.19331699438422434</v>
      </c>
      <c r="BO42" s="26"/>
      <c r="BP42" s="29"/>
      <c r="BQ42" s="29"/>
      <c r="BR42" s="29"/>
      <c r="BS42" s="29"/>
      <c r="BT42" s="29"/>
      <c r="BU42" s="29"/>
      <c r="BV42" s="29"/>
      <c r="BW42" s="29"/>
      <c r="BX42" s="29"/>
      <c r="BZ42" s="26"/>
      <c r="CA42" s="29"/>
      <c r="CB42" s="29"/>
      <c r="CC42" s="29"/>
      <c r="CD42" s="29"/>
      <c r="CE42" s="29"/>
      <c r="CF42" s="29"/>
      <c r="CG42" s="29"/>
      <c r="CH42" s="29"/>
      <c r="CI42" s="29"/>
    </row>
    <row r="43" spans="1:87" x14ac:dyDescent="0.2">
      <c r="R43" s="73"/>
      <c r="S43" s="73"/>
      <c r="T43" s="72"/>
      <c r="U43" s="23">
        <v>2042</v>
      </c>
      <c r="V43" s="218">
        <f>V42*(1+W42)</f>
        <v>0.29642278576256448</v>
      </c>
      <c r="W43" s="53">
        <f>V43/V42-1</f>
        <v>-2.5662457502445557E-3</v>
      </c>
      <c r="X43" s="218">
        <f>X42*(1+Y42)</f>
        <v>0.27177645817152069</v>
      </c>
      <c r="Y43" s="53">
        <f>X43/X42-1</f>
        <v>1.1949205869940416E-2</v>
      </c>
      <c r="Z43" s="218">
        <f>Z42*(1+AA42)</f>
        <v>4.1894739986308528E-2</v>
      </c>
      <c r="AA43" s="53">
        <f>Z43/Z42-1</f>
        <v>9.0552194087880622E-3</v>
      </c>
      <c r="AB43" s="218">
        <f>AB42*(1+AC42)</f>
        <v>0.10708646781525377</v>
      </c>
      <c r="AC43" s="53">
        <f>AB43/AB42-1</f>
        <v>-9.9520585386010385E-3</v>
      </c>
      <c r="AD43" s="218">
        <f>AD42*(1+AE42)</f>
        <v>0.26308483236641472</v>
      </c>
      <c r="AE43" s="53">
        <f>AD43/AD42-1</f>
        <v>-1.2186193338449169E-2</v>
      </c>
      <c r="AF43" s="218">
        <f>AF42*(1+AG42)</f>
        <v>0.61684729816164441</v>
      </c>
      <c r="AG43" s="53">
        <f>AF43/AF42-1</f>
        <v>3.457713320742517E-4</v>
      </c>
      <c r="AH43" s="218">
        <f>AH42*(1+AI42)</f>
        <v>0.27177645817152069</v>
      </c>
      <c r="AI43" s="53">
        <f>AH43/AH42-1</f>
        <v>1.1949205869940416E-2</v>
      </c>
      <c r="AJ43" s="218">
        <f t="shared" si="52"/>
        <v>3.8808484424661902</v>
      </c>
      <c r="AK43" s="218">
        <f t="shared" si="52"/>
        <v>0.92990218215008136</v>
      </c>
      <c r="AL43" s="53">
        <f>AK43/AK42-1</f>
        <v>7.8197184118899976E-4</v>
      </c>
      <c r="AM43" s="218">
        <f>AM42*(1+AN42)</f>
        <v>0.73324469485309818</v>
      </c>
      <c r="AN43" s="53">
        <f>AM43/AM42-1</f>
        <v>5.1875655132196385E-3</v>
      </c>
      <c r="AO43" s="218">
        <f>AO42*(1+AP42)</f>
        <v>0.76526843322547222</v>
      </c>
      <c r="AP43" s="53">
        <f>AO43/AO42-1</f>
        <v>2.2478428216206048E-3</v>
      </c>
      <c r="AQ43" s="218">
        <f>AQ42*(1+AR42)</f>
        <v>1.7210116966887343</v>
      </c>
      <c r="AR43" s="53">
        <f>AQ43/AQ42-1</f>
        <v>1.1396750441150516E-3</v>
      </c>
      <c r="AS43" s="218">
        <f>AS42*(1+AT42)</f>
        <v>0.87882785047513678</v>
      </c>
      <c r="AT43" s="53">
        <f>AS43/AS42-1</f>
        <v>1.4678436864858924E-3</v>
      </c>
      <c r="AU43" s="218">
        <f>AU42*(1+AV42)</f>
        <v>1.1931762752433972</v>
      </c>
      <c r="AV43" s="53">
        <f>AU43/AU42-1</f>
        <v>-1.1792268231269887E-4</v>
      </c>
      <c r="AW43" s="218">
        <f>AW42*(1+AX42)</f>
        <v>0.45399098689761019</v>
      </c>
      <c r="AX43" s="53">
        <f>AW43/AW42-1</f>
        <v>-4.1366845467261104E-4</v>
      </c>
      <c r="AY43" s="218">
        <f>AY42*(1+AZ42)</f>
        <v>4.4561993160417543</v>
      </c>
      <c r="AZ43" s="53">
        <f>AY43/AY42-1</f>
        <v>4.8981660183939901E-3</v>
      </c>
      <c r="BA43" s="218">
        <f>BA42*(1+BB42)</f>
        <v>0.36220917711235334</v>
      </c>
      <c r="BB43" s="53">
        <f>BA43/BA42-1</f>
        <v>-6.1328174227032184E-3</v>
      </c>
      <c r="BC43" s="219">
        <f t="shared" si="60"/>
        <v>1</v>
      </c>
      <c r="BD43" s="219">
        <f t="shared" si="60"/>
        <v>1</v>
      </c>
      <c r="BE43" s="105">
        <f>AU43-1</f>
        <v>0.1931762752433972</v>
      </c>
      <c r="BO43" s="26">
        <v>2023</v>
      </c>
      <c r="BP43" s="29">
        <f t="shared" ref="BP43:BX55" si="61">BP104/BP$80</f>
        <v>1.1741176470588235</v>
      </c>
      <c r="BQ43" s="29">
        <f t="shared" si="61"/>
        <v>1.0565400843881856</v>
      </c>
      <c r="BR43" s="29">
        <f t="shared" si="61"/>
        <v>1.0739348370927317</v>
      </c>
      <c r="BS43" s="29">
        <f t="shared" si="61"/>
        <v>0.99119241192411933</v>
      </c>
      <c r="BT43" s="29">
        <f t="shared" si="61"/>
        <v>1.1194029850746268</v>
      </c>
      <c r="BU43" s="29">
        <f t="shared" si="61"/>
        <v>0.99361249112845995</v>
      </c>
      <c r="BV43" s="29">
        <f t="shared" si="61"/>
        <v>0.92073490813648284</v>
      </c>
      <c r="BW43" s="29">
        <f t="shared" si="61"/>
        <v>1.0279635258358664</v>
      </c>
      <c r="BX43" s="29">
        <f t="shared" si="61"/>
        <v>0.9527198779867817</v>
      </c>
      <c r="BZ43" s="26">
        <v>2023</v>
      </c>
      <c r="CA43" s="29">
        <f t="shared" ref="CA43:CI55" si="62">CA104/CA$80</f>
        <v>0.89446721311475419</v>
      </c>
      <c r="CB43" s="29">
        <f t="shared" si="62"/>
        <v>0.86283704572098485</v>
      </c>
      <c r="CC43" s="29">
        <f t="shared" si="62"/>
        <v>0.81756756756756754</v>
      </c>
      <c r="CD43" s="29">
        <f t="shared" si="62"/>
        <v>0.83243967828418231</v>
      </c>
      <c r="CE43" s="29">
        <f t="shared" si="62"/>
        <v>0.83536585365853666</v>
      </c>
      <c r="CF43" s="29">
        <f t="shared" si="62"/>
        <v>0.82723112128146459</v>
      </c>
      <c r="CG43" s="29">
        <f t="shared" si="62"/>
        <v>0.80278128950695316</v>
      </c>
      <c r="CH43" s="29">
        <f t="shared" si="62"/>
        <v>0.91994177583697234</v>
      </c>
      <c r="CI43" s="29">
        <f t="shared" si="62"/>
        <v>0.91486486486486474</v>
      </c>
    </row>
    <row r="44" spans="1:87" x14ac:dyDescent="0.2">
      <c r="A44" s="74" t="s">
        <v>126</v>
      </c>
      <c r="B44" s="331" t="s">
        <v>127</v>
      </c>
      <c r="C44" s="331"/>
      <c r="D44" s="331"/>
      <c r="E44" s="331"/>
      <c r="F44" s="331"/>
      <c r="S44" s="333"/>
      <c r="T44" s="72"/>
      <c r="U44" s="23">
        <v>2043</v>
      </c>
      <c r="V44" s="218">
        <f>V43*(1+W43)</f>
        <v>0.29566209204832566</v>
      </c>
      <c r="W44" s="53">
        <f>V44/V43-1</f>
        <v>-2.5662457502444447E-3</v>
      </c>
      <c r="X44" s="218">
        <f>X43*(1+Y43)</f>
        <v>0.27502397102081544</v>
      </c>
      <c r="Y44" s="53">
        <f>X44/X43-1</f>
        <v>1.1949205869940416E-2</v>
      </c>
      <c r="Z44" s="218">
        <f>Z43*(1+AA43)</f>
        <v>4.2274106048958676E-2</v>
      </c>
      <c r="AA44" s="53">
        <f>Z44/Z43-1</f>
        <v>9.0552194087880622E-3</v>
      </c>
      <c r="AB44" s="218">
        <f>AB43*(1+AC43)</f>
        <v>0.10602073701886434</v>
      </c>
      <c r="AC44" s="53">
        <f>AB44/AB43-1</f>
        <v>-9.9520585386010385E-3</v>
      </c>
      <c r="AD44" s="218">
        <f>AD43*(1+AE43)</f>
        <v>0.2598788297347841</v>
      </c>
      <c r="AE44" s="53">
        <f>AD44/AD43-1</f>
        <v>-1.2186193338449169E-2</v>
      </c>
      <c r="AF44" s="218">
        <f>AF43*(1+AG43)</f>
        <v>0.61706058627361615</v>
      </c>
      <c r="AG44" s="53">
        <f>AF44/AF43-1</f>
        <v>3.457713320742517E-4</v>
      </c>
      <c r="AH44" s="218">
        <f>AH43*(1+AI43)</f>
        <v>0.27502397102081544</v>
      </c>
      <c r="AI44" s="53">
        <f>AH44/AH43-1</f>
        <v>1.1949205869940416E-2</v>
      </c>
      <c r="AJ44" s="218">
        <f t="shared" si="52"/>
        <v>7.4896578777092451</v>
      </c>
      <c r="AK44" s="218">
        <f t="shared" si="52"/>
        <v>0.93062933947158288</v>
      </c>
      <c r="AL44" s="53">
        <f>AK44/AK43-1</f>
        <v>7.8197184118899976E-4</v>
      </c>
      <c r="AM44" s="218">
        <f>AM43*(1+AN43)</f>
        <v>0.73704844974486938</v>
      </c>
      <c r="AN44" s="53">
        <f>AM44/AM43-1</f>
        <v>5.1875655132196385E-3</v>
      </c>
      <c r="AO44" s="218">
        <f>AO43*(1+AP43)</f>
        <v>0.76698863637971093</v>
      </c>
      <c r="AP44" s="53">
        <f>AO44/AO43-1</f>
        <v>2.2478428216206048E-3</v>
      </c>
      <c r="AQ44" s="218">
        <f>AQ43*(1+AR43)</f>
        <v>1.7229730907700807</v>
      </c>
      <c r="AR44" s="53">
        <f>AQ44/AQ43-1</f>
        <v>1.1396750441150516E-3</v>
      </c>
      <c r="AS44" s="218">
        <f>AS43*(1+AT43)</f>
        <v>0.88011783238696473</v>
      </c>
      <c r="AT44" s="53">
        <f>AS44/AS43-1</f>
        <v>1.4678436864858924E-3</v>
      </c>
      <c r="AU44" s="218">
        <f>AU43*(1+AV43)</f>
        <v>1.1930355726965487</v>
      </c>
      <c r="AV44" s="53">
        <f>AU44/AU43-1</f>
        <v>-1.1792268231258785E-4</v>
      </c>
      <c r="AW44" s="218">
        <f>AW43*(1+AX43)</f>
        <v>0.45380318514762497</v>
      </c>
      <c r="AX44" s="53">
        <f>AW44/AW43-1</f>
        <v>-4.1366845467261104E-4</v>
      </c>
      <c r="AY44" s="218">
        <f>AY43*(1+AZ43)</f>
        <v>4.4780265201027802</v>
      </c>
      <c r="AZ44" s="53">
        <f>AY44/AY43-1</f>
        <v>4.8981660183939901E-3</v>
      </c>
      <c r="BA44" s="218">
        <f>BA43*(1+BB43)</f>
        <v>0.3599878143602957</v>
      </c>
      <c r="BB44" s="53">
        <f>BA44/BA43-1</f>
        <v>-6.1328174227032184E-3</v>
      </c>
      <c r="BC44" s="219">
        <f t="shared" si="60"/>
        <v>1</v>
      </c>
      <c r="BD44" s="219">
        <f t="shared" si="60"/>
        <v>1</v>
      </c>
      <c r="BE44" s="105">
        <f>AU44-1</f>
        <v>0.1930355726965487</v>
      </c>
      <c r="BO44" s="26">
        <v>2024</v>
      </c>
      <c r="BP44" s="29">
        <f t="shared" si="61"/>
        <v>1.1592156862745098</v>
      </c>
      <c r="BQ44" s="29">
        <f t="shared" si="61"/>
        <v>1.0510548523206751</v>
      </c>
      <c r="BR44" s="29">
        <f t="shared" si="61"/>
        <v>1.0689223057644108</v>
      </c>
      <c r="BS44" s="29">
        <f t="shared" si="61"/>
        <v>0.98644986449864502</v>
      </c>
      <c r="BT44" s="29">
        <f t="shared" si="61"/>
        <v>1.1170149253731343</v>
      </c>
      <c r="BU44" s="29">
        <f t="shared" si="61"/>
        <v>0.98367636621717525</v>
      </c>
      <c r="BV44" s="29">
        <f t="shared" si="61"/>
        <v>0.92965879265091866</v>
      </c>
      <c r="BW44" s="29">
        <f t="shared" si="61"/>
        <v>1.0358662613981764</v>
      </c>
      <c r="BX44" s="29">
        <f t="shared" si="61"/>
        <v>0.9527198779867817</v>
      </c>
      <c r="BZ44" s="26">
        <v>2024</v>
      </c>
      <c r="CA44" s="29">
        <f t="shared" si="62"/>
        <v>0.90573770491803274</v>
      </c>
      <c r="CB44" s="29">
        <f t="shared" si="62"/>
        <v>0.87221570926143033</v>
      </c>
      <c r="CC44" s="29">
        <f t="shared" si="62"/>
        <v>0.83378378378378371</v>
      </c>
      <c r="CD44" s="29">
        <f t="shared" si="62"/>
        <v>0.84584450402144762</v>
      </c>
      <c r="CE44" s="29">
        <f t="shared" si="62"/>
        <v>0.84857723577235766</v>
      </c>
      <c r="CF44" s="29">
        <f t="shared" si="62"/>
        <v>0.84324942791762014</v>
      </c>
      <c r="CG44" s="29">
        <f t="shared" si="62"/>
        <v>0.81668773704171937</v>
      </c>
      <c r="CH44" s="29">
        <f t="shared" si="62"/>
        <v>0.93595342066957787</v>
      </c>
      <c r="CI44" s="29">
        <f t="shared" si="62"/>
        <v>0.92837837837837833</v>
      </c>
    </row>
    <row r="45" spans="1:87" x14ac:dyDescent="0.2">
      <c r="A45" s="74"/>
      <c r="B45" s="334" t="s">
        <v>128</v>
      </c>
      <c r="C45" s="334"/>
      <c r="D45" s="334"/>
      <c r="E45" s="334"/>
      <c r="F45" s="334"/>
      <c r="S45" s="333"/>
      <c r="T45" s="30"/>
      <c r="BO45" s="26">
        <v>2025</v>
      </c>
      <c r="BP45" s="29">
        <f t="shared" si="61"/>
        <v>1.1439215686274511</v>
      </c>
      <c r="BQ45" s="29">
        <f t="shared" si="61"/>
        <v>1.0464135021097047</v>
      </c>
      <c r="BR45" s="29">
        <f t="shared" si="61"/>
        <v>1.0670426065162908</v>
      </c>
      <c r="BS45" s="29">
        <f t="shared" si="61"/>
        <v>0.98170731707317072</v>
      </c>
      <c r="BT45" s="29">
        <f t="shared" si="61"/>
        <v>1.1200000000000001</v>
      </c>
      <c r="BU45" s="29">
        <f t="shared" si="61"/>
        <v>0.98225691980127749</v>
      </c>
      <c r="BV45" s="29">
        <f t="shared" si="61"/>
        <v>0.93910761154855638</v>
      </c>
      <c r="BW45" s="29">
        <f t="shared" si="61"/>
        <v>1.0486322188449848</v>
      </c>
      <c r="BX45" s="29">
        <f t="shared" si="61"/>
        <v>0.9537366548042705</v>
      </c>
      <c r="BZ45" s="26">
        <v>2025</v>
      </c>
      <c r="CA45" s="29">
        <f t="shared" si="62"/>
        <v>0.91905737704918045</v>
      </c>
      <c r="CB45" s="29">
        <f t="shared" si="62"/>
        <v>0.88511137162954279</v>
      </c>
      <c r="CC45" s="29">
        <f t="shared" si="62"/>
        <v>0.84864864864864864</v>
      </c>
      <c r="CD45" s="29">
        <f t="shared" si="62"/>
        <v>0.85924932975871315</v>
      </c>
      <c r="CE45" s="29">
        <f t="shared" si="62"/>
        <v>0.86178861788617889</v>
      </c>
      <c r="CF45" s="29">
        <f t="shared" si="62"/>
        <v>0.85812356979405036</v>
      </c>
      <c r="CG45" s="29">
        <f t="shared" si="62"/>
        <v>0.82932996207332488</v>
      </c>
      <c r="CH45" s="29">
        <f t="shared" si="62"/>
        <v>0.95050946142649206</v>
      </c>
      <c r="CI45" s="29">
        <f t="shared" si="62"/>
        <v>0.94189189189189182</v>
      </c>
    </row>
    <row r="46" spans="1:87" x14ac:dyDescent="0.2">
      <c r="A46" s="331" t="s">
        <v>172</v>
      </c>
      <c r="B46" s="335" t="s">
        <v>173</v>
      </c>
      <c r="C46" s="336"/>
      <c r="D46" s="336"/>
      <c r="E46" s="337"/>
      <c r="F46" s="337"/>
      <c r="S46" s="333"/>
      <c r="T46" s="30"/>
      <c r="U46" s="8"/>
      <c r="V46" s="76" t="s">
        <v>78</v>
      </c>
      <c r="W46" s="76"/>
      <c r="X46" s="8"/>
      <c r="Y46" s="76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O46" s="26">
        <v>2026</v>
      </c>
      <c r="BP46" s="29">
        <f t="shared" si="61"/>
        <v>1.1199999999999999</v>
      </c>
      <c r="BQ46" s="29">
        <f t="shared" si="61"/>
        <v>1.0400843881856541</v>
      </c>
      <c r="BR46" s="29">
        <f t="shared" si="61"/>
        <v>1.0651629072681703</v>
      </c>
      <c r="BS46" s="29">
        <f t="shared" si="61"/>
        <v>0.98306233062330628</v>
      </c>
      <c r="BT46" s="29">
        <f t="shared" si="61"/>
        <v>1.1241791044776119</v>
      </c>
      <c r="BU46" s="29">
        <f t="shared" si="61"/>
        <v>0.98509581263307322</v>
      </c>
      <c r="BV46" s="29">
        <f t="shared" si="61"/>
        <v>0.94803149606299197</v>
      </c>
      <c r="BW46" s="29">
        <f t="shared" si="61"/>
        <v>1.0595744680851065</v>
      </c>
      <c r="BX46" s="29">
        <f t="shared" si="61"/>
        <v>0.94661921708185048</v>
      </c>
      <c r="BZ46" s="26">
        <v>2026</v>
      </c>
      <c r="CA46" s="29">
        <f t="shared" si="62"/>
        <v>0.92930327868852469</v>
      </c>
      <c r="CB46" s="29">
        <f t="shared" si="62"/>
        <v>0.89449003516998837</v>
      </c>
      <c r="CC46" s="29">
        <f t="shared" si="62"/>
        <v>0.86081081081081079</v>
      </c>
      <c r="CD46" s="29">
        <f t="shared" si="62"/>
        <v>0.87131367292225204</v>
      </c>
      <c r="CE46" s="29">
        <f t="shared" si="62"/>
        <v>0.87296747967479671</v>
      </c>
      <c r="CF46" s="29">
        <f t="shared" si="62"/>
        <v>0.86956521739130432</v>
      </c>
      <c r="CG46" s="29">
        <f t="shared" si="62"/>
        <v>0.83944374209860928</v>
      </c>
      <c r="CH46" s="29">
        <f t="shared" si="62"/>
        <v>0.96797671033478894</v>
      </c>
      <c r="CI46" s="29">
        <f t="shared" si="62"/>
        <v>0.95405405405405397</v>
      </c>
    </row>
    <row r="47" spans="1:87" x14ac:dyDescent="0.2">
      <c r="A47" s="74" t="s">
        <v>129</v>
      </c>
      <c r="B47" s="336" t="s">
        <v>130</v>
      </c>
      <c r="C47" s="74"/>
      <c r="D47" s="74"/>
      <c r="E47" s="337"/>
      <c r="F47" s="337"/>
      <c r="G47" s="30"/>
      <c r="H47" s="30"/>
      <c r="I47" s="30"/>
      <c r="J47" s="30"/>
      <c r="K47" s="30"/>
      <c r="L47" s="30"/>
      <c r="S47" s="333"/>
      <c r="T47" s="30"/>
      <c r="U47" s="8"/>
      <c r="V47" s="8" t="s">
        <v>36</v>
      </c>
      <c r="W47" s="8"/>
      <c r="X47" s="8" t="s">
        <v>39</v>
      </c>
      <c r="Y47" s="8"/>
      <c r="Z47" s="66" t="s">
        <v>167</v>
      </c>
      <c r="AA47" s="66"/>
      <c r="AB47" s="66" t="s">
        <v>147</v>
      </c>
      <c r="AC47" s="66"/>
      <c r="AD47" s="8" t="s">
        <v>4</v>
      </c>
      <c r="AE47" s="66"/>
      <c r="AF47" s="8" t="s">
        <v>2</v>
      </c>
      <c r="AG47" s="66"/>
      <c r="AH47" s="8" t="s">
        <v>40</v>
      </c>
      <c r="AI47" s="66"/>
      <c r="AJ47" s="66" t="s">
        <v>168</v>
      </c>
      <c r="AK47" s="8" t="s">
        <v>41</v>
      </c>
      <c r="AL47" s="66"/>
      <c r="AM47" s="8" t="s">
        <v>42</v>
      </c>
      <c r="AN47" s="66"/>
      <c r="AO47" s="8" t="s">
        <v>5</v>
      </c>
      <c r="AP47" s="66"/>
      <c r="AQ47" s="8" t="s">
        <v>43</v>
      </c>
      <c r="AR47" s="66"/>
      <c r="AS47" s="8" t="s">
        <v>44</v>
      </c>
      <c r="AT47" s="66"/>
      <c r="AU47" s="8" t="s">
        <v>45</v>
      </c>
      <c r="AV47" s="8"/>
      <c r="AW47" s="8" t="s">
        <v>9</v>
      </c>
      <c r="AX47" s="66"/>
      <c r="AY47" s="66" t="s">
        <v>100</v>
      </c>
      <c r="AZ47" s="66"/>
      <c r="BA47" s="66" t="s">
        <v>174</v>
      </c>
      <c r="BB47" s="66"/>
      <c r="BC47" s="8" t="s">
        <v>46</v>
      </c>
      <c r="BD47" s="8" t="s">
        <v>14</v>
      </c>
      <c r="BE47" s="111"/>
      <c r="BO47" s="26">
        <v>2027</v>
      </c>
      <c r="BP47" s="29">
        <f t="shared" si="61"/>
        <v>1.0992156862745099</v>
      </c>
      <c r="BQ47" s="29">
        <f t="shared" si="61"/>
        <v>1.0350210970464135</v>
      </c>
      <c r="BR47" s="29">
        <f t="shared" si="61"/>
        <v>1.0639097744360901</v>
      </c>
      <c r="BS47" s="29">
        <f t="shared" si="61"/>
        <v>0.97831978319783197</v>
      </c>
      <c r="BT47" s="29">
        <f t="shared" si="61"/>
        <v>1.1259701492537313</v>
      </c>
      <c r="BU47" s="29">
        <f t="shared" si="61"/>
        <v>0.98509581263307322</v>
      </c>
      <c r="BV47" s="29">
        <f t="shared" si="61"/>
        <v>0.95800524934383202</v>
      </c>
      <c r="BW47" s="29">
        <f t="shared" si="61"/>
        <v>1.0711246200607905</v>
      </c>
      <c r="BX47" s="29">
        <f t="shared" si="61"/>
        <v>0.93085917641077764</v>
      </c>
      <c r="BZ47" s="26">
        <v>2027</v>
      </c>
      <c r="CA47" s="29">
        <f t="shared" si="62"/>
        <v>0.94057377049180324</v>
      </c>
      <c r="CB47" s="29">
        <f t="shared" si="62"/>
        <v>0.90504103165298944</v>
      </c>
      <c r="CC47" s="29">
        <f t="shared" si="62"/>
        <v>0.8716216216216216</v>
      </c>
      <c r="CD47" s="29">
        <f t="shared" si="62"/>
        <v>0.88203753351206438</v>
      </c>
      <c r="CE47" s="29">
        <f t="shared" si="62"/>
        <v>0.88516260162601634</v>
      </c>
      <c r="CF47" s="29">
        <f t="shared" si="62"/>
        <v>0.88215102974828374</v>
      </c>
      <c r="CG47" s="29">
        <f t="shared" si="62"/>
        <v>0.84829329962073319</v>
      </c>
      <c r="CH47" s="29">
        <f t="shared" si="62"/>
        <v>0.98398835516739447</v>
      </c>
      <c r="CI47" s="29">
        <f t="shared" si="62"/>
        <v>0.96486486486486478</v>
      </c>
    </row>
    <row r="48" spans="1:87" x14ac:dyDescent="0.2">
      <c r="A48" s="331"/>
      <c r="B48" s="74" t="s">
        <v>131</v>
      </c>
      <c r="C48" s="336"/>
      <c r="D48" s="336"/>
      <c r="E48" s="337"/>
      <c r="F48" s="337"/>
      <c r="G48" s="30"/>
      <c r="H48" s="77"/>
      <c r="I48" s="30"/>
      <c r="J48" s="23"/>
      <c r="K48" s="30"/>
      <c r="L48" s="77"/>
      <c r="N48" s="23"/>
      <c r="P48" s="77"/>
      <c r="Q48" s="77"/>
      <c r="R48" s="77"/>
      <c r="S48" s="333"/>
      <c r="T48" s="20"/>
      <c r="U48" s="8" t="s">
        <v>15</v>
      </c>
      <c r="V48" s="78" t="s">
        <v>47</v>
      </c>
      <c r="W48" s="78"/>
      <c r="X48" s="78" t="s">
        <v>47</v>
      </c>
      <c r="Y48" s="78"/>
      <c r="Z48" s="78" t="s">
        <v>47</v>
      </c>
      <c r="AA48" s="78"/>
      <c r="AB48" s="78" t="s">
        <v>47</v>
      </c>
      <c r="AC48" s="78"/>
      <c r="AD48" s="78" t="s">
        <v>47</v>
      </c>
      <c r="AE48" s="78"/>
      <c r="AF48" s="78" t="s">
        <v>47</v>
      </c>
      <c r="AG48" s="78"/>
      <c r="AH48" s="78" t="s">
        <v>47</v>
      </c>
      <c r="AI48" s="78"/>
      <c r="AJ48" s="78" t="s">
        <v>47</v>
      </c>
      <c r="AK48" s="78" t="s">
        <v>47</v>
      </c>
      <c r="AL48" s="78"/>
      <c r="AM48" s="78" t="s">
        <v>47</v>
      </c>
      <c r="AN48" s="78"/>
      <c r="AO48" s="78" t="s">
        <v>47</v>
      </c>
      <c r="AP48" s="78"/>
      <c r="AQ48" s="78" t="s">
        <v>47</v>
      </c>
      <c r="AR48" s="78"/>
      <c r="AS48" s="78" t="s">
        <v>47</v>
      </c>
      <c r="AT48" s="78"/>
      <c r="AU48" s="78" t="s">
        <v>47</v>
      </c>
      <c r="AV48" s="78"/>
      <c r="AW48" s="78" t="s">
        <v>47</v>
      </c>
      <c r="AX48" s="78"/>
      <c r="AY48" s="78" t="s">
        <v>47</v>
      </c>
      <c r="AZ48" s="78"/>
      <c r="BA48" s="78" t="s">
        <v>47</v>
      </c>
      <c r="BB48" s="78"/>
      <c r="BC48" s="78" t="s">
        <v>47</v>
      </c>
      <c r="BD48" s="78" t="s">
        <v>47</v>
      </c>
      <c r="BE48" s="47"/>
      <c r="BO48" s="26">
        <v>2028</v>
      </c>
      <c r="BP48" s="29">
        <f t="shared" si="61"/>
        <v>1.083921568627451</v>
      </c>
      <c r="BQ48" s="29">
        <f t="shared" si="61"/>
        <v>1.029957805907173</v>
      </c>
      <c r="BR48" s="29">
        <f t="shared" si="61"/>
        <v>1.068295739348371</v>
      </c>
      <c r="BS48" s="29">
        <f t="shared" si="61"/>
        <v>0.9789972899728997</v>
      </c>
      <c r="BT48" s="29">
        <f t="shared" si="61"/>
        <v>1.1253731343283584</v>
      </c>
      <c r="BU48" s="29">
        <f t="shared" si="61"/>
        <v>0.98651525904897097</v>
      </c>
      <c r="BV48" s="29">
        <f t="shared" si="61"/>
        <v>0.96902887139107607</v>
      </c>
      <c r="BW48" s="29">
        <f t="shared" si="61"/>
        <v>1.0784194528875379</v>
      </c>
      <c r="BX48" s="29">
        <f t="shared" si="61"/>
        <v>0.91814946619217064</v>
      </c>
      <c r="BZ48" s="26">
        <v>2028</v>
      </c>
      <c r="CA48" s="29">
        <f t="shared" si="62"/>
        <v>0.95081967213114749</v>
      </c>
      <c r="CB48" s="29">
        <f t="shared" si="62"/>
        <v>0.91441969519343502</v>
      </c>
      <c r="CC48" s="29">
        <f t="shared" si="62"/>
        <v>0.88108108108108096</v>
      </c>
      <c r="CD48" s="29">
        <f t="shared" si="62"/>
        <v>0.89142091152815017</v>
      </c>
      <c r="CE48" s="29">
        <f t="shared" si="62"/>
        <v>0.89329268292682917</v>
      </c>
      <c r="CF48" s="29">
        <f t="shared" si="62"/>
        <v>0.88901601830663612</v>
      </c>
      <c r="CG48" s="29">
        <f t="shared" si="62"/>
        <v>0.85208596713021489</v>
      </c>
      <c r="CH48" s="29">
        <f t="shared" si="62"/>
        <v>0.99854439592430866</v>
      </c>
      <c r="CI48" s="29">
        <f t="shared" si="62"/>
        <v>0.97702702702702704</v>
      </c>
    </row>
    <row r="49" spans="1:87" x14ac:dyDescent="0.2">
      <c r="A49" s="74" t="s">
        <v>132</v>
      </c>
      <c r="B49" s="336" t="s">
        <v>133</v>
      </c>
      <c r="C49" s="74"/>
      <c r="D49" s="74"/>
      <c r="E49" s="337"/>
      <c r="F49" s="337"/>
      <c r="G49" s="30"/>
      <c r="H49" s="30"/>
      <c r="I49" s="30"/>
      <c r="J49" s="79"/>
      <c r="K49" s="30"/>
      <c r="L49" s="30"/>
      <c r="N49" s="79"/>
      <c r="S49" s="333"/>
      <c r="T49" s="20"/>
      <c r="U49" s="23">
        <v>2005</v>
      </c>
      <c r="V49" s="338">
        <v>2334318</v>
      </c>
      <c r="W49" s="39"/>
      <c r="X49" s="338">
        <v>1005312</v>
      </c>
      <c r="Y49" s="39"/>
      <c r="Z49" s="338">
        <v>33013</v>
      </c>
      <c r="AA49" s="139"/>
      <c r="AB49" s="338">
        <v>1037052</v>
      </c>
      <c r="AC49" s="39"/>
      <c r="AD49" s="338">
        <v>3020635</v>
      </c>
      <c r="AE49" s="39"/>
      <c r="AF49" s="338">
        <v>4146518</v>
      </c>
      <c r="AG49" s="39"/>
      <c r="AH49" s="338">
        <v>1005312</v>
      </c>
      <c r="AI49" s="39"/>
      <c r="AJ49" s="338">
        <v>33013</v>
      </c>
      <c r="AK49" s="338">
        <v>6197830</v>
      </c>
      <c r="AL49" s="39"/>
      <c r="AM49" s="338">
        <v>4069566</v>
      </c>
      <c r="AN49" s="39"/>
      <c r="AO49" s="338">
        <v>4698168</v>
      </c>
      <c r="AP49" s="39"/>
      <c r="AQ49" s="338">
        <v>11381568</v>
      </c>
      <c r="AR49" s="39"/>
      <c r="AS49" s="338">
        <v>5661733</v>
      </c>
      <c r="AT49" s="39"/>
      <c r="AU49" s="338">
        <v>8281028</v>
      </c>
      <c r="AV49" s="39"/>
      <c r="AW49" s="338">
        <v>3160777</v>
      </c>
      <c r="AX49" s="39"/>
      <c r="AY49" s="338">
        <v>22234834</v>
      </c>
      <c r="AZ49" s="39"/>
      <c r="BA49" s="338">
        <v>3251769</v>
      </c>
      <c r="BB49" s="127"/>
      <c r="BC49" s="338">
        <v>6892754</v>
      </c>
      <c r="BD49" s="338">
        <v>6892754</v>
      </c>
      <c r="BE49" s="47"/>
      <c r="BO49" s="26">
        <v>2029</v>
      </c>
      <c r="BP49" s="29">
        <f t="shared" si="61"/>
        <v>1.0725490196078431</v>
      </c>
      <c r="BQ49" s="29">
        <f t="shared" si="61"/>
        <v>1.0274261603375527</v>
      </c>
      <c r="BR49" s="29">
        <f t="shared" si="61"/>
        <v>1.0733082706766917</v>
      </c>
      <c r="BS49" s="29">
        <f t="shared" si="61"/>
        <v>0.98238482384823844</v>
      </c>
      <c r="BT49" s="29">
        <f t="shared" si="61"/>
        <v>1.1247761194029851</v>
      </c>
      <c r="BU49" s="29">
        <f t="shared" si="61"/>
        <v>0.98793470546486872</v>
      </c>
      <c r="BV49" s="29">
        <f t="shared" si="61"/>
        <v>0.97742782152230978</v>
      </c>
      <c r="BW49" s="29">
        <f t="shared" si="61"/>
        <v>1.0881458966565349</v>
      </c>
      <c r="BX49" s="29">
        <f t="shared" si="61"/>
        <v>0.91560752414844937</v>
      </c>
      <c r="BZ49" s="26">
        <v>2029</v>
      </c>
      <c r="CA49" s="29">
        <f t="shared" si="62"/>
        <v>0.96413934426229508</v>
      </c>
      <c r="CB49" s="29">
        <f t="shared" si="62"/>
        <v>0.92497069167643609</v>
      </c>
      <c r="CC49" s="29">
        <f t="shared" si="62"/>
        <v>0.88918918918918921</v>
      </c>
      <c r="CD49" s="29">
        <f t="shared" si="62"/>
        <v>0.90080428954423586</v>
      </c>
      <c r="CE49" s="29">
        <f t="shared" si="62"/>
        <v>0.90142276422764223</v>
      </c>
      <c r="CF49" s="29">
        <f t="shared" si="62"/>
        <v>0.89473684210526316</v>
      </c>
      <c r="CG49" s="29">
        <f t="shared" si="62"/>
        <v>0.85461441213653599</v>
      </c>
      <c r="CH49" s="29">
        <f t="shared" si="62"/>
        <v>1.0116448326055314</v>
      </c>
      <c r="CI49" s="29">
        <f t="shared" si="62"/>
        <v>0.98918918918918919</v>
      </c>
    </row>
    <row r="50" spans="1:87" x14ac:dyDescent="0.2">
      <c r="A50" s="331"/>
      <c r="B50" s="74" t="s">
        <v>134</v>
      </c>
      <c r="C50" s="336"/>
      <c r="D50" s="336"/>
      <c r="E50" s="337"/>
      <c r="F50" s="337"/>
      <c r="G50" s="30"/>
      <c r="H50" s="72"/>
      <c r="I50" s="30"/>
      <c r="J50" s="80"/>
      <c r="K50" s="72"/>
      <c r="L50" s="72"/>
      <c r="N50" s="80"/>
      <c r="O50" s="72"/>
      <c r="P50" s="72"/>
      <c r="Q50" s="72"/>
      <c r="R50" s="72"/>
      <c r="S50" s="333"/>
      <c r="T50" s="20"/>
      <c r="U50" s="23">
        <v>2006</v>
      </c>
      <c r="V50" s="338">
        <v>2331738</v>
      </c>
      <c r="W50" s="39"/>
      <c r="X50" s="338">
        <v>1039308.5</v>
      </c>
      <c r="Y50" s="39"/>
      <c r="Z50" s="338">
        <v>35257</v>
      </c>
      <c r="AA50" s="139"/>
      <c r="AB50" s="338">
        <v>1102752</v>
      </c>
      <c r="AC50" s="39"/>
      <c r="AD50" s="338">
        <v>3002780</v>
      </c>
      <c r="AE50" s="39"/>
      <c r="AF50" s="338">
        <v>4175541</v>
      </c>
      <c r="AG50" s="39"/>
      <c r="AH50" s="338">
        <v>1039308.5</v>
      </c>
      <c r="AI50" s="39"/>
      <c r="AJ50" s="338">
        <v>35257</v>
      </c>
      <c r="AK50" s="338">
        <v>6240888</v>
      </c>
      <c r="AL50" s="39"/>
      <c r="AM50" s="338">
        <v>4114375</v>
      </c>
      <c r="AN50" s="39"/>
      <c r="AO50" s="338">
        <v>4739456</v>
      </c>
      <c r="AP50" s="39"/>
      <c r="AQ50" s="338">
        <v>11455568</v>
      </c>
      <c r="AR50" s="39"/>
      <c r="AS50" s="338">
        <v>5707466</v>
      </c>
      <c r="AT50" s="39"/>
      <c r="AU50" s="338">
        <v>8334830</v>
      </c>
      <c r="AV50" s="39"/>
      <c r="AW50" s="338">
        <v>3181198</v>
      </c>
      <c r="AX50" s="39"/>
      <c r="AY50" s="338">
        <v>22484345</v>
      </c>
      <c r="AZ50" s="39"/>
      <c r="BA50" s="338">
        <v>3262002</v>
      </c>
      <c r="BB50" s="127"/>
      <c r="BC50" s="338">
        <v>6946343</v>
      </c>
      <c r="BD50" s="338">
        <v>6946343</v>
      </c>
      <c r="BE50" s="89"/>
      <c r="BO50" s="26">
        <v>2030</v>
      </c>
      <c r="BP50" s="29">
        <f t="shared" si="61"/>
        <v>1.0631372549019609</v>
      </c>
      <c r="BQ50" s="29">
        <f t="shared" si="61"/>
        <v>1.0244725738396625</v>
      </c>
      <c r="BR50" s="29">
        <f t="shared" si="61"/>
        <v>1.0739348370927317</v>
      </c>
      <c r="BS50" s="29">
        <f t="shared" si="61"/>
        <v>0.98102981029810299</v>
      </c>
      <c r="BT50" s="29">
        <f t="shared" si="61"/>
        <v>1.1217910447761195</v>
      </c>
      <c r="BU50" s="29">
        <f t="shared" si="61"/>
        <v>0.98083747338537974</v>
      </c>
      <c r="BV50" s="29">
        <f t="shared" si="61"/>
        <v>0.97322834645669287</v>
      </c>
      <c r="BW50" s="29">
        <f t="shared" si="61"/>
        <v>1.0960486322188452</v>
      </c>
      <c r="BX50" s="29">
        <f t="shared" si="61"/>
        <v>0.9105236400610065</v>
      </c>
      <c r="BZ50" s="26">
        <v>2030</v>
      </c>
      <c r="CA50" s="29">
        <f t="shared" si="62"/>
        <v>0.97745901639344257</v>
      </c>
      <c r="CB50" s="29">
        <f t="shared" si="62"/>
        <v>0.93786635404454877</v>
      </c>
      <c r="CC50" s="29">
        <f t="shared" si="62"/>
        <v>0.89729729729729724</v>
      </c>
      <c r="CD50" s="29">
        <f t="shared" si="62"/>
        <v>0.91018766756032177</v>
      </c>
      <c r="CE50" s="29">
        <f t="shared" si="62"/>
        <v>0.90955284552845528</v>
      </c>
      <c r="CF50" s="29">
        <f t="shared" si="62"/>
        <v>0.90389016018306634</v>
      </c>
      <c r="CG50" s="29">
        <f t="shared" si="62"/>
        <v>0.8596713021491782</v>
      </c>
      <c r="CH50" s="29">
        <f t="shared" si="62"/>
        <v>1.0232896652110626</v>
      </c>
      <c r="CI50" s="29">
        <f t="shared" si="62"/>
        <v>1</v>
      </c>
    </row>
    <row r="51" spans="1:87" x14ac:dyDescent="0.2">
      <c r="A51" s="74" t="s">
        <v>135</v>
      </c>
      <c r="B51" s="336" t="s">
        <v>136</v>
      </c>
      <c r="C51" s="74"/>
      <c r="D51" s="74"/>
      <c r="E51" s="337"/>
      <c r="F51" s="337"/>
      <c r="G51" s="72"/>
      <c r="H51" s="72"/>
      <c r="I51" s="81"/>
      <c r="J51" s="80"/>
      <c r="K51" s="72"/>
      <c r="L51" s="72"/>
      <c r="M51" s="81"/>
      <c r="N51" s="80"/>
      <c r="O51" s="72"/>
      <c r="P51" s="72"/>
      <c r="Q51" s="72"/>
      <c r="R51" s="72"/>
      <c r="S51" s="333"/>
      <c r="T51" s="20"/>
      <c r="U51" s="23">
        <v>2007</v>
      </c>
      <c r="V51" s="338">
        <v>2338060</v>
      </c>
      <c r="W51" s="39"/>
      <c r="X51" s="338">
        <v>1088693.5</v>
      </c>
      <c r="Y51" s="39"/>
      <c r="Z51" s="338">
        <v>38681.5</v>
      </c>
      <c r="AA51" s="139"/>
      <c r="AB51" s="338">
        <v>1099306</v>
      </c>
      <c r="AC51" s="39"/>
      <c r="AD51" s="338">
        <v>2985671</v>
      </c>
      <c r="AE51" s="39"/>
      <c r="AF51" s="338">
        <v>4231736</v>
      </c>
      <c r="AG51" s="39"/>
      <c r="AH51" s="338">
        <v>1088693.5</v>
      </c>
      <c r="AI51" s="39"/>
      <c r="AJ51" s="338">
        <v>38681.5</v>
      </c>
      <c r="AK51" s="338">
        <v>6315825</v>
      </c>
      <c r="AL51" s="39"/>
      <c r="AM51" s="338">
        <v>4186862</v>
      </c>
      <c r="AN51" s="39"/>
      <c r="AO51" s="338">
        <v>4805793</v>
      </c>
      <c r="AP51" s="39"/>
      <c r="AQ51" s="338">
        <v>11586517</v>
      </c>
      <c r="AR51" s="39"/>
      <c r="AS51" s="338">
        <v>5785954</v>
      </c>
      <c r="AT51" s="39"/>
      <c r="AU51" s="338">
        <v>8426700</v>
      </c>
      <c r="AV51" s="39"/>
      <c r="AW51" s="338">
        <v>3216283</v>
      </c>
      <c r="AX51" s="39"/>
      <c r="AY51" s="338">
        <v>24475795</v>
      </c>
      <c r="AZ51" s="39"/>
      <c r="BA51" s="338">
        <v>3279144</v>
      </c>
      <c r="BB51" s="127"/>
      <c r="BC51" s="338">
        <v>7022100</v>
      </c>
      <c r="BD51" s="338">
        <v>7022100</v>
      </c>
      <c r="BE51" s="89"/>
      <c r="BO51" s="26">
        <v>2031</v>
      </c>
      <c r="BP51" s="29">
        <f t="shared" si="61"/>
        <v>1.0564705882352943</v>
      </c>
      <c r="BQ51" s="29">
        <f t="shared" si="61"/>
        <v>1.0244725738396625</v>
      </c>
      <c r="BR51" s="29">
        <f t="shared" si="61"/>
        <v>1.0789473684210524</v>
      </c>
      <c r="BS51" s="29">
        <f t="shared" si="61"/>
        <v>0.98170731707317072</v>
      </c>
      <c r="BT51" s="29">
        <f t="shared" si="61"/>
        <v>1.1235820895522388</v>
      </c>
      <c r="BU51" s="29">
        <f t="shared" si="61"/>
        <v>0.98296664300922643</v>
      </c>
      <c r="BV51" s="29">
        <f t="shared" si="61"/>
        <v>0.98110236220472447</v>
      </c>
      <c r="BW51" s="29">
        <f t="shared" si="61"/>
        <v>1.103951367781155</v>
      </c>
      <c r="BX51" s="29">
        <f t="shared" si="61"/>
        <v>0.90543975597356363</v>
      </c>
      <c r="BZ51" s="26">
        <v>2031</v>
      </c>
      <c r="CA51" s="29">
        <f t="shared" si="62"/>
        <v>0.99077868852459017</v>
      </c>
      <c r="CB51" s="29">
        <f t="shared" si="62"/>
        <v>0.94958968347010553</v>
      </c>
      <c r="CC51" s="29">
        <f t="shared" si="62"/>
        <v>0.9094594594594595</v>
      </c>
      <c r="CD51" s="29">
        <f t="shared" si="62"/>
        <v>0.92091152815013411</v>
      </c>
      <c r="CE51" s="29">
        <f t="shared" si="62"/>
        <v>0.92073170731707321</v>
      </c>
      <c r="CF51" s="29">
        <f t="shared" si="62"/>
        <v>0.9176201372997711</v>
      </c>
      <c r="CG51" s="29">
        <f t="shared" si="62"/>
        <v>0.8710493046776232</v>
      </c>
      <c r="CH51" s="29">
        <f t="shared" si="62"/>
        <v>1.0378457059679767</v>
      </c>
      <c r="CI51" s="29">
        <f t="shared" si="62"/>
        <v>1.0108108108108109</v>
      </c>
    </row>
    <row r="52" spans="1:87" x14ac:dyDescent="0.2">
      <c r="A52" s="331"/>
      <c r="B52" s="74" t="s">
        <v>137</v>
      </c>
      <c r="C52" s="72"/>
      <c r="D52" s="72"/>
      <c r="E52" s="80"/>
      <c r="F52" s="80"/>
      <c r="G52" s="336"/>
      <c r="H52" s="8"/>
      <c r="I52" s="8"/>
      <c r="J52" s="8"/>
      <c r="K52" s="8"/>
      <c r="L52" s="8"/>
      <c r="M52" s="8"/>
      <c r="N52" s="8"/>
      <c r="O52" s="23"/>
      <c r="P52" s="23"/>
      <c r="Q52" s="23"/>
      <c r="R52" s="72"/>
      <c r="S52" s="333"/>
      <c r="T52" s="20"/>
      <c r="U52" s="23">
        <v>2008</v>
      </c>
      <c r="V52" s="338">
        <v>2342125</v>
      </c>
      <c r="W52" s="39"/>
      <c r="X52" s="338">
        <v>1119818.5</v>
      </c>
      <c r="Y52" s="39"/>
      <c r="Z52" s="338">
        <v>44453.5</v>
      </c>
      <c r="AA52" s="139"/>
      <c r="AB52" s="338">
        <v>1095506</v>
      </c>
      <c r="AC52" s="39"/>
      <c r="AD52" s="338">
        <v>2968554</v>
      </c>
      <c r="AE52" s="39"/>
      <c r="AF52" s="338">
        <v>4270266</v>
      </c>
      <c r="AG52" s="39"/>
      <c r="AH52" s="338">
        <v>1119818.5</v>
      </c>
      <c r="AI52" s="39"/>
      <c r="AJ52" s="338">
        <v>44453.5</v>
      </c>
      <c r="AK52" s="338">
        <v>6357500</v>
      </c>
      <c r="AL52" s="39"/>
      <c r="AM52" s="338">
        <v>4232466</v>
      </c>
      <c r="AN52" s="39"/>
      <c r="AO52" s="338">
        <v>4853552</v>
      </c>
      <c r="AP52" s="39"/>
      <c r="AQ52" s="338">
        <v>11662271</v>
      </c>
      <c r="AR52" s="39"/>
      <c r="AS52" s="338">
        <v>5831495</v>
      </c>
      <c r="AT52" s="39"/>
      <c r="AU52" s="338">
        <v>8476408</v>
      </c>
      <c r="AV52" s="39"/>
      <c r="AW52" s="338">
        <v>3233522</v>
      </c>
      <c r="AX52" s="39"/>
      <c r="AY52" s="338">
        <v>26423090</v>
      </c>
      <c r="AZ52" s="39"/>
      <c r="BA52" s="338">
        <v>3281067</v>
      </c>
      <c r="BB52" s="127"/>
      <c r="BC52" s="338">
        <v>7064318</v>
      </c>
      <c r="BD52" s="338">
        <v>7064318</v>
      </c>
      <c r="BE52" s="89"/>
      <c r="BO52" s="26">
        <v>2032</v>
      </c>
      <c r="BP52" s="29">
        <f t="shared" si="61"/>
        <v>1.0572549019607844</v>
      </c>
      <c r="BQ52" s="29">
        <f t="shared" si="61"/>
        <v>1.0295358649789028</v>
      </c>
      <c r="BR52" s="29">
        <f t="shared" si="61"/>
        <v>1.0808270676691729</v>
      </c>
      <c r="BS52" s="29">
        <f t="shared" si="61"/>
        <v>0.98035230352303526</v>
      </c>
      <c r="BT52" s="29">
        <f t="shared" si="61"/>
        <v>1.1253731343283584</v>
      </c>
      <c r="BU52" s="29">
        <f t="shared" si="61"/>
        <v>0.97657913413768627</v>
      </c>
      <c r="BV52" s="29">
        <f t="shared" si="61"/>
        <v>0.98687664041994749</v>
      </c>
      <c r="BW52" s="29">
        <f t="shared" si="61"/>
        <v>1.1100303951367783</v>
      </c>
      <c r="BX52" s="29">
        <f t="shared" si="61"/>
        <v>0.89984748347737664</v>
      </c>
      <c r="BZ52" s="26">
        <v>2032</v>
      </c>
      <c r="CA52" s="29">
        <f t="shared" si="62"/>
        <v>1.0020491803278688</v>
      </c>
      <c r="CB52" s="29">
        <f t="shared" si="62"/>
        <v>0.958968347010551</v>
      </c>
      <c r="CC52" s="29">
        <f t="shared" si="62"/>
        <v>0.92162162162162165</v>
      </c>
      <c r="CD52" s="29">
        <f t="shared" si="62"/>
        <v>0.93297587131367288</v>
      </c>
      <c r="CE52" s="29">
        <f t="shared" si="62"/>
        <v>0.93191056910569103</v>
      </c>
      <c r="CF52" s="29">
        <f t="shared" si="62"/>
        <v>0.93135011441647597</v>
      </c>
      <c r="CG52" s="29">
        <f t="shared" si="62"/>
        <v>0.88242730720606832</v>
      </c>
      <c r="CH52" s="29">
        <f t="shared" si="62"/>
        <v>1.0509461426491993</v>
      </c>
      <c r="CI52" s="29">
        <f t="shared" si="62"/>
        <v>1.0243243243243243</v>
      </c>
    </row>
    <row r="53" spans="1:87" x14ac:dyDescent="0.2">
      <c r="A53" s="83"/>
      <c r="B53" s="72"/>
      <c r="C53" s="334"/>
      <c r="D53" s="334"/>
      <c r="E53" s="334"/>
      <c r="F53" s="334"/>
      <c r="G53" s="26"/>
      <c r="H53" s="331"/>
      <c r="I53" s="331"/>
      <c r="J53" s="334"/>
      <c r="K53" s="334"/>
      <c r="L53" s="331"/>
      <c r="M53" s="334"/>
      <c r="N53" s="334"/>
      <c r="O53" s="334"/>
      <c r="P53" s="334"/>
      <c r="Q53" s="334"/>
      <c r="S53" s="333"/>
      <c r="T53" s="20"/>
      <c r="U53" s="23">
        <v>2009</v>
      </c>
      <c r="V53" s="338">
        <v>2342408</v>
      </c>
      <c r="W53" s="39"/>
      <c r="X53" s="338">
        <v>1151425</v>
      </c>
      <c r="Y53" s="39"/>
      <c r="Z53" s="338">
        <v>49871.5</v>
      </c>
      <c r="AA53" s="139"/>
      <c r="AB53" s="338">
        <v>1091426</v>
      </c>
      <c r="AC53" s="39"/>
      <c r="AD53" s="338">
        <v>2951576</v>
      </c>
      <c r="AE53" s="39"/>
      <c r="AF53" s="338">
        <v>4301579</v>
      </c>
      <c r="AG53" s="39"/>
      <c r="AH53" s="338">
        <v>1151425</v>
      </c>
      <c r="AI53" s="39"/>
      <c r="AJ53" s="338">
        <v>49871.5</v>
      </c>
      <c r="AK53" s="338">
        <v>6393304</v>
      </c>
      <c r="AL53" s="39"/>
      <c r="AM53" s="338">
        <v>4274989</v>
      </c>
      <c r="AN53" s="39"/>
      <c r="AO53" s="338">
        <v>4896244</v>
      </c>
      <c r="AP53" s="39"/>
      <c r="AQ53" s="338">
        <v>11726923</v>
      </c>
      <c r="AR53" s="39"/>
      <c r="AS53" s="338">
        <v>5872475</v>
      </c>
      <c r="AT53" s="39"/>
      <c r="AU53" s="338">
        <v>8519910</v>
      </c>
      <c r="AV53" s="39"/>
      <c r="AW53" s="338">
        <v>3250096</v>
      </c>
      <c r="AX53" s="39"/>
      <c r="AY53" s="338">
        <v>27855367</v>
      </c>
      <c r="AZ53" s="39"/>
      <c r="BA53" s="338">
        <v>3279875</v>
      </c>
      <c r="BB53" s="127"/>
      <c r="BC53" s="338">
        <v>7099711</v>
      </c>
      <c r="BD53" s="338">
        <v>7099711</v>
      </c>
      <c r="BE53" s="212">
        <f>BD53/BD52-1</f>
        <v>5.0101085483411634E-3</v>
      </c>
      <c r="BO53" s="26">
        <v>2033</v>
      </c>
      <c r="BP53" s="29">
        <f t="shared" si="61"/>
        <v>1.0611764705882352</v>
      </c>
      <c r="BQ53" s="29">
        <f t="shared" si="61"/>
        <v>1.0354430379746835</v>
      </c>
      <c r="BR53" s="29">
        <f t="shared" si="61"/>
        <v>1.0852130325814535</v>
      </c>
      <c r="BS53" s="29">
        <f t="shared" si="61"/>
        <v>0.98441734417344173</v>
      </c>
      <c r="BT53" s="29">
        <f t="shared" si="61"/>
        <v>1.1289552238805971</v>
      </c>
      <c r="BU53" s="29">
        <f t="shared" si="61"/>
        <v>0.98012775017743081</v>
      </c>
      <c r="BV53" s="29">
        <f t="shared" si="61"/>
        <v>0.99475065616797897</v>
      </c>
      <c r="BW53" s="29">
        <f t="shared" si="61"/>
        <v>1.1191489361702127</v>
      </c>
      <c r="BX53" s="29">
        <f t="shared" si="61"/>
        <v>0.89476359938993388</v>
      </c>
      <c r="BZ53" s="26">
        <v>2033</v>
      </c>
      <c r="CA53" s="29">
        <f t="shared" si="62"/>
        <v>1.0153688524590165</v>
      </c>
      <c r="CB53" s="29">
        <f t="shared" si="62"/>
        <v>0.97069167643610788</v>
      </c>
      <c r="CC53" s="29">
        <f t="shared" si="62"/>
        <v>0.93513513513513513</v>
      </c>
      <c r="CD53" s="29">
        <f t="shared" si="62"/>
        <v>0.94772117962466496</v>
      </c>
      <c r="CE53" s="29">
        <f t="shared" si="62"/>
        <v>0.94308943089430886</v>
      </c>
      <c r="CF53" s="29">
        <f t="shared" si="62"/>
        <v>0.94393592677345539</v>
      </c>
      <c r="CG53" s="29">
        <f t="shared" si="62"/>
        <v>0.89127686472819212</v>
      </c>
      <c r="CH53" s="29">
        <f t="shared" si="62"/>
        <v>1.0640465793304221</v>
      </c>
      <c r="CI53" s="29">
        <f t="shared" si="62"/>
        <v>1.0391891891891891</v>
      </c>
    </row>
    <row r="54" spans="1:87" x14ac:dyDescent="0.2">
      <c r="A54" s="74"/>
      <c r="B54" s="334"/>
      <c r="C54" s="339"/>
      <c r="D54" s="339"/>
      <c r="E54" s="339"/>
      <c r="F54" s="339"/>
      <c r="G54" s="26"/>
      <c r="H54" s="340"/>
      <c r="I54" s="340"/>
      <c r="J54" s="340"/>
      <c r="K54" s="340"/>
      <c r="L54" s="341"/>
      <c r="M54" s="341"/>
      <c r="N54" s="340"/>
      <c r="O54" s="340"/>
      <c r="P54" s="340"/>
      <c r="Q54" s="340"/>
      <c r="R54" s="72"/>
      <c r="S54" s="333"/>
      <c r="T54" s="20"/>
      <c r="U54" s="23">
        <v>2010</v>
      </c>
      <c r="V54" s="338">
        <v>2337132</v>
      </c>
      <c r="W54" s="39"/>
      <c r="X54" s="338">
        <v>1180149.5</v>
      </c>
      <c r="Y54" s="39"/>
      <c r="Z54" s="338">
        <v>54961</v>
      </c>
      <c r="AA54" s="139"/>
      <c r="AB54" s="338">
        <v>1086725</v>
      </c>
      <c r="AC54" s="39"/>
      <c r="AD54" s="338">
        <v>2934580</v>
      </c>
      <c r="AE54" s="39"/>
      <c r="AF54" s="338">
        <v>4324237</v>
      </c>
      <c r="AG54" s="39"/>
      <c r="AH54" s="338">
        <v>1180149.5</v>
      </c>
      <c r="AI54" s="39"/>
      <c r="AJ54" s="338">
        <v>54961</v>
      </c>
      <c r="AK54" s="338">
        <v>6417796</v>
      </c>
      <c r="AL54" s="39"/>
      <c r="AM54" s="338">
        <v>4309232</v>
      </c>
      <c r="AN54" s="39"/>
      <c r="AO54" s="338">
        <v>4929013</v>
      </c>
      <c r="AP54" s="39"/>
      <c r="AQ54" s="338">
        <v>11772249</v>
      </c>
      <c r="AR54" s="39"/>
      <c r="AS54" s="338">
        <v>5902696</v>
      </c>
      <c r="AT54" s="39"/>
      <c r="AU54" s="338">
        <v>8550363</v>
      </c>
      <c r="AV54" s="39"/>
      <c r="AW54" s="338">
        <v>3261593</v>
      </c>
      <c r="AX54" s="39"/>
      <c r="AY54" s="338">
        <v>28999990</v>
      </c>
      <c r="AZ54" s="39"/>
      <c r="BA54" s="338">
        <v>3275824</v>
      </c>
      <c r="BB54" s="127"/>
      <c r="BC54" s="338">
        <v>7123377</v>
      </c>
      <c r="BD54" s="338">
        <v>7123377</v>
      </c>
      <c r="BE54" s="212">
        <f t="shared" ref="BE54:BE87" si="63">BD54/BD53-1</f>
        <v>3.3333751190718353E-3</v>
      </c>
      <c r="BH54" s="64"/>
      <c r="BI54" s="82"/>
      <c r="BJ54" s="64"/>
      <c r="BK54" s="64"/>
      <c r="BO54" s="26">
        <v>2034</v>
      </c>
      <c r="BP54" s="29">
        <f t="shared" si="61"/>
        <v>1.0654901960784315</v>
      </c>
      <c r="BQ54" s="29">
        <f t="shared" si="61"/>
        <v>1.0426160337552743</v>
      </c>
      <c r="BR54" s="29">
        <f t="shared" si="61"/>
        <v>1.0939849624060149</v>
      </c>
      <c r="BS54" s="29">
        <f t="shared" si="61"/>
        <v>0.98983739837398377</v>
      </c>
      <c r="BT54" s="29">
        <f t="shared" si="61"/>
        <v>1.1355223880597014</v>
      </c>
      <c r="BU54" s="29">
        <f t="shared" si="61"/>
        <v>0.98296664300922643</v>
      </c>
      <c r="BV54" s="29">
        <f t="shared" si="61"/>
        <v>0.99947506561679778</v>
      </c>
      <c r="BW54" s="29">
        <f t="shared" si="61"/>
        <v>1.1276595744680853</v>
      </c>
      <c r="BX54" s="29">
        <f t="shared" si="61"/>
        <v>0.89578037620742246</v>
      </c>
      <c r="BZ54" s="26">
        <v>2034</v>
      </c>
      <c r="CA54" s="29">
        <f t="shared" si="62"/>
        <v>1.0256147540983607</v>
      </c>
      <c r="CB54" s="29">
        <f t="shared" si="62"/>
        <v>0.97772567409144207</v>
      </c>
      <c r="CC54" s="29">
        <f t="shared" si="62"/>
        <v>0.95</v>
      </c>
      <c r="CD54" s="29">
        <f t="shared" si="62"/>
        <v>0.9651474530831099</v>
      </c>
      <c r="CE54" s="29">
        <f t="shared" si="62"/>
        <v>0.95528455284552849</v>
      </c>
      <c r="CF54" s="29">
        <f t="shared" si="62"/>
        <v>0.95995423340961106</v>
      </c>
      <c r="CG54" s="29">
        <f t="shared" si="62"/>
        <v>0.90391908975979773</v>
      </c>
      <c r="CH54" s="29">
        <f t="shared" si="62"/>
        <v>1.0844250363901018</v>
      </c>
      <c r="CI54" s="29">
        <f t="shared" si="62"/>
        <v>1.0567567567567568</v>
      </c>
    </row>
    <row r="55" spans="1:87" x14ac:dyDescent="0.2">
      <c r="A55" s="26"/>
      <c r="B55" s="339"/>
      <c r="C55" s="339"/>
      <c r="D55" s="339"/>
      <c r="E55" s="342"/>
      <c r="F55" s="342"/>
      <c r="G55" s="26"/>
      <c r="H55" s="340"/>
      <c r="I55" s="340"/>
      <c r="J55" s="340"/>
      <c r="K55" s="340"/>
      <c r="L55" s="341"/>
      <c r="M55" s="341"/>
      <c r="N55" s="340"/>
      <c r="O55" s="340"/>
      <c r="P55" s="340"/>
      <c r="Q55" s="340"/>
      <c r="R55" s="72"/>
      <c r="S55" s="333"/>
      <c r="T55" s="20"/>
      <c r="U55" s="23">
        <v>2011</v>
      </c>
      <c r="V55" s="338">
        <v>2334256</v>
      </c>
      <c r="W55" s="39"/>
      <c r="X55" s="338">
        <v>1205015.5</v>
      </c>
      <c r="Y55" s="39"/>
      <c r="Z55" s="338">
        <v>67828.5</v>
      </c>
      <c r="AA55" s="139"/>
      <c r="AB55" s="338">
        <v>1081926</v>
      </c>
      <c r="AC55" s="39"/>
      <c r="AD55" s="338">
        <v>2917801</v>
      </c>
      <c r="AE55" s="39"/>
      <c r="AF55" s="338">
        <v>4350205</v>
      </c>
      <c r="AG55" s="39"/>
      <c r="AH55" s="338">
        <v>1205015.5</v>
      </c>
      <c r="AI55" s="39"/>
      <c r="AJ55" s="338">
        <v>67828.5</v>
      </c>
      <c r="AK55" s="338">
        <v>6449769</v>
      </c>
      <c r="AL55" s="39"/>
      <c r="AM55" s="338">
        <v>4349997</v>
      </c>
      <c r="AN55" s="39"/>
      <c r="AO55" s="338">
        <v>4967885</v>
      </c>
      <c r="AP55" s="39"/>
      <c r="AQ55" s="338">
        <v>11844289</v>
      </c>
      <c r="AR55" s="39"/>
      <c r="AS55" s="338">
        <v>5939821</v>
      </c>
      <c r="AT55" s="39"/>
      <c r="AU55" s="338">
        <v>8590338</v>
      </c>
      <c r="AV55" s="39"/>
      <c r="AW55" s="338">
        <v>3276580</v>
      </c>
      <c r="AX55" s="39"/>
      <c r="AY55" s="338">
        <v>29142861</v>
      </c>
      <c r="AZ55" s="39"/>
      <c r="BA55" s="338">
        <v>3273221</v>
      </c>
      <c r="BB55" s="127"/>
      <c r="BC55" s="338">
        <v>7154603</v>
      </c>
      <c r="BD55" s="338">
        <v>7154603</v>
      </c>
      <c r="BE55" s="212">
        <f t="shared" si="63"/>
        <v>4.3835950280324276E-3</v>
      </c>
      <c r="BO55" s="26">
        <v>2035</v>
      </c>
      <c r="BP55" s="29">
        <f t="shared" si="61"/>
        <v>1.0698039215686275</v>
      </c>
      <c r="BQ55" s="29">
        <f t="shared" si="61"/>
        <v>1.0468354430379747</v>
      </c>
      <c r="BR55" s="29">
        <f t="shared" si="61"/>
        <v>1.0952380952380951</v>
      </c>
      <c r="BS55" s="29">
        <f t="shared" si="61"/>
        <v>0.99051490514905149</v>
      </c>
      <c r="BT55" s="29">
        <f t="shared" si="61"/>
        <v>1.1385074626865672</v>
      </c>
      <c r="BU55" s="29">
        <f t="shared" si="61"/>
        <v>0.96877217885024847</v>
      </c>
      <c r="BV55" s="29">
        <f t="shared" si="61"/>
        <v>1.0099737532808397</v>
      </c>
      <c r="BW55" s="29">
        <f t="shared" si="61"/>
        <v>1.1355623100303951</v>
      </c>
      <c r="BX55" s="29">
        <f t="shared" si="61"/>
        <v>0.89883070665988807</v>
      </c>
      <c r="BZ55" s="26">
        <v>2035</v>
      </c>
      <c r="CA55" s="29">
        <f t="shared" si="62"/>
        <v>1.0317622950819674</v>
      </c>
      <c r="CB55" s="29">
        <f t="shared" si="62"/>
        <v>0.97889800703399765</v>
      </c>
      <c r="CC55" s="29">
        <f t="shared" si="62"/>
        <v>0.96756756756756757</v>
      </c>
      <c r="CD55" s="29">
        <f t="shared" si="62"/>
        <v>0.98391420911528149</v>
      </c>
      <c r="CE55" s="29">
        <f t="shared" si="62"/>
        <v>0.96951219512195119</v>
      </c>
      <c r="CF55" s="29">
        <f t="shared" si="62"/>
        <v>0.9805491990846682</v>
      </c>
      <c r="CG55" s="29">
        <f t="shared" si="62"/>
        <v>0.92161820480404555</v>
      </c>
      <c r="CH55" s="29">
        <f t="shared" si="62"/>
        <v>1.1048034934497817</v>
      </c>
      <c r="CI55" s="29">
        <f t="shared" si="62"/>
        <v>1.077027027027027</v>
      </c>
    </row>
    <row r="56" spans="1:87" x14ac:dyDescent="0.2">
      <c r="A56" s="26"/>
      <c r="B56" s="339"/>
      <c r="C56" s="339"/>
      <c r="D56" s="339"/>
      <c r="E56" s="342"/>
      <c r="F56" s="342"/>
      <c r="G56" s="26"/>
      <c r="H56" s="340"/>
      <c r="I56" s="340"/>
      <c r="J56" s="340"/>
      <c r="K56" s="340"/>
      <c r="L56" s="341"/>
      <c r="M56" s="341"/>
      <c r="N56" s="340"/>
      <c r="O56" s="340"/>
      <c r="P56" s="340"/>
      <c r="Q56" s="340"/>
      <c r="R56" s="72"/>
      <c r="S56" s="333"/>
      <c r="T56" s="20"/>
      <c r="U56" s="23">
        <v>2012</v>
      </c>
      <c r="V56" s="338">
        <v>2340329</v>
      </c>
      <c r="W56" s="39"/>
      <c r="X56" s="338">
        <v>1248861</v>
      </c>
      <c r="Y56" s="39"/>
      <c r="Z56" s="338">
        <v>88274</v>
      </c>
      <c r="AA56" s="139"/>
      <c r="AB56" s="338">
        <v>1077978</v>
      </c>
      <c r="AC56" s="39"/>
      <c r="AD56" s="338">
        <v>2901669</v>
      </c>
      <c r="AE56" s="39"/>
      <c r="AF56" s="338">
        <v>4392067</v>
      </c>
      <c r="AG56" s="39"/>
      <c r="AH56" s="338">
        <v>1248861</v>
      </c>
      <c r="AI56" s="39"/>
      <c r="AJ56" s="338">
        <v>88274</v>
      </c>
      <c r="AK56" s="338">
        <v>6524029</v>
      </c>
      <c r="AL56" s="39"/>
      <c r="AM56" s="338">
        <v>4425070</v>
      </c>
      <c r="AN56" s="39"/>
      <c r="AO56" s="338">
        <v>5042020</v>
      </c>
      <c r="AP56" s="39"/>
      <c r="AQ56" s="338">
        <v>11992072</v>
      </c>
      <c r="AR56" s="39"/>
      <c r="AS56" s="338">
        <v>6016258</v>
      </c>
      <c r="AT56" s="39"/>
      <c r="AU56" s="338">
        <v>8681308</v>
      </c>
      <c r="AV56" s="39"/>
      <c r="AW56" s="338">
        <v>3310493</v>
      </c>
      <c r="AX56" s="39"/>
      <c r="AY56" s="338">
        <v>29369733</v>
      </c>
      <c r="AZ56" s="39"/>
      <c r="BA56" s="338">
        <v>3278156</v>
      </c>
      <c r="BB56" s="127"/>
      <c r="BC56" s="338">
        <v>7229000</v>
      </c>
      <c r="BD56" s="338">
        <v>7229000</v>
      </c>
      <c r="BE56" s="212">
        <f t="shared" si="63"/>
        <v>1.0398480530645848E-2</v>
      </c>
    </row>
    <row r="57" spans="1:87" x14ac:dyDescent="0.2">
      <c r="A57" s="26"/>
      <c r="B57" s="339"/>
      <c r="C57" s="339"/>
      <c r="D57" s="339"/>
      <c r="E57" s="342"/>
      <c r="F57" s="342"/>
      <c r="G57" s="26"/>
      <c r="H57" s="340"/>
      <c r="I57" s="340"/>
      <c r="J57" s="340"/>
      <c r="K57" s="341"/>
      <c r="L57" s="341"/>
      <c r="M57" s="341"/>
      <c r="N57" s="340"/>
      <c r="O57" s="340"/>
      <c r="P57" s="340"/>
      <c r="Q57" s="340"/>
      <c r="R57" s="72"/>
      <c r="S57" s="333"/>
      <c r="T57" s="20"/>
      <c r="U57" s="23">
        <v>2013</v>
      </c>
      <c r="V57" s="338">
        <v>2340531</v>
      </c>
      <c r="W57" s="39"/>
      <c r="X57" s="338">
        <v>1272682.5</v>
      </c>
      <c r="Y57" s="39"/>
      <c r="Z57" s="338">
        <v>99534</v>
      </c>
      <c r="AA57" s="139"/>
      <c r="AB57" s="338">
        <v>1073433</v>
      </c>
      <c r="AC57" s="39"/>
      <c r="AD57" s="338">
        <v>2885391</v>
      </c>
      <c r="AE57" s="39"/>
      <c r="AF57" s="338">
        <v>4418997</v>
      </c>
      <c r="AG57" s="39"/>
      <c r="AH57" s="338">
        <v>1272682.5</v>
      </c>
      <c r="AI57" s="39"/>
      <c r="AJ57" s="338">
        <v>99534</v>
      </c>
      <c r="AK57" s="338">
        <v>6554585</v>
      </c>
      <c r="AL57" s="39"/>
      <c r="AM57" s="338">
        <v>4463555</v>
      </c>
      <c r="AN57" s="39"/>
      <c r="AO57" s="338">
        <v>5080368</v>
      </c>
      <c r="AP57" s="39"/>
      <c r="AQ57" s="338">
        <v>12063009</v>
      </c>
      <c r="AR57" s="39"/>
      <c r="AS57" s="338">
        <v>6050089</v>
      </c>
      <c r="AT57" s="39"/>
      <c r="AU57" s="338">
        <v>8717672</v>
      </c>
      <c r="AV57" s="39"/>
      <c r="AW57" s="338">
        <v>3321998</v>
      </c>
      <c r="AX57" s="39"/>
      <c r="AY57" s="338">
        <v>29362776</v>
      </c>
      <c r="AZ57" s="39"/>
      <c r="BA57" s="338">
        <v>3274086</v>
      </c>
      <c r="BB57" s="127"/>
      <c r="BC57" s="338">
        <v>7259203</v>
      </c>
      <c r="BD57" s="338">
        <v>7259203</v>
      </c>
      <c r="BE57" s="212">
        <f t="shared" si="63"/>
        <v>4.1780329229492708E-3</v>
      </c>
      <c r="BH57" s="31"/>
      <c r="BI57" s="31"/>
      <c r="BJ57" s="31"/>
      <c r="BK57" s="31"/>
      <c r="BO57" s="26" t="s">
        <v>151</v>
      </c>
      <c r="BP57" s="26"/>
      <c r="BQ57" s="26"/>
      <c r="BR57" s="26"/>
      <c r="BS57" s="26"/>
      <c r="BT57" s="26"/>
      <c r="BU57" s="26"/>
      <c r="BV57" s="26"/>
      <c r="BW57" s="26"/>
      <c r="BX57" s="26"/>
      <c r="BZ57" s="26" t="s">
        <v>152</v>
      </c>
      <c r="CA57" s="26"/>
      <c r="CB57" s="26"/>
      <c r="CC57" s="26"/>
      <c r="CD57" s="26"/>
      <c r="CE57" s="26"/>
      <c r="CF57" s="26"/>
      <c r="CG57" s="26"/>
      <c r="CH57" s="26"/>
      <c r="CI57" s="26"/>
    </row>
    <row r="58" spans="1:87" x14ac:dyDescent="0.2">
      <c r="A58" s="26"/>
      <c r="B58" s="339"/>
      <c r="C58" s="339"/>
      <c r="D58" s="339"/>
      <c r="E58" s="342"/>
      <c r="F58" s="342"/>
      <c r="G58" s="26"/>
      <c r="H58" s="340"/>
      <c r="I58" s="340"/>
      <c r="J58" s="340"/>
      <c r="K58" s="55"/>
      <c r="L58" s="55"/>
      <c r="M58" s="343"/>
      <c r="N58" s="340"/>
      <c r="O58" s="340"/>
      <c r="P58" s="340"/>
      <c r="Q58" s="340"/>
      <c r="R58" s="72"/>
      <c r="S58" s="333"/>
      <c r="T58" s="20"/>
      <c r="U58" s="23">
        <v>2014</v>
      </c>
      <c r="V58" s="338">
        <v>2347625</v>
      </c>
      <c r="W58" s="39"/>
      <c r="X58" s="338">
        <v>1307625</v>
      </c>
      <c r="Y58" s="39"/>
      <c r="Z58" s="338">
        <v>116134</v>
      </c>
      <c r="AA58" s="139"/>
      <c r="AB58" s="338">
        <v>1070071</v>
      </c>
      <c r="AC58" s="39"/>
      <c r="AD58" s="338">
        <v>2869842</v>
      </c>
      <c r="AE58" s="39"/>
      <c r="AF58" s="338">
        <v>4457921</v>
      </c>
      <c r="AG58" s="39"/>
      <c r="AH58" s="338">
        <v>1307625</v>
      </c>
      <c r="AI58" s="39"/>
      <c r="AJ58" s="338">
        <v>116134</v>
      </c>
      <c r="AK58" s="338">
        <v>6614240</v>
      </c>
      <c r="AL58" s="39"/>
      <c r="AM58" s="338">
        <v>4526672</v>
      </c>
      <c r="AN58" s="39"/>
      <c r="AO58" s="338">
        <v>5141167</v>
      </c>
      <c r="AP58" s="39"/>
      <c r="AQ58" s="338">
        <v>12184332</v>
      </c>
      <c r="AR58" s="39"/>
      <c r="AS58" s="338">
        <v>6111834</v>
      </c>
      <c r="AT58" s="39"/>
      <c r="AU58" s="338">
        <v>8788675</v>
      </c>
      <c r="AV58" s="39"/>
      <c r="AW58" s="338">
        <v>3348151</v>
      </c>
      <c r="AX58" s="39"/>
      <c r="AY58" s="338">
        <v>29461651</v>
      </c>
      <c r="AZ58" s="39"/>
      <c r="BA58" s="338">
        <v>3275766</v>
      </c>
      <c r="BB58" s="127"/>
      <c r="BC58" s="338">
        <v>7318620</v>
      </c>
      <c r="BD58" s="338">
        <v>7318620</v>
      </c>
      <c r="BE58" s="212">
        <f t="shared" si="63"/>
        <v>8.1850583321612103E-3</v>
      </c>
      <c r="BH58" s="31"/>
      <c r="BI58" s="31"/>
      <c r="BJ58" s="31"/>
      <c r="BK58" s="31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</row>
    <row r="59" spans="1:87" x14ac:dyDescent="0.2">
      <c r="A59" s="26"/>
      <c r="B59" s="339"/>
      <c r="C59" s="339"/>
      <c r="D59" s="339"/>
      <c r="E59" s="342"/>
      <c r="F59" s="342"/>
      <c r="G59" s="26"/>
      <c r="H59" s="340"/>
      <c r="I59" s="340"/>
      <c r="J59" s="340"/>
      <c r="K59" s="55"/>
      <c r="L59" s="55"/>
      <c r="M59" s="343"/>
      <c r="N59" s="340"/>
      <c r="O59" s="340"/>
      <c r="P59" s="340"/>
      <c r="Q59" s="340"/>
      <c r="R59" s="72"/>
      <c r="S59" s="333"/>
      <c r="T59" s="20"/>
      <c r="U59" s="23">
        <v>2015</v>
      </c>
      <c r="V59" s="338">
        <v>2360836</v>
      </c>
      <c r="W59" s="39"/>
      <c r="X59" s="338">
        <v>1349702.5</v>
      </c>
      <c r="Y59" s="39"/>
      <c r="Z59" s="338">
        <v>136248</v>
      </c>
      <c r="AA59" s="139"/>
      <c r="AB59" s="338">
        <v>1067801</v>
      </c>
      <c r="AC59" s="39"/>
      <c r="AD59" s="338">
        <v>2854956</v>
      </c>
      <c r="AE59" s="39"/>
      <c r="AF59" s="338">
        <v>4506412</v>
      </c>
      <c r="AG59" s="39"/>
      <c r="AH59" s="338">
        <v>1349702.5</v>
      </c>
      <c r="AI59" s="39"/>
      <c r="AJ59" s="338">
        <v>136248</v>
      </c>
      <c r="AK59" s="338">
        <v>6694785</v>
      </c>
      <c r="AL59" s="39"/>
      <c r="AM59" s="338">
        <v>4607630</v>
      </c>
      <c r="AN59" s="39"/>
      <c r="AO59" s="338">
        <v>5217518</v>
      </c>
      <c r="AP59" s="39"/>
      <c r="AQ59" s="338">
        <v>12341679</v>
      </c>
      <c r="AR59" s="39"/>
      <c r="AS59" s="338">
        <v>6193485</v>
      </c>
      <c r="AT59" s="39"/>
      <c r="AU59" s="338">
        <v>8883910</v>
      </c>
      <c r="AV59" s="39"/>
      <c r="AW59" s="338">
        <v>3384592</v>
      </c>
      <c r="AX59" s="39"/>
      <c r="AY59" s="338">
        <v>29667960</v>
      </c>
      <c r="AZ59" s="39"/>
      <c r="BA59" s="338">
        <v>3281503</v>
      </c>
      <c r="BB59" s="127"/>
      <c r="BC59" s="338">
        <v>7398955</v>
      </c>
      <c r="BD59" s="338">
        <v>7398955</v>
      </c>
      <c r="BE59" s="212">
        <f t="shared" si="63"/>
        <v>1.0976796171956016E-2</v>
      </c>
      <c r="BH59" s="31"/>
      <c r="BI59" s="31"/>
      <c r="BJ59" s="31"/>
      <c r="BK59" s="31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</row>
    <row r="60" spans="1:87" x14ac:dyDescent="0.2">
      <c r="A60" s="26"/>
      <c r="B60" s="339"/>
      <c r="C60" s="339"/>
      <c r="D60" s="339"/>
      <c r="E60" s="342"/>
      <c r="F60" s="342"/>
      <c r="G60" s="26"/>
      <c r="H60" s="340"/>
      <c r="I60" s="340"/>
      <c r="J60" s="340"/>
      <c r="K60" s="55"/>
      <c r="L60" s="55"/>
      <c r="M60" s="343"/>
      <c r="N60" s="340"/>
      <c r="O60" s="340"/>
      <c r="P60" s="340"/>
      <c r="Q60" s="340"/>
      <c r="R60" s="72"/>
      <c r="S60" s="333"/>
      <c r="T60" s="20"/>
      <c r="U60" s="23">
        <v>2016</v>
      </c>
      <c r="V60" s="338">
        <v>2380085</v>
      </c>
      <c r="W60" s="39"/>
      <c r="X60" s="338">
        <v>1395553.5</v>
      </c>
      <c r="Y60" s="39"/>
      <c r="Z60" s="338">
        <v>157531</v>
      </c>
      <c r="AA60" s="139"/>
      <c r="AB60" s="338">
        <v>1066609</v>
      </c>
      <c r="AC60" s="39"/>
      <c r="AD60" s="338">
        <v>2840697</v>
      </c>
      <c r="AE60" s="39"/>
      <c r="AF60" s="338">
        <v>4562534</v>
      </c>
      <c r="AG60" s="39"/>
      <c r="AH60" s="338">
        <v>1395553.5</v>
      </c>
      <c r="AI60" s="39"/>
      <c r="AJ60" s="338">
        <v>157531</v>
      </c>
      <c r="AK60" s="338">
        <v>6788520</v>
      </c>
      <c r="AL60" s="39"/>
      <c r="AM60" s="338">
        <v>4699526</v>
      </c>
      <c r="AN60" s="39"/>
      <c r="AO60" s="338">
        <v>5304584</v>
      </c>
      <c r="AP60" s="39"/>
      <c r="AQ60" s="338">
        <v>12511664</v>
      </c>
      <c r="AR60" s="39"/>
      <c r="AS60" s="338">
        <v>6287180</v>
      </c>
      <c r="AT60" s="39"/>
      <c r="AU60" s="338">
        <v>8993239</v>
      </c>
      <c r="AV60" s="39"/>
      <c r="AW60" s="338">
        <v>3426742</v>
      </c>
      <c r="AX60" s="39"/>
      <c r="AY60" s="338">
        <v>29962707</v>
      </c>
      <c r="AZ60" s="39"/>
      <c r="BA60" s="338">
        <v>3289404</v>
      </c>
      <c r="BB60" s="127"/>
      <c r="BC60" s="338">
        <v>7492496</v>
      </c>
      <c r="BD60" s="338">
        <v>7492496</v>
      </c>
      <c r="BE60" s="212">
        <f t="shared" si="63"/>
        <v>1.2642460996181271E-2</v>
      </c>
      <c r="BH60" s="31"/>
      <c r="BI60" s="31"/>
      <c r="BJ60" s="31"/>
      <c r="BK60" s="31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</row>
    <row r="61" spans="1:87" x14ac:dyDescent="0.2">
      <c r="A61" s="26"/>
      <c r="B61" s="339"/>
      <c r="C61" s="339"/>
      <c r="D61" s="339"/>
      <c r="E61" s="342"/>
      <c r="F61" s="342"/>
      <c r="G61" s="26"/>
      <c r="H61" s="340"/>
      <c r="I61" s="340"/>
      <c r="J61" s="340"/>
      <c r="K61" s="55"/>
      <c r="L61" s="55"/>
      <c r="M61" s="343"/>
      <c r="N61" s="340"/>
      <c r="O61" s="340"/>
      <c r="P61" s="340"/>
      <c r="Q61" s="340"/>
      <c r="R61" s="72"/>
      <c r="S61" s="333"/>
      <c r="T61" s="20"/>
      <c r="U61" s="23">
        <v>2017</v>
      </c>
      <c r="V61" s="338">
        <v>2403317</v>
      </c>
      <c r="W61" s="39"/>
      <c r="X61" s="338">
        <v>1443640.5</v>
      </c>
      <c r="Y61" s="39"/>
      <c r="Z61" s="338">
        <v>176926</v>
      </c>
      <c r="AA61" s="139"/>
      <c r="AB61" s="338">
        <v>1066172</v>
      </c>
      <c r="AC61" s="39"/>
      <c r="AD61" s="338">
        <v>2826912</v>
      </c>
      <c r="AE61" s="39"/>
      <c r="AF61" s="338">
        <v>4623649</v>
      </c>
      <c r="AG61" s="39"/>
      <c r="AH61" s="338">
        <v>1443640.5</v>
      </c>
      <c r="AI61" s="39"/>
      <c r="AJ61" s="338">
        <v>176926</v>
      </c>
      <c r="AK61" s="338">
        <v>6888274</v>
      </c>
      <c r="AL61" s="39"/>
      <c r="AM61" s="338">
        <v>4796644</v>
      </c>
      <c r="AN61" s="39"/>
      <c r="AO61" s="338">
        <v>5402655</v>
      </c>
      <c r="AP61" s="39"/>
      <c r="AQ61" s="338">
        <v>12691218</v>
      </c>
      <c r="AR61" s="39"/>
      <c r="AS61" s="338">
        <v>6386212</v>
      </c>
      <c r="AT61" s="39"/>
      <c r="AU61" s="338">
        <v>9108327</v>
      </c>
      <c r="AV61" s="39"/>
      <c r="AW61" s="338">
        <v>3471366</v>
      </c>
      <c r="AX61" s="39"/>
      <c r="AY61" s="338">
        <v>30331868</v>
      </c>
      <c r="AZ61" s="39"/>
      <c r="BA61" s="338">
        <v>3297094</v>
      </c>
      <c r="BB61" s="127"/>
      <c r="BC61" s="338">
        <v>7591914</v>
      </c>
      <c r="BD61" s="338">
        <v>7591914</v>
      </c>
      <c r="BE61" s="212">
        <f t="shared" si="63"/>
        <v>1.3269009419557998E-2</v>
      </c>
      <c r="BH61" s="31"/>
      <c r="BI61" s="31"/>
      <c r="BJ61" s="31"/>
      <c r="BK61" s="31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</row>
    <row r="62" spans="1:87" x14ac:dyDescent="0.2">
      <c r="A62" s="26"/>
      <c r="B62" s="339"/>
      <c r="C62" s="339"/>
      <c r="D62" s="339"/>
      <c r="E62" s="342"/>
      <c r="F62" s="342"/>
      <c r="G62" s="26"/>
      <c r="H62" s="340"/>
      <c r="I62" s="340"/>
      <c r="J62" s="340"/>
      <c r="K62" s="55"/>
      <c r="L62" s="55"/>
      <c r="M62" s="343"/>
      <c r="N62" s="340"/>
      <c r="O62" s="340"/>
      <c r="P62" s="340"/>
      <c r="Q62" s="340"/>
      <c r="R62" s="72"/>
      <c r="S62" s="333"/>
      <c r="T62" s="20"/>
      <c r="U62" s="23">
        <v>2018</v>
      </c>
      <c r="V62" s="338">
        <v>2427853</v>
      </c>
      <c r="W62" s="39"/>
      <c r="X62" s="338">
        <v>1491759.5</v>
      </c>
      <c r="Y62" s="39"/>
      <c r="Z62" s="338">
        <v>194403</v>
      </c>
      <c r="AA62" s="139"/>
      <c r="AB62" s="338">
        <v>1066067</v>
      </c>
      <c r="AC62" s="39"/>
      <c r="AD62" s="338">
        <v>2813445</v>
      </c>
      <c r="AE62" s="39"/>
      <c r="AF62" s="338">
        <v>4686224</v>
      </c>
      <c r="AG62" s="39"/>
      <c r="AH62" s="338">
        <v>1491759.5</v>
      </c>
      <c r="AI62" s="39"/>
      <c r="AJ62" s="338">
        <v>194403</v>
      </c>
      <c r="AK62" s="338">
        <v>6988226</v>
      </c>
      <c r="AL62" s="39"/>
      <c r="AM62" s="338">
        <v>4894611</v>
      </c>
      <c r="AN62" s="39"/>
      <c r="AO62" s="338">
        <v>5499585</v>
      </c>
      <c r="AP62" s="39"/>
      <c r="AQ62" s="338">
        <v>12870809</v>
      </c>
      <c r="AR62" s="39"/>
      <c r="AS62" s="338">
        <v>6485364</v>
      </c>
      <c r="AT62" s="39"/>
      <c r="AU62" s="338">
        <v>9222915</v>
      </c>
      <c r="AV62" s="39"/>
      <c r="AW62" s="338">
        <v>3516148</v>
      </c>
      <c r="AX62" s="39"/>
      <c r="AY62" s="338">
        <v>30751692</v>
      </c>
      <c r="AZ62" s="39"/>
      <c r="BA62" s="338">
        <v>3304893</v>
      </c>
      <c r="BB62" s="127"/>
      <c r="BC62" s="338">
        <v>7691282</v>
      </c>
      <c r="BD62" s="338">
        <v>7691282</v>
      </c>
      <c r="BE62" s="212">
        <f t="shared" si="63"/>
        <v>1.3088662490117864E-2</v>
      </c>
      <c r="BH62" s="31"/>
      <c r="BI62" s="31"/>
      <c r="BJ62" s="31"/>
      <c r="BK62" s="31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</row>
    <row r="63" spans="1:87" x14ac:dyDescent="0.2">
      <c r="A63" s="26"/>
      <c r="B63" s="339"/>
      <c r="C63" s="339"/>
      <c r="D63" s="339"/>
      <c r="E63" s="342"/>
      <c r="F63" s="342"/>
      <c r="G63" s="26"/>
      <c r="H63" s="340"/>
      <c r="I63" s="340"/>
      <c r="J63" s="340"/>
      <c r="K63" s="55"/>
      <c r="L63" s="55"/>
      <c r="M63" s="343"/>
      <c r="N63" s="340"/>
      <c r="O63" s="340"/>
      <c r="P63" s="340"/>
      <c r="Q63" s="340"/>
      <c r="R63" s="72"/>
      <c r="S63" s="333"/>
      <c r="T63" s="20"/>
      <c r="U63" s="23">
        <v>2019</v>
      </c>
      <c r="V63" s="338">
        <v>2452402</v>
      </c>
      <c r="W63" s="39"/>
      <c r="X63" s="338">
        <v>1539757</v>
      </c>
      <c r="Y63" s="39"/>
      <c r="Z63" s="338">
        <v>210320</v>
      </c>
      <c r="AA63" s="139"/>
      <c r="AB63" s="338">
        <v>1065991</v>
      </c>
      <c r="AC63" s="39"/>
      <c r="AD63" s="338">
        <v>2800170</v>
      </c>
      <c r="AE63" s="39"/>
      <c r="AF63" s="338">
        <v>4748709</v>
      </c>
      <c r="AG63" s="39"/>
      <c r="AH63" s="338">
        <v>1539757</v>
      </c>
      <c r="AI63" s="39"/>
      <c r="AJ63" s="338">
        <v>210320</v>
      </c>
      <c r="AK63" s="338">
        <v>7086948</v>
      </c>
      <c r="AL63" s="39"/>
      <c r="AM63" s="338">
        <v>4992340</v>
      </c>
      <c r="AN63" s="39"/>
      <c r="AO63" s="338">
        <v>5594416</v>
      </c>
      <c r="AP63" s="39"/>
      <c r="AQ63" s="338">
        <v>13046881</v>
      </c>
      <c r="AR63" s="39"/>
      <c r="AS63" s="338">
        <v>6583251</v>
      </c>
      <c r="AT63" s="39"/>
      <c r="AU63" s="338">
        <v>9335730</v>
      </c>
      <c r="AV63" s="39"/>
      <c r="AW63" s="338">
        <v>3560348</v>
      </c>
      <c r="AX63" s="39"/>
      <c r="AY63" s="338">
        <v>31209732</v>
      </c>
      <c r="AZ63" s="39"/>
      <c r="BA63" s="338">
        <v>3313867</v>
      </c>
      <c r="BB63" s="127"/>
      <c r="BC63" s="338">
        <v>7789169</v>
      </c>
      <c r="BD63" s="338">
        <v>7789169</v>
      </c>
      <c r="BE63" s="212">
        <f t="shared" si="63"/>
        <v>1.2727007019115888E-2</v>
      </c>
      <c r="BH63" s="31"/>
      <c r="BI63" s="31"/>
      <c r="BJ63" s="31"/>
      <c r="BK63" s="31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</row>
    <row r="64" spans="1:87" x14ac:dyDescent="0.2">
      <c r="A64" s="26"/>
      <c r="B64" s="339"/>
      <c r="C64" s="339"/>
      <c r="D64" s="339"/>
      <c r="E64" s="342"/>
      <c r="F64" s="342"/>
      <c r="G64" s="26"/>
      <c r="H64" s="340"/>
      <c r="I64" s="340"/>
      <c r="J64" s="340"/>
      <c r="K64" s="55"/>
      <c r="L64" s="55"/>
      <c r="M64" s="343"/>
      <c r="N64" s="340"/>
      <c r="O64" s="340"/>
      <c r="P64" s="340"/>
      <c r="Q64" s="340"/>
      <c r="R64" s="72"/>
      <c r="S64" s="333"/>
      <c r="T64" s="20"/>
      <c r="U64" s="23">
        <v>2020</v>
      </c>
      <c r="V64" s="338">
        <v>2476137</v>
      </c>
      <c r="W64" s="39"/>
      <c r="X64" s="338">
        <v>1587068.5</v>
      </c>
      <c r="Y64" s="39"/>
      <c r="Z64" s="338">
        <v>224773</v>
      </c>
      <c r="AA64" s="139"/>
      <c r="AB64" s="338">
        <v>1065779</v>
      </c>
      <c r="AC64" s="39"/>
      <c r="AD64" s="338">
        <v>2787029</v>
      </c>
      <c r="AE64" s="39"/>
      <c r="AF64" s="338">
        <v>4809955</v>
      </c>
      <c r="AG64" s="39"/>
      <c r="AH64" s="338">
        <v>1587068.5</v>
      </c>
      <c r="AI64" s="39"/>
      <c r="AJ64" s="338">
        <v>224773</v>
      </c>
      <c r="AK64" s="338">
        <v>7182783</v>
      </c>
      <c r="AL64" s="39"/>
      <c r="AM64" s="338">
        <v>5088475</v>
      </c>
      <c r="AN64" s="39"/>
      <c r="AO64" s="338">
        <v>5685765</v>
      </c>
      <c r="AP64" s="39"/>
      <c r="AQ64" s="338">
        <v>13217343</v>
      </c>
      <c r="AR64" s="39"/>
      <c r="AS64" s="338">
        <v>6678319</v>
      </c>
      <c r="AT64" s="39"/>
      <c r="AU64" s="338">
        <v>9445001</v>
      </c>
      <c r="AV64" s="39"/>
      <c r="AW64" s="338">
        <v>3603151</v>
      </c>
      <c r="AX64" s="39"/>
      <c r="AY64" s="338">
        <v>31685772</v>
      </c>
      <c r="AZ64" s="39"/>
      <c r="BA64" s="338">
        <v>3322877</v>
      </c>
      <c r="BB64" s="127"/>
      <c r="BC64" s="338">
        <v>7883915</v>
      </c>
      <c r="BD64" s="338">
        <v>7883915</v>
      </c>
      <c r="BE64" s="212">
        <f t="shared" si="63"/>
        <v>1.2163813623764064E-2</v>
      </c>
      <c r="BH64" s="31"/>
      <c r="BI64" s="31"/>
      <c r="BJ64" s="31"/>
      <c r="BK64" s="31"/>
      <c r="BO64" s="64" t="s">
        <v>15</v>
      </c>
      <c r="BP64" s="64" t="s">
        <v>83</v>
      </c>
      <c r="BQ64" s="64" t="s">
        <v>84</v>
      </c>
      <c r="BR64" s="64" t="s">
        <v>85</v>
      </c>
      <c r="BS64" s="64" t="s">
        <v>86</v>
      </c>
      <c r="BT64" s="64" t="s">
        <v>87</v>
      </c>
      <c r="BU64" s="64" t="s">
        <v>88</v>
      </c>
      <c r="BV64" s="64" t="s">
        <v>89</v>
      </c>
      <c r="BW64" s="64" t="s">
        <v>90</v>
      </c>
      <c r="BX64" s="64" t="s">
        <v>91</v>
      </c>
      <c r="BZ64" s="64" t="s">
        <v>15</v>
      </c>
      <c r="CA64" s="64" t="s">
        <v>83</v>
      </c>
      <c r="CB64" s="64" t="s">
        <v>84</v>
      </c>
      <c r="CC64" s="64" t="s">
        <v>85</v>
      </c>
      <c r="CD64" s="64" t="s">
        <v>86</v>
      </c>
      <c r="CE64" s="64" t="s">
        <v>87</v>
      </c>
      <c r="CF64" s="64" t="s">
        <v>88</v>
      </c>
      <c r="CG64" s="64" t="s">
        <v>89</v>
      </c>
      <c r="CH64" s="64" t="s">
        <v>90</v>
      </c>
      <c r="CI64" s="64" t="s">
        <v>91</v>
      </c>
    </row>
    <row r="65" spans="1:87" x14ac:dyDescent="0.2">
      <c r="A65" s="26"/>
      <c r="B65" s="339"/>
      <c r="C65" s="339"/>
      <c r="D65" s="339"/>
      <c r="E65" s="342"/>
      <c r="F65" s="342"/>
      <c r="G65" s="26"/>
      <c r="H65" s="340"/>
      <c r="I65" s="340"/>
      <c r="J65" s="340"/>
      <c r="K65" s="55"/>
      <c r="L65" s="55"/>
      <c r="M65" s="343"/>
      <c r="N65" s="340"/>
      <c r="O65" s="340"/>
      <c r="P65" s="340"/>
      <c r="Q65" s="340"/>
      <c r="R65" s="72"/>
      <c r="S65" s="333"/>
      <c r="T65" s="20"/>
      <c r="U65" s="23">
        <v>2021</v>
      </c>
      <c r="V65" s="338">
        <v>2498502</v>
      </c>
      <c r="W65" s="39"/>
      <c r="X65" s="338">
        <v>1632941</v>
      </c>
      <c r="Y65" s="39"/>
      <c r="Z65" s="338">
        <v>237730</v>
      </c>
      <c r="AA65" s="139"/>
      <c r="AB65" s="338">
        <v>1065338</v>
      </c>
      <c r="AC65" s="39"/>
      <c r="AD65" s="338">
        <v>2773973</v>
      </c>
      <c r="AE65" s="39"/>
      <c r="AF65" s="338">
        <v>4868979</v>
      </c>
      <c r="AG65" s="39"/>
      <c r="AH65" s="338">
        <v>1632941</v>
      </c>
      <c r="AI65" s="39"/>
      <c r="AJ65" s="338">
        <v>237730</v>
      </c>
      <c r="AK65" s="338">
        <v>7273890</v>
      </c>
      <c r="AL65" s="39"/>
      <c r="AM65" s="338">
        <v>5181376</v>
      </c>
      <c r="AN65" s="39"/>
      <c r="AO65" s="338">
        <v>5772721</v>
      </c>
      <c r="AP65" s="39"/>
      <c r="AQ65" s="338">
        <v>13386498</v>
      </c>
      <c r="AR65" s="39"/>
      <c r="AS65" s="338">
        <v>6768816</v>
      </c>
      <c r="AT65" s="39"/>
      <c r="AU65" s="338">
        <v>9548621</v>
      </c>
      <c r="AV65" s="39"/>
      <c r="AW65" s="338">
        <v>3643662</v>
      </c>
      <c r="AX65" s="39"/>
      <c r="AY65" s="338">
        <v>32150432</v>
      </c>
      <c r="AZ65" s="39"/>
      <c r="BA65" s="338">
        <v>3331455</v>
      </c>
      <c r="BB65" s="127"/>
      <c r="BC65" s="338">
        <v>7973708</v>
      </c>
      <c r="BD65" s="338">
        <v>7973708</v>
      </c>
      <c r="BE65" s="212">
        <f t="shared" si="63"/>
        <v>1.1389392199180337E-2</v>
      </c>
      <c r="BH65" s="31"/>
      <c r="BI65" s="31"/>
      <c r="BJ65" s="31"/>
      <c r="BK65" s="31"/>
      <c r="BO65" s="26">
        <v>1990</v>
      </c>
      <c r="BP65" s="124">
        <v>27.64</v>
      </c>
      <c r="BQ65" s="124">
        <v>31.89</v>
      </c>
      <c r="BR65" s="124">
        <v>15.03</v>
      </c>
      <c r="BS65" s="124">
        <v>13.17</v>
      </c>
      <c r="BT65" s="124">
        <v>16.43</v>
      </c>
      <c r="BU65" s="124">
        <v>13.32</v>
      </c>
      <c r="BV65" s="124">
        <v>14.94</v>
      </c>
      <c r="BW65" s="124">
        <v>13.31</v>
      </c>
      <c r="BX65" s="124">
        <v>17.690000000000001</v>
      </c>
      <c r="BZ65" s="26">
        <v>1990</v>
      </c>
      <c r="CA65" s="120">
        <v>6.86</v>
      </c>
      <c r="CB65" s="120">
        <v>6.06</v>
      </c>
      <c r="CC65" s="120">
        <v>4.5199999999999996</v>
      </c>
      <c r="CD65" s="120">
        <v>4.21</v>
      </c>
      <c r="CE65" s="120">
        <v>5.85</v>
      </c>
      <c r="CF65" s="120">
        <v>4.76</v>
      </c>
      <c r="CG65" s="120">
        <v>4.8600000000000003</v>
      </c>
      <c r="CH65" s="120">
        <v>4.53</v>
      </c>
      <c r="CI65" s="120">
        <v>4.97</v>
      </c>
    </row>
    <row r="66" spans="1:87" x14ac:dyDescent="0.2">
      <c r="A66" s="26"/>
      <c r="B66" s="339"/>
      <c r="C66" s="339"/>
      <c r="D66" s="339"/>
      <c r="E66" s="342"/>
      <c r="F66" s="342"/>
      <c r="G66" s="26"/>
      <c r="H66" s="340"/>
      <c r="I66" s="340"/>
      <c r="J66" s="340"/>
      <c r="K66" s="55"/>
      <c r="L66" s="55"/>
      <c r="M66" s="343"/>
      <c r="N66" s="340"/>
      <c r="O66" s="340"/>
      <c r="P66" s="340"/>
      <c r="Q66" s="340"/>
      <c r="R66" s="72"/>
      <c r="S66" s="333"/>
      <c r="T66" s="20"/>
      <c r="U66" s="23">
        <v>2022</v>
      </c>
      <c r="V66" s="338">
        <v>2519832</v>
      </c>
      <c r="W66" s="39"/>
      <c r="X66" s="338">
        <v>1678329.5</v>
      </c>
      <c r="Y66" s="39"/>
      <c r="Z66" s="338">
        <v>249677</v>
      </c>
      <c r="AA66" s="139"/>
      <c r="AB66" s="338">
        <v>1064694</v>
      </c>
      <c r="AC66" s="39"/>
      <c r="AD66" s="338">
        <v>2761024</v>
      </c>
      <c r="AE66" s="39"/>
      <c r="AF66" s="338">
        <v>4926505</v>
      </c>
      <c r="AG66" s="39"/>
      <c r="AH66" s="338">
        <v>1678329.5</v>
      </c>
      <c r="AI66" s="39"/>
      <c r="AJ66" s="338">
        <v>249677</v>
      </c>
      <c r="AK66" s="338">
        <v>7362216</v>
      </c>
      <c r="AL66" s="39"/>
      <c r="AM66" s="338">
        <v>5272964</v>
      </c>
      <c r="AN66" s="39"/>
      <c r="AO66" s="338">
        <v>5857171</v>
      </c>
      <c r="AP66" s="39"/>
      <c r="AQ66" s="338">
        <v>13550272</v>
      </c>
      <c r="AR66" s="39"/>
      <c r="AS66" s="338">
        <v>6856801</v>
      </c>
      <c r="AT66" s="39"/>
      <c r="AU66" s="338">
        <v>9649252</v>
      </c>
      <c r="AV66" s="39"/>
      <c r="AW66" s="338">
        <v>3682920</v>
      </c>
      <c r="AX66" s="39"/>
      <c r="AY66" s="338">
        <v>32643307</v>
      </c>
      <c r="AZ66" s="39"/>
      <c r="BA66" s="338">
        <v>3339725</v>
      </c>
      <c r="BB66" s="127"/>
      <c r="BC66" s="338">
        <v>8060724</v>
      </c>
      <c r="BD66" s="338">
        <v>8060724</v>
      </c>
      <c r="BE66" s="212">
        <f t="shared" si="63"/>
        <v>1.0912865131253779E-2</v>
      </c>
      <c r="BH66" s="31"/>
      <c r="BI66" s="31"/>
      <c r="BJ66" s="31"/>
      <c r="BK66" s="31"/>
      <c r="BO66" s="26">
        <f t="shared" ref="BO66:BO74" si="64">BO67-1</f>
        <v>1991</v>
      </c>
      <c r="BP66" s="124">
        <v>26.03</v>
      </c>
      <c r="BQ66" s="124">
        <v>26.33</v>
      </c>
      <c r="BR66" s="124">
        <v>16.899999999999999</v>
      </c>
      <c r="BS66" s="124">
        <v>15.26</v>
      </c>
      <c r="BT66" s="124">
        <v>17.100000000000001</v>
      </c>
      <c r="BU66" s="124">
        <v>15.74</v>
      </c>
      <c r="BV66" s="124">
        <v>15.47</v>
      </c>
      <c r="BW66" s="124">
        <v>14.4</v>
      </c>
      <c r="BX66" s="124">
        <v>18.13</v>
      </c>
      <c r="BZ66" s="26">
        <f>BZ65+1</f>
        <v>1991</v>
      </c>
      <c r="CA66" s="120">
        <v>6.84</v>
      </c>
      <c r="CB66" s="120">
        <v>5.9</v>
      </c>
      <c r="CC66" s="120">
        <v>4.34</v>
      </c>
      <c r="CD66" s="120">
        <v>3.98</v>
      </c>
      <c r="CE66" s="120">
        <v>5.58</v>
      </c>
      <c r="CF66" s="120">
        <v>4.67</v>
      </c>
      <c r="CG66" s="120">
        <v>4.59</v>
      </c>
      <c r="CH66" s="120">
        <v>4.38</v>
      </c>
      <c r="CI66" s="120">
        <v>5.13</v>
      </c>
    </row>
    <row r="67" spans="1:87" x14ac:dyDescent="0.2">
      <c r="A67" s="26"/>
      <c r="B67" s="339"/>
      <c r="C67" s="339"/>
      <c r="D67" s="339"/>
      <c r="E67" s="342"/>
      <c r="F67" s="342"/>
      <c r="G67" s="26"/>
      <c r="H67" s="340"/>
      <c r="I67" s="340"/>
      <c r="J67" s="340"/>
      <c r="K67" s="55"/>
      <c r="L67" s="55"/>
      <c r="M67" s="343"/>
      <c r="N67" s="340"/>
      <c r="O67" s="340"/>
      <c r="P67" s="340"/>
      <c r="Q67" s="340"/>
      <c r="R67" s="72"/>
      <c r="S67" s="333"/>
      <c r="T67" s="20"/>
      <c r="U67" s="23">
        <v>2023</v>
      </c>
      <c r="V67" s="338">
        <v>2540137</v>
      </c>
      <c r="W67" s="39"/>
      <c r="X67" s="338">
        <v>1724282.5</v>
      </c>
      <c r="Y67" s="39"/>
      <c r="Z67" s="338">
        <v>261137</v>
      </c>
      <c r="AA67" s="139"/>
      <c r="AB67" s="338">
        <v>1063853</v>
      </c>
      <c r="AC67" s="39"/>
      <c r="AD67" s="338">
        <v>2748177</v>
      </c>
      <c r="AE67" s="39"/>
      <c r="AF67" s="338">
        <v>4983141</v>
      </c>
      <c r="AG67" s="39"/>
      <c r="AH67" s="338">
        <v>1724282.5</v>
      </c>
      <c r="AI67" s="39"/>
      <c r="AJ67" s="338">
        <v>261137</v>
      </c>
      <c r="AK67" s="338">
        <v>7449943</v>
      </c>
      <c r="AL67" s="39"/>
      <c r="AM67" s="338">
        <v>5365431</v>
      </c>
      <c r="AN67" s="39"/>
      <c r="AO67" s="338">
        <v>5940745</v>
      </c>
      <c r="AP67" s="39"/>
      <c r="AQ67" s="338">
        <v>13713086</v>
      </c>
      <c r="AR67" s="39"/>
      <c r="AS67" s="338">
        <v>6944509</v>
      </c>
      <c r="AT67" s="39"/>
      <c r="AU67" s="338">
        <v>9749796</v>
      </c>
      <c r="AV67" s="39"/>
      <c r="AW67" s="338">
        <v>3722258</v>
      </c>
      <c r="AX67" s="39"/>
      <c r="AY67" s="338">
        <v>33141743</v>
      </c>
      <c r="AZ67" s="39"/>
      <c r="BA67" s="338">
        <v>3347903</v>
      </c>
      <c r="BB67" s="127"/>
      <c r="BC67" s="338">
        <v>8147168</v>
      </c>
      <c r="BD67" s="338">
        <v>8147168</v>
      </c>
      <c r="BE67" s="212">
        <f t="shared" si="63"/>
        <v>1.0724098728600584E-2</v>
      </c>
      <c r="BH67" s="31"/>
      <c r="BI67" s="31"/>
      <c r="BJ67" s="31"/>
      <c r="BK67" s="31"/>
      <c r="BO67" s="26">
        <f t="shared" si="64"/>
        <v>1992</v>
      </c>
      <c r="BP67" s="124">
        <v>26.63</v>
      </c>
      <c r="BQ67" s="124">
        <v>25.21</v>
      </c>
      <c r="BR67" s="124">
        <v>17.98</v>
      </c>
      <c r="BS67" s="124">
        <v>16.28</v>
      </c>
      <c r="BT67" s="124">
        <v>17.420000000000002</v>
      </c>
      <c r="BU67" s="124">
        <v>16.489999999999998</v>
      </c>
      <c r="BV67" s="124">
        <v>15.96</v>
      </c>
      <c r="BW67" s="124">
        <v>15.76</v>
      </c>
      <c r="BX67" s="124">
        <v>18.57</v>
      </c>
      <c r="BZ67" s="26">
        <f t="shared" ref="BZ67:BZ111" si="65">BZ66+1</f>
        <v>1992</v>
      </c>
      <c r="CA67" s="120">
        <v>6.64</v>
      </c>
      <c r="CB67" s="120">
        <v>5.84</v>
      </c>
      <c r="CC67" s="120">
        <v>4.28</v>
      </c>
      <c r="CD67" s="120">
        <v>4.08</v>
      </c>
      <c r="CE67" s="120">
        <v>5.47</v>
      </c>
      <c r="CF67" s="120">
        <v>4.59</v>
      </c>
      <c r="CG67" s="120">
        <v>4.55</v>
      </c>
      <c r="CH67" s="120">
        <v>4.2300000000000004</v>
      </c>
      <c r="CI67" s="120">
        <v>4.8099999999999996</v>
      </c>
    </row>
    <row r="68" spans="1:87" x14ac:dyDescent="0.2">
      <c r="A68" s="26"/>
      <c r="B68" s="339"/>
      <c r="C68" s="339"/>
      <c r="D68" s="339"/>
      <c r="E68" s="342"/>
      <c r="F68" s="342"/>
      <c r="G68" s="26"/>
      <c r="H68" s="340"/>
      <c r="I68" s="340"/>
      <c r="J68" s="340"/>
      <c r="K68" s="55"/>
      <c r="L68" s="55"/>
      <c r="M68" s="343"/>
      <c r="N68" s="340"/>
      <c r="O68" s="340"/>
      <c r="P68" s="340"/>
      <c r="Q68" s="340"/>
      <c r="R68" s="72"/>
      <c r="S68" s="333"/>
      <c r="T68" s="20"/>
      <c r="U68" s="23">
        <v>2024</v>
      </c>
      <c r="V68" s="338">
        <v>2559874</v>
      </c>
      <c r="W68" s="39"/>
      <c r="X68" s="338">
        <v>1771198.5</v>
      </c>
      <c r="Y68" s="39"/>
      <c r="Z68" s="338">
        <v>272192</v>
      </c>
      <c r="AA68" s="139"/>
      <c r="AB68" s="338">
        <v>1062872</v>
      </c>
      <c r="AC68" s="39"/>
      <c r="AD68" s="338">
        <v>2735458</v>
      </c>
      <c r="AE68" s="39"/>
      <c r="AF68" s="338">
        <v>5039406</v>
      </c>
      <c r="AG68" s="39"/>
      <c r="AH68" s="338">
        <v>1771198.5</v>
      </c>
      <c r="AI68" s="39"/>
      <c r="AJ68" s="338">
        <v>272192</v>
      </c>
      <c r="AK68" s="338">
        <v>7538099</v>
      </c>
      <c r="AL68" s="39"/>
      <c r="AM68" s="338">
        <v>5459555</v>
      </c>
      <c r="AN68" s="39"/>
      <c r="AO68" s="338">
        <v>6024215</v>
      </c>
      <c r="AP68" s="39"/>
      <c r="AQ68" s="338">
        <v>13877455</v>
      </c>
      <c r="AR68" s="39"/>
      <c r="AS68" s="338">
        <v>7032803</v>
      </c>
      <c r="AT68" s="39"/>
      <c r="AU68" s="338">
        <v>9851294</v>
      </c>
      <c r="AV68" s="39"/>
      <c r="AW68" s="338">
        <v>3761984</v>
      </c>
      <c r="AX68" s="39"/>
      <c r="AY68" s="338">
        <v>33649386</v>
      </c>
      <c r="AZ68" s="39"/>
      <c r="BA68" s="338">
        <v>3357102</v>
      </c>
      <c r="BB68" s="127"/>
      <c r="BC68" s="338">
        <v>8234035</v>
      </c>
      <c r="BD68" s="338">
        <v>8234035</v>
      </c>
      <c r="BE68" s="212">
        <f t="shared" si="63"/>
        <v>1.0662232569648822E-2</v>
      </c>
      <c r="BO68" s="26">
        <f t="shared" si="64"/>
        <v>1993</v>
      </c>
      <c r="BP68" s="124">
        <v>27.92</v>
      </c>
      <c r="BQ68" s="124">
        <v>24.89</v>
      </c>
      <c r="BR68" s="124">
        <v>18.21</v>
      </c>
      <c r="BS68" s="124">
        <v>16.48</v>
      </c>
      <c r="BT68" s="124">
        <v>17.350000000000001</v>
      </c>
      <c r="BU68" s="124">
        <v>16.52</v>
      </c>
      <c r="BV68" s="124">
        <v>16.78</v>
      </c>
      <c r="BW68" s="124">
        <v>15.89</v>
      </c>
      <c r="BX68" s="124">
        <v>18.61</v>
      </c>
      <c r="BZ68" s="26">
        <f t="shared" si="65"/>
        <v>1993</v>
      </c>
      <c r="CA68" s="120">
        <v>6.85</v>
      </c>
      <c r="CB68" s="120">
        <v>6.01</v>
      </c>
      <c r="CC68" s="120">
        <v>4.46</v>
      </c>
      <c r="CD68" s="120">
        <v>4.2300000000000004</v>
      </c>
      <c r="CE68" s="120">
        <v>5.76</v>
      </c>
      <c r="CF68" s="120">
        <v>4.7</v>
      </c>
      <c r="CG68" s="120">
        <v>4.58</v>
      </c>
      <c r="CH68" s="120">
        <v>4.16</v>
      </c>
      <c r="CI68" s="120">
        <v>4.92</v>
      </c>
    </row>
    <row r="69" spans="1:87" x14ac:dyDescent="0.2">
      <c r="A69" s="26"/>
      <c r="B69" s="339"/>
      <c r="C69" s="339"/>
      <c r="D69" s="339"/>
      <c r="E69" s="342"/>
      <c r="F69" s="342"/>
      <c r="G69" s="26"/>
      <c r="H69" s="340"/>
      <c r="I69" s="340"/>
      <c r="J69" s="340"/>
      <c r="K69" s="55"/>
      <c r="L69" s="55"/>
      <c r="M69" s="343"/>
      <c r="N69" s="340"/>
      <c r="O69" s="340"/>
      <c r="P69" s="340"/>
      <c r="Q69" s="340"/>
      <c r="R69" s="72"/>
      <c r="T69" s="20"/>
      <c r="U69" s="23">
        <v>2025</v>
      </c>
      <c r="V69" s="338">
        <v>2579035</v>
      </c>
      <c r="W69" s="39"/>
      <c r="X69" s="338">
        <v>1818783.5</v>
      </c>
      <c r="Y69" s="39"/>
      <c r="Z69" s="338">
        <v>282734</v>
      </c>
      <c r="AA69" s="139"/>
      <c r="AB69" s="338">
        <v>1061713</v>
      </c>
      <c r="AC69" s="39"/>
      <c r="AD69" s="338">
        <v>2722836</v>
      </c>
      <c r="AE69" s="39"/>
      <c r="AF69" s="338">
        <v>5095026</v>
      </c>
      <c r="AG69" s="39"/>
      <c r="AH69" s="338">
        <v>1818783.5</v>
      </c>
      <c r="AI69" s="39"/>
      <c r="AJ69" s="338">
        <v>282734</v>
      </c>
      <c r="AK69" s="338">
        <v>7625973</v>
      </c>
      <c r="AL69" s="39"/>
      <c r="AM69" s="338">
        <v>5554530</v>
      </c>
      <c r="AN69" s="39"/>
      <c r="AO69" s="338">
        <v>6107071</v>
      </c>
      <c r="AP69" s="39"/>
      <c r="AQ69" s="338">
        <v>14040897</v>
      </c>
      <c r="AR69" s="39"/>
      <c r="AS69" s="338">
        <v>7120904</v>
      </c>
      <c r="AT69" s="39"/>
      <c r="AU69" s="338">
        <v>9952747</v>
      </c>
      <c r="AV69" s="39"/>
      <c r="AW69" s="338">
        <v>3801504</v>
      </c>
      <c r="AX69" s="39"/>
      <c r="AY69" s="338">
        <v>34164025</v>
      </c>
      <c r="AZ69" s="39"/>
      <c r="BA69" s="338">
        <v>3366121</v>
      </c>
      <c r="BB69" s="127"/>
      <c r="BC69" s="338">
        <v>8320630</v>
      </c>
      <c r="BD69" s="338">
        <v>8320630</v>
      </c>
      <c r="BE69" s="212">
        <f t="shared" si="63"/>
        <v>1.0516715073472405E-2</v>
      </c>
      <c r="BO69" s="26">
        <f t="shared" si="64"/>
        <v>1994</v>
      </c>
      <c r="BP69" s="124">
        <v>29.1</v>
      </c>
      <c r="BQ69" s="124">
        <v>25.35</v>
      </c>
      <c r="BR69" s="124">
        <v>18.52</v>
      </c>
      <c r="BS69" s="124">
        <v>16.989999999999998</v>
      </c>
      <c r="BT69" s="124">
        <v>17.760000000000002</v>
      </c>
      <c r="BU69" s="124">
        <v>17.010000000000002</v>
      </c>
      <c r="BV69" s="124">
        <v>17.260000000000002</v>
      </c>
      <c r="BW69" s="124">
        <v>16.86</v>
      </c>
      <c r="BX69" s="124">
        <v>19.21</v>
      </c>
      <c r="BZ69" s="26">
        <f t="shared" si="65"/>
        <v>1994</v>
      </c>
      <c r="CA69" s="120">
        <v>7.22</v>
      </c>
      <c r="CB69" s="120">
        <v>6.26</v>
      </c>
      <c r="CC69" s="120">
        <v>4.42</v>
      </c>
      <c r="CD69" s="120">
        <v>4.1399999999999997</v>
      </c>
      <c r="CE69" s="120">
        <v>5.83</v>
      </c>
      <c r="CF69" s="120">
        <v>4.8499999999999996</v>
      </c>
      <c r="CG69" s="120">
        <v>4.6500000000000004</v>
      </c>
      <c r="CH69" s="120">
        <v>4.3099999999999996</v>
      </c>
      <c r="CI69" s="120">
        <v>4.97</v>
      </c>
    </row>
    <row r="70" spans="1:87" x14ac:dyDescent="0.2">
      <c r="A70" s="26"/>
      <c r="B70" s="339"/>
      <c r="C70" s="339"/>
      <c r="D70" s="339"/>
      <c r="E70" s="342"/>
      <c r="F70" s="342"/>
      <c r="G70" s="26"/>
      <c r="H70" s="340"/>
      <c r="I70" s="340"/>
      <c r="J70" s="340"/>
      <c r="K70" s="55"/>
      <c r="L70" s="55"/>
      <c r="M70" s="343"/>
      <c r="N70" s="340"/>
      <c r="O70" s="340"/>
      <c r="P70" s="340"/>
      <c r="Q70" s="340"/>
      <c r="R70" s="72"/>
      <c r="T70" s="20"/>
      <c r="U70" s="23">
        <v>2026</v>
      </c>
      <c r="V70" s="338">
        <v>2597732</v>
      </c>
      <c r="W70" s="39"/>
      <c r="X70" s="338">
        <v>1866491</v>
      </c>
      <c r="Y70" s="39"/>
      <c r="Z70" s="338">
        <v>292622</v>
      </c>
      <c r="AA70" s="139"/>
      <c r="AB70" s="338">
        <v>1060399</v>
      </c>
      <c r="AC70" s="39"/>
      <c r="AD70" s="338">
        <v>2710323</v>
      </c>
      <c r="AE70" s="39"/>
      <c r="AF70" s="338">
        <v>5149764</v>
      </c>
      <c r="AG70" s="39"/>
      <c r="AH70" s="338">
        <v>1866491</v>
      </c>
      <c r="AI70" s="39"/>
      <c r="AJ70" s="338">
        <v>292622</v>
      </c>
      <c r="AK70" s="338">
        <v>7712629</v>
      </c>
      <c r="AL70" s="39"/>
      <c r="AM70" s="338">
        <v>5649330</v>
      </c>
      <c r="AN70" s="39"/>
      <c r="AO70" s="338">
        <v>6188740</v>
      </c>
      <c r="AP70" s="39"/>
      <c r="AQ70" s="338">
        <v>14202507</v>
      </c>
      <c r="AR70" s="39"/>
      <c r="AS70" s="338">
        <v>7207828</v>
      </c>
      <c r="AT70" s="39"/>
      <c r="AU70" s="338">
        <v>10052863</v>
      </c>
      <c r="AV70" s="39"/>
      <c r="AW70" s="338">
        <v>3840183</v>
      </c>
      <c r="AX70" s="39"/>
      <c r="AY70" s="338">
        <v>34677305</v>
      </c>
      <c r="AZ70" s="39"/>
      <c r="BA70" s="338">
        <v>3374700</v>
      </c>
      <c r="BB70" s="127"/>
      <c r="BC70" s="338">
        <v>8406034</v>
      </c>
      <c r="BD70" s="338">
        <v>8406034</v>
      </c>
      <c r="BE70" s="212">
        <f t="shared" si="63"/>
        <v>1.0264126634641935E-2</v>
      </c>
      <c r="BO70" s="26">
        <f t="shared" si="64"/>
        <v>1995</v>
      </c>
      <c r="BP70" s="124">
        <v>27.34</v>
      </c>
      <c r="BQ70" s="124">
        <v>27.44</v>
      </c>
      <c r="BR70" s="124">
        <v>19.72</v>
      </c>
      <c r="BS70" s="124">
        <v>17.11</v>
      </c>
      <c r="BT70" s="124">
        <v>18.34</v>
      </c>
      <c r="BU70" s="124">
        <v>14.51</v>
      </c>
      <c r="BV70" s="124">
        <v>17.63</v>
      </c>
      <c r="BW70" s="124">
        <v>18.09</v>
      </c>
      <c r="BX70" s="124">
        <v>20.97</v>
      </c>
      <c r="BZ70" s="26">
        <f t="shared" si="65"/>
        <v>1995</v>
      </c>
      <c r="CA70" s="120">
        <v>7</v>
      </c>
      <c r="CB70" s="120">
        <v>6</v>
      </c>
      <c r="CC70" s="120">
        <v>3.9</v>
      </c>
      <c r="CD70" s="120">
        <v>3.84</v>
      </c>
      <c r="CE70" s="120">
        <v>5.33</v>
      </c>
      <c r="CF70" s="120">
        <v>4.4400000000000004</v>
      </c>
      <c r="CG70" s="120">
        <v>4.5</v>
      </c>
      <c r="CH70" s="120">
        <v>4.12</v>
      </c>
      <c r="CI70" s="120">
        <v>4.8899999999999997</v>
      </c>
    </row>
    <row r="71" spans="1:87" x14ac:dyDescent="0.2">
      <c r="A71" s="26"/>
      <c r="B71" s="339"/>
      <c r="C71" s="339"/>
      <c r="D71" s="339"/>
      <c r="E71" s="342"/>
      <c r="F71" s="342"/>
      <c r="G71" s="26"/>
      <c r="H71" s="340"/>
      <c r="I71" s="340"/>
      <c r="J71" s="340"/>
      <c r="K71" s="55"/>
      <c r="L71" s="55"/>
      <c r="M71" s="343"/>
      <c r="N71" s="340"/>
      <c r="O71" s="340"/>
      <c r="P71" s="340"/>
      <c r="Q71" s="340"/>
      <c r="R71" s="72"/>
      <c r="T71" s="20"/>
      <c r="U71" s="23">
        <v>2027</v>
      </c>
      <c r="V71" s="338">
        <v>2615762</v>
      </c>
      <c r="W71" s="39"/>
      <c r="X71" s="338">
        <v>1913366</v>
      </c>
      <c r="Y71" s="39"/>
      <c r="Z71" s="338">
        <v>301711</v>
      </c>
      <c r="AA71" s="139"/>
      <c r="AB71" s="338">
        <v>1058919</v>
      </c>
      <c r="AC71" s="39"/>
      <c r="AD71" s="338">
        <v>2697893</v>
      </c>
      <c r="AE71" s="39"/>
      <c r="AF71" s="338">
        <v>5202950</v>
      </c>
      <c r="AG71" s="39"/>
      <c r="AH71" s="338">
        <v>1913366</v>
      </c>
      <c r="AI71" s="39"/>
      <c r="AJ71" s="338">
        <v>301711</v>
      </c>
      <c r="AK71" s="338">
        <v>7796320</v>
      </c>
      <c r="AL71" s="39"/>
      <c r="AM71" s="338">
        <v>5741487</v>
      </c>
      <c r="AN71" s="39"/>
      <c r="AO71" s="338">
        <v>6267915</v>
      </c>
      <c r="AP71" s="39"/>
      <c r="AQ71" s="338">
        <v>14359929</v>
      </c>
      <c r="AR71" s="39"/>
      <c r="AS71" s="338">
        <v>7291828</v>
      </c>
      <c r="AT71" s="39"/>
      <c r="AU71" s="338">
        <v>10149410</v>
      </c>
      <c r="AV71" s="39"/>
      <c r="AW71" s="338">
        <v>3877115</v>
      </c>
      <c r="AX71" s="39"/>
      <c r="AY71" s="338">
        <v>35182707</v>
      </c>
      <c r="AZ71" s="39"/>
      <c r="BA71" s="338">
        <v>3382532</v>
      </c>
      <c r="BB71" s="127"/>
      <c r="BC71" s="338">
        <v>8488462</v>
      </c>
      <c r="BD71" s="338">
        <v>8488462</v>
      </c>
      <c r="BE71" s="212">
        <f t="shared" si="63"/>
        <v>9.8058133003031678E-3</v>
      </c>
      <c r="BO71" s="26">
        <f t="shared" si="64"/>
        <v>1996</v>
      </c>
      <c r="BP71" s="124">
        <v>27</v>
      </c>
      <c r="BQ71" s="124">
        <v>27.05</v>
      </c>
      <c r="BR71" s="124">
        <v>19.350000000000001</v>
      </c>
      <c r="BS71" s="124">
        <v>16.55</v>
      </c>
      <c r="BT71" s="124">
        <v>17.920000000000002</v>
      </c>
      <c r="BU71" s="124">
        <v>14.13</v>
      </c>
      <c r="BV71" s="124">
        <v>17.47</v>
      </c>
      <c r="BW71" s="124">
        <v>17.57</v>
      </c>
      <c r="BX71" s="124">
        <v>20.23</v>
      </c>
      <c r="BZ71" s="26">
        <f t="shared" si="65"/>
        <v>1996</v>
      </c>
      <c r="CA71" s="120">
        <v>6.85</v>
      </c>
      <c r="CB71" s="120">
        <v>6.07</v>
      </c>
      <c r="CC71" s="120">
        <v>4.13</v>
      </c>
      <c r="CD71" s="120">
        <v>4.2</v>
      </c>
      <c r="CE71" s="120">
        <v>5.7</v>
      </c>
      <c r="CF71" s="120">
        <v>4.71</v>
      </c>
      <c r="CG71" s="120">
        <v>4.53</v>
      </c>
      <c r="CH71" s="120">
        <v>3.72</v>
      </c>
      <c r="CI71" s="120">
        <v>4.76</v>
      </c>
    </row>
    <row r="72" spans="1:87" x14ac:dyDescent="0.2">
      <c r="A72" s="26"/>
      <c r="B72" s="339"/>
      <c r="C72" s="339"/>
      <c r="D72" s="339"/>
      <c r="E72" s="342"/>
      <c r="F72" s="342"/>
      <c r="G72" s="26"/>
      <c r="H72" s="340"/>
      <c r="I72" s="340"/>
      <c r="J72" s="340"/>
      <c r="K72" s="55"/>
      <c r="L72" s="55"/>
      <c r="M72" s="343"/>
      <c r="N72" s="340"/>
      <c r="O72" s="340"/>
      <c r="P72" s="340"/>
      <c r="Q72" s="340"/>
      <c r="R72" s="72"/>
      <c r="T72" s="20"/>
      <c r="U72" s="23">
        <v>2028</v>
      </c>
      <c r="V72" s="338">
        <v>2632975</v>
      </c>
      <c r="W72" s="39"/>
      <c r="X72" s="338">
        <v>1959164.5</v>
      </c>
      <c r="Y72" s="39"/>
      <c r="Z72" s="338">
        <v>310037</v>
      </c>
      <c r="AA72" s="139"/>
      <c r="AB72" s="338">
        <v>1057253</v>
      </c>
      <c r="AC72" s="39"/>
      <c r="AD72" s="338">
        <v>2685543</v>
      </c>
      <c r="AE72" s="39"/>
      <c r="AF72" s="338">
        <v>5254358</v>
      </c>
      <c r="AG72" s="39"/>
      <c r="AH72" s="338">
        <v>1959164.5</v>
      </c>
      <c r="AI72" s="39"/>
      <c r="AJ72" s="338">
        <v>310037</v>
      </c>
      <c r="AK72" s="338">
        <v>7876575</v>
      </c>
      <c r="AL72" s="39"/>
      <c r="AM72" s="338">
        <v>5830531</v>
      </c>
      <c r="AN72" s="39"/>
      <c r="AO72" s="338">
        <v>6344257</v>
      </c>
      <c r="AP72" s="39"/>
      <c r="AQ72" s="338">
        <v>14511021</v>
      </c>
      <c r="AR72" s="39"/>
      <c r="AS72" s="338">
        <v>7372440</v>
      </c>
      <c r="AT72" s="39"/>
      <c r="AU72" s="338">
        <v>10241850</v>
      </c>
      <c r="AV72" s="39"/>
      <c r="AW72" s="338">
        <v>3912078</v>
      </c>
      <c r="AX72" s="39"/>
      <c r="AY72" s="338">
        <v>35677015</v>
      </c>
      <c r="AZ72" s="39"/>
      <c r="BA72" s="338">
        <v>3389382</v>
      </c>
      <c r="BB72" s="127"/>
      <c r="BC72" s="338">
        <v>8567468</v>
      </c>
      <c r="BD72" s="338">
        <v>8567468</v>
      </c>
      <c r="BE72" s="212">
        <f t="shared" si="63"/>
        <v>9.3074575818328231E-3</v>
      </c>
      <c r="BO72" s="26">
        <f t="shared" si="64"/>
        <v>1997</v>
      </c>
      <c r="BP72" s="124">
        <v>27.07</v>
      </c>
      <c r="BQ72" s="124">
        <v>26.87</v>
      </c>
      <c r="BR72" s="124">
        <v>19.2</v>
      </c>
      <c r="BS72" s="124">
        <v>16.309999999999999</v>
      </c>
      <c r="BT72" s="124">
        <v>17.760000000000002</v>
      </c>
      <c r="BU72" s="124">
        <v>14.08</v>
      </c>
      <c r="BV72" s="124">
        <v>17.18</v>
      </c>
      <c r="BW72" s="124">
        <v>17.100000000000001</v>
      </c>
      <c r="BX72" s="124">
        <v>20.12</v>
      </c>
      <c r="BZ72" s="26">
        <f t="shared" si="65"/>
        <v>1997</v>
      </c>
      <c r="CA72" s="120">
        <v>7.13</v>
      </c>
      <c r="CB72" s="120">
        <v>6.6</v>
      </c>
      <c r="CC72" s="120">
        <v>4.5</v>
      </c>
      <c r="CD72" s="120">
        <v>4.57</v>
      </c>
      <c r="CE72" s="120">
        <v>6.14</v>
      </c>
      <c r="CF72" s="120">
        <v>5.22</v>
      </c>
      <c r="CG72" s="120">
        <v>4.8099999999999996</v>
      </c>
      <c r="CH72" s="120">
        <v>4.05</v>
      </c>
      <c r="CI72" s="120">
        <v>4.91</v>
      </c>
    </row>
    <row r="73" spans="1:87" x14ac:dyDescent="0.2">
      <c r="A73" s="26"/>
      <c r="B73" s="339"/>
      <c r="C73" s="339"/>
      <c r="D73" s="339"/>
      <c r="E73" s="342"/>
      <c r="F73" s="342"/>
      <c r="G73" s="26"/>
      <c r="H73" s="340"/>
      <c r="I73" s="340"/>
      <c r="J73" s="340"/>
      <c r="K73" s="55"/>
      <c r="L73" s="55"/>
      <c r="M73" s="343"/>
      <c r="N73" s="340"/>
      <c r="O73" s="340"/>
      <c r="P73" s="340"/>
      <c r="Q73" s="340"/>
      <c r="R73" s="72"/>
      <c r="T73" s="20"/>
      <c r="U73" s="23">
        <v>2029</v>
      </c>
      <c r="V73" s="338">
        <v>2649497</v>
      </c>
      <c r="W73" s="39"/>
      <c r="X73" s="338">
        <v>2004394.5</v>
      </c>
      <c r="Y73" s="39"/>
      <c r="Z73" s="338">
        <v>317802</v>
      </c>
      <c r="AA73" s="139"/>
      <c r="AB73" s="338">
        <v>1055421</v>
      </c>
      <c r="AC73" s="39"/>
      <c r="AD73" s="338">
        <v>2673285</v>
      </c>
      <c r="AE73" s="39"/>
      <c r="AF73" s="338">
        <v>5304384</v>
      </c>
      <c r="AG73" s="39"/>
      <c r="AH73" s="338">
        <v>2004394.5</v>
      </c>
      <c r="AI73" s="39"/>
      <c r="AJ73" s="338">
        <v>317802</v>
      </c>
      <c r="AK73" s="338">
        <v>7954520</v>
      </c>
      <c r="AL73" s="39"/>
      <c r="AM73" s="338">
        <v>5917578</v>
      </c>
      <c r="AN73" s="39"/>
      <c r="AO73" s="338">
        <v>6418525</v>
      </c>
      <c r="AP73" s="39"/>
      <c r="AQ73" s="338">
        <v>14659122</v>
      </c>
      <c r="AR73" s="39"/>
      <c r="AS73" s="338">
        <v>7450799</v>
      </c>
      <c r="AT73" s="39"/>
      <c r="AU73" s="338">
        <v>10331616</v>
      </c>
      <c r="AV73" s="39"/>
      <c r="AW73" s="338">
        <v>3945703</v>
      </c>
      <c r="AX73" s="39"/>
      <c r="AY73" s="338">
        <v>36166247</v>
      </c>
      <c r="AZ73" s="39"/>
      <c r="BA73" s="338">
        <v>3395640</v>
      </c>
      <c r="BB73" s="127"/>
      <c r="BC73" s="338">
        <v>8644166</v>
      </c>
      <c r="BD73" s="338">
        <v>8644166</v>
      </c>
      <c r="BE73" s="212">
        <f t="shared" si="63"/>
        <v>8.9522365300926943E-3</v>
      </c>
      <c r="BO73" s="26">
        <f t="shared" si="64"/>
        <v>1998</v>
      </c>
      <c r="BP73" s="124">
        <v>25.67</v>
      </c>
      <c r="BQ73" s="124">
        <v>25.94</v>
      </c>
      <c r="BR73" s="124">
        <v>18.89</v>
      </c>
      <c r="BS73" s="124">
        <v>16.260000000000002</v>
      </c>
      <c r="BT73" s="124">
        <v>17.34</v>
      </c>
      <c r="BU73" s="124">
        <v>14.32</v>
      </c>
      <c r="BV73" s="124">
        <v>16.55</v>
      </c>
      <c r="BW73" s="124">
        <v>16.940000000000001</v>
      </c>
      <c r="BX73" s="124">
        <v>18.91</v>
      </c>
      <c r="BZ73" s="26">
        <f t="shared" si="65"/>
        <v>1998</v>
      </c>
      <c r="CA73" s="120">
        <v>7.03</v>
      </c>
      <c r="CB73" s="120">
        <v>6.36</v>
      </c>
      <c r="CC73" s="120">
        <v>4.25</v>
      </c>
      <c r="CD73" s="120">
        <v>4.32</v>
      </c>
      <c r="CE73" s="120">
        <v>5.89</v>
      </c>
      <c r="CF73" s="120">
        <v>4.99</v>
      </c>
      <c r="CG73" s="120">
        <v>4.59</v>
      </c>
      <c r="CH73" s="120">
        <v>4.28</v>
      </c>
      <c r="CI73" s="120">
        <v>4.95</v>
      </c>
    </row>
    <row r="74" spans="1:87" x14ac:dyDescent="0.2">
      <c r="A74" s="26"/>
      <c r="B74" s="339"/>
      <c r="C74" s="339"/>
      <c r="D74" s="339"/>
      <c r="E74" s="342"/>
      <c r="F74" s="342"/>
      <c r="G74" s="26"/>
      <c r="H74" s="340"/>
      <c r="I74" s="340"/>
      <c r="J74" s="340"/>
      <c r="K74" s="55"/>
      <c r="L74" s="55"/>
      <c r="M74" s="343"/>
      <c r="N74" s="340"/>
      <c r="O74" s="340"/>
      <c r="P74" s="340"/>
      <c r="Q74" s="340"/>
      <c r="R74" s="72"/>
      <c r="T74" s="20"/>
      <c r="U74" s="23">
        <v>2030</v>
      </c>
      <c r="V74" s="338">
        <v>2665460</v>
      </c>
      <c r="W74" s="39"/>
      <c r="X74" s="338">
        <v>2049630</v>
      </c>
      <c r="Y74" s="39"/>
      <c r="Z74" s="338">
        <v>325215</v>
      </c>
      <c r="AA74" s="139"/>
      <c r="AB74" s="338">
        <v>1053455</v>
      </c>
      <c r="AC74" s="39"/>
      <c r="AD74" s="338">
        <v>2661130</v>
      </c>
      <c r="AE74" s="39"/>
      <c r="AF74" s="338">
        <v>5353501</v>
      </c>
      <c r="AG74" s="39"/>
      <c r="AH74" s="338">
        <v>2049630</v>
      </c>
      <c r="AI74" s="39"/>
      <c r="AJ74" s="338">
        <v>325215</v>
      </c>
      <c r="AK74" s="338">
        <v>8031391</v>
      </c>
      <c r="AL74" s="39"/>
      <c r="AM74" s="338">
        <v>6003891</v>
      </c>
      <c r="AN74" s="39"/>
      <c r="AO74" s="338">
        <v>6491441</v>
      </c>
      <c r="AP74" s="39"/>
      <c r="AQ74" s="338">
        <v>14804949</v>
      </c>
      <c r="AR74" s="39"/>
      <c r="AS74" s="338">
        <v>7528161</v>
      </c>
      <c r="AT74" s="39"/>
      <c r="AU74" s="338">
        <v>10420279</v>
      </c>
      <c r="AV74" s="39"/>
      <c r="AW74" s="338">
        <v>3978733</v>
      </c>
      <c r="AX74" s="39"/>
      <c r="AY74" s="338">
        <v>36654663</v>
      </c>
      <c r="AZ74" s="39"/>
      <c r="BA74" s="338">
        <v>3401669</v>
      </c>
      <c r="BB74" s="127"/>
      <c r="BC74" s="338">
        <v>8719808</v>
      </c>
      <c r="BD74" s="338">
        <v>8719808</v>
      </c>
      <c r="BE74" s="212">
        <f t="shared" si="63"/>
        <v>8.7506417623168797E-3</v>
      </c>
      <c r="BO74" s="26">
        <f t="shared" si="64"/>
        <v>1999</v>
      </c>
      <c r="BP74" s="124">
        <v>24.42</v>
      </c>
      <c r="BQ74" s="124">
        <v>24.28</v>
      </c>
      <c r="BR74" s="124">
        <v>18.079999999999998</v>
      </c>
      <c r="BS74" s="124">
        <v>16.100000000000001</v>
      </c>
      <c r="BT74" s="124">
        <v>16.899999999999999</v>
      </c>
      <c r="BU74" s="124">
        <v>14.05</v>
      </c>
      <c r="BV74" s="124">
        <v>16.12</v>
      </c>
      <c r="BW74" s="124">
        <v>16.27</v>
      </c>
      <c r="BX74" s="124">
        <v>18.59</v>
      </c>
      <c r="BZ74" s="26">
        <f t="shared" si="65"/>
        <v>1999</v>
      </c>
      <c r="CA74" s="120">
        <v>6.87</v>
      </c>
      <c r="CB74" s="120">
        <v>6.14</v>
      </c>
      <c r="CC74" s="120">
        <v>4.13</v>
      </c>
      <c r="CD74" s="120">
        <v>4.2699999999999996</v>
      </c>
      <c r="CE74" s="120">
        <v>5.42</v>
      </c>
      <c r="CF74" s="120">
        <v>4.8</v>
      </c>
      <c r="CG74" s="120">
        <v>4.57</v>
      </c>
      <c r="CH74" s="120">
        <v>4.26</v>
      </c>
      <c r="CI74" s="120">
        <v>4.72</v>
      </c>
    </row>
    <row r="75" spans="1:87" x14ac:dyDescent="0.2">
      <c r="A75" s="26"/>
      <c r="B75" s="339"/>
      <c r="C75" s="339"/>
      <c r="D75" s="339"/>
      <c r="E75" s="342"/>
      <c r="F75" s="342"/>
      <c r="G75" s="26"/>
      <c r="H75" s="340"/>
      <c r="I75" s="340"/>
      <c r="J75" s="340"/>
      <c r="K75" s="55"/>
      <c r="L75" s="55"/>
      <c r="M75" s="343"/>
      <c r="N75" s="340"/>
      <c r="O75" s="340"/>
      <c r="P75" s="340"/>
      <c r="Q75" s="340"/>
      <c r="R75" s="72"/>
      <c r="T75" s="20"/>
      <c r="U75" s="23">
        <v>2031</v>
      </c>
      <c r="V75" s="338">
        <v>2680981</v>
      </c>
      <c r="W75" s="39"/>
      <c r="X75" s="338">
        <v>2094508</v>
      </c>
      <c r="Y75" s="39"/>
      <c r="Z75" s="338">
        <v>332215</v>
      </c>
      <c r="AA75" s="139"/>
      <c r="AB75" s="338">
        <v>1051385</v>
      </c>
      <c r="AC75" s="39"/>
      <c r="AD75" s="338">
        <v>2649068</v>
      </c>
      <c r="AE75" s="39"/>
      <c r="AF75" s="338">
        <v>5401624</v>
      </c>
      <c r="AG75" s="39"/>
      <c r="AH75" s="338">
        <v>2094508</v>
      </c>
      <c r="AI75" s="39"/>
      <c r="AJ75" s="338">
        <v>332215</v>
      </c>
      <c r="AK75" s="338">
        <v>8106745</v>
      </c>
      <c r="AL75" s="39"/>
      <c r="AM75" s="338">
        <v>6088947</v>
      </c>
      <c r="AN75" s="39"/>
      <c r="AO75" s="338">
        <v>6563113</v>
      </c>
      <c r="AP75" s="39"/>
      <c r="AQ75" s="338">
        <v>14945406</v>
      </c>
      <c r="AR75" s="39"/>
      <c r="AS75" s="338">
        <v>7604085</v>
      </c>
      <c r="AT75" s="39"/>
      <c r="AU75" s="338">
        <v>10507193</v>
      </c>
      <c r="AV75" s="39"/>
      <c r="AW75" s="338">
        <v>4010900</v>
      </c>
      <c r="AX75" s="39"/>
      <c r="AY75" s="338">
        <v>37143916</v>
      </c>
      <c r="AZ75" s="39"/>
      <c r="BA75" s="338">
        <v>3407338</v>
      </c>
      <c r="BB75" s="127"/>
      <c r="BC75" s="338">
        <v>8793927</v>
      </c>
      <c r="BD75" s="338">
        <v>8793927</v>
      </c>
      <c r="BE75" s="212">
        <f t="shared" si="63"/>
        <v>8.5000724786601367E-3</v>
      </c>
      <c r="BO75" s="26">
        <f>BO76-1</f>
        <v>2000</v>
      </c>
      <c r="BP75" s="124">
        <v>23.92</v>
      </c>
      <c r="BQ75" s="124">
        <v>24.39</v>
      </c>
      <c r="BR75" s="124">
        <v>17.600000000000001</v>
      </c>
      <c r="BS75" s="124">
        <v>15.75</v>
      </c>
      <c r="BT75" s="124">
        <v>16.5</v>
      </c>
      <c r="BU75" s="124">
        <v>13.77</v>
      </c>
      <c r="BV75" s="124">
        <v>16.64</v>
      </c>
      <c r="BW75" s="124">
        <v>15.88</v>
      </c>
      <c r="BX75" s="124">
        <v>18.690000000000001</v>
      </c>
      <c r="BZ75" s="26">
        <f t="shared" si="65"/>
        <v>2000</v>
      </c>
      <c r="CA75" s="120">
        <v>7.28</v>
      </c>
      <c r="CB75" s="120">
        <v>6.27</v>
      </c>
      <c r="CC75" s="120">
        <v>4.83</v>
      </c>
      <c r="CD75" s="120">
        <v>5.29</v>
      </c>
      <c r="CE75" s="120">
        <v>6.6</v>
      </c>
      <c r="CF75" s="120">
        <v>5.59</v>
      </c>
      <c r="CG75" s="120">
        <v>5.37</v>
      </c>
      <c r="CH75" s="120">
        <v>4.66</v>
      </c>
      <c r="CI75" s="120">
        <v>5.68</v>
      </c>
    </row>
    <row r="76" spans="1:87" x14ac:dyDescent="0.2">
      <c r="A76" s="26"/>
      <c r="B76" s="339"/>
      <c r="C76" s="339"/>
      <c r="D76" s="339"/>
      <c r="E76" s="342"/>
      <c r="F76" s="342"/>
      <c r="G76" s="26"/>
      <c r="H76" s="340"/>
      <c r="I76" s="340"/>
      <c r="J76" s="340"/>
      <c r="K76" s="55"/>
      <c r="L76" s="55"/>
      <c r="M76" s="343"/>
      <c r="N76" s="340"/>
      <c r="O76" s="340"/>
      <c r="P76" s="340"/>
      <c r="Q76" s="340"/>
      <c r="R76" s="72"/>
      <c r="T76" s="20"/>
      <c r="U76" s="23">
        <v>2032</v>
      </c>
      <c r="V76" s="338">
        <v>2696010</v>
      </c>
      <c r="W76" s="39"/>
      <c r="X76" s="338">
        <v>2138333</v>
      </c>
      <c r="Y76" s="39"/>
      <c r="Z76" s="338">
        <v>338726</v>
      </c>
      <c r="AA76" s="139"/>
      <c r="AB76" s="338">
        <v>1049243</v>
      </c>
      <c r="AC76" s="39"/>
      <c r="AD76" s="338">
        <v>2637128</v>
      </c>
      <c r="AE76" s="39"/>
      <c r="AF76" s="338">
        <v>5448438</v>
      </c>
      <c r="AG76" s="39"/>
      <c r="AH76" s="338">
        <v>2138333</v>
      </c>
      <c r="AI76" s="39"/>
      <c r="AJ76" s="338">
        <v>338726</v>
      </c>
      <c r="AK76" s="338">
        <v>8179445</v>
      </c>
      <c r="AL76" s="39"/>
      <c r="AM76" s="338">
        <v>6171684</v>
      </c>
      <c r="AN76" s="39"/>
      <c r="AO76" s="338">
        <v>6632661</v>
      </c>
      <c r="AP76" s="39"/>
      <c r="AQ76" s="338">
        <v>15084385</v>
      </c>
      <c r="AR76" s="39"/>
      <c r="AS76" s="338">
        <v>7677503</v>
      </c>
      <c r="AT76" s="39"/>
      <c r="AU76" s="338">
        <v>10590907</v>
      </c>
      <c r="AV76" s="39"/>
      <c r="AW76" s="338">
        <v>4041683</v>
      </c>
      <c r="AX76" s="39"/>
      <c r="AY76" s="338">
        <v>37624961</v>
      </c>
      <c r="AZ76" s="39"/>
      <c r="BA76" s="338">
        <v>3413988</v>
      </c>
      <c r="BB76" s="127"/>
      <c r="BC76" s="338">
        <v>8865401</v>
      </c>
      <c r="BD76" s="338">
        <v>8865401</v>
      </c>
      <c r="BE76" s="212">
        <f t="shared" si="63"/>
        <v>8.1276544597197464E-3</v>
      </c>
      <c r="BO76" s="28">
        <v>2001</v>
      </c>
      <c r="BP76" s="124">
        <v>25.01</v>
      </c>
      <c r="BQ76" s="124">
        <v>23.97</v>
      </c>
      <c r="BR76" s="124">
        <v>17.02</v>
      </c>
      <c r="BS76" s="124">
        <v>15.42</v>
      </c>
      <c r="BT76" s="124">
        <v>16.86</v>
      </c>
      <c r="BU76" s="124">
        <v>13.62</v>
      </c>
      <c r="BV76" s="124">
        <v>17.7</v>
      </c>
      <c r="BW76" s="124">
        <v>16.32</v>
      </c>
      <c r="BX76" s="124">
        <v>21</v>
      </c>
      <c r="BZ76" s="26">
        <f t="shared" si="65"/>
        <v>2001</v>
      </c>
      <c r="CA76" s="120">
        <v>8.7100000000000009</v>
      </c>
      <c r="CB76" s="120">
        <v>7.37</v>
      </c>
      <c r="CC76" s="120">
        <v>5.82</v>
      </c>
      <c r="CD76" s="120">
        <v>6.44</v>
      </c>
      <c r="CE76" s="120">
        <v>7.89</v>
      </c>
      <c r="CF76" s="120">
        <v>7.27</v>
      </c>
      <c r="CG76" s="120">
        <v>6.49</v>
      </c>
      <c r="CH76" s="120">
        <v>5.89</v>
      </c>
      <c r="CI76" s="120">
        <v>7.05</v>
      </c>
    </row>
    <row r="77" spans="1:87" x14ac:dyDescent="0.2">
      <c r="A77" s="26"/>
      <c r="B77" s="339"/>
      <c r="C77" s="339"/>
      <c r="D77" s="339"/>
      <c r="E77" s="342"/>
      <c r="F77" s="342"/>
      <c r="G77" s="26"/>
      <c r="H77" s="340"/>
      <c r="I77" s="340"/>
      <c r="J77" s="340"/>
      <c r="K77" s="55"/>
      <c r="L77" s="55"/>
      <c r="M77" s="343"/>
      <c r="N77" s="340"/>
      <c r="O77" s="340"/>
      <c r="P77" s="340"/>
      <c r="Q77" s="340"/>
      <c r="R77" s="72"/>
      <c r="T77" s="20"/>
      <c r="U77" s="23">
        <v>2033</v>
      </c>
      <c r="V77" s="338">
        <v>2710675</v>
      </c>
      <c r="W77" s="39"/>
      <c r="X77" s="338">
        <v>2181904.5</v>
      </c>
      <c r="Y77" s="39"/>
      <c r="Z77" s="338">
        <v>344966</v>
      </c>
      <c r="AA77" s="139"/>
      <c r="AB77" s="338">
        <v>1047039</v>
      </c>
      <c r="AC77" s="39"/>
      <c r="AD77" s="338">
        <v>2625301</v>
      </c>
      <c r="AE77" s="39"/>
      <c r="AF77" s="338">
        <v>5494463</v>
      </c>
      <c r="AG77" s="39"/>
      <c r="AH77" s="338">
        <v>2181904.5</v>
      </c>
      <c r="AI77" s="39"/>
      <c r="AJ77" s="338">
        <v>344966</v>
      </c>
      <c r="AK77" s="338">
        <v>8251065</v>
      </c>
      <c r="AL77" s="39"/>
      <c r="AM77" s="338">
        <v>6253680</v>
      </c>
      <c r="AN77" s="39"/>
      <c r="AO77" s="338">
        <v>6701144</v>
      </c>
      <c r="AP77" s="39"/>
      <c r="AQ77" s="338">
        <v>15221665</v>
      </c>
      <c r="AR77" s="39"/>
      <c r="AS77" s="338">
        <v>7749978</v>
      </c>
      <c r="AT77" s="39"/>
      <c r="AU77" s="338">
        <v>10673431</v>
      </c>
      <c r="AV77" s="39"/>
      <c r="AW77" s="338">
        <v>4071949</v>
      </c>
      <c r="AX77" s="39"/>
      <c r="AY77" s="338">
        <v>38106044</v>
      </c>
      <c r="AZ77" s="39"/>
      <c r="BA77" s="338">
        <v>3420795</v>
      </c>
      <c r="BB77" s="127"/>
      <c r="BC77" s="338">
        <v>8935795</v>
      </c>
      <c r="BD77" s="338">
        <v>8935795</v>
      </c>
      <c r="BE77" s="212">
        <f t="shared" si="63"/>
        <v>7.9403063662883966E-3</v>
      </c>
      <c r="BO77" s="28">
        <v>2002</v>
      </c>
      <c r="BP77" s="124">
        <v>23.03</v>
      </c>
      <c r="BQ77" s="124">
        <v>23.33</v>
      </c>
      <c r="BR77" s="124">
        <v>16.61</v>
      </c>
      <c r="BS77" s="124">
        <v>15.19</v>
      </c>
      <c r="BT77" s="124">
        <v>16.28</v>
      </c>
      <c r="BU77" s="124">
        <v>13.53</v>
      </c>
      <c r="BV77" s="124">
        <v>15.86</v>
      </c>
      <c r="BW77" s="124">
        <v>16.22</v>
      </c>
      <c r="BX77" s="124">
        <v>21.55</v>
      </c>
      <c r="BZ77" s="26">
        <f t="shared" si="65"/>
        <v>2002</v>
      </c>
      <c r="CA77" s="120">
        <v>7.17</v>
      </c>
      <c r="CB77" s="120">
        <v>6.19</v>
      </c>
      <c r="CC77" s="120">
        <v>4.18</v>
      </c>
      <c r="CD77" s="120">
        <v>4.82</v>
      </c>
      <c r="CE77" s="120">
        <v>6.7</v>
      </c>
      <c r="CF77" s="120">
        <v>5.78</v>
      </c>
      <c r="CG77" s="120">
        <v>5.23</v>
      </c>
      <c r="CH77" s="120">
        <v>4.79</v>
      </c>
      <c r="CI77" s="120">
        <v>5.13</v>
      </c>
    </row>
    <row r="78" spans="1:87" x14ac:dyDescent="0.2">
      <c r="A78" s="26"/>
      <c r="B78" s="339"/>
      <c r="C78" s="339"/>
      <c r="D78" s="339"/>
      <c r="E78" s="342"/>
      <c r="F78" s="342"/>
      <c r="G78" s="26"/>
      <c r="H78" s="340"/>
      <c r="I78" s="340"/>
      <c r="J78" s="340"/>
      <c r="K78" s="55"/>
      <c r="L78" s="55"/>
      <c r="M78" s="343"/>
      <c r="N78" s="340"/>
      <c r="O78" s="340"/>
      <c r="P78" s="340"/>
      <c r="Q78" s="340"/>
      <c r="R78" s="72"/>
      <c r="T78" s="20"/>
      <c r="U78" s="23">
        <v>2034</v>
      </c>
      <c r="V78" s="338">
        <v>2725095</v>
      </c>
      <c r="W78" s="39"/>
      <c r="X78" s="338">
        <v>2225792.5</v>
      </c>
      <c r="Y78" s="39"/>
      <c r="Z78" s="338">
        <v>351061</v>
      </c>
      <c r="AA78" s="139"/>
      <c r="AB78" s="338">
        <v>1044786</v>
      </c>
      <c r="AC78" s="39"/>
      <c r="AD78" s="338">
        <v>2613591</v>
      </c>
      <c r="AE78" s="39"/>
      <c r="AF78" s="338">
        <v>5540119</v>
      </c>
      <c r="AG78" s="39"/>
      <c r="AH78" s="338">
        <v>2225792.5</v>
      </c>
      <c r="AI78" s="39"/>
      <c r="AJ78" s="338">
        <v>351061</v>
      </c>
      <c r="AK78" s="338">
        <v>8322696</v>
      </c>
      <c r="AL78" s="39"/>
      <c r="AM78" s="338">
        <v>6335992</v>
      </c>
      <c r="AN78" s="39"/>
      <c r="AO78" s="338">
        <v>6769480</v>
      </c>
      <c r="AP78" s="39"/>
      <c r="AQ78" s="338">
        <v>15359214</v>
      </c>
      <c r="AR78" s="39"/>
      <c r="AS78" s="338">
        <v>7822585</v>
      </c>
      <c r="AT78" s="39"/>
      <c r="AU78" s="338">
        <v>10756151</v>
      </c>
      <c r="AV78" s="39"/>
      <c r="AW78" s="338">
        <v>4102299</v>
      </c>
      <c r="AX78" s="39"/>
      <c r="AY78" s="338">
        <v>38594972</v>
      </c>
      <c r="AZ78" s="39"/>
      <c r="BA78" s="338">
        <v>3426693</v>
      </c>
      <c r="BB78" s="127"/>
      <c r="BC78" s="338">
        <v>9006220</v>
      </c>
      <c r="BD78" s="338">
        <v>9006220</v>
      </c>
      <c r="BE78" s="212">
        <f t="shared" si="63"/>
        <v>7.8812237747172276E-3</v>
      </c>
      <c r="BO78" s="28">
        <v>2003</v>
      </c>
      <c r="BP78" s="124">
        <v>23.55</v>
      </c>
      <c r="BQ78" s="124">
        <v>23.44</v>
      </c>
      <c r="BR78" s="124">
        <v>16.43</v>
      </c>
      <c r="BS78" s="124">
        <v>14.97</v>
      </c>
      <c r="BT78" s="124">
        <v>16.329999999999998</v>
      </c>
      <c r="BU78" s="124">
        <v>13.67</v>
      </c>
      <c r="BV78" s="124">
        <v>17.37</v>
      </c>
      <c r="BW78" s="124">
        <v>16.18</v>
      </c>
      <c r="BX78" s="124">
        <v>20.399999999999999</v>
      </c>
      <c r="BZ78" s="26">
        <f t="shared" si="65"/>
        <v>2003</v>
      </c>
      <c r="CA78" s="120">
        <v>8.31</v>
      </c>
      <c r="CB78" s="120">
        <v>7.48</v>
      </c>
      <c r="CC78" s="120">
        <v>5.73</v>
      </c>
      <c r="CD78" s="120">
        <v>5.92</v>
      </c>
      <c r="CE78" s="120">
        <v>7.75</v>
      </c>
      <c r="CF78" s="120">
        <v>6.7</v>
      </c>
      <c r="CG78" s="120">
        <v>6.3</v>
      </c>
      <c r="CH78" s="120">
        <v>5.18</v>
      </c>
      <c r="CI78" s="120">
        <v>6.01</v>
      </c>
    </row>
    <row r="79" spans="1:87" x14ac:dyDescent="0.2">
      <c r="A79" s="26"/>
      <c r="B79" s="339"/>
      <c r="C79" s="339"/>
      <c r="D79" s="339"/>
      <c r="E79" s="342"/>
      <c r="F79" s="342"/>
      <c r="G79" s="26"/>
      <c r="H79" s="340"/>
      <c r="I79" s="340"/>
      <c r="J79" s="340"/>
      <c r="K79" s="55"/>
      <c r="L79" s="55"/>
      <c r="M79" s="343"/>
      <c r="N79" s="340"/>
      <c r="O79" s="340"/>
      <c r="P79" s="340"/>
      <c r="Q79" s="340"/>
      <c r="R79" s="72"/>
      <c r="T79" s="20"/>
      <c r="U79" s="23">
        <v>2035</v>
      </c>
      <c r="V79" s="338">
        <v>2739441</v>
      </c>
      <c r="W79" s="39"/>
      <c r="X79" s="338">
        <v>2270072</v>
      </c>
      <c r="Y79" s="39"/>
      <c r="Z79" s="338">
        <v>357021</v>
      </c>
      <c r="AA79" s="139"/>
      <c r="AB79" s="338">
        <v>1042509</v>
      </c>
      <c r="AC79" s="39"/>
      <c r="AD79" s="338">
        <v>2602010</v>
      </c>
      <c r="AE79" s="39"/>
      <c r="AF79" s="338">
        <v>5585544</v>
      </c>
      <c r="AG79" s="39"/>
      <c r="AH79" s="338">
        <v>2270072</v>
      </c>
      <c r="AI79" s="39"/>
      <c r="AJ79" s="338">
        <v>357021</v>
      </c>
      <c r="AK79" s="338">
        <v>8394595</v>
      </c>
      <c r="AL79" s="39"/>
      <c r="AM79" s="338">
        <v>6418861</v>
      </c>
      <c r="AN79" s="39"/>
      <c r="AO79" s="338">
        <v>6837962</v>
      </c>
      <c r="AP79" s="39"/>
      <c r="AQ79" s="338">
        <v>15497438</v>
      </c>
      <c r="AR79" s="39"/>
      <c r="AS79" s="338">
        <v>7895571</v>
      </c>
      <c r="AT79" s="39"/>
      <c r="AU79" s="338">
        <v>10839317</v>
      </c>
      <c r="AV79" s="39"/>
      <c r="AW79" s="338">
        <v>4132795</v>
      </c>
      <c r="AX79" s="39"/>
      <c r="AY79" s="338">
        <v>39088502</v>
      </c>
      <c r="AZ79" s="39"/>
      <c r="BA79" s="338">
        <v>3432415</v>
      </c>
      <c r="BB79" s="127"/>
      <c r="BC79" s="338">
        <v>9076926</v>
      </c>
      <c r="BD79" s="338">
        <v>9076926</v>
      </c>
      <c r="BE79" s="212">
        <f t="shared" si="63"/>
        <v>7.8507964495648785E-3</v>
      </c>
      <c r="BO79" s="28">
        <v>2004</v>
      </c>
      <c r="BP79" s="124">
        <v>23.35</v>
      </c>
      <c r="BQ79" s="124">
        <v>23.17</v>
      </c>
      <c r="BR79" s="124">
        <v>16.25</v>
      </c>
      <c r="BS79" s="124">
        <v>14.85</v>
      </c>
      <c r="BT79" s="124">
        <v>16.34</v>
      </c>
      <c r="BU79" s="124">
        <v>13.97</v>
      </c>
      <c r="BV79" s="124">
        <v>17.75</v>
      </c>
      <c r="BW79" s="124">
        <v>16.16</v>
      </c>
      <c r="BX79" s="124">
        <v>19.829999999999998</v>
      </c>
      <c r="BZ79" s="26">
        <f t="shared" si="65"/>
        <v>2004</v>
      </c>
      <c r="CA79" s="120">
        <v>9.23</v>
      </c>
      <c r="CB79" s="120">
        <v>7.95</v>
      </c>
      <c r="CC79" s="120">
        <v>6.23</v>
      </c>
      <c r="CD79" s="120">
        <v>6.6</v>
      </c>
      <c r="CE79" s="120">
        <v>8.5399999999999991</v>
      </c>
      <c r="CF79" s="120">
        <v>7.4</v>
      </c>
      <c r="CG79" s="120">
        <v>6.91</v>
      </c>
      <c r="CH79" s="120">
        <v>5.99</v>
      </c>
      <c r="CI79" s="120">
        <v>6.4</v>
      </c>
    </row>
    <row r="80" spans="1:87" x14ac:dyDescent="0.2">
      <c r="A80" s="26"/>
      <c r="B80" s="339"/>
      <c r="C80" s="339"/>
      <c r="D80" s="339"/>
      <c r="E80" s="342"/>
      <c r="F80" s="342"/>
      <c r="G80" s="26"/>
      <c r="H80" s="340"/>
      <c r="I80" s="340"/>
      <c r="J80" s="340"/>
      <c r="K80" s="55"/>
      <c r="L80" s="55"/>
      <c r="M80" s="343"/>
      <c r="N80" s="340"/>
      <c r="O80" s="340"/>
      <c r="P80" s="340"/>
      <c r="Q80" s="340"/>
      <c r="R80" s="72"/>
      <c r="U80" s="23">
        <v>2036</v>
      </c>
      <c r="V80" s="220">
        <f>(V79/V78)*V79</f>
        <v>2753862.523134423</v>
      </c>
      <c r="W80" s="55"/>
      <c r="X80" s="220">
        <f>(X79/X78)*X79</f>
        <v>2315232.3880972732</v>
      </c>
      <c r="Y80" s="55"/>
      <c r="Z80" s="220">
        <f>(Z79/Z78)*Z79</f>
        <v>363082.1835549947</v>
      </c>
      <c r="AA80" s="55"/>
      <c r="AB80" s="220">
        <f>(AB79/AB78)*AB79</f>
        <v>1040236.9624793977</v>
      </c>
      <c r="AC80" s="55"/>
      <c r="AD80" s="220">
        <f>(AD79/AD78)*AD79</f>
        <v>2590480.3162009665</v>
      </c>
      <c r="AE80" s="55"/>
      <c r="AF80" s="220">
        <f>(AF79/AF78)*AF79</f>
        <v>5631341.4524012934</v>
      </c>
      <c r="AG80" s="55"/>
      <c r="AH80" s="220">
        <f>(AH79/AH78)*AH79</f>
        <v>2315232.3880972732</v>
      </c>
      <c r="AI80" s="55"/>
      <c r="AJ80" s="220">
        <f>(AJ79/AJ78)*AJ79</f>
        <v>363082.1835549947</v>
      </c>
      <c r="AK80" s="220">
        <f>(AK79/AK78)*AK79</f>
        <v>8467115.1288026143</v>
      </c>
      <c r="AL80" s="55"/>
      <c r="AM80" s="220">
        <f>(AM79/AM78)*AM79</f>
        <v>6502813.8509835554</v>
      </c>
      <c r="AN80" s="55"/>
      <c r="AO80" s="220">
        <f>(AO79/AO78)*AO79</f>
        <v>6907136.7835408337</v>
      </c>
      <c r="AP80" s="55"/>
      <c r="AQ80" s="220">
        <f>(AQ79/AQ78)*AQ79</f>
        <v>15636905.935671188</v>
      </c>
      <c r="AR80" s="55"/>
      <c r="AS80" s="220">
        <f>(AS79/AS78)*AS79</f>
        <v>7969237.9713408044</v>
      </c>
      <c r="AT80" s="55"/>
      <c r="AU80" s="220">
        <f>(AU79/AU78)*AU79</f>
        <v>10923126.035185728</v>
      </c>
      <c r="AV80" s="55"/>
      <c r="AW80" s="220">
        <f>(AW79/AW78)*AW79</f>
        <v>4163517.7036157046</v>
      </c>
      <c r="AX80" s="55"/>
      <c r="AY80" s="220">
        <f>(AY79/AY78)*AY79</f>
        <v>39588342.973898359</v>
      </c>
      <c r="AZ80" s="55"/>
      <c r="BA80" s="220">
        <f>(BA79/BA78)*BA79</f>
        <v>3438146.5547759896</v>
      </c>
      <c r="BB80" s="55"/>
      <c r="BC80" s="220">
        <f>(BC79/BC78)*BC79</f>
        <v>9148187.0984137636</v>
      </c>
      <c r="BD80" s="220">
        <f>(BD79/BD78)*BD79</f>
        <v>9148187.0984137636</v>
      </c>
      <c r="BE80" s="212">
        <f t="shared" si="63"/>
        <v>7.8507964495648785E-3</v>
      </c>
      <c r="BO80" s="28">
        <v>2005</v>
      </c>
      <c r="BP80" s="124">
        <v>25.5</v>
      </c>
      <c r="BQ80" s="124">
        <v>23.7</v>
      </c>
      <c r="BR80" s="124">
        <v>15.96</v>
      </c>
      <c r="BS80" s="124">
        <v>14.76</v>
      </c>
      <c r="BT80" s="124">
        <v>16.75</v>
      </c>
      <c r="BU80" s="124">
        <v>14.09</v>
      </c>
      <c r="BV80" s="124">
        <v>19.05</v>
      </c>
      <c r="BW80" s="124">
        <v>16.45</v>
      </c>
      <c r="BX80" s="124">
        <v>19.670000000000002</v>
      </c>
      <c r="BZ80" s="26">
        <f t="shared" si="65"/>
        <v>2005</v>
      </c>
      <c r="CA80" s="120">
        <v>9.76</v>
      </c>
      <c r="CB80" s="120">
        <v>8.5299999999999994</v>
      </c>
      <c r="CC80" s="120">
        <v>7.4</v>
      </c>
      <c r="CD80" s="120">
        <v>7.46</v>
      </c>
      <c r="CE80" s="120">
        <v>9.84</v>
      </c>
      <c r="CF80" s="120">
        <v>8.74</v>
      </c>
      <c r="CG80" s="120">
        <v>7.91</v>
      </c>
      <c r="CH80" s="120">
        <v>6.87</v>
      </c>
      <c r="CI80" s="120">
        <v>7.4</v>
      </c>
    </row>
    <row r="81" spans="1:87" x14ac:dyDescent="0.2">
      <c r="A81" s="26"/>
      <c r="B81" s="339"/>
      <c r="C81" s="339"/>
      <c r="D81" s="339"/>
      <c r="E81" s="342"/>
      <c r="F81" s="342"/>
      <c r="G81" s="26"/>
      <c r="H81" s="340"/>
      <c r="I81" s="340"/>
      <c r="J81" s="340"/>
      <c r="K81" s="55"/>
      <c r="L81" s="55"/>
      <c r="M81" s="343"/>
      <c r="N81" s="340"/>
      <c r="O81" s="340"/>
      <c r="P81" s="340"/>
      <c r="Q81" s="340"/>
      <c r="R81" s="72"/>
      <c r="U81" s="23">
        <v>2037</v>
      </c>
      <c r="V81" s="220">
        <f t="shared" ref="V81:V87" si="66">(V80/V79)*V80</f>
        <v>2768359.9669875316</v>
      </c>
      <c r="W81" s="55"/>
      <c r="X81" s="220">
        <f t="shared" ref="X81:X87" si="67">(X80/X79)*X80</f>
        <v>2361291.1885149912</v>
      </c>
      <c r="Y81" s="55"/>
      <c r="Z81" s="220">
        <f t="shared" ref="Z81:BD87" si="68">(Z80/Z79)*Z80</f>
        <v>369246.26846897765</v>
      </c>
      <c r="AA81" s="55"/>
      <c r="AB81" s="220">
        <f t="shared" si="68"/>
        <v>1037969.8766229969</v>
      </c>
      <c r="AC81" s="55"/>
      <c r="AD81" s="220">
        <f t="shared" si="68"/>
        <v>2579001.7212173124</v>
      </c>
      <c r="AE81" s="55"/>
      <c r="AF81" s="220">
        <f t="shared" si="68"/>
        <v>5677514.4110462843</v>
      </c>
      <c r="AG81" s="55"/>
      <c r="AH81" s="220">
        <f t="shared" si="68"/>
        <v>2361291.1885149912</v>
      </c>
      <c r="AI81" s="55"/>
      <c r="AJ81" s="220">
        <f t="shared" si="68"/>
        <v>369246.26846897765</v>
      </c>
      <c r="AK81" s="220">
        <f t="shared" si="68"/>
        <v>8540261.7522820476</v>
      </c>
      <c r="AL81" s="55"/>
      <c r="AM81" s="220">
        <f t="shared" si="68"/>
        <v>6587864.7287335834</v>
      </c>
      <c r="AN81" s="55"/>
      <c r="AO81" s="220">
        <f t="shared" si="68"/>
        <v>6977011.3590193707</v>
      </c>
      <c r="AP81" s="55"/>
      <c r="AQ81" s="220">
        <f t="shared" si="68"/>
        <v>15777629.001711691</v>
      </c>
      <c r="AR81" s="55"/>
      <c r="AS81" s="220">
        <f t="shared" si="68"/>
        <v>8043592.2675966183</v>
      </c>
      <c r="AT81" s="55"/>
      <c r="AU81" s="220">
        <f t="shared" si="68"/>
        <v>11007583.077471789</v>
      </c>
      <c r="AV81" s="55"/>
      <c r="AW81" s="220">
        <f t="shared" si="68"/>
        <v>4194468.7961346721</v>
      </c>
      <c r="AX81" s="55"/>
      <c r="AY81" s="220">
        <f t="shared" si="68"/>
        <v>40094575.62274982</v>
      </c>
      <c r="AZ81" s="55"/>
      <c r="BA81" s="220">
        <f t="shared" si="68"/>
        <v>3443887.6802828354</v>
      </c>
      <c r="BB81" s="55"/>
      <c r="BC81" s="220">
        <f t="shared" si="68"/>
        <v>9220007.6532059461</v>
      </c>
      <c r="BD81" s="220">
        <f t="shared" si="68"/>
        <v>9220007.6532059461</v>
      </c>
      <c r="BE81" s="212">
        <f t="shared" si="63"/>
        <v>7.8507964495648785E-3</v>
      </c>
      <c r="BO81" s="28"/>
      <c r="BP81" s="124"/>
      <c r="BQ81" s="124"/>
      <c r="BR81" s="124"/>
      <c r="BS81" s="124"/>
      <c r="BT81" s="124"/>
      <c r="BU81" s="124"/>
      <c r="BV81" s="124"/>
      <c r="BW81" s="124"/>
      <c r="BX81" s="124"/>
      <c r="BZ81" s="26"/>
      <c r="CA81" s="120"/>
      <c r="CB81" s="120"/>
      <c r="CC81" s="120"/>
      <c r="CD81" s="120"/>
      <c r="CE81" s="120"/>
      <c r="CF81" s="120"/>
      <c r="CG81" s="120"/>
      <c r="CH81" s="120"/>
      <c r="CI81" s="120"/>
    </row>
    <row r="82" spans="1:87" x14ac:dyDescent="0.2">
      <c r="A82" s="26"/>
      <c r="B82" s="339"/>
      <c r="C82" s="339"/>
      <c r="D82" s="339"/>
      <c r="E82" s="342"/>
      <c r="F82" s="342"/>
      <c r="G82" s="26"/>
      <c r="H82" s="340"/>
      <c r="I82" s="340"/>
      <c r="J82" s="340"/>
      <c r="K82" s="55"/>
      <c r="L82" s="55"/>
      <c r="M82" s="343"/>
      <c r="N82" s="340"/>
      <c r="O82" s="340"/>
      <c r="P82" s="340"/>
      <c r="Q82" s="340"/>
      <c r="R82" s="72"/>
      <c r="U82" s="23">
        <v>2038</v>
      </c>
      <c r="V82" s="220">
        <f t="shared" si="66"/>
        <v>2782933.7312366324</v>
      </c>
      <c r="W82" s="55"/>
      <c r="X82" s="220">
        <f t="shared" si="67"/>
        <v>2408266.2740999456</v>
      </c>
      <c r="Y82" s="55"/>
      <c r="Z82" s="220">
        <f t="shared" si="68"/>
        <v>375515.00170928374</v>
      </c>
      <c r="AA82" s="55"/>
      <c r="AB82" s="220">
        <f t="shared" si="68"/>
        <v>1035707.731639172</v>
      </c>
      <c r="AC82" s="55"/>
      <c r="AD82" s="220">
        <f t="shared" si="68"/>
        <v>2567573.9886710122</v>
      </c>
      <c r="AE82" s="55"/>
      <c r="AF82" s="220">
        <f t="shared" si="68"/>
        <v>5724065.9548166944</v>
      </c>
      <c r="AG82" s="55"/>
      <c r="AH82" s="220">
        <f t="shared" si="68"/>
        <v>2408266.2740999456</v>
      </c>
      <c r="AI82" s="55"/>
      <c r="AJ82" s="220">
        <f t="shared" si="68"/>
        <v>375515.00170928374</v>
      </c>
      <c r="AK82" s="220">
        <f t="shared" si="68"/>
        <v>8614040.2826677933</v>
      </c>
      <c r="AL82" s="55"/>
      <c r="AM82" s="220">
        <f t="shared" si="68"/>
        <v>6674027.9944393197</v>
      </c>
      <c r="AN82" s="55"/>
      <c r="AO82" s="220">
        <f t="shared" si="68"/>
        <v>7047592.8057314325</v>
      </c>
      <c r="AP82" s="55"/>
      <c r="AQ82" s="220">
        <f t="shared" si="68"/>
        <v>15919618.493565414</v>
      </c>
      <c r="AR82" s="55"/>
      <c r="AS82" s="220">
        <f t="shared" si="68"/>
        <v>8118640.3016215358</v>
      </c>
      <c r="AT82" s="55"/>
      <c r="AU82" s="220">
        <f t="shared" si="68"/>
        <v>11092693.137215374</v>
      </c>
      <c r="AV82" s="55"/>
      <c r="AW82" s="220">
        <f t="shared" si="68"/>
        <v>4225649.9753726861</v>
      </c>
      <c r="AX82" s="55"/>
      <c r="AY82" s="220">
        <f t="shared" si="68"/>
        <v>40607281.679567158</v>
      </c>
      <c r="AZ82" s="55"/>
      <c r="BA82" s="220">
        <f t="shared" si="68"/>
        <v>3449638.3925020448</v>
      </c>
      <c r="BB82" s="55"/>
      <c r="BC82" s="220">
        <f t="shared" si="68"/>
        <v>9292392.0565546956</v>
      </c>
      <c r="BD82" s="220">
        <f t="shared" si="68"/>
        <v>9292392.0565546956</v>
      </c>
      <c r="BE82" s="212">
        <f t="shared" si="63"/>
        <v>7.8507964495648785E-3</v>
      </c>
      <c r="BO82" s="28"/>
      <c r="BP82" s="124"/>
      <c r="BQ82" s="124"/>
      <c r="BR82" s="124"/>
      <c r="BS82" s="124"/>
      <c r="BT82" s="124"/>
      <c r="BU82" s="124"/>
      <c r="BV82" s="124"/>
      <c r="BW82" s="124"/>
      <c r="BX82" s="124"/>
      <c r="BZ82" s="26"/>
      <c r="CA82" s="120"/>
      <c r="CB82" s="120"/>
      <c r="CC82" s="120"/>
      <c r="CD82" s="120"/>
      <c r="CE82" s="120"/>
      <c r="CF82" s="120"/>
      <c r="CG82" s="120"/>
      <c r="CH82" s="120"/>
      <c r="CI82" s="120"/>
    </row>
    <row r="83" spans="1:87" x14ac:dyDescent="0.2">
      <c r="A83" s="26"/>
      <c r="B83" s="339"/>
      <c r="C83" s="339"/>
      <c r="D83" s="339"/>
      <c r="E83" s="342"/>
      <c r="F83" s="342"/>
      <c r="G83" s="26"/>
      <c r="H83" s="340"/>
      <c r="I83" s="340"/>
      <c r="J83" s="340"/>
      <c r="K83" s="55"/>
      <c r="L83" s="55"/>
      <c r="M83" s="343"/>
      <c r="N83" s="340"/>
      <c r="O83" s="340"/>
      <c r="P83" s="340"/>
      <c r="Q83" s="340"/>
      <c r="R83" s="72"/>
      <c r="U83" s="23">
        <v>2039</v>
      </c>
      <c r="V83" s="220">
        <f t="shared" si="66"/>
        <v>2797584.2176630949</v>
      </c>
      <c r="W83" s="55"/>
      <c r="X83" s="220">
        <f t="shared" si="67"/>
        <v>2456175.8732580021</v>
      </c>
      <c r="Y83" s="55"/>
      <c r="Z83" s="220">
        <f t="shared" si="68"/>
        <v>381890.15990169853</v>
      </c>
      <c r="AA83" s="55"/>
      <c r="AB83" s="220">
        <f t="shared" si="68"/>
        <v>1033450.5167598163</v>
      </c>
      <c r="AC83" s="55"/>
      <c r="AD83" s="220">
        <f t="shared" si="68"/>
        <v>2556196.8931871364</v>
      </c>
      <c r="AE83" s="55"/>
      <c r="AF83" s="220">
        <f t="shared" si="68"/>
        <v>5770999.1878388645</v>
      </c>
      <c r="AG83" s="55"/>
      <c r="AH83" s="220">
        <f t="shared" si="68"/>
        <v>2456175.8732580021</v>
      </c>
      <c r="AI83" s="55"/>
      <c r="AJ83" s="220">
        <f t="shared" si="68"/>
        <v>381890.15990169853</v>
      </c>
      <c r="AK83" s="220">
        <f t="shared" si="68"/>
        <v>8688456.1789450981</v>
      </c>
      <c r="AL83" s="55"/>
      <c r="AM83" s="220">
        <f t="shared" si="68"/>
        <v>6761318.1971212663</v>
      </c>
      <c r="AN83" s="55"/>
      <c r="AO83" s="220">
        <f t="shared" si="68"/>
        <v>7118888.2745890263</v>
      </c>
      <c r="AP83" s="55"/>
      <c r="AQ83" s="220">
        <f t="shared" si="68"/>
        <v>16062885.808328696</v>
      </c>
      <c r="AR83" s="55"/>
      <c r="AS83" s="220">
        <f t="shared" si="68"/>
        <v>8194388.5461026318</v>
      </c>
      <c r="AT83" s="55"/>
      <c r="AU83" s="220">
        <f t="shared" si="68"/>
        <v>11178461.263513494</v>
      </c>
      <c r="AV83" s="55"/>
      <c r="AW83" s="220">
        <f t="shared" si="68"/>
        <v>4257062.9517668905</v>
      </c>
      <c r="AX83" s="55"/>
      <c r="AY83" s="220">
        <f t="shared" si="68"/>
        <v>41126543.92251727</v>
      </c>
      <c r="AZ83" s="55"/>
      <c r="BA83" s="220">
        <f t="shared" si="68"/>
        <v>3455398.7074418124</v>
      </c>
      <c r="BB83" s="55"/>
      <c r="BC83" s="220">
        <f t="shared" si="68"/>
        <v>9365344.7351202592</v>
      </c>
      <c r="BD83" s="220">
        <f t="shared" si="68"/>
        <v>9365344.7351202592</v>
      </c>
      <c r="BE83" s="212">
        <f t="shared" si="63"/>
        <v>7.8507964495648785E-3</v>
      </c>
      <c r="BO83" s="28"/>
      <c r="BP83" s="124"/>
      <c r="BQ83" s="124"/>
      <c r="BR83" s="124"/>
      <c r="BS83" s="124"/>
      <c r="BT83" s="124"/>
      <c r="BU83" s="124"/>
      <c r="BV83" s="124"/>
      <c r="BW83" s="124"/>
      <c r="BX83" s="124"/>
      <c r="BZ83" s="26"/>
      <c r="CA83" s="120"/>
      <c r="CB83" s="120"/>
      <c r="CC83" s="120"/>
      <c r="CD83" s="120"/>
      <c r="CE83" s="120"/>
      <c r="CF83" s="120"/>
      <c r="CG83" s="120"/>
      <c r="CH83" s="120"/>
      <c r="CI83" s="120"/>
    </row>
    <row r="84" spans="1:87" x14ac:dyDescent="0.2">
      <c r="A84" s="26"/>
      <c r="B84" s="339"/>
      <c r="C84" s="339"/>
      <c r="D84" s="339"/>
      <c r="E84" s="342"/>
      <c r="F84" s="342"/>
      <c r="G84" s="26"/>
      <c r="H84" s="340"/>
      <c r="I84" s="340"/>
      <c r="J84" s="340"/>
      <c r="K84" s="55"/>
      <c r="L84" s="55"/>
      <c r="M84" s="343"/>
      <c r="N84" s="340"/>
      <c r="O84" s="340"/>
      <c r="P84" s="340"/>
      <c r="Q84" s="340"/>
      <c r="R84" s="72"/>
      <c r="U84" s="23">
        <v>2040</v>
      </c>
      <c r="V84" s="220">
        <f t="shared" si="66"/>
        <v>2812311.8301634281</v>
      </c>
      <c r="W84" s="55"/>
      <c r="X84" s="220">
        <f t="shared" si="67"/>
        <v>2505038.5770275258</v>
      </c>
      <c r="Y84" s="55"/>
      <c r="Z84" s="220">
        <f t="shared" si="68"/>
        <v>388373.54983397276</v>
      </c>
      <c r="AA84" s="55"/>
      <c r="AB84" s="220">
        <f t="shared" si="68"/>
        <v>1031198.2212402916</v>
      </c>
      <c r="AC84" s="55"/>
      <c r="AD84" s="220">
        <f t="shared" si="68"/>
        <v>2544870.2103894069</v>
      </c>
      <c r="AE84" s="55"/>
      <c r="AF84" s="220">
        <f t="shared" si="68"/>
        <v>5818317.2396907443</v>
      </c>
      <c r="AG84" s="55"/>
      <c r="AH84" s="220">
        <f t="shared" si="68"/>
        <v>2505038.5770275258</v>
      </c>
      <c r="AI84" s="55"/>
      <c r="AJ84" s="220">
        <f t="shared" si="68"/>
        <v>388373.54983397276</v>
      </c>
      <c r="AK84" s="220">
        <f t="shared" si="68"/>
        <v>8763514.9472588729</v>
      </c>
      <c r="AL84" s="55"/>
      <c r="AM84" s="220">
        <f t="shared" si="68"/>
        <v>6849750.0760878492</v>
      </c>
      <c r="AN84" s="55"/>
      <c r="AO84" s="220">
        <f t="shared" si="68"/>
        <v>7190904.9888448343</v>
      </c>
      <c r="AP84" s="55"/>
      <c r="AQ84" s="220">
        <f t="shared" si="68"/>
        <v>16207442.445665114</v>
      </c>
      <c r="AR84" s="55"/>
      <c r="AS84" s="220">
        <f t="shared" si="68"/>
        <v>8270843.5341182118</v>
      </c>
      <c r="AT84" s="55"/>
      <c r="AU84" s="220">
        <f t="shared" si="68"/>
        <v>11264892.544502519</v>
      </c>
      <c r="AV84" s="55"/>
      <c r="AW84" s="220">
        <f t="shared" si="68"/>
        <v>4288709.4484696137</v>
      </c>
      <c r="AX84" s="55"/>
      <c r="AY84" s="220">
        <f t="shared" si="68"/>
        <v>41652446.188285977</v>
      </c>
      <c r="AZ84" s="55"/>
      <c r="BA84" s="220">
        <f t="shared" si="68"/>
        <v>3461168.641137064</v>
      </c>
      <c r="BB84" s="55"/>
      <c r="BC84" s="220">
        <f t="shared" si="68"/>
        <v>9438870.1503156926</v>
      </c>
      <c r="BD84" s="220">
        <f t="shared" si="68"/>
        <v>9438870.1503156926</v>
      </c>
      <c r="BE84" s="212">
        <f t="shared" si="63"/>
        <v>7.8507964495648785E-3</v>
      </c>
      <c r="BO84" s="28"/>
      <c r="BP84" s="124"/>
      <c r="BQ84" s="124"/>
      <c r="BR84" s="124"/>
      <c r="BS84" s="124"/>
      <c r="BT84" s="124"/>
      <c r="BU84" s="124"/>
      <c r="BV84" s="124"/>
      <c r="BW84" s="124"/>
      <c r="BX84" s="124"/>
      <c r="BZ84" s="26"/>
      <c r="CA84" s="120"/>
      <c r="CB84" s="120"/>
      <c r="CC84" s="120"/>
      <c r="CD84" s="120"/>
      <c r="CE84" s="120"/>
      <c r="CF84" s="120"/>
      <c r="CG84" s="120"/>
      <c r="CH84" s="120"/>
      <c r="CI84" s="120"/>
    </row>
    <row r="85" spans="1:87" x14ac:dyDescent="0.2">
      <c r="A85" s="26"/>
      <c r="B85" s="339"/>
      <c r="C85" s="339"/>
      <c r="D85" s="339"/>
      <c r="E85" s="342"/>
      <c r="F85" s="342"/>
      <c r="G85" s="26"/>
      <c r="H85" s="340"/>
      <c r="I85" s="340"/>
      <c r="J85" s="340"/>
      <c r="K85" s="55"/>
      <c r="L85" s="55"/>
      <c r="M85" s="343"/>
      <c r="N85" s="340"/>
      <c r="O85" s="340"/>
      <c r="P85" s="340"/>
      <c r="Q85" s="340"/>
      <c r="R85" s="72"/>
      <c r="U85" s="23">
        <v>2041</v>
      </c>
      <c r="V85" s="220">
        <f t="shared" si="66"/>
        <v>2827116.9747604146</v>
      </c>
      <c r="W85" s="55"/>
      <c r="X85" s="220">
        <f t="shared" si="67"/>
        <v>2554873.3462935244</v>
      </c>
      <c r="Y85" s="55"/>
      <c r="Z85" s="220">
        <f t="shared" si="68"/>
        <v>394967.00896788528</v>
      </c>
      <c r="AA85" s="55"/>
      <c r="AB85" s="220">
        <f t="shared" si="68"/>
        <v>1028950.8343593761</v>
      </c>
      <c r="AC85" s="55"/>
      <c r="AD85" s="220">
        <f t="shared" si="68"/>
        <v>2533593.7168957731</v>
      </c>
      <c r="AE85" s="55"/>
      <c r="AF85" s="220">
        <f t="shared" si="68"/>
        <v>5866023.2656105766</v>
      </c>
      <c r="AG85" s="55"/>
      <c r="AH85" s="220">
        <f t="shared" si="68"/>
        <v>2554873.3462935244</v>
      </c>
      <c r="AI85" s="55"/>
      <c r="AJ85" s="220">
        <f t="shared" si="68"/>
        <v>394967.00896788528</v>
      </c>
      <c r="AK85" s="220">
        <f t="shared" si="68"/>
        <v>8839222.1413211059</v>
      </c>
      <c r="AL85" s="55"/>
      <c r="AM85" s="220">
        <f t="shared" si="68"/>
        <v>6939338.5634242166</v>
      </c>
      <c r="AN85" s="55"/>
      <c r="AO85" s="220">
        <f t="shared" si="68"/>
        <v>7263650.2448240342</v>
      </c>
      <c r="AP85" s="55"/>
      <c r="AQ85" s="220">
        <f t="shared" si="68"/>
        <v>16353300.008728538</v>
      </c>
      <c r="AR85" s="55"/>
      <c r="AS85" s="220">
        <f t="shared" si="68"/>
        <v>8348011.8597012712</v>
      </c>
      <c r="AT85" s="55"/>
      <c r="AU85" s="220">
        <f t="shared" si="68"/>
        <v>11351992.10766002</v>
      </c>
      <c r="AV85" s="55"/>
      <c r="AW85" s="220">
        <f t="shared" si="68"/>
        <v>4320591.2014428927</v>
      </c>
      <c r="AX85" s="55"/>
      <c r="AY85" s="220">
        <f t="shared" si="68"/>
        <v>42185073.385613769</v>
      </c>
      <c r="AZ85" s="55"/>
      <c r="BA85" s="220">
        <f t="shared" si="68"/>
        <v>3466948.2096495004</v>
      </c>
      <c r="BB85" s="55"/>
      <c r="BC85" s="220">
        <f t="shared" si="68"/>
        <v>9512972.7985796947</v>
      </c>
      <c r="BD85" s="220">
        <f t="shared" si="68"/>
        <v>9512972.7985796947</v>
      </c>
      <c r="BE85" s="212">
        <f t="shared" si="63"/>
        <v>7.8507964495648785E-3</v>
      </c>
      <c r="BO85" s="28"/>
      <c r="BP85" s="124"/>
      <c r="BQ85" s="124"/>
      <c r="BR85" s="124"/>
      <c r="BS85" s="124"/>
      <c r="BT85" s="124"/>
      <c r="BU85" s="124"/>
      <c r="BV85" s="124"/>
      <c r="BW85" s="124"/>
      <c r="BX85" s="124"/>
      <c r="BZ85" s="26"/>
      <c r="CA85" s="120"/>
      <c r="CB85" s="120"/>
      <c r="CC85" s="120"/>
      <c r="CD85" s="120"/>
      <c r="CE85" s="120"/>
      <c r="CF85" s="120"/>
      <c r="CG85" s="120"/>
      <c r="CH85" s="120"/>
      <c r="CI85" s="120"/>
    </row>
    <row r="86" spans="1:87" x14ac:dyDescent="0.2">
      <c r="A86" s="26"/>
      <c r="B86" s="339"/>
      <c r="C86" s="339"/>
      <c r="D86" s="339"/>
      <c r="E86" s="342"/>
      <c r="F86" s="342"/>
      <c r="G86" s="26"/>
      <c r="H86" s="340"/>
      <c r="I86" s="340"/>
      <c r="J86" s="340"/>
      <c r="K86" s="55"/>
      <c r="L86" s="55"/>
      <c r="M86" s="343"/>
      <c r="N86" s="340"/>
      <c r="O86" s="340"/>
      <c r="P86" s="340"/>
      <c r="Q86" s="340"/>
      <c r="R86" s="72"/>
      <c r="U86" s="23">
        <v>2042</v>
      </c>
      <c r="V86" s="220">
        <f t="shared" si="66"/>
        <v>2842000.0596143054</v>
      </c>
      <c r="W86" s="55"/>
      <c r="X86" s="220">
        <f t="shared" si="67"/>
        <v>2605699.5191453081</v>
      </c>
      <c r="Y86" s="55"/>
      <c r="Z86" s="220">
        <f t="shared" si="68"/>
        <v>401672.40595999942</v>
      </c>
      <c r="AA86" s="55"/>
      <c r="AB86" s="220">
        <f t="shared" si="68"/>
        <v>1026708.3454192139</v>
      </c>
      <c r="AC86" s="55"/>
      <c r="AD86" s="220">
        <f t="shared" si="68"/>
        <v>2522367.1903140051</v>
      </c>
      <c r="AE86" s="55"/>
      <c r="AF86" s="220">
        <f t="shared" si="68"/>
        <v>5914120.4467072934</v>
      </c>
      <c r="AG86" s="55"/>
      <c r="AH86" s="220">
        <f t="shared" si="68"/>
        <v>2605699.5191453081</v>
      </c>
      <c r="AI86" s="55"/>
      <c r="AJ86" s="220">
        <f t="shared" si="68"/>
        <v>401672.40595999942</v>
      </c>
      <c r="AK86" s="220">
        <f t="shared" si="68"/>
        <v>8915583.3628217895</v>
      </c>
      <c r="AL86" s="55"/>
      <c r="AM86" s="220">
        <f t="shared" si="68"/>
        <v>7030098.7865135763</v>
      </c>
      <c r="AN86" s="55"/>
      <c r="AO86" s="220">
        <f t="shared" si="68"/>
        <v>7337131.4126635203</v>
      </c>
      <c r="AP86" s="55"/>
      <c r="AQ86" s="220">
        <f t="shared" si="68"/>
        <v>16500470.205094477</v>
      </c>
      <c r="AR86" s="55"/>
      <c r="AS86" s="220">
        <f t="shared" si="68"/>
        <v>8425900.1784082148</v>
      </c>
      <c r="AT86" s="55"/>
      <c r="AU86" s="220">
        <f t="shared" si="68"/>
        <v>11439765.120108958</v>
      </c>
      <c r="AV86" s="55"/>
      <c r="AW86" s="220">
        <f t="shared" si="68"/>
        <v>4352709.959553699</v>
      </c>
      <c r="AX86" s="55"/>
      <c r="AY86" s="220">
        <f t="shared" si="68"/>
        <v>42724511.5090046</v>
      </c>
      <c r="AZ86" s="55"/>
      <c r="BA86" s="220">
        <f t="shared" si="68"/>
        <v>3472737.4290676438</v>
      </c>
      <c r="BB86" s="55"/>
      <c r="BC86" s="220">
        <f t="shared" si="68"/>
        <v>9587657.2116515916</v>
      </c>
      <c r="BD86" s="220">
        <f t="shared" si="68"/>
        <v>9587657.2116515916</v>
      </c>
      <c r="BE86" s="212">
        <f t="shared" si="63"/>
        <v>7.8507964495648785E-3</v>
      </c>
      <c r="BO86" s="28"/>
      <c r="BP86" s="124"/>
      <c r="BQ86" s="124"/>
      <c r="BR86" s="124"/>
      <c r="BS86" s="124"/>
      <c r="BT86" s="124"/>
      <c r="BU86" s="124"/>
      <c r="BV86" s="124"/>
      <c r="BW86" s="124"/>
      <c r="BX86" s="124"/>
      <c r="BZ86" s="26"/>
      <c r="CA86" s="120"/>
      <c r="CB86" s="120"/>
      <c r="CC86" s="120"/>
      <c r="CD86" s="120"/>
      <c r="CE86" s="120"/>
      <c r="CF86" s="120"/>
      <c r="CG86" s="120"/>
      <c r="CH86" s="120"/>
      <c r="CI86" s="120"/>
    </row>
    <row r="87" spans="1:87" x14ac:dyDescent="0.2">
      <c r="A87" s="26"/>
      <c r="B87" s="339"/>
      <c r="C87" s="339"/>
      <c r="D87" s="339"/>
      <c r="E87" s="342"/>
      <c r="F87" s="342"/>
      <c r="G87" s="26"/>
      <c r="H87" s="340"/>
      <c r="I87" s="340"/>
      <c r="J87" s="340"/>
      <c r="K87" s="55"/>
      <c r="L87" s="55"/>
      <c r="M87" s="343"/>
      <c r="N87" s="340"/>
      <c r="O87" s="340"/>
      <c r="P87" s="340"/>
      <c r="Q87" s="340"/>
      <c r="R87" s="72"/>
      <c r="U87" s="23">
        <v>2043</v>
      </c>
      <c r="V87" s="220">
        <f t="shared" si="66"/>
        <v>2856961.4950340716</v>
      </c>
      <c r="W87" s="55"/>
      <c r="X87" s="220">
        <f t="shared" si="67"/>
        <v>2657536.8183805216</v>
      </c>
      <c r="Y87" s="55"/>
      <c r="Z87" s="220">
        <f t="shared" si="68"/>
        <v>408491.64119126007</v>
      </c>
      <c r="AA87" s="55"/>
      <c r="AB87" s="220">
        <f t="shared" si="68"/>
        <v>1024470.7437452639</v>
      </c>
      <c r="AC87" s="55"/>
      <c r="AD87" s="220">
        <f t="shared" si="68"/>
        <v>2511190.409237308</v>
      </c>
      <c r="AE87" s="55"/>
      <c r="AF87" s="220">
        <f t="shared" si="68"/>
        <v>5962611.9901726376</v>
      </c>
      <c r="AG87" s="55"/>
      <c r="AH87" s="220">
        <f t="shared" si="68"/>
        <v>2657536.8183805216</v>
      </c>
      <c r="AI87" s="55"/>
      <c r="AJ87" s="220">
        <f t="shared" si="68"/>
        <v>408491.64119126007</v>
      </c>
      <c r="AK87" s="220">
        <f t="shared" si="68"/>
        <v>8992604.2618433945</v>
      </c>
      <c r="AL87" s="55"/>
      <c r="AM87" s="220">
        <f t="shared" si="68"/>
        <v>7122046.0705915224</v>
      </c>
      <c r="AN87" s="55"/>
      <c r="AO87" s="220">
        <f t="shared" si="68"/>
        <v>7411355.9370586034</v>
      </c>
      <c r="AP87" s="55"/>
      <c r="AQ87" s="220">
        <f t="shared" si="68"/>
        <v>16648964.847699821</v>
      </c>
      <c r="AR87" s="55"/>
      <c r="AS87" s="220">
        <f t="shared" si="68"/>
        <v>8504515.2078928817</v>
      </c>
      <c r="AT87" s="55"/>
      <c r="AU87" s="220">
        <f t="shared" si="68"/>
        <v>11528216.788924225</v>
      </c>
      <c r="AV87" s="55"/>
      <c r="AW87" s="220">
        <f t="shared" si="68"/>
        <v>4385067.4846698716</v>
      </c>
      <c r="AX87" s="55"/>
      <c r="AY87" s="220">
        <f t="shared" si="68"/>
        <v>43270847.652610011</v>
      </c>
      <c r="AZ87" s="55"/>
      <c r="BA87" s="220">
        <f t="shared" si="68"/>
        <v>3478536.3155068802</v>
      </c>
      <c r="BB87" s="55"/>
      <c r="BC87" s="220">
        <f t="shared" si="68"/>
        <v>9662927.9568484705</v>
      </c>
      <c r="BD87" s="220">
        <f t="shared" si="68"/>
        <v>9662927.9568484705</v>
      </c>
      <c r="BE87" s="212">
        <f t="shared" si="63"/>
        <v>7.8507964495648785E-3</v>
      </c>
      <c r="BO87" s="28">
        <v>2006</v>
      </c>
      <c r="BP87" s="124">
        <v>29.38</v>
      </c>
      <c r="BQ87" s="124">
        <v>24.56</v>
      </c>
      <c r="BR87" s="124">
        <v>16.79</v>
      </c>
      <c r="BS87" s="124">
        <v>14.92</v>
      </c>
      <c r="BT87" s="124">
        <v>17.93</v>
      </c>
      <c r="BU87" s="124">
        <v>15</v>
      </c>
      <c r="BV87" s="124">
        <v>21.1</v>
      </c>
      <c r="BW87" s="124">
        <v>16.510000000000002</v>
      </c>
      <c r="BX87" s="124">
        <v>21.36</v>
      </c>
      <c r="BZ87" s="26">
        <f>BZ80+1</f>
        <v>2006</v>
      </c>
      <c r="CA87" s="120">
        <v>10.71</v>
      </c>
      <c r="CB87" s="120">
        <v>9.48</v>
      </c>
      <c r="CC87" s="120">
        <v>7.55</v>
      </c>
      <c r="CD87" s="120">
        <v>7.67</v>
      </c>
      <c r="CE87" s="120">
        <v>10.51</v>
      </c>
      <c r="CF87" s="120">
        <v>9.44</v>
      </c>
      <c r="CG87" s="120">
        <v>8.2100000000000009</v>
      </c>
      <c r="CH87" s="120">
        <v>7.33</v>
      </c>
      <c r="CI87" s="120">
        <v>7.33</v>
      </c>
    </row>
    <row r="88" spans="1:87" x14ac:dyDescent="0.2">
      <c r="A88" s="26"/>
      <c r="B88" s="339"/>
      <c r="C88" s="339"/>
      <c r="D88" s="339"/>
      <c r="E88" s="342"/>
      <c r="F88" s="342"/>
      <c r="G88" s="26"/>
      <c r="H88" s="340"/>
      <c r="I88" s="340"/>
      <c r="J88" s="340"/>
      <c r="K88" s="55"/>
      <c r="L88" s="55"/>
      <c r="M88" s="343"/>
      <c r="N88" s="340"/>
      <c r="O88" s="340"/>
      <c r="P88" s="340"/>
      <c r="Q88" s="340"/>
      <c r="R88" s="72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9"/>
      <c r="AI88" s="88"/>
      <c r="AJ88" s="89"/>
      <c r="AK88" s="89"/>
      <c r="AL88" s="88"/>
      <c r="AM88" s="89"/>
      <c r="AN88" s="88"/>
      <c r="AO88" s="89"/>
      <c r="AP88" s="88"/>
      <c r="AQ88" s="89"/>
      <c r="AR88" s="88"/>
      <c r="AS88" s="89"/>
      <c r="AT88" s="88"/>
      <c r="AU88" s="89"/>
      <c r="AV88" s="89"/>
      <c r="AW88" s="89"/>
      <c r="AX88" s="88"/>
      <c r="AY88" s="89"/>
      <c r="AZ88" s="89"/>
      <c r="BA88" s="89"/>
      <c r="BB88" s="89"/>
      <c r="BC88" s="89"/>
      <c r="BD88" s="88"/>
      <c r="BE88" s="110"/>
      <c r="BO88" s="28">
        <v>2007</v>
      </c>
      <c r="BP88" s="124">
        <v>29.82</v>
      </c>
      <c r="BQ88" s="124">
        <v>24.91</v>
      </c>
      <c r="BR88" s="124">
        <v>17.39</v>
      </c>
      <c r="BS88" s="124">
        <v>14.83</v>
      </c>
      <c r="BT88" s="124">
        <v>17.899999999999999</v>
      </c>
      <c r="BU88" s="124">
        <v>14.92</v>
      </c>
      <c r="BV88" s="124">
        <v>19.920000000000002</v>
      </c>
      <c r="BW88" s="124">
        <v>16.62</v>
      </c>
      <c r="BX88" s="124">
        <v>21.11</v>
      </c>
      <c r="BZ88" s="26">
        <f t="shared" si="65"/>
        <v>2007</v>
      </c>
      <c r="CA88" s="120">
        <v>9.93</v>
      </c>
      <c r="CB88" s="120">
        <v>8.94</v>
      </c>
      <c r="CC88" s="120">
        <v>6.87</v>
      </c>
      <c r="CD88" s="120">
        <v>7.09</v>
      </c>
      <c r="CE88" s="120">
        <v>9.6</v>
      </c>
      <c r="CF88" s="120">
        <v>8.25</v>
      </c>
      <c r="CG88" s="120">
        <v>7.31</v>
      </c>
      <c r="CH88" s="120">
        <v>6.47</v>
      </c>
      <c r="CI88" s="120">
        <v>7.09</v>
      </c>
    </row>
    <row r="89" spans="1:87" x14ac:dyDescent="0.2">
      <c r="A89" s="26"/>
      <c r="B89" s="339"/>
      <c r="C89" s="339"/>
      <c r="D89" s="339"/>
      <c r="E89" s="342"/>
      <c r="F89" s="342"/>
      <c r="G89" s="26"/>
      <c r="H89" s="340"/>
      <c r="I89" s="340"/>
      <c r="J89" s="340"/>
      <c r="K89" s="55"/>
      <c r="L89" s="55"/>
      <c r="M89" s="343"/>
      <c r="N89" s="340"/>
      <c r="O89" s="340"/>
      <c r="P89" s="340"/>
      <c r="Q89" s="340"/>
      <c r="R89" s="72"/>
      <c r="BE89" s="47"/>
      <c r="BO89" s="28">
        <v>2008</v>
      </c>
      <c r="BP89" s="124">
        <v>30.94</v>
      </c>
      <c r="BQ89" s="124">
        <v>26</v>
      </c>
      <c r="BR89" s="124">
        <v>18.149999999999999</v>
      </c>
      <c r="BS89" s="124">
        <v>15.15</v>
      </c>
      <c r="BT89" s="124">
        <v>18.64</v>
      </c>
      <c r="BU89" s="124">
        <v>16.28</v>
      </c>
      <c r="BV89" s="124">
        <v>20.72</v>
      </c>
      <c r="BW89" s="124">
        <v>17.190000000000001</v>
      </c>
      <c r="BX89" s="124">
        <v>20.18</v>
      </c>
      <c r="BZ89" s="26">
        <f t="shared" si="65"/>
        <v>2008</v>
      </c>
      <c r="CA89" s="120">
        <v>10.039999999999999</v>
      </c>
      <c r="CB89" s="120">
        <v>9.41</v>
      </c>
      <c r="CC89" s="120">
        <v>7.38</v>
      </c>
      <c r="CD89" s="120">
        <v>7.03</v>
      </c>
      <c r="CE89" s="120">
        <v>9.82</v>
      </c>
      <c r="CF89" s="120">
        <v>8.65</v>
      </c>
      <c r="CG89" s="120">
        <v>7.95</v>
      </c>
      <c r="CH89" s="120">
        <v>6.53</v>
      </c>
      <c r="CI89" s="120">
        <v>7.41</v>
      </c>
    </row>
    <row r="90" spans="1:87" x14ac:dyDescent="0.2">
      <c r="A90" s="26"/>
      <c r="B90" s="339"/>
      <c r="C90" s="339"/>
      <c r="D90" s="339"/>
      <c r="E90" s="342"/>
      <c r="F90" s="342"/>
      <c r="G90" s="26"/>
      <c r="H90" s="340"/>
      <c r="I90" s="340"/>
      <c r="J90" s="340"/>
      <c r="K90" s="55"/>
      <c r="L90" s="55"/>
      <c r="M90" s="343"/>
      <c r="N90" s="340"/>
      <c r="O90" s="340"/>
      <c r="P90" s="340"/>
      <c r="Q90" s="340"/>
      <c r="R90" s="72"/>
      <c r="V90" s="76" t="s">
        <v>79</v>
      </c>
      <c r="W90" s="76"/>
      <c r="Y90" s="76"/>
      <c r="BE90" s="91"/>
      <c r="BO90" s="28">
        <v>2009</v>
      </c>
      <c r="BP90" s="124">
        <v>30.29</v>
      </c>
      <c r="BQ90" s="124">
        <v>25.7</v>
      </c>
      <c r="BR90" s="124">
        <v>18.920000000000002</v>
      </c>
      <c r="BS90" s="124">
        <v>15.83</v>
      </c>
      <c r="BT90" s="124">
        <v>19.600000000000001</v>
      </c>
      <c r="BU90" s="124">
        <v>16.64</v>
      </c>
      <c r="BV90" s="124">
        <v>19.11</v>
      </c>
      <c r="BW90" s="124">
        <v>17.63</v>
      </c>
      <c r="BX90" s="124">
        <v>21.03</v>
      </c>
      <c r="BZ90" s="26">
        <f t="shared" si="65"/>
        <v>2009</v>
      </c>
      <c r="CA90" s="120">
        <v>9.68</v>
      </c>
      <c r="CB90" s="120">
        <v>8.58</v>
      </c>
      <c r="CC90" s="120">
        <v>6.27</v>
      </c>
      <c r="CD90" s="120">
        <v>5.94</v>
      </c>
      <c r="CE90" s="120">
        <v>8.68</v>
      </c>
      <c r="CF90" s="120">
        <v>7.62</v>
      </c>
      <c r="CG90" s="120">
        <v>6.73</v>
      </c>
      <c r="CH90" s="120">
        <v>5.96</v>
      </c>
      <c r="CI90" s="120">
        <v>5.97</v>
      </c>
    </row>
    <row r="91" spans="1:87" x14ac:dyDescent="0.2">
      <c r="A91" s="26"/>
      <c r="B91" s="339"/>
      <c r="C91" s="339"/>
      <c r="D91" s="339"/>
      <c r="E91" s="342"/>
      <c r="F91" s="342"/>
      <c r="G91" s="344"/>
      <c r="H91" s="342"/>
      <c r="I91" s="345"/>
      <c r="J91" s="342"/>
      <c r="K91" s="55"/>
      <c r="L91" s="55"/>
      <c r="M91" s="343"/>
      <c r="N91" s="94"/>
      <c r="P91" s="94"/>
      <c r="Q91" s="94"/>
      <c r="R91" s="72"/>
      <c r="T91" s="96"/>
      <c r="U91" s="8"/>
      <c r="V91" s="23" t="s">
        <v>36</v>
      </c>
      <c r="W91" s="23"/>
      <c r="X91" s="23" t="s">
        <v>39</v>
      </c>
      <c r="Y91" s="23"/>
      <c r="Z91" s="66" t="s">
        <v>167</v>
      </c>
      <c r="AA91" s="66"/>
      <c r="AB91" s="66" t="s">
        <v>147</v>
      </c>
      <c r="AC91" s="66"/>
      <c r="AD91" s="23" t="s">
        <v>4</v>
      </c>
      <c r="AE91" s="66"/>
      <c r="AF91" s="23" t="s">
        <v>2</v>
      </c>
      <c r="AG91" s="66"/>
      <c r="AH91" s="23" t="s">
        <v>40</v>
      </c>
      <c r="AI91" s="66"/>
      <c r="AJ91" s="66" t="s">
        <v>168</v>
      </c>
      <c r="AK91" s="23" t="s">
        <v>41</v>
      </c>
      <c r="AL91" s="66"/>
      <c r="AM91" s="23" t="s">
        <v>42</v>
      </c>
      <c r="AN91" s="66"/>
      <c r="AO91" s="23" t="s">
        <v>5</v>
      </c>
      <c r="AP91" s="66"/>
      <c r="AQ91" s="23" t="s">
        <v>43</v>
      </c>
      <c r="AR91" s="66"/>
      <c r="AS91" s="23" t="s">
        <v>44</v>
      </c>
      <c r="AT91" s="66"/>
      <c r="AU91" s="23" t="s">
        <v>45</v>
      </c>
      <c r="AV91" s="23"/>
      <c r="AW91" s="23" t="s">
        <v>9</v>
      </c>
      <c r="AX91" s="66"/>
      <c r="AY91" s="90" t="s">
        <v>100</v>
      </c>
      <c r="AZ91" s="90"/>
      <c r="BA91" s="90" t="s">
        <v>174</v>
      </c>
      <c r="BB91" s="90"/>
      <c r="BC91" s="23" t="s">
        <v>46</v>
      </c>
      <c r="BD91" s="23" t="s">
        <v>14</v>
      </c>
      <c r="BE91" s="91"/>
      <c r="BF91" s="8"/>
      <c r="BO91" s="28">
        <v>2010</v>
      </c>
      <c r="BP91" s="124">
        <v>31.16</v>
      </c>
      <c r="BQ91" s="124">
        <v>26.35</v>
      </c>
      <c r="BR91" s="124">
        <v>19.93</v>
      </c>
      <c r="BS91" s="124">
        <v>16.72</v>
      </c>
      <c r="BT91" s="124">
        <v>19.78</v>
      </c>
      <c r="BU91" s="124">
        <v>15.85</v>
      </c>
      <c r="BV91" s="124">
        <v>18.309999999999999</v>
      </c>
      <c r="BW91" s="124">
        <v>16.190000000000001</v>
      </c>
      <c r="BX91" s="124">
        <v>20.53</v>
      </c>
      <c r="BZ91" s="26">
        <f t="shared" si="65"/>
        <v>2010</v>
      </c>
      <c r="CA91" s="120">
        <v>8.73</v>
      </c>
      <c r="CB91" s="120">
        <v>7.62</v>
      </c>
      <c r="CC91" s="120">
        <v>5.92</v>
      </c>
      <c r="CD91" s="120">
        <v>5.86</v>
      </c>
      <c r="CE91" s="120">
        <v>7.88</v>
      </c>
      <c r="CF91" s="120">
        <v>6.76</v>
      </c>
      <c r="CG91" s="120">
        <v>6.02</v>
      </c>
      <c r="CH91" s="120">
        <v>5.78</v>
      </c>
      <c r="CI91" s="120">
        <v>6.32</v>
      </c>
    </row>
    <row r="92" spans="1:87" x14ac:dyDescent="0.2">
      <c r="A92" s="26"/>
      <c r="B92" s="339"/>
      <c r="C92" s="81"/>
      <c r="D92" s="81"/>
      <c r="E92" s="30"/>
      <c r="F92" s="30"/>
      <c r="G92" s="30"/>
      <c r="H92" s="81"/>
      <c r="I92" s="81"/>
      <c r="J92" s="346"/>
      <c r="K92" s="55"/>
      <c r="L92" s="55"/>
      <c r="M92" s="343"/>
      <c r="N92" s="96"/>
      <c r="O92" s="71"/>
      <c r="P92" s="20"/>
      <c r="Q92" s="20"/>
      <c r="R92" s="20"/>
      <c r="S92" s="96"/>
      <c r="T92" s="96"/>
      <c r="U92" s="8" t="s">
        <v>15</v>
      </c>
      <c r="V92" s="78" t="s">
        <v>77</v>
      </c>
      <c r="W92" s="78"/>
      <c r="X92" s="78" t="s">
        <v>77</v>
      </c>
      <c r="Y92" s="78"/>
      <c r="Z92" s="78" t="s">
        <v>77</v>
      </c>
      <c r="AA92" s="78"/>
      <c r="AB92" s="78" t="s">
        <v>77</v>
      </c>
      <c r="AC92" s="78"/>
      <c r="AD92" s="78" t="s">
        <v>77</v>
      </c>
      <c r="AE92" s="78"/>
      <c r="AF92" s="78" t="s">
        <v>77</v>
      </c>
      <c r="AG92" s="78"/>
      <c r="AH92" s="78" t="s">
        <v>77</v>
      </c>
      <c r="AI92" s="78"/>
      <c r="AJ92" s="78" t="s">
        <v>77</v>
      </c>
      <c r="AK92" s="78" t="s">
        <v>77</v>
      </c>
      <c r="AL92" s="78"/>
      <c r="AM92" s="78" t="s">
        <v>77</v>
      </c>
      <c r="AN92" s="78"/>
      <c r="AO92" s="78" t="s">
        <v>77</v>
      </c>
      <c r="AP92" s="78"/>
      <c r="AQ92" s="78" t="s">
        <v>77</v>
      </c>
      <c r="AR92" s="78"/>
      <c r="AS92" s="78" t="s">
        <v>77</v>
      </c>
      <c r="AT92" s="78"/>
      <c r="AU92" s="78" t="s">
        <v>77</v>
      </c>
      <c r="AV92" s="78"/>
      <c r="AW92" s="78" t="s">
        <v>77</v>
      </c>
      <c r="AX92" s="78"/>
      <c r="AY92" s="78" t="s">
        <v>77</v>
      </c>
      <c r="AZ92" s="78"/>
      <c r="BA92" s="78" t="s">
        <v>77</v>
      </c>
      <c r="BB92" s="78"/>
      <c r="BC92" s="78" t="s">
        <v>77</v>
      </c>
      <c r="BD92" s="78" t="s">
        <v>77</v>
      </c>
      <c r="BE92" s="97"/>
      <c r="BF92" s="8"/>
      <c r="BO92" s="28">
        <v>2011</v>
      </c>
      <c r="BP92" s="124">
        <v>32.99</v>
      </c>
      <c r="BQ92" s="124">
        <v>25.57</v>
      </c>
      <c r="BR92" s="124">
        <v>18.149999999999999</v>
      </c>
      <c r="BS92" s="124">
        <v>15.07</v>
      </c>
      <c r="BT92" s="124">
        <v>18.36</v>
      </c>
      <c r="BU92" s="124">
        <v>14.64</v>
      </c>
      <c r="BV92" s="124">
        <v>16.52</v>
      </c>
      <c r="BW92" s="124">
        <v>15.32</v>
      </c>
      <c r="BX92" s="124">
        <v>20.51</v>
      </c>
      <c r="BZ92" s="26">
        <f t="shared" si="65"/>
        <v>2011</v>
      </c>
      <c r="CA92" s="120">
        <v>7.92</v>
      </c>
      <c r="CB92" s="120">
        <v>6.97</v>
      </c>
      <c r="CC92" s="120">
        <v>5.47</v>
      </c>
      <c r="CD92" s="120">
        <v>5.43</v>
      </c>
      <c r="CE92" s="120">
        <v>7.49</v>
      </c>
      <c r="CF92" s="120">
        <v>6.38</v>
      </c>
      <c r="CG92" s="120">
        <v>5.84</v>
      </c>
      <c r="CH92" s="120">
        <v>5.47</v>
      </c>
      <c r="CI92" s="120">
        <v>5.9</v>
      </c>
    </row>
    <row r="93" spans="1:87" x14ac:dyDescent="0.2">
      <c r="A93" s="30"/>
      <c r="B93" s="81"/>
      <c r="C93" s="30"/>
      <c r="D93" s="30"/>
      <c r="E93" s="30"/>
      <c r="F93" s="30"/>
      <c r="G93" s="30"/>
      <c r="H93" s="30"/>
      <c r="I93" s="30"/>
      <c r="J93" s="346"/>
      <c r="K93" s="55"/>
      <c r="L93" s="55"/>
      <c r="M93" s="343"/>
      <c r="N93" s="96"/>
      <c r="O93" s="71"/>
      <c r="P93" s="20"/>
      <c r="Q93" s="20"/>
      <c r="R93" s="20"/>
      <c r="S93" s="96"/>
      <c r="T93" s="96"/>
      <c r="U93" s="8">
        <v>2005</v>
      </c>
      <c r="V93" s="347">
        <v>20494125</v>
      </c>
      <c r="W93" s="127"/>
      <c r="X93" s="347">
        <v>9340069</v>
      </c>
      <c r="Y93" s="127"/>
      <c r="Z93" s="347">
        <v>208675</v>
      </c>
      <c r="AA93" s="55"/>
      <c r="AB93" s="347">
        <v>2213161</v>
      </c>
      <c r="AC93" s="55"/>
      <c r="AD93" s="347">
        <v>9831042</v>
      </c>
      <c r="AE93" s="55"/>
      <c r="AF93" s="347">
        <v>62917799</v>
      </c>
      <c r="AG93" s="55"/>
      <c r="AH93" s="347">
        <v>14816839</v>
      </c>
      <c r="AI93" s="55"/>
      <c r="AJ93" s="347">
        <v>369877</v>
      </c>
      <c r="AK93" s="347">
        <v>2337285</v>
      </c>
      <c r="AL93" s="55"/>
      <c r="AM93" s="347">
        <v>6027026</v>
      </c>
      <c r="AN93" s="347"/>
      <c r="AO93" s="347">
        <v>47715975</v>
      </c>
      <c r="AP93" s="55"/>
      <c r="AQ93" s="347">
        <v>12869848</v>
      </c>
      <c r="AR93" s="55"/>
      <c r="AS93" s="347">
        <v>17820575</v>
      </c>
      <c r="AT93" s="55"/>
      <c r="AU93" s="347">
        <v>23733426</v>
      </c>
      <c r="AV93" s="127"/>
      <c r="AW93" s="347">
        <v>6871528</v>
      </c>
      <c r="AX93" s="55"/>
      <c r="AY93" s="347">
        <v>16186913</v>
      </c>
      <c r="AZ93" s="127"/>
      <c r="BA93" s="347">
        <v>5355859</v>
      </c>
      <c r="BB93" s="127"/>
      <c r="BC93" s="347">
        <v>47257268</v>
      </c>
      <c r="BD93" s="347">
        <v>94022661</v>
      </c>
      <c r="BE93" s="54"/>
      <c r="BF93" s="8"/>
      <c r="BO93" s="28">
        <v>2012</v>
      </c>
      <c r="BP93" s="124">
        <v>33.56</v>
      </c>
      <c r="BQ93" s="124">
        <v>26.38</v>
      </c>
      <c r="BR93" s="124">
        <v>18.059999999999999</v>
      </c>
      <c r="BS93" s="124">
        <v>15.06</v>
      </c>
      <c r="BT93" s="124">
        <v>18.43</v>
      </c>
      <c r="BU93" s="124">
        <v>14.61</v>
      </c>
      <c r="BV93" s="124">
        <v>16.690000000000001</v>
      </c>
      <c r="BW93" s="124">
        <v>15.79</v>
      </c>
      <c r="BX93" s="124">
        <v>20.49</v>
      </c>
      <c r="BZ93" s="26">
        <f t="shared" si="65"/>
        <v>2012</v>
      </c>
      <c r="CA93" s="120">
        <v>7.91</v>
      </c>
      <c r="CB93" s="120">
        <v>7.02</v>
      </c>
      <c r="CC93" s="120">
        <v>5.27</v>
      </c>
      <c r="CD93" s="120">
        <v>5.37</v>
      </c>
      <c r="CE93" s="120">
        <v>7.42</v>
      </c>
      <c r="CF93" s="120">
        <v>6.34</v>
      </c>
      <c r="CG93" s="120">
        <v>5.77</v>
      </c>
      <c r="CH93" s="120">
        <v>5.42</v>
      </c>
      <c r="CI93" s="120">
        <v>5.85</v>
      </c>
    </row>
    <row r="94" spans="1:87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20"/>
      <c r="N94" s="96"/>
      <c r="O94" s="71"/>
      <c r="P94" s="20"/>
      <c r="Q94" s="20"/>
      <c r="R94" s="20"/>
      <c r="S94" s="96"/>
      <c r="T94" s="96"/>
      <c r="U94" s="8">
        <v>2006</v>
      </c>
      <c r="V94" s="347">
        <v>17550185</v>
      </c>
      <c r="W94" s="127"/>
      <c r="X94" s="347">
        <v>8143774</v>
      </c>
      <c r="Y94" s="127"/>
      <c r="Z94" s="347">
        <v>191491</v>
      </c>
      <c r="AA94" s="55"/>
      <c r="AB94" s="347">
        <v>2008997</v>
      </c>
      <c r="AC94" s="55"/>
      <c r="AD94" s="347">
        <v>9123872</v>
      </c>
      <c r="AE94" s="55"/>
      <c r="AF94" s="347">
        <v>61673339</v>
      </c>
      <c r="AG94" s="55"/>
      <c r="AH94" s="347">
        <v>14097806</v>
      </c>
      <c r="AI94" s="55"/>
      <c r="AJ94" s="347">
        <v>371151</v>
      </c>
      <c r="AK94" s="347">
        <v>2341886</v>
      </c>
      <c r="AL94" s="55"/>
      <c r="AM94" s="347">
        <v>6077394</v>
      </c>
      <c r="AN94" s="347"/>
      <c r="AO94" s="347">
        <v>47557729</v>
      </c>
      <c r="AP94" s="55"/>
      <c r="AQ94" s="347">
        <v>12942078</v>
      </c>
      <c r="AR94" s="55"/>
      <c r="AS94" s="347">
        <v>17808215</v>
      </c>
      <c r="AT94" s="55"/>
      <c r="AU94" s="347">
        <v>23421425</v>
      </c>
      <c r="AV94" s="127"/>
      <c r="AW94" s="347">
        <v>6815017</v>
      </c>
      <c r="AX94" s="55"/>
      <c r="AY94" s="347">
        <v>17324519</v>
      </c>
      <c r="AZ94" s="127"/>
      <c r="BA94" s="347">
        <v>5105456</v>
      </c>
      <c r="BB94" s="127"/>
      <c r="BC94" s="347">
        <v>47050591</v>
      </c>
      <c r="BD94" s="347">
        <v>100685067</v>
      </c>
      <c r="BE94" s="212">
        <f t="shared" ref="BE94:BE131" si="69">BD94/BD93-1</f>
        <v>7.0859577139600338E-2</v>
      </c>
      <c r="BF94" s="8"/>
      <c r="BO94" s="28">
        <v>2013</v>
      </c>
      <c r="BP94" s="124">
        <v>33.869999999999997</v>
      </c>
      <c r="BQ94" s="124">
        <v>26.77</v>
      </c>
      <c r="BR94" s="124">
        <v>18.21</v>
      </c>
      <c r="BS94" s="124">
        <v>15.44</v>
      </c>
      <c r="BT94" s="124">
        <v>18.53</v>
      </c>
      <c r="BU94" s="124">
        <v>14.53</v>
      </c>
      <c r="BV94" s="124">
        <v>16.739999999999998</v>
      </c>
      <c r="BW94" s="124">
        <v>16.239999999999998</v>
      </c>
      <c r="BX94" s="124">
        <v>20.36</v>
      </c>
      <c r="BZ94" s="26">
        <f t="shared" si="65"/>
        <v>2013</v>
      </c>
      <c r="CA94" s="120">
        <v>8.0299999999999994</v>
      </c>
      <c r="CB94" s="120">
        <v>7.19</v>
      </c>
      <c r="CC94" s="120">
        <v>5.22</v>
      </c>
      <c r="CD94" s="120">
        <v>5.33</v>
      </c>
      <c r="CE94" s="120">
        <v>7.43</v>
      </c>
      <c r="CF94" s="120">
        <v>6.34</v>
      </c>
      <c r="CG94" s="120">
        <v>5.74</v>
      </c>
      <c r="CH94" s="120">
        <v>5.44</v>
      </c>
      <c r="CI94" s="120">
        <v>5.83</v>
      </c>
    </row>
    <row r="95" spans="1:87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20"/>
      <c r="N95" s="96"/>
      <c r="O95" s="71"/>
      <c r="P95" s="20"/>
      <c r="Q95" s="20"/>
      <c r="R95" s="20"/>
      <c r="S95" s="96"/>
      <c r="T95" s="96"/>
      <c r="U95" s="8">
        <v>2007</v>
      </c>
      <c r="V95" s="347">
        <v>17588300</v>
      </c>
      <c r="W95" s="127"/>
      <c r="X95" s="347">
        <v>8391716</v>
      </c>
      <c r="Y95" s="127"/>
      <c r="Z95" s="347">
        <v>210868</v>
      </c>
      <c r="AA95" s="55"/>
      <c r="AB95" s="347">
        <v>1966322</v>
      </c>
      <c r="AC95" s="55"/>
      <c r="AD95" s="347">
        <v>10626238</v>
      </c>
      <c r="AE95" s="55"/>
      <c r="AF95" s="347">
        <v>63740205</v>
      </c>
      <c r="AG95" s="55"/>
      <c r="AH95" s="347">
        <v>17065823</v>
      </c>
      <c r="AI95" s="55"/>
      <c r="AJ95" s="347">
        <v>480263</v>
      </c>
      <c r="AK95" s="347">
        <v>2357262</v>
      </c>
      <c r="AL95" s="55"/>
      <c r="AM95" s="347">
        <v>6184496</v>
      </c>
      <c r="AN95" s="347"/>
      <c r="AO95" s="347">
        <v>48099250</v>
      </c>
      <c r="AP95" s="55"/>
      <c r="AQ95" s="347">
        <v>13082185</v>
      </c>
      <c r="AR95" s="55"/>
      <c r="AS95" s="347">
        <v>17931388</v>
      </c>
      <c r="AT95" s="55"/>
      <c r="AU95" s="347">
        <v>23237363</v>
      </c>
      <c r="AV95" s="127"/>
      <c r="AW95" s="347">
        <v>6815958</v>
      </c>
      <c r="AX95" s="55"/>
      <c r="AY95" s="347">
        <v>18131318</v>
      </c>
      <c r="AZ95" s="127"/>
      <c r="BA95" s="347">
        <v>5141817</v>
      </c>
      <c r="BB95" s="127"/>
      <c r="BC95" s="347">
        <v>46479655</v>
      </c>
      <c r="BD95" s="347">
        <v>109529564</v>
      </c>
      <c r="BE95" s="212">
        <f t="shared" si="69"/>
        <v>8.784318532558566E-2</v>
      </c>
      <c r="BF95" s="8"/>
      <c r="BG95" s="8"/>
      <c r="BH95" s="55"/>
      <c r="BO95" s="28">
        <v>2014</v>
      </c>
      <c r="BP95" s="124">
        <v>33.67</v>
      </c>
      <c r="BQ95" s="124">
        <v>26.92</v>
      </c>
      <c r="BR95" s="124">
        <v>18.22</v>
      </c>
      <c r="BS95" s="124">
        <v>15.38</v>
      </c>
      <c r="BT95" s="124">
        <v>18.47</v>
      </c>
      <c r="BU95" s="124">
        <v>14.37</v>
      </c>
      <c r="BV95" s="124">
        <v>16.79</v>
      </c>
      <c r="BW95" s="124">
        <v>16.32</v>
      </c>
      <c r="BX95" s="124">
        <v>20.39</v>
      </c>
      <c r="BZ95" s="26">
        <f t="shared" si="65"/>
        <v>2014</v>
      </c>
      <c r="CA95" s="120">
        <v>8.09</v>
      </c>
      <c r="CB95" s="120">
        <v>7.33</v>
      </c>
      <c r="CC95" s="120">
        <v>5.16</v>
      </c>
      <c r="CD95" s="120">
        <v>5.27</v>
      </c>
      <c r="CE95" s="120">
        <v>7.31</v>
      </c>
      <c r="CF95" s="120">
        <v>6.32</v>
      </c>
      <c r="CG95" s="120">
        <v>5.69</v>
      </c>
      <c r="CH95" s="120">
        <v>5.38</v>
      </c>
      <c r="CI95" s="120">
        <v>5.74</v>
      </c>
    </row>
    <row r="96" spans="1:87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20"/>
      <c r="N96" s="96"/>
      <c r="O96" s="71"/>
      <c r="P96" s="20"/>
      <c r="Q96" s="20"/>
      <c r="R96" s="20"/>
      <c r="S96" s="96"/>
      <c r="T96" s="96"/>
      <c r="U96" s="8">
        <v>2008</v>
      </c>
      <c r="V96" s="347">
        <v>19592553</v>
      </c>
      <c r="W96" s="127"/>
      <c r="X96" s="347">
        <v>9452049</v>
      </c>
      <c r="Y96" s="127"/>
      <c r="Z96" s="347">
        <v>270624</v>
      </c>
      <c r="AA96" s="55"/>
      <c r="AB96" s="347">
        <v>2155323</v>
      </c>
      <c r="AC96" s="55"/>
      <c r="AD96" s="347">
        <v>8209462</v>
      </c>
      <c r="AE96" s="55"/>
      <c r="AF96" s="347">
        <v>51914988</v>
      </c>
      <c r="AG96" s="55"/>
      <c r="AH96" s="347">
        <v>13501843</v>
      </c>
      <c r="AI96" s="55"/>
      <c r="AJ96" s="347">
        <v>431984</v>
      </c>
      <c r="AK96" s="347">
        <v>2320131</v>
      </c>
      <c r="AL96" s="55"/>
      <c r="AM96" s="347">
        <v>6273740</v>
      </c>
      <c r="AN96" s="347"/>
      <c r="AO96" s="347">
        <v>48044644</v>
      </c>
      <c r="AP96" s="55"/>
      <c r="AQ96" s="347">
        <v>13182623</v>
      </c>
      <c r="AR96" s="55"/>
      <c r="AS96" s="347">
        <v>17923660</v>
      </c>
      <c r="AT96" s="55"/>
      <c r="AU96" s="347">
        <v>23026512</v>
      </c>
      <c r="AV96" s="127"/>
      <c r="AW96" s="347">
        <v>6809191</v>
      </c>
      <c r="AX96" s="55"/>
      <c r="AY96" s="347">
        <v>18663024</v>
      </c>
      <c r="AZ96" s="127"/>
      <c r="BA96" s="347">
        <v>5872641</v>
      </c>
      <c r="BB96" s="127"/>
      <c r="BC96" s="347">
        <v>45854257</v>
      </c>
      <c r="BD96" s="347">
        <v>115890765</v>
      </c>
      <c r="BE96" s="212">
        <f t="shared" si="69"/>
        <v>5.8077479428293888E-2</v>
      </c>
      <c r="BF96" s="8"/>
      <c r="BG96" s="8"/>
      <c r="BH96" s="55"/>
      <c r="BO96" s="28">
        <v>2015</v>
      </c>
      <c r="BP96" s="124">
        <v>33.39</v>
      </c>
      <c r="BQ96" s="124">
        <v>26.81</v>
      </c>
      <c r="BR96" s="124">
        <v>18.27</v>
      </c>
      <c r="BS96" s="124">
        <v>15.34</v>
      </c>
      <c r="BT96" s="124">
        <v>18.48</v>
      </c>
      <c r="BU96" s="124">
        <v>14.27</v>
      </c>
      <c r="BV96" s="124">
        <v>16.899999999999999</v>
      </c>
      <c r="BW96" s="124">
        <v>16.489999999999998</v>
      </c>
      <c r="BX96" s="124">
        <v>20.309999999999999</v>
      </c>
      <c r="BZ96" s="26">
        <f t="shared" si="65"/>
        <v>2015</v>
      </c>
      <c r="CA96" s="120">
        <v>8.02</v>
      </c>
      <c r="CB96" s="120">
        <v>7.2</v>
      </c>
      <c r="CC96" s="120">
        <v>5.25</v>
      </c>
      <c r="CD96" s="120">
        <v>5.35</v>
      </c>
      <c r="CE96" s="120">
        <v>7.42</v>
      </c>
      <c r="CF96" s="120">
        <v>6.45</v>
      </c>
      <c r="CG96" s="120">
        <v>5.78</v>
      </c>
      <c r="CH96" s="120">
        <v>5.47</v>
      </c>
      <c r="CI96" s="120">
        <v>5.79</v>
      </c>
    </row>
    <row r="97" spans="1:87" x14ac:dyDescent="0.2">
      <c r="A97" s="30"/>
      <c r="B97" s="30"/>
      <c r="C97" s="77"/>
      <c r="D97" s="77"/>
      <c r="E97" s="334"/>
      <c r="F97" s="334"/>
      <c r="G97" s="23"/>
      <c r="H97" s="334"/>
      <c r="I97" s="77"/>
      <c r="J97" s="334"/>
      <c r="K97" s="23"/>
      <c r="L97" s="334"/>
      <c r="M97" s="20"/>
      <c r="N97" s="96"/>
      <c r="O97" s="71"/>
      <c r="P97" s="20"/>
      <c r="Q97" s="20"/>
      <c r="R97" s="20"/>
      <c r="S97" s="96"/>
      <c r="T97" s="96"/>
      <c r="U97" s="8">
        <v>2009</v>
      </c>
      <c r="V97" s="347">
        <v>18796906</v>
      </c>
      <c r="W97" s="127"/>
      <c r="X97" s="347">
        <v>9203045</v>
      </c>
      <c r="Y97" s="127"/>
      <c r="Z97" s="347">
        <v>294582</v>
      </c>
      <c r="AA97" s="55"/>
      <c r="AB97" s="347">
        <v>2054856</v>
      </c>
      <c r="AC97" s="55"/>
      <c r="AD97" s="347">
        <v>7617069</v>
      </c>
      <c r="AE97" s="55"/>
      <c r="AF97" s="347">
        <v>45656354</v>
      </c>
      <c r="AG97" s="55"/>
      <c r="AH97" s="347">
        <v>12811670</v>
      </c>
      <c r="AI97" s="55"/>
      <c r="AJ97" s="347">
        <v>456844</v>
      </c>
      <c r="AK97" s="347">
        <v>2267392</v>
      </c>
      <c r="AL97" s="55"/>
      <c r="AM97" s="347">
        <v>6336587</v>
      </c>
      <c r="AN97" s="347"/>
      <c r="AO97" s="347">
        <v>47867049</v>
      </c>
      <c r="AP97" s="55"/>
      <c r="AQ97" s="347">
        <v>13207868</v>
      </c>
      <c r="AR97" s="55"/>
      <c r="AS97" s="347">
        <v>17828496</v>
      </c>
      <c r="AT97" s="55"/>
      <c r="AU97" s="347">
        <v>22708346</v>
      </c>
      <c r="AV97" s="127"/>
      <c r="AW97" s="347">
        <v>6775564</v>
      </c>
      <c r="AX97" s="55"/>
      <c r="AY97" s="347">
        <v>18867640</v>
      </c>
      <c r="AZ97" s="127"/>
      <c r="BA97" s="347">
        <v>5840469</v>
      </c>
      <c r="BB97" s="127"/>
      <c r="BC97" s="347">
        <v>44824160</v>
      </c>
      <c r="BD97" s="347">
        <v>113155114</v>
      </c>
      <c r="BE97" s="212">
        <f t="shared" si="69"/>
        <v>-2.3605427058834283E-2</v>
      </c>
      <c r="BF97" s="8"/>
      <c r="BG97" s="8"/>
      <c r="BH97" s="55"/>
      <c r="BO97" s="28">
        <v>2016</v>
      </c>
      <c r="BP97" s="124">
        <v>32.61</v>
      </c>
      <c r="BQ97" s="124">
        <v>26.48</v>
      </c>
      <c r="BR97" s="124">
        <v>18.22</v>
      </c>
      <c r="BS97" s="124">
        <v>15.18</v>
      </c>
      <c r="BT97" s="124">
        <v>18.46</v>
      </c>
      <c r="BU97" s="124">
        <v>14.25</v>
      </c>
      <c r="BV97" s="124">
        <v>17.059999999999999</v>
      </c>
      <c r="BW97" s="124">
        <v>16.47</v>
      </c>
      <c r="BX97" s="124">
        <v>19.98</v>
      </c>
      <c r="BZ97" s="26">
        <f t="shared" si="65"/>
        <v>2016</v>
      </c>
      <c r="CA97" s="120">
        <v>8</v>
      </c>
      <c r="CB97" s="120">
        <v>7.02</v>
      </c>
      <c r="CC97" s="120">
        <v>5.35</v>
      </c>
      <c r="CD97" s="120">
        <v>5.45</v>
      </c>
      <c r="CE97" s="120">
        <v>7.5</v>
      </c>
      <c r="CF97" s="120">
        <v>6.51</v>
      </c>
      <c r="CG97" s="120">
        <v>5.82</v>
      </c>
      <c r="CH97" s="120">
        <v>5.54</v>
      </c>
      <c r="CI97" s="120">
        <v>5.91</v>
      </c>
    </row>
    <row r="98" spans="1:87" x14ac:dyDescent="0.2">
      <c r="A98" s="77"/>
      <c r="B98" s="77"/>
      <c r="C98" s="334"/>
      <c r="D98" s="334"/>
      <c r="E98" s="334"/>
      <c r="F98" s="334"/>
      <c r="G98" s="333"/>
      <c r="H98" s="334"/>
      <c r="I98" s="334"/>
      <c r="J98" s="334"/>
      <c r="K98" s="333"/>
      <c r="L98" s="334"/>
      <c r="M98" s="20"/>
      <c r="N98" s="96"/>
      <c r="O98" s="71"/>
      <c r="P98" s="20"/>
      <c r="Q98" s="20"/>
      <c r="R98" s="20"/>
      <c r="S98" s="96"/>
      <c r="T98" s="96"/>
      <c r="U98" s="8">
        <v>2010</v>
      </c>
      <c r="V98" s="347">
        <v>20443608</v>
      </c>
      <c r="W98" s="127"/>
      <c r="X98" s="347">
        <v>10199519</v>
      </c>
      <c r="Y98" s="127"/>
      <c r="Z98" s="347">
        <v>358175</v>
      </c>
      <c r="AA98" s="55"/>
      <c r="AB98" s="347">
        <v>2218342</v>
      </c>
      <c r="AC98" s="55"/>
      <c r="AD98" s="347">
        <v>10267172</v>
      </c>
      <c r="AE98" s="55"/>
      <c r="AF98" s="347">
        <v>75745431</v>
      </c>
      <c r="AG98" s="55"/>
      <c r="AH98" s="347">
        <v>17688869</v>
      </c>
      <c r="AI98" s="55"/>
      <c r="AJ98" s="347">
        <v>690168</v>
      </c>
      <c r="AK98" s="347">
        <v>2219754</v>
      </c>
      <c r="AL98" s="55"/>
      <c r="AM98" s="347">
        <v>6292176</v>
      </c>
      <c r="AN98" s="347"/>
      <c r="AO98" s="347">
        <v>47973496</v>
      </c>
      <c r="AP98" s="55"/>
      <c r="AQ98" s="347">
        <v>13258091</v>
      </c>
      <c r="AR98" s="55"/>
      <c r="AS98" s="347">
        <v>17821336</v>
      </c>
      <c r="AT98" s="55"/>
      <c r="AU98" s="347">
        <v>22465048</v>
      </c>
      <c r="AV98" s="127"/>
      <c r="AW98" s="347">
        <v>6762620</v>
      </c>
      <c r="AX98" s="55"/>
      <c r="AY98" s="347">
        <v>19183664</v>
      </c>
      <c r="AZ98" s="127"/>
      <c r="BA98" s="347">
        <v>6637360</v>
      </c>
      <c r="BB98" s="127"/>
      <c r="BC98" s="347">
        <v>43974385</v>
      </c>
      <c r="BD98" s="347">
        <v>117180710</v>
      </c>
      <c r="BE98" s="212">
        <f t="shared" si="69"/>
        <v>3.5575908659329247E-2</v>
      </c>
      <c r="BF98" s="8"/>
      <c r="BG98" s="8"/>
      <c r="BH98" s="55"/>
      <c r="BO98" s="28">
        <v>2017</v>
      </c>
      <c r="BP98" s="124">
        <v>31.93</v>
      </c>
      <c r="BQ98" s="124">
        <v>26.1</v>
      </c>
      <c r="BR98" s="124">
        <v>18.04</v>
      </c>
      <c r="BS98" s="124">
        <v>15.1</v>
      </c>
      <c r="BT98" s="124">
        <v>18.579999999999998</v>
      </c>
      <c r="BU98" s="124">
        <v>14.47</v>
      </c>
      <c r="BV98" s="124">
        <v>17.09</v>
      </c>
      <c r="BW98" s="124">
        <v>16.510000000000002</v>
      </c>
      <c r="BX98" s="124">
        <v>19.739999999999998</v>
      </c>
      <c r="BZ98" s="26">
        <f t="shared" si="65"/>
        <v>2017</v>
      </c>
      <c r="CA98" s="120">
        <v>8.11</v>
      </c>
      <c r="CB98" s="120">
        <v>7.02</v>
      </c>
      <c r="CC98" s="120">
        <v>5.45</v>
      </c>
      <c r="CD98" s="120">
        <v>5.58</v>
      </c>
      <c r="CE98" s="120">
        <v>7.59</v>
      </c>
      <c r="CF98" s="120">
        <v>6.57</v>
      </c>
      <c r="CG98" s="120">
        <v>5.86</v>
      </c>
      <c r="CH98" s="120">
        <v>5.62</v>
      </c>
      <c r="CI98" s="120">
        <v>6.05</v>
      </c>
    </row>
    <row r="99" spans="1:87" x14ac:dyDescent="0.2">
      <c r="A99" s="83"/>
      <c r="B99" s="334"/>
      <c r="C99" s="336"/>
      <c r="D99" s="336"/>
      <c r="E99" s="334"/>
      <c r="F99" s="334"/>
      <c r="G99" s="333"/>
      <c r="H99" s="336"/>
      <c r="I99" s="336"/>
      <c r="J99" s="334"/>
      <c r="K99" s="333"/>
      <c r="L99" s="336"/>
      <c r="M99" s="20"/>
      <c r="N99" s="96"/>
      <c r="O99" s="71"/>
      <c r="P99" s="20"/>
      <c r="Q99" s="20"/>
      <c r="R99" s="20"/>
      <c r="S99" s="96"/>
      <c r="T99" s="96"/>
      <c r="U99" s="8">
        <v>2011</v>
      </c>
      <c r="V99" s="347">
        <v>17200303</v>
      </c>
      <c r="W99" s="127"/>
      <c r="X99" s="347">
        <v>8766678</v>
      </c>
      <c r="Y99" s="127"/>
      <c r="Z99" s="347">
        <v>375299</v>
      </c>
      <c r="AA99" s="55"/>
      <c r="AB99" s="347">
        <v>1879231</v>
      </c>
      <c r="AC99" s="55"/>
      <c r="AD99" s="347">
        <v>8917612</v>
      </c>
      <c r="AE99" s="55"/>
      <c r="AF99" s="347">
        <v>70071552</v>
      </c>
      <c r="AG99" s="55"/>
      <c r="AH99" s="347">
        <v>15722726</v>
      </c>
      <c r="AI99" s="55"/>
      <c r="AJ99" s="347">
        <v>750788</v>
      </c>
      <c r="AK99" s="347">
        <v>2211227</v>
      </c>
      <c r="AL99" s="55"/>
      <c r="AM99" s="347">
        <v>6262891</v>
      </c>
      <c r="AN99" s="347"/>
      <c r="AO99" s="347">
        <v>47601141</v>
      </c>
      <c r="AP99" s="55"/>
      <c r="AQ99" s="347">
        <v>13292895</v>
      </c>
      <c r="AR99" s="55"/>
      <c r="AS99" s="347">
        <v>17586792</v>
      </c>
      <c r="AT99" s="55"/>
      <c r="AU99" s="347">
        <v>22325349</v>
      </c>
      <c r="AV99" s="127"/>
      <c r="AW99" s="347">
        <v>6773142</v>
      </c>
      <c r="AX99" s="55"/>
      <c r="AY99" s="347">
        <v>18866997</v>
      </c>
      <c r="AZ99" s="127"/>
      <c r="BA99" s="347">
        <v>6092897</v>
      </c>
      <c r="BB99" s="127"/>
      <c r="BC99" s="347">
        <v>42273328</v>
      </c>
      <c r="BD99" s="347">
        <v>116049088</v>
      </c>
      <c r="BE99" s="212">
        <f t="shared" si="69"/>
        <v>-9.6570672766874699E-3</v>
      </c>
      <c r="BF99" s="212">
        <f t="shared" ref="BF99:BF104" si="70">BC99/BC98-1</f>
        <v>-3.8682905969009029E-2</v>
      </c>
      <c r="BG99" s="8"/>
      <c r="BH99" s="55"/>
      <c r="BO99" s="28">
        <v>2018</v>
      </c>
      <c r="BP99" s="124">
        <v>31.4</v>
      </c>
      <c r="BQ99" s="124">
        <v>25.8</v>
      </c>
      <c r="BR99" s="124">
        <v>17.84</v>
      </c>
      <c r="BS99" s="124">
        <v>14.97</v>
      </c>
      <c r="BT99" s="124">
        <v>18.7</v>
      </c>
      <c r="BU99" s="124">
        <v>14.46</v>
      </c>
      <c r="BV99" s="124">
        <v>17.22</v>
      </c>
      <c r="BW99" s="124">
        <v>16.52</v>
      </c>
      <c r="BX99" s="124">
        <v>19.41</v>
      </c>
      <c r="BZ99" s="26">
        <f t="shared" si="65"/>
        <v>2018</v>
      </c>
      <c r="CA99" s="120">
        <v>8.19</v>
      </c>
      <c r="CB99" s="120">
        <v>7.03</v>
      </c>
      <c r="CC99" s="120">
        <v>5.53</v>
      </c>
      <c r="CD99" s="120">
        <v>5.67</v>
      </c>
      <c r="CE99" s="120">
        <v>7.67</v>
      </c>
      <c r="CF99" s="120">
        <v>6.63</v>
      </c>
      <c r="CG99" s="120">
        <v>5.89</v>
      </c>
      <c r="CH99" s="120">
        <v>5.73</v>
      </c>
      <c r="CI99" s="120">
        <v>6.18</v>
      </c>
    </row>
    <row r="100" spans="1:87" x14ac:dyDescent="0.2">
      <c r="A100" s="83"/>
      <c r="B100" s="336"/>
      <c r="C100" s="336"/>
      <c r="D100" s="336"/>
      <c r="E100" s="348"/>
      <c r="F100" s="348"/>
      <c r="G100" s="333"/>
      <c r="H100" s="336"/>
      <c r="I100" s="336"/>
      <c r="J100" s="348"/>
      <c r="K100" s="333"/>
      <c r="L100" s="336"/>
      <c r="M100" s="20"/>
      <c r="N100" s="96"/>
      <c r="O100" s="71"/>
      <c r="P100" s="20"/>
      <c r="Q100" s="20"/>
      <c r="R100" s="20"/>
      <c r="S100" s="96"/>
      <c r="T100" s="96"/>
      <c r="U100" s="8">
        <v>2012</v>
      </c>
      <c r="V100" s="347">
        <v>17461162</v>
      </c>
      <c r="W100" s="127"/>
      <c r="X100" s="347">
        <v>9104408</v>
      </c>
      <c r="Y100" s="127"/>
      <c r="Z100" s="347">
        <v>501307</v>
      </c>
      <c r="AA100" s="55"/>
      <c r="AB100" s="347">
        <v>1870896</v>
      </c>
      <c r="AC100" s="55"/>
      <c r="AD100" s="347">
        <v>7629275</v>
      </c>
      <c r="AE100" s="55"/>
      <c r="AF100" s="347">
        <v>62733039</v>
      </c>
      <c r="AG100" s="55"/>
      <c r="AH100" s="347">
        <v>13950337</v>
      </c>
      <c r="AI100" s="55"/>
      <c r="AJ100" s="347">
        <v>851653</v>
      </c>
      <c r="AK100" s="347">
        <v>2233495</v>
      </c>
      <c r="AL100" s="55"/>
      <c r="AM100" s="347">
        <v>6300320</v>
      </c>
      <c r="AN100" s="347"/>
      <c r="AO100" s="347">
        <v>48635570</v>
      </c>
      <c r="AP100" s="55"/>
      <c r="AQ100" s="347">
        <v>13505004</v>
      </c>
      <c r="AR100" s="55"/>
      <c r="AS100" s="347">
        <v>17903759</v>
      </c>
      <c r="AT100" s="55"/>
      <c r="AU100" s="347">
        <v>22426869</v>
      </c>
      <c r="AV100" s="127"/>
      <c r="AW100" s="347">
        <v>6857532</v>
      </c>
      <c r="AX100" s="55"/>
      <c r="AY100" s="347">
        <v>19038709</v>
      </c>
      <c r="AZ100" s="127"/>
      <c r="BA100" s="347">
        <v>6259857</v>
      </c>
      <c r="BB100" s="127"/>
      <c r="BC100" s="347">
        <v>41785411</v>
      </c>
      <c r="BD100" s="347">
        <v>118201291</v>
      </c>
      <c r="BE100" s="212">
        <f t="shared" si="69"/>
        <v>1.8545626140551885E-2</v>
      </c>
      <c r="BF100" s="212">
        <f t="shared" si="70"/>
        <v>-1.1541958560726484E-2</v>
      </c>
      <c r="BG100" s="8"/>
      <c r="BH100" s="55"/>
      <c r="BO100" s="28">
        <v>2019</v>
      </c>
      <c r="BP100" s="124">
        <v>31.05</v>
      </c>
      <c r="BQ100" s="124">
        <v>25.69</v>
      </c>
      <c r="BR100" s="124">
        <v>17.68</v>
      </c>
      <c r="BS100" s="124">
        <v>14.85</v>
      </c>
      <c r="BT100" s="124">
        <v>18.760000000000002</v>
      </c>
      <c r="BU100" s="124">
        <v>14.46</v>
      </c>
      <c r="BV100" s="124">
        <v>17.07</v>
      </c>
      <c r="BW100" s="124">
        <v>16.57</v>
      </c>
      <c r="BX100" s="124">
        <v>19.190000000000001</v>
      </c>
      <c r="BZ100" s="26">
        <f t="shared" si="65"/>
        <v>2019</v>
      </c>
      <c r="CA100" s="120">
        <v>8.27</v>
      </c>
      <c r="CB100" s="120">
        <v>7.06</v>
      </c>
      <c r="CC100" s="120">
        <v>5.6</v>
      </c>
      <c r="CD100" s="120">
        <v>5.75</v>
      </c>
      <c r="CE100" s="120">
        <v>7.73</v>
      </c>
      <c r="CF100" s="120">
        <v>6.69</v>
      </c>
      <c r="CG100" s="120">
        <v>5.93</v>
      </c>
      <c r="CH100" s="120">
        <v>5.84</v>
      </c>
      <c r="CI100" s="120">
        <v>6.3</v>
      </c>
    </row>
    <row r="101" spans="1:87" x14ac:dyDescent="0.2">
      <c r="A101" s="83"/>
      <c r="B101" s="336"/>
      <c r="C101" s="336"/>
      <c r="D101" s="336"/>
      <c r="E101" s="348"/>
      <c r="F101" s="348"/>
      <c r="G101" s="333"/>
      <c r="H101" s="336"/>
      <c r="I101" s="336"/>
      <c r="J101" s="348"/>
      <c r="K101" s="333"/>
      <c r="L101" s="336"/>
      <c r="M101" s="20"/>
      <c r="N101" s="96"/>
      <c r="O101" s="71"/>
      <c r="P101" s="20"/>
      <c r="Q101" s="20"/>
      <c r="R101" s="20"/>
      <c r="S101" s="96"/>
      <c r="T101" s="96"/>
      <c r="U101" s="8">
        <v>2013</v>
      </c>
      <c r="V101" s="347">
        <v>16917216</v>
      </c>
      <c r="W101" s="127"/>
      <c r="X101" s="347">
        <v>8913027</v>
      </c>
      <c r="Y101" s="127"/>
      <c r="Z101" s="347">
        <v>553736</v>
      </c>
      <c r="AA101" s="55"/>
      <c r="AB101" s="347">
        <v>1787826</v>
      </c>
      <c r="AC101" s="55"/>
      <c r="AD101" s="347">
        <v>7891339</v>
      </c>
      <c r="AE101" s="55"/>
      <c r="AF101" s="347">
        <v>64574133</v>
      </c>
      <c r="AG101" s="55"/>
      <c r="AH101" s="347">
        <v>14754049</v>
      </c>
      <c r="AI101" s="55"/>
      <c r="AJ101" s="347">
        <v>1010355</v>
      </c>
      <c r="AK101" s="347">
        <v>2229389</v>
      </c>
      <c r="AL101" s="55"/>
      <c r="AM101" s="347">
        <v>6212980</v>
      </c>
      <c r="AN101" s="347"/>
      <c r="AO101" s="347">
        <v>48827222</v>
      </c>
      <c r="AP101" s="55"/>
      <c r="AQ101" s="347">
        <v>13539568</v>
      </c>
      <c r="AR101" s="55"/>
      <c r="AS101" s="347">
        <v>17905684</v>
      </c>
      <c r="AT101" s="55"/>
      <c r="AU101" s="347">
        <v>22312175</v>
      </c>
      <c r="AV101" s="127"/>
      <c r="AW101" s="347">
        <v>6862716</v>
      </c>
      <c r="AX101" s="55"/>
      <c r="AY101" s="347">
        <v>18907803</v>
      </c>
      <c r="AZ101" s="127"/>
      <c r="BA101" s="347">
        <v>6214530</v>
      </c>
      <c r="BB101" s="127"/>
      <c r="BC101" s="347">
        <v>36537779</v>
      </c>
      <c r="BD101" s="347">
        <v>119330286</v>
      </c>
      <c r="BE101" s="212">
        <f t="shared" si="69"/>
        <v>9.551460821185076E-3</v>
      </c>
      <c r="BF101" s="212">
        <f t="shared" si="70"/>
        <v>-0.12558526706845119</v>
      </c>
      <c r="BG101" s="8"/>
      <c r="BH101" s="55"/>
      <c r="BI101" s="82"/>
      <c r="BJ101" s="64"/>
      <c r="BK101" s="64"/>
      <c r="BO101" s="28">
        <v>2020</v>
      </c>
      <c r="BP101" s="124">
        <v>30.72</v>
      </c>
      <c r="BQ101" s="124">
        <v>25.52</v>
      </c>
      <c r="BR101" s="124">
        <v>17.510000000000002</v>
      </c>
      <c r="BS101" s="124">
        <v>14.73</v>
      </c>
      <c r="BT101" s="124">
        <v>18.84</v>
      </c>
      <c r="BU101" s="124">
        <v>14.4</v>
      </c>
      <c r="BV101" s="124">
        <v>17.149999999999999</v>
      </c>
      <c r="BW101" s="124">
        <v>16.57</v>
      </c>
      <c r="BX101" s="124">
        <v>19</v>
      </c>
      <c r="BZ101" s="26">
        <f t="shared" si="65"/>
        <v>2020</v>
      </c>
      <c r="CA101" s="120">
        <v>8.36</v>
      </c>
      <c r="CB101" s="120">
        <v>7.1</v>
      </c>
      <c r="CC101" s="120">
        <v>5.71</v>
      </c>
      <c r="CD101" s="120">
        <v>5.87</v>
      </c>
      <c r="CE101" s="120">
        <v>7.84</v>
      </c>
      <c r="CF101" s="120">
        <v>6.83</v>
      </c>
      <c r="CG101" s="120">
        <v>6.04</v>
      </c>
      <c r="CH101" s="120">
        <v>5.94</v>
      </c>
      <c r="CI101" s="120">
        <v>6.4</v>
      </c>
    </row>
    <row r="102" spans="1:87" x14ac:dyDescent="0.2">
      <c r="A102" s="83"/>
      <c r="B102" s="336"/>
      <c r="C102" s="336"/>
      <c r="D102" s="336"/>
      <c r="E102" s="348"/>
      <c r="F102" s="348"/>
      <c r="G102" s="333"/>
      <c r="H102" s="336"/>
      <c r="I102" s="336"/>
      <c r="J102" s="348"/>
      <c r="K102" s="333"/>
      <c r="L102" s="336"/>
      <c r="M102" s="20"/>
      <c r="N102" s="96"/>
      <c r="O102" s="71"/>
      <c r="P102" s="20"/>
      <c r="Q102" s="20"/>
      <c r="R102" s="20"/>
      <c r="S102" s="96"/>
      <c r="T102" s="96"/>
      <c r="U102" s="8">
        <v>2014</v>
      </c>
      <c r="V102" s="347">
        <v>16718454</v>
      </c>
      <c r="W102" s="127"/>
      <c r="X102" s="347">
        <v>8956907</v>
      </c>
      <c r="Y102" s="127"/>
      <c r="Z102" s="347">
        <v>643407</v>
      </c>
      <c r="AA102" s="55"/>
      <c r="AB102" s="347">
        <v>1742313</v>
      </c>
      <c r="AC102" s="55"/>
      <c r="AD102" s="347">
        <v>7694562</v>
      </c>
      <c r="AE102" s="55"/>
      <c r="AF102" s="347">
        <v>63991003</v>
      </c>
      <c r="AG102" s="55"/>
      <c r="AH102" s="347">
        <v>14913468</v>
      </c>
      <c r="AI102" s="55"/>
      <c r="AJ102" s="347">
        <v>1175195</v>
      </c>
      <c r="AK102" s="347">
        <v>2240341</v>
      </c>
      <c r="AL102" s="55"/>
      <c r="AM102" s="347">
        <v>6172490</v>
      </c>
      <c r="AN102" s="347"/>
      <c r="AO102" s="347">
        <v>49209227</v>
      </c>
      <c r="AP102" s="55"/>
      <c r="AQ102" s="347">
        <v>13663253</v>
      </c>
      <c r="AR102" s="55"/>
      <c r="AS102" s="347">
        <v>17991685</v>
      </c>
      <c r="AT102" s="55"/>
      <c r="AU102" s="347">
        <v>22219609</v>
      </c>
      <c r="AV102" s="127"/>
      <c r="AW102" s="347">
        <v>6825837</v>
      </c>
      <c r="AX102" s="55"/>
      <c r="AY102" s="347">
        <v>18874748</v>
      </c>
      <c r="AZ102" s="127"/>
      <c r="BA102" s="347">
        <v>6279823</v>
      </c>
      <c r="BB102" s="127"/>
      <c r="BC102" s="347">
        <v>34454459</v>
      </c>
      <c r="BD102" s="347">
        <v>122024110</v>
      </c>
      <c r="BE102" s="212">
        <f t="shared" si="69"/>
        <v>2.2574520604098813E-2</v>
      </c>
      <c r="BF102" s="212">
        <f t="shared" si="70"/>
        <v>-5.7018244048167244E-2</v>
      </c>
      <c r="BG102" s="8"/>
      <c r="BH102" s="55"/>
      <c r="BO102" s="26">
        <v>2021</v>
      </c>
      <c r="BP102" s="124">
        <v>30.46</v>
      </c>
      <c r="BQ102" s="124">
        <v>25.39</v>
      </c>
      <c r="BR102" s="124">
        <v>17.37</v>
      </c>
      <c r="BS102" s="124">
        <v>14.67</v>
      </c>
      <c r="BT102" s="124">
        <v>18.84</v>
      </c>
      <c r="BU102" s="124">
        <v>14.32</v>
      </c>
      <c r="BV102" s="124">
        <v>17.13</v>
      </c>
      <c r="BW102" s="124">
        <v>16.649999999999999</v>
      </c>
      <c r="BX102" s="124">
        <v>18.82</v>
      </c>
      <c r="BZ102" s="26">
        <f t="shared" si="65"/>
        <v>2021</v>
      </c>
      <c r="CA102" s="120">
        <v>8.4600000000000009</v>
      </c>
      <c r="CB102" s="120">
        <v>7.17</v>
      </c>
      <c r="CC102" s="120">
        <v>5.82</v>
      </c>
      <c r="CD102" s="120">
        <v>5.98</v>
      </c>
      <c r="CE102" s="120">
        <v>7.96</v>
      </c>
      <c r="CF102" s="120">
        <v>6.96</v>
      </c>
      <c r="CG102" s="120">
        <v>6.14</v>
      </c>
      <c r="CH102" s="120">
        <v>6.07</v>
      </c>
      <c r="CI102" s="120">
        <v>6.53</v>
      </c>
    </row>
    <row r="103" spans="1:87" x14ac:dyDescent="0.2">
      <c r="A103" s="83"/>
      <c r="B103" s="336"/>
      <c r="C103" s="336"/>
      <c r="D103" s="336"/>
      <c r="E103" s="348"/>
      <c r="F103" s="348"/>
      <c r="G103" s="333"/>
      <c r="H103" s="336"/>
      <c r="I103" s="336"/>
      <c r="J103" s="348"/>
      <c r="K103" s="333"/>
      <c r="L103" s="336"/>
      <c r="M103" s="20"/>
      <c r="N103" s="96"/>
      <c r="O103" s="71"/>
      <c r="P103" s="20"/>
      <c r="Q103" s="20"/>
      <c r="R103" s="20"/>
      <c r="S103" s="96"/>
      <c r="T103" s="96"/>
      <c r="U103" s="8">
        <v>2015</v>
      </c>
      <c r="V103" s="347">
        <v>16570376</v>
      </c>
      <c r="W103" s="127"/>
      <c r="X103" s="347">
        <v>9030046</v>
      </c>
      <c r="Y103" s="127"/>
      <c r="Z103" s="347">
        <v>752130</v>
      </c>
      <c r="AA103" s="55"/>
      <c r="AB103" s="347">
        <v>1699491</v>
      </c>
      <c r="AC103" s="55"/>
      <c r="AD103" s="347">
        <v>7518004</v>
      </c>
      <c r="AE103" s="55"/>
      <c r="AF103" s="347">
        <v>63455135</v>
      </c>
      <c r="AG103" s="55"/>
      <c r="AH103" s="347">
        <v>15098372</v>
      </c>
      <c r="AI103" s="55"/>
      <c r="AJ103" s="347">
        <v>1376281</v>
      </c>
      <c r="AK103" s="347">
        <v>2182247</v>
      </c>
      <c r="AL103" s="55"/>
      <c r="AM103" s="347">
        <v>6154745</v>
      </c>
      <c r="AN103" s="347"/>
      <c r="AO103" s="347">
        <v>49102022</v>
      </c>
      <c r="AP103" s="55"/>
      <c r="AQ103" s="347">
        <v>13829178</v>
      </c>
      <c r="AR103" s="55"/>
      <c r="AS103" s="347">
        <v>17762742</v>
      </c>
      <c r="AT103" s="55"/>
      <c r="AU103" s="347">
        <v>22216680</v>
      </c>
      <c r="AV103" s="127"/>
      <c r="AW103" s="347">
        <v>6814032</v>
      </c>
      <c r="AX103" s="55"/>
      <c r="AY103" s="347">
        <v>18912947</v>
      </c>
      <c r="AZ103" s="127"/>
      <c r="BA103" s="347">
        <v>6347567</v>
      </c>
      <c r="BB103" s="127"/>
      <c r="BC103" s="347">
        <v>33336101</v>
      </c>
      <c r="BD103" s="347">
        <v>125016751</v>
      </c>
      <c r="BE103" s="212">
        <f t="shared" si="69"/>
        <v>2.4524997559908446E-2</v>
      </c>
      <c r="BF103" s="212">
        <f t="shared" si="70"/>
        <v>-3.2459020761289592E-2</v>
      </c>
      <c r="BG103" s="113"/>
      <c r="BH103" s="55"/>
      <c r="BO103" s="26">
        <v>2022</v>
      </c>
      <c r="BP103" s="124">
        <v>30.15</v>
      </c>
      <c r="BQ103" s="124">
        <v>25.24</v>
      </c>
      <c r="BR103" s="124">
        <v>17.25</v>
      </c>
      <c r="BS103" s="124">
        <v>14.63</v>
      </c>
      <c r="BT103" s="124">
        <v>18.77</v>
      </c>
      <c r="BU103" s="124">
        <v>14.17</v>
      </c>
      <c r="BV103" s="124">
        <v>17.350000000000001</v>
      </c>
      <c r="BW103" s="124">
        <v>16.79</v>
      </c>
      <c r="BX103" s="124">
        <v>18.739999999999998</v>
      </c>
      <c r="BZ103" s="26">
        <f t="shared" si="65"/>
        <v>2022</v>
      </c>
      <c r="CA103" s="120">
        <v>8.59</v>
      </c>
      <c r="CB103" s="120">
        <v>7.25</v>
      </c>
      <c r="CC103" s="120">
        <v>5.93</v>
      </c>
      <c r="CD103" s="120">
        <v>6.09</v>
      </c>
      <c r="CE103" s="120">
        <v>8.08</v>
      </c>
      <c r="CF103" s="120">
        <v>7.08</v>
      </c>
      <c r="CG103" s="120">
        <v>6.23</v>
      </c>
      <c r="CH103" s="120">
        <v>6.21</v>
      </c>
      <c r="CI103" s="120">
        <v>6.66</v>
      </c>
    </row>
    <row r="104" spans="1:87" x14ac:dyDescent="0.2">
      <c r="A104" s="83"/>
      <c r="B104" s="336"/>
      <c r="C104" s="336"/>
      <c r="D104" s="336"/>
      <c r="E104" s="348"/>
      <c r="F104" s="348"/>
      <c r="G104" s="333"/>
      <c r="H104" s="336"/>
      <c r="I104" s="336"/>
      <c r="J104" s="348"/>
      <c r="K104" s="333"/>
      <c r="L104" s="336"/>
      <c r="M104" s="20"/>
      <c r="N104" s="96"/>
      <c r="O104" s="71"/>
      <c r="P104" s="20"/>
      <c r="Q104" s="20"/>
      <c r="R104" s="20"/>
      <c r="S104" s="96"/>
      <c r="T104" s="96"/>
      <c r="U104" s="8">
        <v>2016</v>
      </c>
      <c r="V104" s="347">
        <v>16527019</v>
      </c>
      <c r="W104" s="127"/>
      <c r="X104" s="347">
        <v>9153127</v>
      </c>
      <c r="Y104" s="127"/>
      <c r="Z104" s="347">
        <v>868997</v>
      </c>
      <c r="AA104" s="55"/>
      <c r="AB104" s="347">
        <v>1663129</v>
      </c>
      <c r="AC104" s="55"/>
      <c r="AD104" s="347">
        <v>7373662</v>
      </c>
      <c r="AE104" s="55"/>
      <c r="AF104" s="347">
        <v>63116302</v>
      </c>
      <c r="AG104" s="55"/>
      <c r="AH104" s="347">
        <v>15361728</v>
      </c>
      <c r="AI104" s="55"/>
      <c r="AJ104" s="347">
        <v>1591881</v>
      </c>
      <c r="AK104" s="347">
        <v>2121567</v>
      </c>
      <c r="AL104" s="55"/>
      <c r="AM104" s="347">
        <v>6156072</v>
      </c>
      <c r="AN104" s="347"/>
      <c r="AO104" s="347">
        <v>49477102</v>
      </c>
      <c r="AP104" s="55"/>
      <c r="AQ104" s="347">
        <v>14023681</v>
      </c>
      <c r="AR104" s="55"/>
      <c r="AS104" s="347">
        <v>17597252</v>
      </c>
      <c r="AT104" s="55"/>
      <c r="AU104" s="347">
        <v>22275913</v>
      </c>
      <c r="AV104" s="127"/>
      <c r="AW104" s="347">
        <v>6818744</v>
      </c>
      <c r="AX104" s="55"/>
      <c r="AY104" s="347">
        <v>19049422</v>
      </c>
      <c r="AZ104" s="127"/>
      <c r="BA104" s="347">
        <v>6413658</v>
      </c>
      <c r="BB104" s="127"/>
      <c r="BC104" s="347">
        <v>32726938</v>
      </c>
      <c r="BD104" s="347">
        <v>129048322</v>
      </c>
      <c r="BE104" s="212">
        <f t="shared" si="69"/>
        <v>3.2248246476986209E-2</v>
      </c>
      <c r="BF104" s="212">
        <f t="shared" si="70"/>
        <v>-1.8273372761859585E-2</v>
      </c>
      <c r="BG104" s="113"/>
      <c r="BH104" s="55"/>
      <c r="BI104" s="31"/>
      <c r="BJ104" s="31"/>
      <c r="BK104" s="31"/>
      <c r="BO104" s="26">
        <v>2023</v>
      </c>
      <c r="BP104" s="124">
        <v>29.94</v>
      </c>
      <c r="BQ104" s="124">
        <v>25.04</v>
      </c>
      <c r="BR104" s="124">
        <v>17.14</v>
      </c>
      <c r="BS104" s="124">
        <v>14.63</v>
      </c>
      <c r="BT104" s="124">
        <v>18.75</v>
      </c>
      <c r="BU104" s="124">
        <v>14</v>
      </c>
      <c r="BV104" s="124">
        <v>17.54</v>
      </c>
      <c r="BW104" s="124">
        <v>16.91</v>
      </c>
      <c r="BX104" s="124">
        <v>18.739999999999998</v>
      </c>
      <c r="BZ104" s="26">
        <f t="shared" si="65"/>
        <v>2023</v>
      </c>
      <c r="CA104" s="120">
        <v>8.73</v>
      </c>
      <c r="CB104" s="120">
        <v>7.36</v>
      </c>
      <c r="CC104" s="120">
        <v>6.05</v>
      </c>
      <c r="CD104" s="120">
        <v>6.21</v>
      </c>
      <c r="CE104" s="120">
        <v>8.2200000000000006</v>
      </c>
      <c r="CF104" s="120">
        <v>7.23</v>
      </c>
      <c r="CG104" s="120">
        <v>6.35</v>
      </c>
      <c r="CH104" s="120">
        <v>6.32</v>
      </c>
      <c r="CI104" s="120">
        <v>6.77</v>
      </c>
    </row>
    <row r="105" spans="1:87" x14ac:dyDescent="0.2">
      <c r="A105" s="83"/>
      <c r="B105" s="336"/>
      <c r="C105" s="336"/>
      <c r="D105" s="336"/>
      <c r="E105" s="348"/>
      <c r="F105" s="348"/>
      <c r="G105" s="333"/>
      <c r="H105" s="336"/>
      <c r="I105" s="336"/>
      <c r="J105" s="348"/>
      <c r="K105" s="333"/>
      <c r="L105" s="336"/>
      <c r="M105" s="20"/>
      <c r="N105" s="96"/>
      <c r="O105" s="71"/>
      <c r="P105" s="20"/>
      <c r="Q105" s="20"/>
      <c r="R105" s="20"/>
      <c r="S105" s="96"/>
      <c r="T105" s="96"/>
      <c r="U105" s="8">
        <v>2017</v>
      </c>
      <c r="V105" s="347">
        <v>16540965</v>
      </c>
      <c r="W105" s="127"/>
      <c r="X105" s="347">
        <v>9308545</v>
      </c>
      <c r="Y105" s="127"/>
      <c r="Z105" s="347">
        <v>976538</v>
      </c>
      <c r="AA105" s="55"/>
      <c r="AB105" s="347">
        <v>1628924</v>
      </c>
      <c r="AC105" s="55"/>
      <c r="AD105" s="347">
        <v>7253858</v>
      </c>
      <c r="AE105" s="55"/>
      <c r="AF105" s="347">
        <v>63113447</v>
      </c>
      <c r="AG105" s="55"/>
      <c r="AH105" s="347">
        <v>15689621</v>
      </c>
      <c r="AI105" s="55"/>
      <c r="AJ105" s="347">
        <v>1791167</v>
      </c>
      <c r="AK105" s="347">
        <v>2060152</v>
      </c>
      <c r="AL105" s="55"/>
      <c r="AM105" s="347">
        <v>6168785</v>
      </c>
      <c r="AN105" s="347"/>
      <c r="AO105" s="347">
        <v>50024103</v>
      </c>
      <c r="AP105" s="55"/>
      <c r="AQ105" s="347">
        <v>14231937</v>
      </c>
      <c r="AR105" s="55"/>
      <c r="AS105" s="347">
        <v>17451420</v>
      </c>
      <c r="AT105" s="55"/>
      <c r="AU105" s="347">
        <v>22377232</v>
      </c>
      <c r="AV105" s="127"/>
      <c r="AW105" s="347">
        <v>6834326</v>
      </c>
      <c r="AX105" s="55"/>
      <c r="AY105" s="347">
        <v>19244248</v>
      </c>
      <c r="AZ105" s="127"/>
      <c r="BA105" s="347">
        <v>6470268</v>
      </c>
      <c r="BB105" s="127"/>
      <c r="BC105" s="347">
        <v>32404240</v>
      </c>
      <c r="BD105" s="347">
        <v>133166293</v>
      </c>
      <c r="BE105" s="212">
        <f t="shared" si="69"/>
        <v>3.1910302560927528E-2</v>
      </c>
      <c r="BF105" s="31"/>
      <c r="BG105" s="113"/>
      <c r="BH105" s="55"/>
      <c r="BI105" s="31"/>
      <c r="BJ105" s="31"/>
      <c r="BK105" s="31"/>
      <c r="BO105" s="26">
        <v>2024</v>
      </c>
      <c r="BP105" s="124">
        <v>29.56</v>
      </c>
      <c r="BQ105" s="124">
        <v>24.91</v>
      </c>
      <c r="BR105" s="124">
        <v>17.059999999999999</v>
      </c>
      <c r="BS105" s="124">
        <v>14.56</v>
      </c>
      <c r="BT105" s="124">
        <v>18.71</v>
      </c>
      <c r="BU105" s="124">
        <v>13.86</v>
      </c>
      <c r="BV105" s="124">
        <v>17.71</v>
      </c>
      <c r="BW105" s="124">
        <v>17.04</v>
      </c>
      <c r="BX105" s="124">
        <v>18.739999999999998</v>
      </c>
      <c r="BZ105" s="26">
        <f t="shared" si="65"/>
        <v>2024</v>
      </c>
      <c r="CA105" s="120">
        <v>8.84</v>
      </c>
      <c r="CB105" s="120">
        <v>7.44</v>
      </c>
      <c r="CC105" s="120">
        <v>6.17</v>
      </c>
      <c r="CD105" s="120">
        <v>6.31</v>
      </c>
      <c r="CE105" s="120">
        <v>8.35</v>
      </c>
      <c r="CF105" s="120">
        <v>7.37</v>
      </c>
      <c r="CG105" s="120">
        <v>6.46</v>
      </c>
      <c r="CH105" s="120">
        <v>6.43</v>
      </c>
      <c r="CI105" s="120">
        <v>6.87</v>
      </c>
    </row>
    <row r="106" spans="1:87" x14ac:dyDescent="0.2">
      <c r="A106" s="83"/>
      <c r="B106" s="336"/>
      <c r="C106" s="336"/>
      <c r="D106" s="336"/>
      <c r="E106" s="348"/>
      <c r="F106" s="348"/>
      <c r="G106" s="333"/>
      <c r="H106" s="336"/>
      <c r="I106" s="336"/>
      <c r="J106" s="348"/>
      <c r="K106" s="333"/>
      <c r="L106" s="336"/>
      <c r="M106" s="20"/>
      <c r="N106" s="96"/>
      <c r="O106" s="71"/>
      <c r="P106" s="20"/>
      <c r="Q106" s="20"/>
      <c r="R106" s="20"/>
      <c r="S106" s="96"/>
      <c r="T106" s="96"/>
      <c r="U106" s="8">
        <v>2018</v>
      </c>
      <c r="V106" s="347">
        <v>16558868</v>
      </c>
      <c r="W106" s="127"/>
      <c r="X106" s="347">
        <v>9471485</v>
      </c>
      <c r="Y106" s="127"/>
      <c r="Z106" s="347">
        <v>1075038</v>
      </c>
      <c r="AA106" s="55"/>
      <c r="AB106" s="347">
        <v>1595127</v>
      </c>
      <c r="AC106" s="55"/>
      <c r="AD106" s="347">
        <v>7135522</v>
      </c>
      <c r="AE106" s="55"/>
      <c r="AF106" s="347">
        <v>63158789</v>
      </c>
      <c r="AG106" s="55"/>
      <c r="AH106" s="347">
        <v>16024180</v>
      </c>
      <c r="AI106" s="55"/>
      <c r="AJ106" s="347">
        <v>1971852</v>
      </c>
      <c r="AK106" s="347">
        <v>1996859</v>
      </c>
      <c r="AL106" s="55"/>
      <c r="AM106" s="347">
        <v>6176562</v>
      </c>
      <c r="AN106" s="347"/>
      <c r="AO106" s="347">
        <v>50530764</v>
      </c>
      <c r="AP106" s="55"/>
      <c r="AQ106" s="347">
        <v>14439677</v>
      </c>
      <c r="AR106" s="55"/>
      <c r="AS106" s="347">
        <v>17313795</v>
      </c>
      <c r="AT106" s="55"/>
      <c r="AU106" s="347">
        <v>22499671</v>
      </c>
      <c r="AV106" s="127"/>
      <c r="AW106" s="347">
        <v>6852616</v>
      </c>
      <c r="AX106" s="55"/>
      <c r="AY106" s="347">
        <v>19458391</v>
      </c>
      <c r="AZ106" s="127"/>
      <c r="BA106" s="347">
        <v>6521560</v>
      </c>
      <c r="BB106" s="127"/>
      <c r="BC106" s="347">
        <v>32218201</v>
      </c>
      <c r="BD106" s="347">
        <v>137550332</v>
      </c>
      <c r="BE106" s="212">
        <f t="shared" si="69"/>
        <v>3.2921536683460983E-2</v>
      </c>
      <c r="BF106" s="31"/>
      <c r="BG106" s="113"/>
      <c r="BH106" s="55"/>
      <c r="BI106" s="31"/>
      <c r="BJ106" s="31"/>
      <c r="BK106" s="31"/>
      <c r="BO106" s="26">
        <v>2025</v>
      </c>
      <c r="BP106" s="124">
        <v>29.17</v>
      </c>
      <c r="BQ106" s="124">
        <v>24.8</v>
      </c>
      <c r="BR106" s="124">
        <v>17.03</v>
      </c>
      <c r="BS106" s="124">
        <v>14.49</v>
      </c>
      <c r="BT106" s="124">
        <v>18.760000000000002</v>
      </c>
      <c r="BU106" s="124">
        <v>13.84</v>
      </c>
      <c r="BV106" s="124">
        <v>17.89</v>
      </c>
      <c r="BW106" s="124">
        <v>17.25</v>
      </c>
      <c r="BX106" s="124">
        <v>18.760000000000002</v>
      </c>
      <c r="BZ106" s="26">
        <f t="shared" si="65"/>
        <v>2025</v>
      </c>
      <c r="CA106" s="120">
        <v>8.9700000000000006</v>
      </c>
      <c r="CB106" s="120">
        <v>7.55</v>
      </c>
      <c r="CC106" s="120">
        <v>6.28</v>
      </c>
      <c r="CD106" s="120">
        <v>6.41</v>
      </c>
      <c r="CE106" s="120">
        <v>8.48</v>
      </c>
      <c r="CF106" s="120">
        <v>7.5</v>
      </c>
      <c r="CG106" s="120">
        <v>6.56</v>
      </c>
      <c r="CH106" s="120">
        <v>6.53</v>
      </c>
      <c r="CI106" s="120">
        <v>6.97</v>
      </c>
    </row>
    <row r="107" spans="1:87" x14ac:dyDescent="0.2">
      <c r="A107" s="83"/>
      <c r="B107" s="336"/>
      <c r="C107" s="336"/>
      <c r="D107" s="336"/>
      <c r="E107" s="348"/>
      <c r="F107" s="348"/>
      <c r="G107" s="333"/>
      <c r="H107" s="336"/>
      <c r="I107" s="336"/>
      <c r="J107" s="348"/>
      <c r="K107" s="333"/>
      <c r="L107" s="336"/>
      <c r="M107" s="20"/>
      <c r="N107" s="96"/>
      <c r="O107" s="71"/>
      <c r="P107" s="20"/>
      <c r="Q107" s="20"/>
      <c r="R107" s="20"/>
      <c r="S107" s="96"/>
      <c r="T107" s="96"/>
      <c r="U107" s="8">
        <v>2019</v>
      </c>
      <c r="V107" s="347">
        <v>16585344</v>
      </c>
      <c r="W107" s="127"/>
      <c r="X107" s="347">
        <v>9647260</v>
      </c>
      <c r="Y107" s="127"/>
      <c r="Z107" s="347">
        <v>1165994</v>
      </c>
      <c r="AA107" s="55"/>
      <c r="AB107" s="347">
        <v>1561890</v>
      </c>
      <c r="AC107" s="55"/>
      <c r="AD107" s="347">
        <v>7026570</v>
      </c>
      <c r="AE107" s="55"/>
      <c r="AF107" s="347">
        <v>63273912</v>
      </c>
      <c r="AG107" s="55"/>
      <c r="AH107" s="347">
        <v>16376624</v>
      </c>
      <c r="AI107" s="55"/>
      <c r="AJ107" s="347">
        <v>2138157</v>
      </c>
      <c r="AK107" s="347">
        <v>1933986</v>
      </c>
      <c r="AL107" s="55"/>
      <c r="AM107" s="347">
        <v>6176562</v>
      </c>
      <c r="AN107" s="347"/>
      <c r="AO107" s="347">
        <v>51081072</v>
      </c>
      <c r="AP107" s="55"/>
      <c r="AQ107" s="347">
        <v>14645591</v>
      </c>
      <c r="AR107" s="55"/>
      <c r="AS107" s="347">
        <v>17189683</v>
      </c>
      <c r="AT107" s="55"/>
      <c r="AU107" s="347">
        <v>22637272</v>
      </c>
      <c r="AV107" s="127"/>
      <c r="AW107" s="347">
        <v>6870812</v>
      </c>
      <c r="AX107" s="55"/>
      <c r="AY107" s="347">
        <v>19707590</v>
      </c>
      <c r="AZ107" s="127"/>
      <c r="BA107" s="347">
        <v>6488621</v>
      </c>
      <c r="BB107" s="127"/>
      <c r="BC107" s="347">
        <v>32137520</v>
      </c>
      <c r="BD107" s="347">
        <v>142098272</v>
      </c>
      <c r="BE107" s="212">
        <f t="shared" si="69"/>
        <v>3.3063824229810024E-2</v>
      </c>
      <c r="BF107" s="31"/>
      <c r="BG107" s="113"/>
      <c r="BH107" s="55"/>
      <c r="BI107" s="31"/>
      <c r="BJ107" s="31"/>
      <c r="BK107" s="31"/>
      <c r="BO107" s="26">
        <v>2026</v>
      </c>
      <c r="BP107" s="124">
        <v>28.56</v>
      </c>
      <c r="BQ107" s="124">
        <v>24.65</v>
      </c>
      <c r="BR107" s="124">
        <v>17</v>
      </c>
      <c r="BS107" s="124">
        <v>14.51</v>
      </c>
      <c r="BT107" s="124">
        <v>18.829999999999998</v>
      </c>
      <c r="BU107" s="124">
        <v>13.88</v>
      </c>
      <c r="BV107" s="124">
        <v>18.059999999999999</v>
      </c>
      <c r="BW107" s="124">
        <v>17.43</v>
      </c>
      <c r="BX107" s="124">
        <v>18.62</v>
      </c>
      <c r="BZ107" s="26">
        <f t="shared" si="65"/>
        <v>2026</v>
      </c>
      <c r="CA107" s="120">
        <v>9.07</v>
      </c>
      <c r="CB107" s="120">
        <v>7.63</v>
      </c>
      <c r="CC107" s="120">
        <v>6.37</v>
      </c>
      <c r="CD107" s="120">
        <v>6.5</v>
      </c>
      <c r="CE107" s="120">
        <v>8.59</v>
      </c>
      <c r="CF107" s="120">
        <v>7.6</v>
      </c>
      <c r="CG107" s="120">
        <v>6.64</v>
      </c>
      <c r="CH107" s="120">
        <v>6.65</v>
      </c>
      <c r="CI107" s="120">
        <v>7.06</v>
      </c>
    </row>
    <row r="108" spans="1:87" x14ac:dyDescent="0.2">
      <c r="A108" s="83"/>
      <c r="B108" s="336"/>
      <c r="C108" s="336"/>
      <c r="D108" s="336"/>
      <c r="E108" s="348"/>
      <c r="F108" s="348"/>
      <c r="G108" s="333"/>
      <c r="H108" s="336"/>
      <c r="I108" s="336"/>
      <c r="J108" s="348"/>
      <c r="K108" s="333"/>
      <c r="L108" s="336"/>
      <c r="M108" s="20"/>
      <c r="N108" s="96"/>
      <c r="O108" s="71"/>
      <c r="P108" s="20"/>
      <c r="Q108" s="20"/>
      <c r="R108" s="20"/>
      <c r="S108" s="96"/>
      <c r="T108" s="96"/>
      <c r="U108" s="8">
        <v>2020</v>
      </c>
      <c r="V108" s="347">
        <v>16602243</v>
      </c>
      <c r="W108" s="127"/>
      <c r="X108" s="347">
        <v>9824964</v>
      </c>
      <c r="Y108" s="127"/>
      <c r="Z108" s="347">
        <v>1249419</v>
      </c>
      <c r="AA108" s="55"/>
      <c r="AB108" s="347">
        <v>1529069</v>
      </c>
      <c r="AC108" s="55"/>
      <c r="AD108" s="347">
        <v>6921964</v>
      </c>
      <c r="AE108" s="55"/>
      <c r="AF108" s="347">
        <v>63426640</v>
      </c>
      <c r="AG108" s="55"/>
      <c r="AH108" s="347">
        <v>16739443</v>
      </c>
      <c r="AI108" s="55"/>
      <c r="AJ108" s="347">
        <v>2290890</v>
      </c>
      <c r="AK108" s="347">
        <v>1877663</v>
      </c>
      <c r="AL108" s="55"/>
      <c r="AM108" s="347">
        <v>6166615</v>
      </c>
      <c r="AN108" s="347"/>
      <c r="AO108" s="347">
        <v>51587433</v>
      </c>
      <c r="AP108" s="55"/>
      <c r="AQ108" s="347">
        <v>14844435</v>
      </c>
      <c r="AR108" s="55"/>
      <c r="AS108" s="347">
        <v>17066465</v>
      </c>
      <c r="AT108" s="55"/>
      <c r="AU108" s="347">
        <v>22773072</v>
      </c>
      <c r="AV108" s="127"/>
      <c r="AW108" s="347">
        <v>6888329</v>
      </c>
      <c r="AX108" s="55"/>
      <c r="AY108" s="347">
        <v>19966731</v>
      </c>
      <c r="AZ108" s="127"/>
      <c r="BA108" s="347">
        <v>6514373</v>
      </c>
      <c r="BB108" s="127"/>
      <c r="BC108" s="347">
        <v>31099921</v>
      </c>
      <c r="BD108" s="347">
        <v>146490233</v>
      </c>
      <c r="BE108" s="212">
        <f t="shared" si="69"/>
        <v>3.0907912799952975E-2</v>
      </c>
      <c r="BF108" s="31"/>
      <c r="BG108" s="113"/>
      <c r="BH108" s="55"/>
      <c r="BI108" s="31"/>
      <c r="BJ108" s="31"/>
      <c r="BK108" s="31"/>
      <c r="BO108" s="26">
        <v>2027</v>
      </c>
      <c r="BP108" s="124">
        <v>28.03</v>
      </c>
      <c r="BQ108" s="124">
        <v>24.53</v>
      </c>
      <c r="BR108" s="124">
        <v>16.98</v>
      </c>
      <c r="BS108" s="124">
        <v>14.44</v>
      </c>
      <c r="BT108" s="124">
        <v>18.86</v>
      </c>
      <c r="BU108" s="124">
        <v>13.88</v>
      </c>
      <c r="BV108" s="124">
        <v>18.25</v>
      </c>
      <c r="BW108" s="124">
        <v>17.62</v>
      </c>
      <c r="BX108" s="124">
        <v>18.309999999999999</v>
      </c>
      <c r="BZ108" s="26">
        <f t="shared" si="65"/>
        <v>2027</v>
      </c>
      <c r="CA108" s="120">
        <v>9.18</v>
      </c>
      <c r="CB108" s="120">
        <v>7.72</v>
      </c>
      <c r="CC108" s="120">
        <v>6.45</v>
      </c>
      <c r="CD108" s="120">
        <v>6.58</v>
      </c>
      <c r="CE108" s="120">
        <v>8.7100000000000009</v>
      </c>
      <c r="CF108" s="120">
        <v>7.71</v>
      </c>
      <c r="CG108" s="120">
        <v>6.71</v>
      </c>
      <c r="CH108" s="120">
        <v>6.76</v>
      </c>
      <c r="CI108" s="120">
        <v>7.14</v>
      </c>
    </row>
    <row r="109" spans="1:87" x14ac:dyDescent="0.2">
      <c r="A109" s="83"/>
      <c r="B109" s="336"/>
      <c r="C109" s="336"/>
      <c r="D109" s="336"/>
      <c r="E109" s="348"/>
      <c r="F109" s="348"/>
      <c r="G109" s="333"/>
      <c r="H109" s="336"/>
      <c r="I109" s="336"/>
      <c r="J109" s="348"/>
      <c r="K109" s="333"/>
      <c r="L109" s="336"/>
      <c r="M109" s="20"/>
      <c r="N109" s="96"/>
      <c r="O109" s="71"/>
      <c r="P109" s="20"/>
      <c r="Q109" s="20"/>
      <c r="R109" s="20"/>
      <c r="S109" s="96"/>
      <c r="T109" s="96"/>
      <c r="U109" s="8">
        <v>2021</v>
      </c>
      <c r="V109" s="347">
        <v>16610638</v>
      </c>
      <c r="W109" s="127"/>
      <c r="X109" s="347">
        <v>10002193</v>
      </c>
      <c r="Y109" s="127"/>
      <c r="Z109" s="347">
        <v>1325225</v>
      </c>
      <c r="AA109" s="55"/>
      <c r="AB109" s="347">
        <v>1496056</v>
      </c>
      <c r="AC109" s="55"/>
      <c r="AD109" s="347">
        <v>6825249</v>
      </c>
      <c r="AE109" s="55"/>
      <c r="AF109" s="347">
        <v>63601182</v>
      </c>
      <c r="AG109" s="55"/>
      <c r="AH109" s="347">
        <v>17094073</v>
      </c>
      <c r="AI109" s="55"/>
      <c r="AJ109" s="347">
        <v>2428041</v>
      </c>
      <c r="AK109" s="347">
        <v>1829523</v>
      </c>
      <c r="AL109" s="55"/>
      <c r="AM109" s="347">
        <v>6143823</v>
      </c>
      <c r="AN109" s="347"/>
      <c r="AO109" s="347">
        <v>52077597</v>
      </c>
      <c r="AP109" s="55"/>
      <c r="AQ109" s="347">
        <v>15038133</v>
      </c>
      <c r="AR109" s="55"/>
      <c r="AS109" s="347">
        <v>16954766</v>
      </c>
      <c r="AT109" s="55"/>
      <c r="AU109" s="347">
        <v>22904484</v>
      </c>
      <c r="AV109" s="127"/>
      <c r="AW109" s="347">
        <v>6902070</v>
      </c>
      <c r="AX109" s="55"/>
      <c r="AY109" s="347">
        <v>20249022</v>
      </c>
      <c r="AZ109" s="127"/>
      <c r="BA109" s="347">
        <v>6475407</v>
      </c>
      <c r="BB109" s="127"/>
      <c r="BC109" s="347">
        <v>30718232</v>
      </c>
      <c r="BD109" s="347">
        <v>150720183</v>
      </c>
      <c r="BE109" s="212">
        <f t="shared" si="69"/>
        <v>2.8875303925552487E-2</v>
      </c>
      <c r="BF109" s="31"/>
      <c r="BG109" s="113"/>
      <c r="BH109" s="55"/>
      <c r="BI109" s="31"/>
      <c r="BJ109" s="31"/>
      <c r="BK109" s="31"/>
      <c r="BO109" s="26">
        <v>2028</v>
      </c>
      <c r="BP109" s="124">
        <v>27.64</v>
      </c>
      <c r="BQ109" s="124">
        <v>24.41</v>
      </c>
      <c r="BR109" s="124">
        <v>17.05</v>
      </c>
      <c r="BS109" s="124">
        <v>14.45</v>
      </c>
      <c r="BT109" s="124">
        <v>18.850000000000001</v>
      </c>
      <c r="BU109" s="124">
        <v>13.9</v>
      </c>
      <c r="BV109" s="124">
        <v>18.46</v>
      </c>
      <c r="BW109" s="124">
        <v>17.739999999999998</v>
      </c>
      <c r="BX109" s="124">
        <v>18.059999999999999</v>
      </c>
      <c r="BZ109" s="26">
        <f t="shared" si="65"/>
        <v>2028</v>
      </c>
      <c r="CA109" s="120">
        <v>9.2799999999999994</v>
      </c>
      <c r="CB109" s="120">
        <v>7.8</v>
      </c>
      <c r="CC109" s="120">
        <v>6.52</v>
      </c>
      <c r="CD109" s="120">
        <v>6.65</v>
      </c>
      <c r="CE109" s="120">
        <v>8.7899999999999991</v>
      </c>
      <c r="CF109" s="120">
        <v>7.77</v>
      </c>
      <c r="CG109" s="120">
        <v>6.74</v>
      </c>
      <c r="CH109" s="120">
        <v>6.86</v>
      </c>
      <c r="CI109" s="120">
        <v>7.23</v>
      </c>
    </row>
    <row r="110" spans="1:87" x14ac:dyDescent="0.2">
      <c r="A110" s="83"/>
      <c r="B110" s="336"/>
      <c r="C110" s="336"/>
      <c r="D110" s="336"/>
      <c r="E110" s="348"/>
      <c r="F110" s="348"/>
      <c r="G110" s="333"/>
      <c r="H110" s="336"/>
      <c r="I110" s="336"/>
      <c r="J110" s="348"/>
      <c r="K110" s="333"/>
      <c r="L110" s="336"/>
      <c r="M110" s="20"/>
      <c r="N110" s="96"/>
      <c r="O110" s="71"/>
      <c r="P110" s="20"/>
      <c r="Q110" s="20"/>
      <c r="R110" s="20"/>
      <c r="S110" s="96"/>
      <c r="T110" s="96"/>
      <c r="U110" s="8">
        <v>2022</v>
      </c>
      <c r="V110" s="347">
        <v>16605777</v>
      </c>
      <c r="W110" s="127"/>
      <c r="X110" s="347">
        <v>10180430</v>
      </c>
      <c r="Y110" s="127"/>
      <c r="Z110" s="347">
        <v>1395644</v>
      </c>
      <c r="AA110" s="55"/>
      <c r="AB110" s="347">
        <v>1462712</v>
      </c>
      <c r="AC110" s="55"/>
      <c r="AD110" s="347">
        <v>6737359</v>
      </c>
      <c r="AE110" s="55"/>
      <c r="AF110" s="347">
        <v>63831206</v>
      </c>
      <c r="AG110" s="55"/>
      <c r="AH110" s="347">
        <v>17459437</v>
      </c>
      <c r="AI110" s="55"/>
      <c r="AJ110" s="347">
        <v>2556486</v>
      </c>
      <c r="AK110" s="347">
        <v>1791589</v>
      </c>
      <c r="AL110" s="55"/>
      <c r="AM110" s="347">
        <v>6127254</v>
      </c>
      <c r="AN110" s="347"/>
      <c r="AO110" s="347">
        <v>52523490</v>
      </c>
      <c r="AP110" s="55"/>
      <c r="AQ110" s="347">
        <v>15225761</v>
      </c>
      <c r="AR110" s="55"/>
      <c r="AS110" s="347">
        <v>16849051</v>
      </c>
      <c r="AT110" s="55"/>
      <c r="AU110" s="347">
        <v>23044631</v>
      </c>
      <c r="AV110" s="127"/>
      <c r="AW110" s="347">
        <v>6913746</v>
      </c>
      <c r="AX110" s="55"/>
      <c r="AY110" s="347">
        <v>20544285</v>
      </c>
      <c r="AZ110" s="127"/>
      <c r="BA110" s="347">
        <v>6465450</v>
      </c>
      <c r="BB110" s="127"/>
      <c r="BC110" s="347">
        <v>30479940</v>
      </c>
      <c r="BD110" s="347">
        <v>155241738</v>
      </c>
      <c r="BE110" s="212">
        <f t="shared" si="69"/>
        <v>2.9999665008368481E-2</v>
      </c>
      <c r="BF110" s="31"/>
      <c r="BG110" s="113"/>
      <c r="BH110" s="55"/>
      <c r="BI110" s="73"/>
      <c r="BJ110" s="73"/>
      <c r="BK110" s="73"/>
      <c r="BO110" s="26">
        <v>2029</v>
      </c>
      <c r="BP110" s="124">
        <v>27.35</v>
      </c>
      <c r="BQ110" s="124">
        <v>24.35</v>
      </c>
      <c r="BR110" s="124">
        <v>17.13</v>
      </c>
      <c r="BS110" s="124">
        <v>14.5</v>
      </c>
      <c r="BT110" s="124">
        <v>18.84</v>
      </c>
      <c r="BU110" s="124">
        <v>13.92</v>
      </c>
      <c r="BV110" s="124">
        <v>18.62</v>
      </c>
      <c r="BW110" s="124">
        <v>17.899999999999999</v>
      </c>
      <c r="BX110" s="124">
        <v>18.010000000000002</v>
      </c>
      <c r="BZ110" s="26">
        <f t="shared" si="65"/>
        <v>2029</v>
      </c>
      <c r="CA110" s="120">
        <v>9.41</v>
      </c>
      <c r="CB110" s="120">
        <v>7.89</v>
      </c>
      <c r="CC110" s="120">
        <v>6.58</v>
      </c>
      <c r="CD110" s="120">
        <v>6.72</v>
      </c>
      <c r="CE110" s="120">
        <v>8.8699999999999992</v>
      </c>
      <c r="CF110" s="120">
        <v>7.82</v>
      </c>
      <c r="CG110" s="120">
        <v>6.76</v>
      </c>
      <c r="CH110" s="120">
        <v>6.95</v>
      </c>
      <c r="CI110" s="120">
        <v>7.32</v>
      </c>
    </row>
    <row r="111" spans="1:87" x14ac:dyDescent="0.2">
      <c r="A111" s="83"/>
      <c r="B111" s="336"/>
      <c r="C111" s="336"/>
      <c r="D111" s="336"/>
      <c r="E111" s="348"/>
      <c r="F111" s="348"/>
      <c r="G111" s="333"/>
      <c r="H111" s="336"/>
      <c r="I111" s="336"/>
      <c r="J111" s="348"/>
      <c r="K111" s="333"/>
      <c r="L111" s="336"/>
      <c r="M111" s="20"/>
      <c r="N111" s="96"/>
      <c r="O111" s="71"/>
      <c r="P111" s="20"/>
      <c r="Q111" s="20"/>
      <c r="R111" s="20"/>
      <c r="S111" s="96"/>
      <c r="T111" s="96"/>
      <c r="U111" s="8">
        <v>2023</v>
      </c>
      <c r="V111" s="347">
        <v>16590687</v>
      </c>
      <c r="W111" s="127"/>
      <c r="X111" s="347">
        <v>10371374</v>
      </c>
      <c r="Y111" s="127"/>
      <c r="Z111" s="347">
        <v>1463711</v>
      </c>
      <c r="AA111" s="55"/>
      <c r="AB111" s="347">
        <v>1429263</v>
      </c>
      <c r="AC111" s="55"/>
      <c r="AD111" s="347">
        <v>6644672</v>
      </c>
      <c r="AE111" s="55"/>
      <c r="AF111" s="347">
        <v>64068623</v>
      </c>
      <c r="AG111" s="55"/>
      <c r="AH111" s="347">
        <v>17832889</v>
      </c>
      <c r="AI111" s="55"/>
      <c r="AJ111" s="347">
        <v>2678410</v>
      </c>
      <c r="AK111" s="347">
        <v>1761538</v>
      </c>
      <c r="AL111" s="55"/>
      <c r="AM111" s="347">
        <v>6114918</v>
      </c>
      <c r="AN111" s="347"/>
      <c r="AO111" s="347">
        <v>52929026</v>
      </c>
      <c r="AP111" s="55"/>
      <c r="AQ111" s="347">
        <v>15412787</v>
      </c>
      <c r="AR111" s="55"/>
      <c r="AS111" s="347">
        <v>16756543</v>
      </c>
      <c r="AT111" s="55"/>
      <c r="AU111" s="347">
        <v>23202139</v>
      </c>
      <c r="AV111" s="127"/>
      <c r="AW111" s="347">
        <v>6925793</v>
      </c>
      <c r="AX111" s="55"/>
      <c r="AY111" s="347">
        <v>20860105</v>
      </c>
      <c r="AZ111" s="127"/>
      <c r="BA111" s="347">
        <v>6422827</v>
      </c>
      <c r="BB111" s="127"/>
      <c r="BC111" s="347">
        <v>30348088</v>
      </c>
      <c r="BD111" s="347">
        <v>159905566</v>
      </c>
      <c r="BE111" s="212">
        <f t="shared" si="69"/>
        <v>3.0042358840378425E-2</v>
      </c>
      <c r="BF111" s="31"/>
      <c r="BG111" s="113"/>
      <c r="BH111" s="55"/>
      <c r="BI111" s="31"/>
      <c r="BJ111" s="31"/>
      <c r="BK111" s="31"/>
      <c r="BO111" s="26">
        <v>2030</v>
      </c>
      <c r="BP111" s="124">
        <v>27.11</v>
      </c>
      <c r="BQ111" s="124">
        <v>24.28</v>
      </c>
      <c r="BR111" s="124">
        <v>17.14</v>
      </c>
      <c r="BS111" s="124">
        <v>14.48</v>
      </c>
      <c r="BT111" s="124">
        <v>18.79</v>
      </c>
      <c r="BU111" s="124">
        <v>13.82</v>
      </c>
      <c r="BV111" s="124">
        <v>18.54</v>
      </c>
      <c r="BW111" s="124">
        <v>18.03</v>
      </c>
      <c r="BX111" s="124">
        <v>17.91</v>
      </c>
      <c r="BZ111" s="26">
        <f t="shared" si="65"/>
        <v>2030</v>
      </c>
      <c r="CA111" s="120">
        <v>9.5399999999999991</v>
      </c>
      <c r="CB111" s="120">
        <v>8</v>
      </c>
      <c r="CC111" s="120">
        <v>6.64</v>
      </c>
      <c r="CD111" s="120">
        <v>6.79</v>
      </c>
      <c r="CE111" s="120">
        <v>8.9499999999999993</v>
      </c>
      <c r="CF111" s="120">
        <v>7.9</v>
      </c>
      <c r="CG111" s="120">
        <v>6.8</v>
      </c>
      <c r="CH111" s="120">
        <v>7.03</v>
      </c>
      <c r="CI111" s="120">
        <v>7.4</v>
      </c>
    </row>
    <row r="112" spans="1:87" x14ac:dyDescent="0.2">
      <c r="A112" s="83"/>
      <c r="B112" s="336"/>
      <c r="C112" s="336"/>
      <c r="D112" s="336"/>
      <c r="E112" s="348"/>
      <c r="F112" s="348"/>
      <c r="G112" s="333"/>
      <c r="H112" s="336"/>
      <c r="I112" s="336"/>
      <c r="J112" s="348"/>
      <c r="K112" s="333"/>
      <c r="L112" s="336"/>
      <c r="M112" s="20"/>
      <c r="N112" s="96"/>
      <c r="O112" s="71"/>
      <c r="P112" s="20"/>
      <c r="Q112" s="20"/>
      <c r="R112" s="20"/>
      <c r="S112" s="96"/>
      <c r="T112" s="96"/>
      <c r="U112" s="8">
        <v>2024</v>
      </c>
      <c r="V112" s="347">
        <v>16559917</v>
      </c>
      <c r="W112" s="127"/>
      <c r="X112" s="347">
        <v>10569656</v>
      </c>
      <c r="Y112" s="127"/>
      <c r="Z112" s="347">
        <v>1529149</v>
      </c>
      <c r="AA112" s="55"/>
      <c r="AB112" s="347">
        <v>1395542</v>
      </c>
      <c r="AC112" s="55"/>
      <c r="AD112" s="347">
        <v>6550449</v>
      </c>
      <c r="AE112" s="55"/>
      <c r="AF112" s="347">
        <v>64320962</v>
      </c>
      <c r="AG112" s="55"/>
      <c r="AH112" s="347">
        <v>18217743</v>
      </c>
      <c r="AI112" s="55"/>
      <c r="AJ112" s="347">
        <v>2795007</v>
      </c>
      <c r="AK112" s="347">
        <v>1733574</v>
      </c>
      <c r="AL112" s="55"/>
      <c r="AM112" s="347">
        <v>6107077</v>
      </c>
      <c r="AN112" s="347"/>
      <c r="AO112" s="347">
        <v>53256590</v>
      </c>
      <c r="AP112" s="55"/>
      <c r="AQ112" s="347">
        <v>15599871</v>
      </c>
      <c r="AR112" s="55"/>
      <c r="AS112" s="347">
        <v>16667854</v>
      </c>
      <c r="AT112" s="55"/>
      <c r="AU112" s="347">
        <v>23379776</v>
      </c>
      <c r="AV112" s="127"/>
      <c r="AW112" s="347">
        <v>6938379</v>
      </c>
      <c r="AX112" s="55"/>
      <c r="AY112" s="347">
        <v>21188252</v>
      </c>
      <c r="AZ112" s="127"/>
      <c r="BA112" s="347">
        <v>6389673</v>
      </c>
      <c r="BB112" s="127"/>
      <c r="BC112" s="347">
        <v>30277963</v>
      </c>
      <c r="BD112" s="347">
        <v>164752673</v>
      </c>
      <c r="BE112" s="212">
        <f t="shared" si="69"/>
        <v>3.0312309453943476E-2</v>
      </c>
      <c r="BF112" s="31"/>
      <c r="BG112" s="113"/>
      <c r="BH112" s="55"/>
      <c r="BI112" s="31"/>
      <c r="BJ112" s="31"/>
      <c r="BK112" s="31"/>
      <c r="BO112" s="26">
        <v>2031</v>
      </c>
      <c r="BP112" s="124">
        <v>26.94</v>
      </c>
      <c r="BQ112" s="124">
        <v>24.28</v>
      </c>
      <c r="BR112" s="124">
        <v>17.22</v>
      </c>
      <c r="BS112" s="124">
        <v>14.49</v>
      </c>
      <c r="BT112" s="124">
        <v>18.82</v>
      </c>
      <c r="BU112" s="124">
        <v>13.85</v>
      </c>
      <c r="BV112" s="124">
        <v>18.690000000000001</v>
      </c>
      <c r="BW112" s="124">
        <v>18.16</v>
      </c>
      <c r="BX112" s="124">
        <v>17.809999999999999</v>
      </c>
      <c r="BZ112" s="26">
        <f>BZ111+1</f>
        <v>2031</v>
      </c>
      <c r="CA112" s="120">
        <v>9.67</v>
      </c>
      <c r="CB112" s="120">
        <v>8.1</v>
      </c>
      <c r="CC112" s="120">
        <v>6.73</v>
      </c>
      <c r="CD112" s="120">
        <v>6.87</v>
      </c>
      <c r="CE112" s="120">
        <v>9.06</v>
      </c>
      <c r="CF112" s="120">
        <v>8.02</v>
      </c>
      <c r="CG112" s="120">
        <v>6.89</v>
      </c>
      <c r="CH112" s="120">
        <v>7.13</v>
      </c>
      <c r="CI112" s="120">
        <v>7.48</v>
      </c>
    </row>
    <row r="113" spans="1:87" x14ac:dyDescent="0.2">
      <c r="A113" s="83"/>
      <c r="B113" s="336"/>
      <c r="C113" s="336"/>
      <c r="D113" s="336"/>
      <c r="E113" s="348"/>
      <c r="F113" s="348"/>
      <c r="G113" s="333"/>
      <c r="H113" s="336"/>
      <c r="I113" s="336"/>
      <c r="J113" s="348"/>
      <c r="K113" s="333"/>
      <c r="L113" s="336"/>
      <c r="M113" s="20"/>
      <c r="N113" s="96"/>
      <c r="O113" s="71"/>
      <c r="P113" s="20"/>
      <c r="Q113" s="20"/>
      <c r="R113" s="20"/>
      <c r="S113" s="96"/>
      <c r="T113" s="96"/>
      <c r="U113" s="8">
        <v>2025</v>
      </c>
      <c r="V113" s="347">
        <v>16514534</v>
      </c>
      <c r="W113" s="127"/>
      <c r="X113" s="347">
        <v>10770490</v>
      </c>
      <c r="Y113" s="127"/>
      <c r="Z113" s="347">
        <v>1591078</v>
      </c>
      <c r="AA113" s="55"/>
      <c r="AB113" s="347">
        <v>1361554</v>
      </c>
      <c r="AC113" s="55"/>
      <c r="AD113" s="347">
        <v>6460497</v>
      </c>
      <c r="AE113" s="55"/>
      <c r="AF113" s="347">
        <v>64617086</v>
      </c>
      <c r="AG113" s="55"/>
      <c r="AH113" s="347">
        <v>18623093</v>
      </c>
      <c r="AI113" s="55"/>
      <c r="AJ113" s="347">
        <v>2907214</v>
      </c>
      <c r="AK113" s="347">
        <v>1705602</v>
      </c>
      <c r="AL113" s="55"/>
      <c r="AM113" s="347">
        <v>6122089</v>
      </c>
      <c r="AN113" s="347"/>
      <c r="AO113" s="347">
        <v>53508423</v>
      </c>
      <c r="AP113" s="55"/>
      <c r="AQ113" s="347">
        <v>15784647</v>
      </c>
      <c r="AR113" s="55"/>
      <c r="AS113" s="347">
        <v>16589295</v>
      </c>
      <c r="AT113" s="55"/>
      <c r="AU113" s="347">
        <v>23575504</v>
      </c>
      <c r="AV113" s="127"/>
      <c r="AW113" s="347">
        <v>6947925</v>
      </c>
      <c r="AX113" s="55"/>
      <c r="AY113" s="347">
        <v>21522783</v>
      </c>
      <c r="AZ113" s="127"/>
      <c r="BA113" s="347">
        <v>6359757</v>
      </c>
      <c r="BB113" s="127"/>
      <c r="BC113" s="347">
        <v>30247108</v>
      </c>
      <c r="BD113" s="347">
        <v>169830818</v>
      </c>
      <c r="BE113" s="212">
        <f t="shared" si="69"/>
        <v>3.082283830381316E-2</v>
      </c>
      <c r="BF113" s="31"/>
      <c r="BG113" s="113"/>
      <c r="BH113" s="55"/>
      <c r="BI113" s="31"/>
      <c r="BJ113" s="31"/>
      <c r="BK113" s="31"/>
      <c r="BO113" s="26">
        <v>2032</v>
      </c>
      <c r="BP113" s="124">
        <v>26.96</v>
      </c>
      <c r="BQ113" s="124">
        <v>24.4</v>
      </c>
      <c r="BR113" s="124">
        <v>17.25</v>
      </c>
      <c r="BS113" s="124">
        <v>14.47</v>
      </c>
      <c r="BT113" s="124">
        <v>18.850000000000001</v>
      </c>
      <c r="BU113" s="124">
        <v>13.76</v>
      </c>
      <c r="BV113" s="124">
        <v>18.8</v>
      </c>
      <c r="BW113" s="124">
        <v>18.260000000000002</v>
      </c>
      <c r="BX113" s="124">
        <v>17.7</v>
      </c>
      <c r="BZ113" s="26">
        <f>BZ112+1</f>
        <v>2032</v>
      </c>
      <c r="CA113" s="120">
        <v>9.7799999999999994</v>
      </c>
      <c r="CB113" s="120">
        <v>8.18</v>
      </c>
      <c r="CC113" s="120">
        <v>6.82</v>
      </c>
      <c r="CD113" s="120">
        <v>6.96</v>
      </c>
      <c r="CE113" s="120">
        <v>9.17</v>
      </c>
      <c r="CF113" s="120">
        <v>8.14</v>
      </c>
      <c r="CG113" s="120">
        <v>6.98</v>
      </c>
      <c r="CH113" s="120">
        <v>7.22</v>
      </c>
      <c r="CI113" s="120">
        <v>7.58</v>
      </c>
    </row>
    <row r="114" spans="1:87" x14ac:dyDescent="0.2">
      <c r="A114" s="83"/>
      <c r="B114" s="336"/>
      <c r="C114" s="336"/>
      <c r="D114" s="336"/>
      <c r="E114" s="348"/>
      <c r="F114" s="348"/>
      <c r="G114" s="333"/>
      <c r="H114" s="336"/>
      <c r="I114" s="336"/>
      <c r="J114" s="348"/>
      <c r="K114" s="333"/>
      <c r="L114" s="336"/>
      <c r="M114" s="20"/>
      <c r="N114" s="96"/>
      <c r="O114" s="71"/>
      <c r="P114" s="20"/>
      <c r="Q114" s="20"/>
      <c r="R114" s="20"/>
      <c r="S114" s="96"/>
      <c r="T114" s="96"/>
      <c r="U114" s="23">
        <v>2026</v>
      </c>
      <c r="V114" s="347">
        <v>16463655</v>
      </c>
      <c r="W114" s="127"/>
      <c r="X114" s="347">
        <v>10972906</v>
      </c>
      <c r="Y114" s="127"/>
      <c r="Z114" s="347">
        <v>1649191</v>
      </c>
      <c r="AA114" s="55"/>
      <c r="AB114" s="347">
        <v>1327693</v>
      </c>
      <c r="AC114" s="55"/>
      <c r="AD114" s="347">
        <v>6364820</v>
      </c>
      <c r="AE114" s="55"/>
      <c r="AF114" s="347">
        <v>64869439</v>
      </c>
      <c r="AG114" s="55"/>
      <c r="AH114" s="347">
        <v>19010880</v>
      </c>
      <c r="AI114" s="55"/>
      <c r="AJ114" s="347">
        <v>3008613</v>
      </c>
      <c r="AK114" s="347">
        <v>1677471</v>
      </c>
      <c r="AL114" s="55"/>
      <c r="AM114" s="347">
        <v>6160645</v>
      </c>
      <c r="AN114" s="347"/>
      <c r="AO114" s="347">
        <v>53698291</v>
      </c>
      <c r="AP114" s="55"/>
      <c r="AQ114" s="347">
        <v>15965743</v>
      </c>
      <c r="AR114" s="55"/>
      <c r="AS114" s="347">
        <v>16517824</v>
      </c>
      <c r="AT114" s="55"/>
      <c r="AU114" s="347">
        <v>23787319</v>
      </c>
      <c r="AV114" s="127"/>
      <c r="AW114" s="347">
        <v>6958385</v>
      </c>
      <c r="AX114" s="55"/>
      <c r="AY114" s="347">
        <v>21863223</v>
      </c>
      <c r="AZ114" s="127"/>
      <c r="BA114" s="347">
        <v>6301822</v>
      </c>
      <c r="BB114" s="127"/>
      <c r="BC114" s="347">
        <v>30242518</v>
      </c>
      <c r="BD114" s="347">
        <v>174762500</v>
      </c>
      <c r="BE114" s="212">
        <f t="shared" si="69"/>
        <v>2.9038793182989853E-2</v>
      </c>
      <c r="BF114" s="31"/>
      <c r="BG114" s="113"/>
      <c r="BH114" s="55"/>
      <c r="BI114" s="31"/>
      <c r="BJ114" s="31"/>
      <c r="BK114" s="31"/>
      <c r="BO114" s="26">
        <v>2033</v>
      </c>
      <c r="BP114" s="124">
        <v>27.06</v>
      </c>
      <c r="BQ114" s="124">
        <v>24.54</v>
      </c>
      <c r="BR114" s="124">
        <v>17.32</v>
      </c>
      <c r="BS114" s="124">
        <v>14.53</v>
      </c>
      <c r="BT114" s="124">
        <v>18.91</v>
      </c>
      <c r="BU114" s="124">
        <v>13.81</v>
      </c>
      <c r="BV114" s="124">
        <v>18.95</v>
      </c>
      <c r="BW114" s="124">
        <v>18.41</v>
      </c>
      <c r="BX114" s="124">
        <v>17.600000000000001</v>
      </c>
      <c r="BZ114" s="26">
        <f>BZ113+1</f>
        <v>2033</v>
      </c>
      <c r="CA114" s="120">
        <v>9.91</v>
      </c>
      <c r="CB114" s="120">
        <v>8.2799999999999994</v>
      </c>
      <c r="CC114" s="120">
        <v>6.92</v>
      </c>
      <c r="CD114" s="120">
        <v>7.07</v>
      </c>
      <c r="CE114" s="120">
        <v>9.2799999999999994</v>
      </c>
      <c r="CF114" s="120">
        <v>8.25</v>
      </c>
      <c r="CG114" s="120">
        <v>7.05</v>
      </c>
      <c r="CH114" s="120">
        <v>7.31</v>
      </c>
      <c r="CI114" s="120">
        <v>7.69</v>
      </c>
    </row>
    <row r="115" spans="1:87" x14ac:dyDescent="0.2">
      <c r="A115" s="83"/>
      <c r="B115" s="336"/>
      <c r="C115" s="336"/>
      <c r="D115" s="336"/>
      <c r="E115" s="348"/>
      <c r="F115" s="348"/>
      <c r="G115" s="333"/>
      <c r="H115" s="336"/>
      <c r="I115" s="336"/>
      <c r="J115" s="348"/>
      <c r="K115" s="333"/>
      <c r="L115" s="336"/>
      <c r="M115" s="20"/>
      <c r="N115" s="96"/>
      <c r="O115" s="71"/>
      <c r="P115" s="20"/>
      <c r="Q115" s="20"/>
      <c r="R115" s="20"/>
      <c r="S115" s="96"/>
      <c r="T115" s="96"/>
      <c r="U115" s="23">
        <v>2027</v>
      </c>
      <c r="V115" s="347">
        <v>16395492</v>
      </c>
      <c r="W115" s="127"/>
      <c r="X115" s="347">
        <v>11162362</v>
      </c>
      <c r="Y115" s="127"/>
      <c r="Z115" s="347">
        <v>1701504</v>
      </c>
      <c r="AA115" s="55"/>
      <c r="AB115" s="347">
        <v>1293242</v>
      </c>
      <c r="AC115" s="55"/>
      <c r="AD115" s="347">
        <v>6271368</v>
      </c>
      <c r="AE115" s="55"/>
      <c r="AF115" s="347">
        <v>65123321</v>
      </c>
      <c r="AG115" s="55"/>
      <c r="AH115" s="347">
        <v>19390726</v>
      </c>
      <c r="AI115" s="55"/>
      <c r="AJ115" s="347">
        <v>3100724</v>
      </c>
      <c r="AK115" s="347">
        <v>1651585</v>
      </c>
      <c r="AL115" s="55"/>
      <c r="AM115" s="347">
        <v>6218242</v>
      </c>
      <c r="AN115" s="347"/>
      <c r="AO115" s="347">
        <v>53811648</v>
      </c>
      <c r="AP115" s="55"/>
      <c r="AQ115" s="347">
        <v>16139794</v>
      </c>
      <c r="AR115" s="55"/>
      <c r="AS115" s="347">
        <v>16467771</v>
      </c>
      <c r="AT115" s="55"/>
      <c r="AU115" s="347">
        <v>24011363</v>
      </c>
      <c r="AV115" s="127"/>
      <c r="AW115" s="347">
        <v>6967950</v>
      </c>
      <c r="AX115" s="55"/>
      <c r="AY115" s="347">
        <v>22202661</v>
      </c>
      <c r="AZ115" s="127"/>
      <c r="BA115" s="347">
        <v>6278889</v>
      </c>
      <c r="BB115" s="127"/>
      <c r="BC115" s="347">
        <v>30249236</v>
      </c>
      <c r="BD115" s="347">
        <v>179819242</v>
      </c>
      <c r="BE115" s="212">
        <f t="shared" si="69"/>
        <v>2.8934937415063366E-2</v>
      </c>
      <c r="BF115" s="31"/>
      <c r="BG115" s="113"/>
      <c r="BH115" s="55"/>
      <c r="BO115" s="26">
        <v>2034</v>
      </c>
      <c r="BP115" s="124">
        <v>27.17</v>
      </c>
      <c r="BQ115" s="124">
        <v>24.71</v>
      </c>
      <c r="BR115" s="124">
        <v>17.46</v>
      </c>
      <c r="BS115" s="124">
        <v>14.61</v>
      </c>
      <c r="BT115" s="124">
        <v>19.02</v>
      </c>
      <c r="BU115" s="124">
        <v>13.85</v>
      </c>
      <c r="BV115" s="124">
        <v>19.04</v>
      </c>
      <c r="BW115" s="124">
        <v>18.55</v>
      </c>
      <c r="BX115" s="124">
        <v>17.62</v>
      </c>
      <c r="BZ115" s="26">
        <f>BZ114+1</f>
        <v>2034</v>
      </c>
      <c r="CA115" s="120">
        <v>10.01</v>
      </c>
      <c r="CB115" s="120">
        <v>8.34</v>
      </c>
      <c r="CC115" s="120">
        <v>7.03</v>
      </c>
      <c r="CD115" s="120">
        <v>7.2</v>
      </c>
      <c r="CE115" s="120">
        <v>9.4</v>
      </c>
      <c r="CF115" s="120">
        <v>8.39</v>
      </c>
      <c r="CG115" s="120">
        <v>7.15</v>
      </c>
      <c r="CH115" s="120">
        <v>7.45</v>
      </c>
      <c r="CI115" s="120">
        <v>7.82</v>
      </c>
    </row>
    <row r="116" spans="1:87" x14ac:dyDescent="0.2">
      <c r="A116" s="83"/>
      <c r="B116" s="336"/>
      <c r="C116" s="336"/>
      <c r="D116" s="336"/>
      <c r="E116" s="348"/>
      <c r="F116" s="348"/>
      <c r="G116" s="333"/>
      <c r="H116" s="336"/>
      <c r="I116" s="336"/>
      <c r="J116" s="348"/>
      <c r="K116" s="333"/>
      <c r="L116" s="336"/>
      <c r="M116" s="20"/>
      <c r="N116" s="96"/>
      <c r="O116" s="71"/>
      <c r="P116" s="20"/>
      <c r="Q116" s="20"/>
      <c r="R116" s="20"/>
      <c r="S116" s="96"/>
      <c r="T116" s="96"/>
      <c r="U116" s="23">
        <v>2028</v>
      </c>
      <c r="V116" s="347">
        <v>16327896</v>
      </c>
      <c r="W116" s="127"/>
      <c r="X116" s="347">
        <v>11348041</v>
      </c>
      <c r="Y116" s="127"/>
      <c r="Z116" s="347">
        <v>1749902</v>
      </c>
      <c r="AA116" s="55"/>
      <c r="AB116" s="347">
        <v>1259153</v>
      </c>
      <c r="AC116" s="55"/>
      <c r="AD116" s="347">
        <v>6188035</v>
      </c>
      <c r="AE116" s="55"/>
      <c r="AF116" s="347">
        <v>65408774</v>
      </c>
      <c r="AG116" s="55"/>
      <c r="AH116" s="347">
        <v>19777908</v>
      </c>
      <c r="AI116" s="55"/>
      <c r="AJ116" s="347">
        <v>3187324</v>
      </c>
      <c r="AK116" s="347">
        <v>1627619</v>
      </c>
      <c r="AL116" s="55"/>
      <c r="AM116" s="347">
        <v>6294593</v>
      </c>
      <c r="AN116" s="347"/>
      <c r="AO116" s="347">
        <v>53871735</v>
      </c>
      <c r="AP116" s="55"/>
      <c r="AQ116" s="347">
        <v>16307701</v>
      </c>
      <c r="AR116" s="55"/>
      <c r="AS116" s="347">
        <v>16451757</v>
      </c>
      <c r="AT116" s="55"/>
      <c r="AU116" s="347">
        <v>24230808</v>
      </c>
      <c r="AV116" s="127"/>
      <c r="AW116" s="347">
        <v>6976239</v>
      </c>
      <c r="AX116" s="55"/>
      <c r="AY116" s="347">
        <v>22555672</v>
      </c>
      <c r="AZ116" s="127"/>
      <c r="BA116" s="347">
        <v>6201692</v>
      </c>
      <c r="BB116" s="127"/>
      <c r="BC116" s="347">
        <v>30281327</v>
      </c>
      <c r="BD116" s="347">
        <v>184871097</v>
      </c>
      <c r="BE116" s="212">
        <f t="shared" si="69"/>
        <v>2.8094073491867988E-2</v>
      </c>
      <c r="BF116" s="31"/>
      <c r="BG116" s="113"/>
      <c r="BH116" s="55"/>
      <c r="BO116" s="26">
        <v>2035</v>
      </c>
      <c r="BP116" s="124">
        <v>27.28</v>
      </c>
      <c r="BQ116" s="124">
        <v>24.81</v>
      </c>
      <c r="BR116" s="124">
        <v>17.48</v>
      </c>
      <c r="BS116" s="124">
        <v>14.62</v>
      </c>
      <c r="BT116" s="124">
        <v>19.07</v>
      </c>
      <c r="BU116" s="124">
        <v>13.65</v>
      </c>
      <c r="BV116" s="124">
        <v>19.239999999999998</v>
      </c>
      <c r="BW116" s="124">
        <v>18.68</v>
      </c>
      <c r="BX116" s="124">
        <v>17.68</v>
      </c>
      <c r="BZ116" s="26">
        <f>BZ115+1</f>
        <v>2035</v>
      </c>
      <c r="CA116" s="120">
        <v>10.07</v>
      </c>
      <c r="CB116" s="120">
        <v>8.35</v>
      </c>
      <c r="CC116" s="120">
        <v>7.16</v>
      </c>
      <c r="CD116" s="120">
        <v>7.34</v>
      </c>
      <c r="CE116" s="120">
        <v>9.5399999999999991</v>
      </c>
      <c r="CF116" s="120">
        <v>8.57</v>
      </c>
      <c r="CG116" s="120">
        <v>7.29</v>
      </c>
      <c r="CH116" s="120">
        <v>7.59</v>
      </c>
      <c r="CI116" s="120">
        <v>7.97</v>
      </c>
    </row>
    <row r="117" spans="1:87" x14ac:dyDescent="0.2">
      <c r="A117" s="83"/>
      <c r="B117" s="336"/>
      <c r="C117" s="336"/>
      <c r="D117" s="336"/>
      <c r="E117" s="348"/>
      <c r="F117" s="348"/>
      <c r="G117" s="333"/>
      <c r="H117" s="336"/>
      <c r="I117" s="336"/>
      <c r="J117" s="348"/>
      <c r="K117" s="333"/>
      <c r="L117" s="336"/>
      <c r="S117" s="96"/>
      <c r="T117" s="96"/>
      <c r="U117" s="23">
        <v>2029</v>
      </c>
      <c r="V117" s="347">
        <v>16266349</v>
      </c>
      <c r="W117" s="127"/>
      <c r="X117" s="347">
        <v>11539147</v>
      </c>
      <c r="Y117" s="127"/>
      <c r="Z117" s="347">
        <v>1796061</v>
      </c>
      <c r="AA117" s="55"/>
      <c r="AB117" s="347">
        <v>1225588</v>
      </c>
      <c r="AC117" s="55"/>
      <c r="AD117" s="347">
        <v>6110558</v>
      </c>
      <c r="AE117" s="55"/>
      <c r="AF117" s="347">
        <v>65695464</v>
      </c>
      <c r="AG117" s="55"/>
      <c r="AH117" s="347">
        <v>20164007</v>
      </c>
      <c r="AI117" s="55"/>
      <c r="AJ117" s="347">
        <v>3267870</v>
      </c>
      <c r="AK117" s="347">
        <v>1605763</v>
      </c>
      <c r="AL117" s="55"/>
      <c r="AM117" s="347">
        <v>6374791</v>
      </c>
      <c r="AN117" s="347"/>
      <c r="AO117" s="347">
        <v>53895757</v>
      </c>
      <c r="AP117" s="55"/>
      <c r="AQ117" s="347">
        <v>16473234</v>
      </c>
      <c r="AR117" s="55"/>
      <c r="AS117" s="347">
        <v>16474112</v>
      </c>
      <c r="AT117" s="55"/>
      <c r="AU117" s="347">
        <v>24444276</v>
      </c>
      <c r="AV117" s="127"/>
      <c r="AW117" s="347">
        <v>6984422</v>
      </c>
      <c r="AX117" s="55"/>
      <c r="AY117" s="347">
        <v>22928419</v>
      </c>
      <c r="AZ117" s="127"/>
      <c r="BA117" s="347">
        <v>6205693</v>
      </c>
      <c r="BB117" s="127"/>
      <c r="BC117" s="347">
        <v>30345359</v>
      </c>
      <c r="BD117" s="347">
        <v>189826817</v>
      </c>
      <c r="BE117" s="212">
        <f t="shared" si="69"/>
        <v>2.6806353618380907E-2</v>
      </c>
      <c r="BF117" s="31"/>
      <c r="BG117" s="113"/>
      <c r="BH117" s="55"/>
    </row>
    <row r="118" spans="1:87" x14ac:dyDescent="0.2">
      <c r="A118" s="83"/>
      <c r="B118" s="336"/>
      <c r="C118" s="336"/>
      <c r="D118" s="336"/>
      <c r="E118" s="348"/>
      <c r="F118" s="348"/>
      <c r="G118" s="333"/>
      <c r="H118" s="336"/>
      <c r="I118" s="336"/>
      <c r="J118" s="348"/>
      <c r="K118" s="333"/>
      <c r="L118" s="336"/>
      <c r="S118" s="96"/>
      <c r="T118" s="96"/>
      <c r="U118" s="23">
        <v>2030</v>
      </c>
      <c r="V118" s="347">
        <v>16206862</v>
      </c>
      <c r="W118" s="127"/>
      <c r="X118" s="347">
        <v>11737153</v>
      </c>
      <c r="Y118" s="127"/>
      <c r="Z118" s="347">
        <v>1840843</v>
      </c>
      <c r="AA118" s="55"/>
      <c r="AB118" s="347">
        <v>1192215</v>
      </c>
      <c r="AC118" s="55"/>
      <c r="AD118" s="347">
        <v>6034755</v>
      </c>
      <c r="AE118" s="55"/>
      <c r="AF118" s="347">
        <v>65997295</v>
      </c>
      <c r="AG118" s="55"/>
      <c r="AH118" s="347">
        <v>20558637</v>
      </c>
      <c r="AI118" s="55"/>
      <c r="AJ118" s="347">
        <v>3345493</v>
      </c>
      <c r="AK118" s="347">
        <v>1591493</v>
      </c>
      <c r="AL118" s="55"/>
      <c r="AM118" s="347">
        <v>6460500</v>
      </c>
      <c r="AN118" s="347"/>
      <c r="AO118" s="347">
        <v>53896204</v>
      </c>
      <c r="AP118" s="55"/>
      <c r="AQ118" s="347">
        <v>16637660</v>
      </c>
      <c r="AR118" s="55"/>
      <c r="AS118" s="347">
        <v>16532370</v>
      </c>
      <c r="AT118" s="55"/>
      <c r="AU118" s="347">
        <v>24654413</v>
      </c>
      <c r="AV118" s="127"/>
      <c r="AW118" s="347">
        <v>6993667</v>
      </c>
      <c r="AX118" s="55"/>
      <c r="AY118" s="347">
        <v>23319305</v>
      </c>
      <c r="AZ118" s="127"/>
      <c r="BA118" s="347">
        <v>6102773</v>
      </c>
      <c r="BB118" s="127"/>
      <c r="BC118" s="347">
        <v>30433352</v>
      </c>
      <c r="BD118" s="347">
        <v>195084521</v>
      </c>
      <c r="BE118" s="212">
        <f t="shared" si="69"/>
        <v>2.7697372178979274E-2</v>
      </c>
      <c r="BF118" s="31"/>
      <c r="BG118" s="113"/>
      <c r="BH118" s="55"/>
    </row>
    <row r="119" spans="1:87" x14ac:dyDescent="0.2">
      <c r="A119" s="83"/>
      <c r="B119" s="336"/>
      <c r="C119" s="336"/>
      <c r="D119" s="336"/>
      <c r="E119" s="348"/>
      <c r="F119" s="348"/>
      <c r="G119" s="333"/>
      <c r="H119" s="336"/>
      <c r="I119" s="336"/>
      <c r="J119" s="348"/>
      <c r="K119" s="333"/>
      <c r="L119" s="336"/>
      <c r="S119" s="96"/>
      <c r="T119" s="96"/>
      <c r="U119" s="23">
        <v>2031</v>
      </c>
      <c r="V119" s="347">
        <v>16137048</v>
      </c>
      <c r="W119" s="126"/>
      <c r="X119" s="347">
        <v>11928903</v>
      </c>
      <c r="Y119" s="126"/>
      <c r="Z119" s="347">
        <v>1882558</v>
      </c>
      <c r="AA119" s="126"/>
      <c r="AB119" s="347">
        <v>1158486</v>
      </c>
      <c r="AC119" s="126"/>
      <c r="AD119" s="347">
        <v>5963389</v>
      </c>
      <c r="AE119" s="126"/>
      <c r="AF119" s="347">
        <v>66292981</v>
      </c>
      <c r="AG119" s="126"/>
      <c r="AH119" s="347">
        <v>20952309</v>
      </c>
      <c r="AI119" s="126"/>
      <c r="AJ119" s="347">
        <v>3419422</v>
      </c>
      <c r="AK119" s="347">
        <v>1586785</v>
      </c>
      <c r="AL119" s="126"/>
      <c r="AM119" s="347">
        <v>6552024</v>
      </c>
      <c r="AN119" s="347"/>
      <c r="AO119" s="347">
        <v>53861828</v>
      </c>
      <c r="AP119" s="126"/>
      <c r="AQ119" s="347">
        <v>16796604</v>
      </c>
      <c r="AR119" s="126"/>
      <c r="AS119" s="347">
        <v>16613037</v>
      </c>
      <c r="AT119" s="126"/>
      <c r="AU119" s="347">
        <v>24857505</v>
      </c>
      <c r="AV119" s="126"/>
      <c r="AW119" s="347">
        <v>7003900</v>
      </c>
      <c r="AX119" s="126"/>
      <c r="AY119" s="347">
        <v>23712914</v>
      </c>
      <c r="AZ119" s="126"/>
      <c r="BA119" s="347">
        <v>6119318</v>
      </c>
      <c r="BB119" s="126"/>
      <c r="BC119" s="347">
        <v>30557970</v>
      </c>
      <c r="BD119" s="347">
        <v>200088570</v>
      </c>
      <c r="BE119" s="212">
        <f t="shared" si="69"/>
        <v>2.56506716901439E-2</v>
      </c>
      <c r="BF119" s="31"/>
      <c r="BG119" s="113"/>
      <c r="BH119" s="55"/>
    </row>
    <row r="120" spans="1:87" x14ac:dyDescent="0.2">
      <c r="A120" s="83"/>
      <c r="B120" s="336"/>
      <c r="C120" s="336"/>
      <c r="D120" s="336"/>
      <c r="E120" s="348"/>
      <c r="F120" s="348"/>
      <c r="G120" s="333"/>
      <c r="H120" s="336"/>
      <c r="I120" s="336"/>
      <c r="J120" s="348"/>
      <c r="K120" s="333"/>
      <c r="L120" s="336"/>
      <c r="S120" s="96"/>
      <c r="T120" s="96"/>
      <c r="U120" s="23">
        <v>2032</v>
      </c>
      <c r="V120" s="347">
        <v>16042570</v>
      </c>
      <c r="W120" s="126"/>
      <c r="X120" s="347">
        <v>12104911</v>
      </c>
      <c r="Y120" s="126"/>
      <c r="Z120" s="347">
        <v>1920055</v>
      </c>
      <c r="AA120" s="126"/>
      <c r="AB120" s="347">
        <v>1123907</v>
      </c>
      <c r="AC120" s="126"/>
      <c r="AD120" s="347">
        <v>5886573</v>
      </c>
      <c r="AE120" s="126"/>
      <c r="AF120" s="347">
        <v>66491565</v>
      </c>
      <c r="AG120" s="126"/>
      <c r="AH120" s="347">
        <v>21306771</v>
      </c>
      <c r="AI120" s="126"/>
      <c r="AJ120" s="347">
        <v>3483436</v>
      </c>
      <c r="AK120" s="347">
        <v>1590435</v>
      </c>
      <c r="AL120" s="126"/>
      <c r="AM120" s="347">
        <v>6641052</v>
      </c>
      <c r="AN120" s="347"/>
      <c r="AO120" s="347">
        <v>53805531</v>
      </c>
      <c r="AP120" s="126"/>
      <c r="AQ120" s="347">
        <v>16949554</v>
      </c>
      <c r="AR120" s="126"/>
      <c r="AS120" s="347">
        <v>16710732</v>
      </c>
      <c r="AT120" s="126"/>
      <c r="AU120" s="347">
        <v>25048661</v>
      </c>
      <c r="AV120" s="126"/>
      <c r="AW120" s="347">
        <v>7014235</v>
      </c>
      <c r="AX120" s="126"/>
      <c r="AY120" s="347">
        <v>24097094</v>
      </c>
      <c r="AZ120" s="126"/>
      <c r="BA120" s="347">
        <v>6125999</v>
      </c>
      <c r="BB120" s="126"/>
      <c r="BC120" s="347">
        <v>30687953</v>
      </c>
      <c r="BD120" s="347">
        <v>204732288</v>
      </c>
      <c r="BE120" s="212">
        <f t="shared" si="69"/>
        <v>2.3208312198942593E-2</v>
      </c>
      <c r="BF120" s="31"/>
      <c r="BG120" s="113"/>
      <c r="BH120" s="55"/>
    </row>
    <row r="121" spans="1:87" x14ac:dyDescent="0.2">
      <c r="A121" s="83"/>
      <c r="B121" s="336"/>
      <c r="C121" s="336"/>
      <c r="D121" s="336"/>
      <c r="E121" s="348"/>
      <c r="F121" s="348"/>
      <c r="G121" s="333"/>
      <c r="H121" s="336"/>
      <c r="I121" s="336"/>
      <c r="J121" s="348"/>
      <c r="K121" s="333"/>
      <c r="L121" s="336"/>
      <c r="S121" s="96"/>
      <c r="U121" s="23">
        <v>2033</v>
      </c>
      <c r="V121" s="347">
        <v>15924745</v>
      </c>
      <c r="W121" s="126"/>
      <c r="X121" s="347">
        <v>12266876</v>
      </c>
      <c r="Y121" s="126"/>
      <c r="Z121" s="347">
        <v>1953692</v>
      </c>
      <c r="AA121" s="126"/>
      <c r="AB121" s="347">
        <v>1088923</v>
      </c>
      <c r="AC121" s="126"/>
      <c r="AD121" s="347">
        <v>5811151</v>
      </c>
      <c r="AE121" s="126"/>
      <c r="AF121" s="347">
        <v>66662366</v>
      </c>
      <c r="AG121" s="126"/>
      <c r="AH121" s="347">
        <v>21652565</v>
      </c>
      <c r="AI121" s="126"/>
      <c r="AJ121" s="347">
        <v>3542708</v>
      </c>
      <c r="AK121" s="347">
        <v>1603270</v>
      </c>
      <c r="AL121" s="126"/>
      <c r="AM121" s="347">
        <v>6729285</v>
      </c>
      <c r="AN121" s="347"/>
      <c r="AO121" s="347">
        <v>53753667</v>
      </c>
      <c r="AP121" s="126"/>
      <c r="AQ121" s="347">
        <v>17096710</v>
      </c>
      <c r="AR121" s="126"/>
      <c r="AS121" s="347">
        <v>16823767</v>
      </c>
      <c r="AT121" s="126"/>
      <c r="AU121" s="347">
        <v>25240985</v>
      </c>
      <c r="AV121" s="126"/>
      <c r="AW121" s="347">
        <v>7025109</v>
      </c>
      <c r="AX121" s="126"/>
      <c r="AY121" s="347">
        <v>24460776</v>
      </c>
      <c r="AZ121" s="126"/>
      <c r="BA121" s="347">
        <v>6135247</v>
      </c>
      <c r="BB121" s="126"/>
      <c r="BC121" s="347">
        <v>30805795</v>
      </c>
      <c r="BD121" s="347">
        <v>209125993</v>
      </c>
      <c r="BE121" s="212">
        <f t="shared" si="69"/>
        <v>2.1460733150210354E-2</v>
      </c>
      <c r="BG121" s="113"/>
      <c r="BH121" s="55"/>
    </row>
    <row r="122" spans="1:87" x14ac:dyDescent="0.2">
      <c r="A122" s="83"/>
      <c r="B122" s="336"/>
      <c r="C122" s="336"/>
      <c r="D122" s="336"/>
      <c r="E122" s="348"/>
      <c r="F122" s="348"/>
      <c r="G122" s="333"/>
      <c r="H122" s="336"/>
      <c r="I122" s="336"/>
      <c r="J122" s="348"/>
      <c r="K122" s="333"/>
      <c r="L122" s="336"/>
      <c r="U122" s="23">
        <v>2034</v>
      </c>
      <c r="V122" s="347">
        <v>15791537</v>
      </c>
      <c r="W122" s="126"/>
      <c r="X122" s="347">
        <v>12423851</v>
      </c>
      <c r="Y122" s="126"/>
      <c r="Z122" s="347">
        <v>1984792</v>
      </c>
      <c r="AA122" s="126"/>
      <c r="AB122" s="347">
        <v>1053743</v>
      </c>
      <c r="AC122" s="126"/>
      <c r="AD122" s="347">
        <v>5730867</v>
      </c>
      <c r="AE122" s="126"/>
      <c r="AF122" s="347">
        <v>66760448</v>
      </c>
      <c r="AG122" s="126"/>
      <c r="AH122" s="347">
        <v>21973762</v>
      </c>
      <c r="AI122" s="126"/>
      <c r="AJ122" s="347">
        <v>3594720</v>
      </c>
      <c r="AK122" s="347">
        <v>1616455</v>
      </c>
      <c r="AL122" s="126"/>
      <c r="AM122" s="347">
        <v>6817858</v>
      </c>
      <c r="AN122" s="347"/>
      <c r="AO122" s="347">
        <v>53742313</v>
      </c>
      <c r="AP122" s="126"/>
      <c r="AQ122" s="347">
        <v>17241525</v>
      </c>
      <c r="AR122" s="126"/>
      <c r="AS122" s="347">
        <v>16956527</v>
      </c>
      <c r="AT122" s="126"/>
      <c r="AU122" s="347">
        <v>25437999</v>
      </c>
      <c r="AV122" s="126"/>
      <c r="AW122" s="347">
        <v>7037798</v>
      </c>
      <c r="AX122" s="126"/>
      <c r="AY122" s="347">
        <v>24819289</v>
      </c>
      <c r="AZ122" s="126"/>
      <c r="BA122" s="347">
        <v>6144383</v>
      </c>
      <c r="BB122" s="126"/>
      <c r="BC122" s="347">
        <v>30921264</v>
      </c>
      <c r="BD122" s="347">
        <v>213346182</v>
      </c>
      <c r="BE122" s="212">
        <f t="shared" si="69"/>
        <v>2.0180126532620912E-2</v>
      </c>
      <c r="BG122" s="113"/>
      <c r="BH122" s="55"/>
    </row>
    <row r="123" spans="1:87" x14ac:dyDescent="0.2">
      <c r="A123" s="83"/>
      <c r="B123" s="336"/>
      <c r="C123" s="336"/>
      <c r="D123" s="336"/>
      <c r="E123" s="348"/>
      <c r="F123" s="348"/>
      <c r="G123" s="333"/>
      <c r="H123" s="336"/>
      <c r="I123" s="336"/>
      <c r="J123" s="348"/>
      <c r="K123" s="333"/>
      <c r="L123" s="336"/>
      <c r="U123" s="23">
        <v>2035</v>
      </c>
      <c r="V123" s="347">
        <v>15658554</v>
      </c>
      <c r="W123" s="126"/>
      <c r="X123" s="347">
        <v>12585346</v>
      </c>
      <c r="Y123" s="126"/>
      <c r="Z123" s="347">
        <v>2014852</v>
      </c>
      <c r="AA123" s="126"/>
      <c r="AB123" s="347">
        <v>1018744</v>
      </c>
      <c r="AC123" s="126"/>
      <c r="AD123" s="347">
        <v>5653856</v>
      </c>
      <c r="AE123" s="126"/>
      <c r="AF123" s="347">
        <v>66860944</v>
      </c>
      <c r="AG123" s="126"/>
      <c r="AH123" s="347">
        <v>22299830</v>
      </c>
      <c r="AI123" s="126"/>
      <c r="AJ123" s="347">
        <v>3644750</v>
      </c>
      <c r="AK123" s="347">
        <v>1630056</v>
      </c>
      <c r="AL123" s="126"/>
      <c r="AM123" s="347">
        <v>6907029</v>
      </c>
      <c r="AN123" s="347"/>
      <c r="AO123" s="347">
        <v>53841221</v>
      </c>
      <c r="AP123" s="126"/>
      <c r="AQ123" s="347">
        <v>17386819</v>
      </c>
      <c r="AR123" s="126"/>
      <c r="AS123" s="347">
        <v>17124831</v>
      </c>
      <c r="AT123" s="126"/>
      <c r="AU123" s="347">
        <v>25639711</v>
      </c>
      <c r="AV123" s="126"/>
      <c r="AW123" s="347">
        <v>7052415</v>
      </c>
      <c r="AX123" s="126"/>
      <c r="AY123" s="347">
        <v>25187171</v>
      </c>
      <c r="AZ123" s="126"/>
      <c r="BA123" s="347">
        <v>6152444</v>
      </c>
      <c r="BB123" s="126"/>
      <c r="BC123" s="347">
        <v>31054886</v>
      </c>
      <c r="BD123" s="347">
        <v>217611788</v>
      </c>
      <c r="BE123" s="212">
        <f t="shared" si="69"/>
        <v>1.9993823934472799E-2</v>
      </c>
      <c r="BG123" s="113"/>
      <c r="BH123" s="55"/>
    </row>
    <row r="124" spans="1:87" x14ac:dyDescent="0.2">
      <c r="A124" s="83"/>
      <c r="B124" s="336"/>
      <c r="C124" s="336"/>
      <c r="D124" s="336"/>
      <c r="E124" s="348"/>
      <c r="F124" s="348"/>
      <c r="G124" s="333"/>
      <c r="H124" s="336"/>
      <c r="I124" s="336"/>
      <c r="J124" s="348"/>
      <c r="K124" s="333"/>
      <c r="L124" s="336"/>
      <c r="U124" s="23">
        <v>2036</v>
      </c>
      <c r="V124" s="220">
        <f>(V123/V122)*V123</f>
        <v>15526690.870617343</v>
      </c>
      <c r="X124" s="220">
        <f>(X123/X122)*X123</f>
        <v>12748940.239199264</v>
      </c>
      <c r="Z124" s="220">
        <f>(Z123/Z122)*Z123</f>
        <v>2045367.2636246015</v>
      </c>
      <c r="AB124" s="220">
        <f>(AB123/AB122)*AB123</f>
        <v>984907.4561216539</v>
      </c>
      <c r="AD124" s="220">
        <f>(AD123/AD122)*AD123</f>
        <v>5577879.8685671818</v>
      </c>
      <c r="AF124" s="220">
        <f>(AF123/AF122)*AF123</f>
        <v>66961591.278883204</v>
      </c>
      <c r="AH124" s="220">
        <f>(AH123/AH122)*AH123</f>
        <v>22630736.513342597</v>
      </c>
      <c r="AJ124" s="220">
        <f t="shared" ref="AJ124:AK131" si="71">(AJ123/AJ122)*AJ123</f>
        <v>3695476.299266702</v>
      </c>
      <c r="AK124" s="220">
        <f t="shared" si="71"/>
        <v>1643771.4400561724</v>
      </c>
      <c r="AM124" s="220">
        <f>(AM123/AM122)*AM123</f>
        <v>6997366.2705854243</v>
      </c>
      <c r="AO124" s="220">
        <f>(AO123/AO122)*AO123</f>
        <v>53940311.031474225</v>
      </c>
      <c r="AQ124" s="220">
        <f>(AQ123/AQ122)*AQ123</f>
        <v>17533337.389747195</v>
      </c>
      <c r="AS124" s="220">
        <f>(AS123/AS122)*AS123</f>
        <v>17294805.521116499</v>
      </c>
      <c r="AU124" s="220">
        <f>(AU123/AU122)*AU123</f>
        <v>25843022.486301735</v>
      </c>
      <c r="AW124" s="220">
        <f>(AW123/AW122)*AW123</f>
        <v>7067062.3584571481</v>
      </c>
      <c r="AY124" s="220">
        <f>(AY123/AY122)*AY123</f>
        <v>25560505.902616348</v>
      </c>
      <c r="BA124" s="220">
        <f>(BA123/BA122)*BA123</f>
        <v>6160515.5754672196</v>
      </c>
      <c r="BC124" s="220">
        <f t="shared" ref="BC124:BD131" si="72">(BC123/BC122)*BC123</f>
        <v>31189085.429140158</v>
      </c>
      <c r="BD124" s="220">
        <f t="shared" si="72"/>
        <v>221962679.77533782</v>
      </c>
      <c r="BE124" s="212">
        <f t="shared" si="69"/>
        <v>1.9993823934472799E-2</v>
      </c>
      <c r="BG124" s="113"/>
      <c r="BH124" s="55"/>
    </row>
    <row r="125" spans="1:87" x14ac:dyDescent="0.2">
      <c r="A125" s="83"/>
      <c r="B125" s="336"/>
      <c r="C125" s="336"/>
      <c r="D125" s="336"/>
      <c r="E125" s="348"/>
      <c r="F125" s="348"/>
      <c r="G125" s="333"/>
      <c r="H125" s="336"/>
      <c r="I125" s="336"/>
      <c r="J125" s="348"/>
      <c r="K125" s="333"/>
      <c r="L125" s="336"/>
      <c r="U125" s="23">
        <v>2037</v>
      </c>
      <c r="V125" s="220">
        <f t="shared" ref="V125:V131" si="73">(V124/V123)*V124</f>
        <v>15395938.181246618</v>
      </c>
      <c r="X125" s="220">
        <f t="shared" ref="X125:X131" si="74">(X124/X123)*X124</f>
        <v>12914661.005162209</v>
      </c>
      <c r="Z125" s="220">
        <f t="shared" ref="Z125:Z131" si="75">(Z124/Z123)*Z124</f>
        <v>2076344.685915983</v>
      </c>
      <c r="AB125" s="220">
        <f t="shared" ref="AB125:AB131" si="76">(AB124/AB123)*AB124</f>
        <v>952194.75856940274</v>
      </c>
      <c r="AD125" s="220">
        <f t="shared" ref="AD125:AD131" si="77">(AD124/AD123)*AD124</f>
        <v>5502924.6992082996</v>
      </c>
      <c r="AF125" s="220">
        <f t="shared" ref="AF125:AF131" si="78">(AF124/AF123)*AF124</f>
        <v>67062390.064373113</v>
      </c>
      <c r="AH125" s="220">
        <f t="shared" ref="AH125:AH131" si="79">(AH124/AH123)*AH124</f>
        <v>22966553.338583201</v>
      </c>
      <c r="AJ125" s="220">
        <f t="shared" si="71"/>
        <v>3746908.5886389795</v>
      </c>
      <c r="AK125" s="220">
        <f t="shared" si="71"/>
        <v>1657602.2830776016</v>
      </c>
      <c r="AM125" s="220">
        <f t="shared" ref="AM125:AM131" si="80">(AM124/AM123)*AM124</f>
        <v>7088885.0654494958</v>
      </c>
      <c r="AO125" s="220">
        <f t="shared" ref="AO125:AO131" si="81">(AO124/AO123)*AO124</f>
        <v>54039583.429435603</v>
      </c>
      <c r="AQ125" s="220">
        <f t="shared" ref="AQ125:AQ131" si="82">(AQ124/AQ123)*AQ124</f>
        <v>17681090.487150464</v>
      </c>
      <c r="AS125" s="220">
        <f t="shared" ref="AS125:AS131" si="83">(AS124/AS123)*AS124</f>
        <v>17466467.144303013</v>
      </c>
      <c r="AU125" s="220">
        <f t="shared" ref="AU125:AU131" si="84">(AU124/AU123)*AU124</f>
        <v>26047946.142119039</v>
      </c>
      <c r="AW125" s="220">
        <f t="shared" ref="AW125:AW131" si="85">(AW124/AW123)*AW124</f>
        <v>7081740.1384237753</v>
      </c>
      <c r="AY125" s="220">
        <f t="shared" ref="AY125:AY131" si="86">(AY124/AY123)*AY124</f>
        <v>25939374.533078179</v>
      </c>
      <c r="BA125" s="220">
        <f t="shared" ref="BA125:BA131" si="87">(BA124/BA123)*BA124</f>
        <v>6168597.7402759306</v>
      </c>
      <c r="BC125" s="220">
        <f t="shared" si="72"/>
        <v>31323864.782701276</v>
      </c>
      <c r="BD125" s="220">
        <f t="shared" si="72"/>
        <v>226400562.5147897</v>
      </c>
      <c r="BE125" s="212">
        <f t="shared" si="69"/>
        <v>1.9993823934472799E-2</v>
      </c>
    </row>
    <row r="126" spans="1:87" x14ac:dyDescent="0.2">
      <c r="A126" s="83"/>
      <c r="B126" s="336"/>
      <c r="C126" s="336"/>
      <c r="D126" s="336"/>
      <c r="E126" s="348"/>
      <c r="F126" s="348"/>
      <c r="G126" s="333"/>
      <c r="H126" s="336"/>
      <c r="I126" s="336"/>
      <c r="J126" s="348"/>
      <c r="K126" s="333"/>
      <c r="L126" s="336"/>
      <c r="U126" s="23">
        <v>2038</v>
      </c>
      <c r="V126" s="220">
        <f t="shared" si="73"/>
        <v>15266286.580699014</v>
      </c>
      <c r="X126" s="220">
        <f t="shared" si="74"/>
        <v>13082535.940158507</v>
      </c>
      <c r="Z126" s="220">
        <f t="shared" si="75"/>
        <v>2107791.2663428667</v>
      </c>
      <c r="AB126" s="220">
        <f t="shared" si="76"/>
        <v>920568.57993270434</v>
      </c>
      <c r="AD126" s="220">
        <f t="shared" si="77"/>
        <v>5428976.7723046159</v>
      </c>
      <c r="AF126" s="220">
        <f t="shared" si="78"/>
        <v>67163340.584536016</v>
      </c>
      <c r="AH126" s="220">
        <f t="shared" si="79"/>
        <v>23307353.339693852</v>
      </c>
      <c r="AJ126" s="220">
        <f t="shared" si="71"/>
        <v>3799056.6938292608</v>
      </c>
      <c r="AK126" s="220">
        <f t="shared" si="71"/>
        <v>1671549.5000753768</v>
      </c>
      <c r="AM126" s="220">
        <f t="shared" si="80"/>
        <v>7181600.8377890186</v>
      </c>
      <c r="AO126" s="220">
        <f t="shared" si="81"/>
        <v>54139038.529513605</v>
      </c>
      <c r="AQ126" s="220">
        <f t="shared" si="82"/>
        <v>17830088.697067514</v>
      </c>
      <c r="AS126" s="220">
        <f t="shared" si="83"/>
        <v>17639832.61508926</v>
      </c>
      <c r="AU126" s="220">
        <f t="shared" si="84"/>
        <v>26254494.751237985</v>
      </c>
      <c r="AW126" s="220">
        <f t="shared" si="85"/>
        <v>7096448.403083167</v>
      </c>
      <c r="AY126" s="220">
        <f t="shared" si="86"/>
        <v>26323858.914640356</v>
      </c>
      <c r="BA126" s="220">
        <f t="shared" si="87"/>
        <v>6176690.5083186077</v>
      </c>
      <c r="BC126" s="220">
        <f t="shared" si="72"/>
        <v>31459226.566747174</v>
      </c>
      <c r="BD126" s="220">
        <f t="shared" si="72"/>
        <v>230927175.50037602</v>
      </c>
      <c r="BE126" s="212">
        <f t="shared" si="69"/>
        <v>1.9993823934472799E-2</v>
      </c>
    </row>
    <row r="127" spans="1:87" x14ac:dyDescent="0.2">
      <c r="A127" s="83"/>
      <c r="B127" s="336"/>
      <c r="C127" s="334"/>
      <c r="D127" s="334"/>
      <c r="E127" s="334"/>
      <c r="F127" s="334"/>
      <c r="G127" s="334"/>
      <c r="H127" s="334"/>
      <c r="I127" s="334"/>
      <c r="J127" s="334"/>
      <c r="K127" s="334"/>
      <c r="L127" s="334"/>
      <c r="U127" s="23">
        <v>2039</v>
      </c>
      <c r="V127" s="220">
        <f t="shared" si="73"/>
        <v>15137726.79653354</v>
      </c>
      <c r="X127" s="220">
        <f t="shared" si="74"/>
        <v>13252593.045773819</v>
      </c>
      <c r="Z127" s="220">
        <f t="shared" si="75"/>
        <v>2139714.1103820745</v>
      </c>
      <c r="AB127" s="220">
        <f t="shared" si="76"/>
        <v>889992.83259292156</v>
      </c>
      <c r="AD127" s="220">
        <f t="shared" si="77"/>
        <v>5356022.5526006939</v>
      </c>
      <c r="AF127" s="220">
        <f t="shared" si="78"/>
        <v>67264443.067781538</v>
      </c>
      <c r="AH127" s="220">
        <f t="shared" si="79"/>
        <v>23653210.461872902</v>
      </c>
      <c r="AJ127" s="220">
        <f t="shared" si="71"/>
        <v>3851930.5773006515</v>
      </c>
      <c r="AK127" s="220">
        <f t="shared" si="71"/>
        <v>1685614.0702307634</v>
      </c>
      <c r="AM127" s="220">
        <f t="shared" si="80"/>
        <v>7275529.2429136904</v>
      </c>
      <c r="AO127" s="220">
        <f t="shared" si="81"/>
        <v>54238676.667955413</v>
      </c>
      <c r="AQ127" s="220">
        <f t="shared" si="82"/>
        <v>17980342.512037579</v>
      </c>
      <c r="AS127" s="220">
        <f t="shared" si="83"/>
        <v>17814918.845214684</v>
      </c>
      <c r="AU127" s="220">
        <f t="shared" si="84"/>
        <v>26462681.198814373</v>
      </c>
      <c r="AW127" s="220">
        <f t="shared" si="85"/>
        <v>7111187.2157498375</v>
      </c>
      <c r="AY127" s="220">
        <f t="shared" si="86"/>
        <v>26714042.286341123</v>
      </c>
      <c r="BA127" s="220">
        <f t="shared" si="87"/>
        <v>6184793.8935059505</v>
      </c>
      <c r="BC127" s="220">
        <f t="shared" si="72"/>
        <v>31595173.298171282</v>
      </c>
      <c r="BD127" s="220">
        <f t="shared" si="72"/>
        <v>235544292.78901562</v>
      </c>
      <c r="BE127" s="212">
        <f t="shared" si="69"/>
        <v>1.9993823934472799E-2</v>
      </c>
    </row>
    <row r="128" spans="1:87" x14ac:dyDescent="0.2">
      <c r="A128" s="334"/>
      <c r="B128" s="334"/>
      <c r="C128" s="348"/>
      <c r="D128" s="348"/>
      <c r="E128" s="348"/>
      <c r="F128" s="348"/>
      <c r="G128" s="73"/>
      <c r="H128" s="348"/>
      <c r="I128" s="348"/>
      <c r="J128" s="348"/>
      <c r="K128" s="73"/>
      <c r="L128" s="348"/>
      <c r="U128" s="23">
        <v>2040</v>
      </c>
      <c r="V128" s="220">
        <f t="shared" si="73"/>
        <v>15010249.63439388</v>
      </c>
      <c r="X128" s="220">
        <f t="shared" si="74"/>
        <v>13424860.687580474</v>
      </c>
      <c r="Z128" s="220">
        <f t="shared" si="75"/>
        <v>2172120.431124039</v>
      </c>
      <c r="AB128" s="220">
        <f t="shared" si="76"/>
        <v>860432.62754489784</v>
      </c>
      <c r="AD128" s="220">
        <f t="shared" si="77"/>
        <v>5284048.6867269371</v>
      </c>
      <c r="AF128" s="220">
        <f t="shared" si="78"/>
        <v>67365697.742863104</v>
      </c>
      <c r="AH128" s="220">
        <f t="shared" si="79"/>
        <v>24004199.747589294</v>
      </c>
      <c r="AJ128" s="220">
        <f t="shared" si="71"/>
        <v>3905540.34017018</v>
      </c>
      <c r="AK128" s="220">
        <f t="shared" si="71"/>
        <v>1699796.9809639475</v>
      </c>
      <c r="AM128" s="220">
        <f t="shared" si="80"/>
        <v>7370686.1408895431</v>
      </c>
      <c r="AO128" s="220">
        <f t="shared" si="81"/>
        <v>54338498.181627035</v>
      </c>
      <c r="AQ128" s="220">
        <f t="shared" si="82"/>
        <v>18131862.513020322</v>
      </c>
      <c r="AS128" s="220">
        <f t="shared" si="83"/>
        <v>17991742.914278176</v>
      </c>
      <c r="AU128" s="220">
        <f t="shared" si="84"/>
        <v>26672518.472177554</v>
      </c>
      <c r="AW128" s="220">
        <f t="shared" si="85"/>
        <v>7125956.6398697989</v>
      </c>
      <c r="AY128" s="220">
        <f t="shared" si="86"/>
        <v>27110009.121022962</v>
      </c>
      <c r="BA128" s="220">
        <f t="shared" si="87"/>
        <v>6192907.9097669087</v>
      </c>
      <c r="BC128" s="220">
        <f t="shared" si="72"/>
        <v>31731707.504743442</v>
      </c>
      <c r="BD128" s="220">
        <f t="shared" si="72"/>
        <v>240253723.90780911</v>
      </c>
      <c r="BE128" s="212">
        <f t="shared" si="69"/>
        <v>1.9993823934472799E-2</v>
      </c>
    </row>
    <row r="129" spans="1:57" x14ac:dyDescent="0.2">
      <c r="A129" s="334"/>
      <c r="B129" s="348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U129" s="23">
        <v>2041</v>
      </c>
      <c r="V129" s="220">
        <f t="shared" si="73"/>
        <v>14883845.977350831</v>
      </c>
      <c r="X129" s="220">
        <f t="shared" si="74"/>
        <v>13599367.599868847</v>
      </c>
      <c r="Z129" s="220">
        <f t="shared" si="75"/>
        <v>2205017.5509026297</v>
      </c>
      <c r="AB129" s="220">
        <f t="shared" si="76"/>
        <v>831854.23458623153</v>
      </c>
      <c r="AD129" s="220">
        <f t="shared" si="77"/>
        <v>5213042.000755419</v>
      </c>
      <c r="AF129" s="220">
        <f t="shared" si="78"/>
        <v>67467104.838878497</v>
      </c>
      <c r="AH129" s="220">
        <f t="shared" si="79"/>
        <v>24360397.35286494</v>
      </c>
      <c r="AJ129" s="220">
        <f t="shared" si="71"/>
        <v>3959896.2241385318</v>
      </c>
      <c r="AK129" s="220">
        <f t="shared" si="71"/>
        <v>1714099.2280033585</v>
      </c>
      <c r="AM129" s="220">
        <f t="shared" si="80"/>
        <v>7467087.5992169622</v>
      </c>
      <c r="AO129" s="220">
        <f t="shared" si="81"/>
        <v>54438503.408014446</v>
      </c>
      <c r="AQ129" s="220">
        <f t="shared" si="82"/>
        <v>18284659.370140951</v>
      </c>
      <c r="AS129" s="220">
        <f t="shared" si="83"/>
        <v>18170322.0714042</v>
      </c>
      <c r="AU129" s="220">
        <f t="shared" si="84"/>
        <v>26884019.661640607</v>
      </c>
      <c r="AW129" s="220">
        <f t="shared" si="85"/>
        <v>7140756.7390208365</v>
      </c>
      <c r="AY129" s="220">
        <f t="shared" si="86"/>
        <v>27511845.143620554</v>
      </c>
      <c r="BA129" s="220">
        <f t="shared" si="87"/>
        <v>6201032.5710487058</v>
      </c>
      <c r="BC129" s="220">
        <f t="shared" si="72"/>
        <v>31868831.725156907</v>
      </c>
      <c r="BD129" s="220">
        <f t="shared" si="72"/>
        <v>245057314.56322327</v>
      </c>
      <c r="BE129" s="212">
        <f t="shared" si="69"/>
        <v>1.9993823934472799E-2</v>
      </c>
    </row>
    <row r="130" spans="1:57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U130" s="23">
        <v>2042</v>
      </c>
      <c r="V130" s="220">
        <f t="shared" si="73"/>
        <v>14758506.785250273</v>
      </c>
      <c r="X130" s="220">
        <f t="shared" si="74"/>
        <v>13776142.890440252</v>
      </c>
      <c r="Z130" s="220">
        <f t="shared" si="75"/>
        <v>2238412.9029496619</v>
      </c>
      <c r="AB130" s="220">
        <f t="shared" si="76"/>
        <v>804225.04382882337</v>
      </c>
      <c r="AD130" s="220">
        <f t="shared" si="77"/>
        <v>5142989.4977885587</v>
      </c>
      <c r="AF130" s="220">
        <f t="shared" si="78"/>
        <v>67568664.58527036</v>
      </c>
      <c r="AH130" s="220">
        <f t="shared" si="79"/>
        <v>24721880.563798688</v>
      </c>
      <c r="AJ130" s="220">
        <f t="shared" si="71"/>
        <v>4015008.6134466422</v>
      </c>
      <c r="AK130" s="220">
        <f t="shared" si="71"/>
        <v>1728521.8154555757</v>
      </c>
      <c r="AM130" s="220">
        <f t="shared" si="80"/>
        <v>7564749.8955437224</v>
      </c>
      <c r="AO130" s="220">
        <f t="shared" si="81"/>
        <v>54538692.685224749</v>
      </c>
      <c r="AQ130" s="220">
        <f t="shared" si="82"/>
        <v>18438743.843441617</v>
      </c>
      <c r="AS130" s="220">
        <f t="shared" si="83"/>
        <v>18350673.736925423</v>
      </c>
      <c r="AU130" s="220">
        <f t="shared" si="84"/>
        <v>27097197.961316966</v>
      </c>
      <c r="AW130" s="220">
        <f t="shared" si="85"/>
        <v>7155587.5769127831</v>
      </c>
      <c r="AY130" s="220">
        <f t="shared" si="86"/>
        <v>27919637.34971983</v>
      </c>
      <c r="BA130" s="220">
        <f t="shared" si="87"/>
        <v>6209167.8913168637</v>
      </c>
      <c r="BC130" s="220">
        <f t="shared" si="72"/>
        <v>32006548.509075541</v>
      </c>
      <c r="BD130" s="220">
        <f t="shared" si="72"/>
        <v>249956947.36445507</v>
      </c>
      <c r="BE130" s="212">
        <f t="shared" si="69"/>
        <v>1.9993823934472799E-2</v>
      </c>
    </row>
    <row r="131" spans="1:57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U131" s="23">
        <v>2043</v>
      </c>
      <c r="V131" s="220">
        <f t="shared" si="73"/>
        <v>14634223.094066637</v>
      </c>
      <c r="X131" s="220">
        <f t="shared" si="74"/>
        <v>13955216.045462126</v>
      </c>
      <c r="Z131" s="220">
        <f t="shared" si="75"/>
        <v>2272314.0330744646</v>
      </c>
      <c r="AB131" s="220">
        <f t="shared" si="76"/>
        <v>777513.52848877839</v>
      </c>
      <c r="AD131" s="220">
        <f t="shared" si="77"/>
        <v>5073878.3555801976</v>
      </c>
      <c r="AF131" s="220">
        <f t="shared" si="78"/>
        <v>67670377.211826742</v>
      </c>
      <c r="AH131" s="220">
        <f t="shared" si="79"/>
        <v>25088727.813335512</v>
      </c>
      <c r="AJ131" s="220">
        <f t="shared" si="71"/>
        <v>4070888.0368595184</v>
      </c>
      <c r="AK131" s="220">
        <f t="shared" si="71"/>
        <v>1743065.7558758236</v>
      </c>
      <c r="AM131" s="220">
        <f t="shared" si="80"/>
        <v>7663689.520413517</v>
      </c>
      <c r="AO131" s="220">
        <f t="shared" si="81"/>
        <v>54639066.351987287</v>
      </c>
      <c r="AQ131" s="220">
        <f t="shared" si="82"/>
        <v>18594126.783639133</v>
      </c>
      <c r="AS131" s="220">
        <f t="shared" si="83"/>
        <v>18532815.504082073</v>
      </c>
      <c r="AU131" s="220">
        <f t="shared" si="84"/>
        <v>27312066.669943504</v>
      </c>
      <c r="AW131" s="220">
        <f t="shared" si="85"/>
        <v>7170449.2173877917</v>
      </c>
      <c r="AY131" s="220">
        <f t="shared" si="86"/>
        <v>28333474.024392083</v>
      </c>
      <c r="BA131" s="220">
        <f t="shared" si="87"/>
        <v>6217313.8845552262</v>
      </c>
      <c r="BC131" s="220">
        <f t="shared" si="72"/>
        <v>32144860.417181231</v>
      </c>
      <c r="BD131" s="220">
        <f t="shared" si="72"/>
        <v>254954542.56125829</v>
      </c>
      <c r="BE131" s="212">
        <f t="shared" si="69"/>
        <v>1.9993823934472799E-2</v>
      </c>
    </row>
    <row r="132" spans="1:57" x14ac:dyDescent="0.2">
      <c r="A132" s="30"/>
      <c r="B132" s="30"/>
    </row>
  </sheetData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P36" sqref="P36"/>
    </sheetView>
  </sheetViews>
  <sheetFormatPr defaultRowHeight="12.75" x14ac:dyDescent="0.2"/>
  <cols>
    <col min="1" max="1" width="14.85546875" bestFit="1" customWidth="1"/>
    <col min="2" max="2" width="12" customWidth="1"/>
  </cols>
  <sheetData>
    <row r="3" spans="1:2" x14ac:dyDescent="0.2">
      <c r="A3" t="s">
        <v>195</v>
      </c>
    </row>
    <row r="4" spans="1:2" x14ac:dyDescent="0.2">
      <c r="A4" t="s">
        <v>15</v>
      </c>
      <c r="B4" t="s">
        <v>193</v>
      </c>
    </row>
    <row r="5" spans="1:2" x14ac:dyDescent="0.2">
      <c r="A5">
        <v>2025</v>
      </c>
      <c r="B5" s="208">
        <v>8.3275989943828534</v>
      </c>
    </row>
    <row r="6" spans="1:2" x14ac:dyDescent="0.2">
      <c r="A6">
        <v>2026</v>
      </c>
      <c r="B6" s="208">
        <v>8.3494125211931092</v>
      </c>
    </row>
    <row r="7" spans="1:2" x14ac:dyDescent="0.2">
      <c r="A7">
        <v>2027</v>
      </c>
      <c r="B7" s="208">
        <v>8.3668992443359684</v>
      </c>
    </row>
    <row r="8" spans="1:2" x14ac:dyDescent="0.2">
      <c r="A8">
        <v>2028</v>
      </c>
      <c r="B8" s="208">
        <v>8.3820133515158552</v>
      </c>
    </row>
    <row r="9" spans="1:2" x14ac:dyDescent="0.2">
      <c r="A9">
        <v>2029</v>
      </c>
      <c r="B9" s="208">
        <v>8.3945062409389717</v>
      </c>
    </row>
    <row r="10" spans="1:2" x14ac:dyDescent="0.2">
      <c r="A10">
        <v>2030</v>
      </c>
      <c r="B10" s="208">
        <v>8.405648247040185</v>
      </c>
    </row>
    <row r="11" spans="1:2" x14ac:dyDescent="0.2">
      <c r="A11">
        <v>2031</v>
      </c>
      <c r="B11" s="208">
        <v>8.4157941304593287</v>
      </c>
    </row>
    <row r="12" spans="1:2" x14ac:dyDescent="0.2">
      <c r="A12">
        <v>2032</v>
      </c>
      <c r="B12" s="208">
        <v>8.4249576911533275</v>
      </c>
    </row>
    <row r="13" spans="1:2" x14ac:dyDescent="0.2">
      <c r="A13">
        <v>2033</v>
      </c>
      <c r="B13" s="208">
        <v>8.4317027270645557</v>
      </c>
    </row>
    <row r="14" spans="1:2" x14ac:dyDescent="0.2">
      <c r="A14">
        <v>2034</v>
      </c>
      <c r="B14" s="208">
        <v>8.436276245805697</v>
      </c>
    </row>
    <row r="15" spans="1:2" x14ac:dyDescent="0.2">
      <c r="A15">
        <v>2035</v>
      </c>
      <c r="B15" s="208">
        <v>8.4384683863519196</v>
      </c>
    </row>
    <row r="16" spans="1:2" x14ac:dyDescent="0.2">
      <c r="A16">
        <v>2036</v>
      </c>
      <c r="B16" s="208">
        <v>8.4406605268981423</v>
      </c>
    </row>
    <row r="17" spans="1:2" x14ac:dyDescent="0.2">
      <c r="A17">
        <v>2037</v>
      </c>
      <c r="B17" s="208">
        <v>8.4428526674443649</v>
      </c>
    </row>
    <row r="18" spans="1:2" x14ac:dyDescent="0.2">
      <c r="A18">
        <v>2038</v>
      </c>
      <c r="B18" s="208">
        <v>8.4450448079905875</v>
      </c>
    </row>
    <row r="19" spans="1:2" x14ac:dyDescent="0.2">
      <c r="A19">
        <v>2039</v>
      </c>
      <c r="B19" s="208">
        <v>8.4472369485368102</v>
      </c>
    </row>
    <row r="20" spans="1:2" x14ac:dyDescent="0.2">
      <c r="A20">
        <v>2040</v>
      </c>
      <c r="B20" s="208">
        <v>8.4494290890830328</v>
      </c>
    </row>
    <row r="21" spans="1:2" x14ac:dyDescent="0.2">
      <c r="A21">
        <v>2041</v>
      </c>
      <c r="B21" s="208">
        <v>8.4516212296292554</v>
      </c>
    </row>
    <row r="22" spans="1:2" x14ac:dyDescent="0.2">
      <c r="A22">
        <v>2042</v>
      </c>
      <c r="B22" s="208">
        <v>8.4538133701754781</v>
      </c>
    </row>
    <row r="23" spans="1:2" x14ac:dyDescent="0.2">
      <c r="A23" t="s">
        <v>194</v>
      </c>
      <c r="B23" s="208">
        <v>151.50393641999946</v>
      </c>
    </row>
  </sheetData>
  <pageMargins left="0.7" right="0.7" top="0.75" bottom="0.75" header="0.3" footer="0.3"/>
  <pageSetup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"/>
  <sheetViews>
    <sheetView tabSelected="1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" style="17" bestFit="1" customWidth="1"/>
    <col min="2" max="2" width="8" style="16" bestFit="1" customWidth="1"/>
    <col min="3" max="3" width="8.28515625" style="16" bestFit="1" customWidth="1"/>
    <col min="4" max="4" width="8.42578125" style="16" bestFit="1" customWidth="1"/>
    <col min="5" max="5" width="2.28515625" style="16" customWidth="1"/>
    <col min="6" max="6" width="13.85546875" style="16" bestFit="1" customWidth="1"/>
    <col min="7" max="7" width="9.140625" style="16"/>
    <col min="8" max="8" width="8.85546875" style="16" customWidth="1"/>
    <col min="9" max="9" width="11.5703125" style="16" bestFit="1" customWidth="1"/>
    <col min="10" max="10" width="6.85546875" style="354" customWidth="1"/>
    <col min="11" max="11" width="13.85546875" style="48" bestFit="1" customWidth="1"/>
    <col min="12" max="12" width="11.140625" style="48" customWidth="1"/>
    <col min="13" max="13" width="14.42578125" style="52" bestFit="1" customWidth="1"/>
    <col min="14" max="14" width="14.28515625" style="52" bestFit="1" customWidth="1"/>
    <col min="15" max="15" width="10.140625" style="48" bestFit="1" customWidth="1"/>
    <col min="16" max="16" width="10" style="48" bestFit="1" customWidth="1"/>
    <col min="17" max="17" width="12.5703125" style="52" bestFit="1" customWidth="1"/>
    <col min="18" max="18" width="12.42578125" style="17" bestFit="1" customWidth="1"/>
    <col min="19" max="16384" width="9.140625" style="17"/>
  </cols>
  <sheetData>
    <row r="1" spans="1:18" s="19" customFormat="1" ht="25.5" x14ac:dyDescent="0.2">
      <c r="A1" s="19" t="s">
        <v>15</v>
      </c>
      <c r="B1" s="107" t="s">
        <v>138</v>
      </c>
      <c r="C1" s="108" t="s">
        <v>139</v>
      </c>
      <c r="D1" s="108" t="s">
        <v>140</v>
      </c>
      <c r="E1" s="45"/>
      <c r="F1" s="46" t="s">
        <v>107</v>
      </c>
      <c r="G1" s="46" t="s">
        <v>108</v>
      </c>
      <c r="H1" s="46" t="s">
        <v>109</v>
      </c>
      <c r="I1" s="47" t="s">
        <v>110</v>
      </c>
      <c r="J1" s="353"/>
      <c r="K1" s="48" t="s">
        <v>111</v>
      </c>
      <c r="L1" s="48" t="s">
        <v>112</v>
      </c>
      <c r="M1" s="52" t="s">
        <v>141</v>
      </c>
      <c r="N1" s="52" t="s">
        <v>142</v>
      </c>
      <c r="O1" s="48" t="s">
        <v>143</v>
      </c>
      <c r="P1" s="48" t="s">
        <v>144</v>
      </c>
      <c r="Q1" s="52" t="s">
        <v>145</v>
      </c>
      <c r="R1" s="52" t="s">
        <v>146</v>
      </c>
    </row>
    <row r="2" spans="1:18" x14ac:dyDescent="0.2">
      <c r="A2" s="17">
        <v>1995</v>
      </c>
      <c r="K2" s="355">
        <f t="shared" ref="K2:K11" si="0">(K3/K4)*K3</f>
        <v>1423.3373990267442</v>
      </c>
      <c r="L2" s="355">
        <f t="shared" ref="L2:L37" si="1">892 + 1.44*K2</f>
        <v>2941.6058545985115</v>
      </c>
      <c r="M2" s="128">
        <v>1.0769109708374249</v>
      </c>
      <c r="N2" s="129">
        <v>1.02</v>
      </c>
      <c r="O2" s="355">
        <f t="shared" ref="O2:O50" si="2">L2*M2</f>
        <v>3167.8476166967362</v>
      </c>
      <c r="P2" s="355">
        <f t="shared" ref="P2:P37" si="3">L2*N2</f>
        <v>3000.4379716904818</v>
      </c>
      <c r="Q2" s="356">
        <f t="shared" ref="Q2:Q50" si="4">O2/$O$12</f>
        <v>1.0198337590194564</v>
      </c>
      <c r="R2" s="357">
        <f t="shared" ref="R2:R50" si="5">P2/P$12</f>
        <v>0.96593911880286998</v>
      </c>
    </row>
    <row r="3" spans="1:18" x14ac:dyDescent="0.2">
      <c r="A3" s="17">
        <v>1996</v>
      </c>
      <c r="K3" s="355">
        <f t="shared" si="0"/>
        <v>1434.3768897463565</v>
      </c>
      <c r="L3" s="355">
        <f t="shared" si="1"/>
        <v>2957.5027212347532</v>
      </c>
      <c r="M3" s="128">
        <v>1.0705869871632039</v>
      </c>
      <c r="N3" s="129">
        <v>1.018</v>
      </c>
      <c r="O3" s="355">
        <f t="shared" si="2"/>
        <v>3166.2639278536913</v>
      </c>
      <c r="P3" s="355">
        <f t="shared" si="3"/>
        <v>3010.7377702169788</v>
      </c>
      <c r="Q3" s="356">
        <f t="shared" si="4"/>
        <v>1.0193239177829629</v>
      </c>
      <c r="R3" s="357">
        <f t="shared" si="5"/>
        <v>0.96925496082540186</v>
      </c>
    </row>
    <row r="4" spans="1:18" x14ac:dyDescent="0.2">
      <c r="A4" s="17">
        <v>1997</v>
      </c>
      <c r="B4" s="50"/>
      <c r="C4" s="50"/>
      <c r="D4" s="50"/>
      <c r="E4" s="50"/>
      <c r="F4" s="109"/>
      <c r="I4" s="50"/>
      <c r="K4" s="355">
        <f t="shared" si="0"/>
        <v>1445.5020034218694</v>
      </c>
      <c r="L4" s="355">
        <f t="shared" si="1"/>
        <v>2973.5228849274918</v>
      </c>
      <c r="M4" s="128">
        <v>1.0638591592086974</v>
      </c>
      <c r="N4" s="129">
        <v>1.016</v>
      </c>
      <c r="O4" s="355">
        <f t="shared" si="2"/>
        <v>3163.4095562467819</v>
      </c>
      <c r="P4" s="355">
        <f t="shared" si="3"/>
        <v>3021.0992510863316</v>
      </c>
      <c r="Q4" s="356">
        <f t="shared" si="4"/>
        <v>1.0184050022043947</v>
      </c>
      <c r="R4" s="357">
        <f t="shared" si="5"/>
        <v>0.9725906604115514</v>
      </c>
    </row>
    <row r="5" spans="1:18" x14ac:dyDescent="0.2">
      <c r="A5" s="17">
        <v>1998</v>
      </c>
      <c r="B5" s="50"/>
      <c r="C5" s="50"/>
      <c r="D5" s="50"/>
      <c r="E5" s="50"/>
      <c r="I5" s="50"/>
      <c r="K5" s="355">
        <f t="shared" si="0"/>
        <v>1456.7134041500935</v>
      </c>
      <c r="L5" s="355">
        <f t="shared" si="1"/>
        <v>2989.6673019761347</v>
      </c>
      <c r="M5" s="128">
        <v>1.05674953017865</v>
      </c>
      <c r="N5" s="129">
        <v>1.014</v>
      </c>
      <c r="O5" s="355">
        <f t="shared" si="2"/>
        <v>3159.3295167537526</v>
      </c>
      <c r="P5" s="355">
        <f t="shared" si="3"/>
        <v>3031.5226442038006</v>
      </c>
      <c r="Q5" s="356">
        <f t="shared" si="4"/>
        <v>1.0170915040452051</v>
      </c>
      <c r="R5" s="357">
        <f t="shared" si="5"/>
        <v>0.97594629157534163</v>
      </c>
    </row>
    <row r="6" spans="1:18" x14ac:dyDescent="0.2">
      <c r="A6" s="17">
        <v>1999</v>
      </c>
      <c r="B6" s="50"/>
      <c r="C6" s="50"/>
      <c r="D6" s="50"/>
      <c r="E6" s="50"/>
      <c r="I6" s="50"/>
      <c r="K6" s="355">
        <f t="shared" si="0"/>
        <v>1468.0117611786143</v>
      </c>
      <c r="L6" s="355">
        <f t="shared" si="1"/>
        <v>3005.9369360972046</v>
      </c>
      <c r="M6" s="128">
        <v>1.0492894712926248</v>
      </c>
      <c r="N6" s="129">
        <v>1.012</v>
      </c>
      <c r="O6" s="355">
        <f t="shared" si="2"/>
        <v>3154.0979784164083</v>
      </c>
      <c r="P6" s="355">
        <f t="shared" si="3"/>
        <v>3042.0081793303711</v>
      </c>
      <c r="Q6" s="356">
        <f t="shared" si="4"/>
        <v>1.015407300745808</v>
      </c>
      <c r="R6" s="357">
        <f t="shared" si="5"/>
        <v>0.97932192828434839</v>
      </c>
    </row>
    <row r="7" spans="1:18" x14ac:dyDescent="0.2">
      <c r="A7" s="17">
        <v>2000</v>
      </c>
      <c r="B7" s="50"/>
      <c r="C7" s="50"/>
      <c r="D7" s="50"/>
      <c r="E7" s="50"/>
      <c r="I7" s="50"/>
      <c r="K7" s="355">
        <f t="shared" si="0"/>
        <v>1479.3977489457418</v>
      </c>
      <c r="L7" s="355">
        <f t="shared" si="1"/>
        <v>3022.332758481868</v>
      </c>
      <c r="M7" s="128">
        <v>1.0415196731996021</v>
      </c>
      <c r="N7" s="129">
        <v>1.01</v>
      </c>
      <c r="O7" s="355">
        <f t="shared" si="2"/>
        <v>3147.8190269144875</v>
      </c>
      <c r="P7" s="355">
        <f t="shared" si="3"/>
        <v>3052.5560860666869</v>
      </c>
      <c r="Q7" s="356">
        <f t="shared" si="4"/>
        <v>1.0133859008908548</v>
      </c>
      <c r="R7" s="357">
        <f t="shared" si="5"/>
        <v>0.98271764445452847</v>
      </c>
    </row>
    <row r="8" spans="1:18" x14ac:dyDescent="0.2">
      <c r="A8" s="17">
        <v>2001</v>
      </c>
      <c r="B8" s="117"/>
      <c r="C8" s="117"/>
      <c r="D8" s="117"/>
      <c r="E8" s="39"/>
      <c r="F8" s="39"/>
      <c r="G8" s="39"/>
      <c r="H8" s="39"/>
      <c r="I8" s="358"/>
      <c r="K8" s="355">
        <f t="shared" si="0"/>
        <v>1490.8720471207703</v>
      </c>
      <c r="L8" s="355">
        <f t="shared" si="1"/>
        <v>3038.8557478539092</v>
      </c>
      <c r="M8" s="128">
        <v>1.0334896671545859</v>
      </c>
      <c r="N8" s="129">
        <v>1.008</v>
      </c>
      <c r="O8" s="355">
        <f t="shared" si="2"/>
        <v>3140.6260153803369</v>
      </c>
      <c r="P8" s="355">
        <f t="shared" si="3"/>
        <v>3063.1665938367405</v>
      </c>
      <c r="Q8" s="356">
        <f t="shared" si="4"/>
        <v>1.0110702352152461</v>
      </c>
      <c r="R8" s="357">
        <f t="shared" si="5"/>
        <v>0.98613351394496884</v>
      </c>
    </row>
    <row r="9" spans="1:18" x14ac:dyDescent="0.2">
      <c r="A9" s="17">
        <v>2002</v>
      </c>
      <c r="B9" s="359"/>
      <c r="C9" s="359"/>
      <c r="D9" s="359"/>
      <c r="E9" s="51"/>
      <c r="F9" s="39"/>
      <c r="G9" s="39"/>
      <c r="H9" s="39"/>
      <c r="I9" s="358"/>
      <c r="K9" s="355">
        <f t="shared" si="0"/>
        <v>1502.4353406445503</v>
      </c>
      <c r="L9" s="355">
        <f t="shared" si="1"/>
        <v>3055.5068905281523</v>
      </c>
      <c r="M9" s="128">
        <v>1.0252568484637279</v>
      </c>
      <c r="N9" s="129">
        <v>1.006</v>
      </c>
      <c r="O9" s="355">
        <f t="shared" si="2"/>
        <v>3132.6793650420982</v>
      </c>
      <c r="P9" s="355">
        <f t="shared" si="3"/>
        <v>3073.8399318713214</v>
      </c>
      <c r="Q9" s="356">
        <f t="shared" si="4"/>
        <v>1.0085119485592391</v>
      </c>
      <c r="R9" s="357">
        <f t="shared" si="5"/>
        <v>0.98956961055255832</v>
      </c>
    </row>
    <row r="10" spans="1:18" x14ac:dyDescent="0.2">
      <c r="A10" s="17">
        <v>2003</v>
      </c>
      <c r="B10" s="359"/>
      <c r="C10" s="359"/>
      <c r="D10" s="359"/>
      <c r="E10" s="51"/>
      <c r="F10" s="39"/>
      <c r="G10" s="39"/>
      <c r="H10" s="39"/>
      <c r="I10" s="358"/>
      <c r="K10" s="355">
        <f t="shared" si="0"/>
        <v>1514.0883197703747</v>
      </c>
      <c r="L10" s="355">
        <f t="shared" si="1"/>
        <v>3072.2871804693395</v>
      </c>
      <c r="M10" s="128">
        <v>1.0168850184771556</v>
      </c>
      <c r="N10" s="129">
        <v>1.004</v>
      </c>
      <c r="O10" s="355">
        <f t="shared" si="2"/>
        <v>3124.1628062786926</v>
      </c>
      <c r="P10" s="355">
        <f t="shared" si="3"/>
        <v>3084.5763291912167</v>
      </c>
      <c r="Q10" s="356">
        <f t="shared" si="4"/>
        <v>1.0057701897411016</v>
      </c>
      <c r="R10" s="357">
        <f t="shared" si="5"/>
        <v>0.9930260080065787</v>
      </c>
    </row>
    <row r="11" spans="1:18" x14ac:dyDescent="0.2">
      <c r="A11" s="17">
        <v>2004</v>
      </c>
      <c r="B11" s="359"/>
      <c r="C11" s="359"/>
      <c r="D11" s="359"/>
      <c r="E11" s="51"/>
      <c r="F11" s="39"/>
      <c r="G11" s="39"/>
      <c r="H11" s="39"/>
      <c r="I11" s="358"/>
      <c r="K11" s="355">
        <f t="shared" si="0"/>
        <v>1525.8316801051826</v>
      </c>
      <c r="L11" s="355">
        <f t="shared" si="1"/>
        <v>3089.1976193514629</v>
      </c>
      <c r="M11" s="130">
        <v>1.0084425092385778</v>
      </c>
      <c r="N11" s="129">
        <v>1.002</v>
      </c>
      <c r="O11" s="355">
        <f t="shared" si="2"/>
        <v>3115.2781987926301</v>
      </c>
      <c r="P11" s="355">
        <f t="shared" si="3"/>
        <v>3095.3760145901656</v>
      </c>
      <c r="Q11" s="356">
        <f t="shared" si="4"/>
        <v>1.0029099440013234</v>
      </c>
      <c r="R11" s="357">
        <f t="shared" si="5"/>
        <v>0.99650277996321801</v>
      </c>
    </row>
    <row r="12" spans="1:18" x14ac:dyDescent="0.2">
      <c r="A12" s="17">
        <v>2005</v>
      </c>
      <c r="B12" s="121">
        <v>9289.1067809006363</v>
      </c>
      <c r="C12" s="121">
        <v>583.58132045088564</v>
      </c>
      <c r="D12" s="121">
        <v>726.06621621621616</v>
      </c>
      <c r="E12" s="51"/>
      <c r="F12" s="133">
        <v>5438660</v>
      </c>
      <c r="G12" s="133">
        <v>729591</v>
      </c>
      <c r="H12" s="133">
        <v>724503</v>
      </c>
      <c r="I12" s="358">
        <f>(F12+G12+H12)</f>
        <v>6892754</v>
      </c>
      <c r="K12" s="355">
        <f t="shared" ref="K12:K37" si="6">(SUM(B12:D12)*1000000)/I12</f>
        <v>1537.6661226510823</v>
      </c>
      <c r="L12" s="355">
        <f t="shared" si="1"/>
        <v>3106.2392166175587</v>
      </c>
      <c r="M12" s="115">
        <v>1</v>
      </c>
      <c r="N12" s="115">
        <v>1</v>
      </c>
      <c r="O12" s="355">
        <f t="shared" si="2"/>
        <v>3106.2392166175587</v>
      </c>
      <c r="P12" s="355">
        <f t="shared" si="3"/>
        <v>3106.2392166175587</v>
      </c>
      <c r="Q12" s="356">
        <f t="shared" si="4"/>
        <v>1</v>
      </c>
      <c r="R12" s="357">
        <f t="shared" si="5"/>
        <v>1</v>
      </c>
    </row>
    <row r="13" spans="1:18" x14ac:dyDescent="0.2">
      <c r="A13" s="17">
        <v>2006</v>
      </c>
      <c r="B13" s="134">
        <v>9429</v>
      </c>
      <c r="C13" s="134">
        <v>602</v>
      </c>
      <c r="D13" s="134">
        <v>733</v>
      </c>
      <c r="E13" s="51"/>
      <c r="F13" s="133">
        <v>5486469</v>
      </c>
      <c r="G13" s="133">
        <v>739843</v>
      </c>
      <c r="H13" s="133">
        <v>720031</v>
      </c>
      <c r="I13" s="358">
        <f t="shared" ref="I13:I50" si="7">(F13+G13+H13)</f>
        <v>6946343</v>
      </c>
      <c r="J13" s="354">
        <f>I13/I12-1</f>
        <v>7.7746862864973565E-3</v>
      </c>
      <c r="K13" s="355">
        <f t="shared" si="6"/>
        <v>1549.592353847197</v>
      </c>
      <c r="L13" s="355">
        <f t="shared" si="1"/>
        <v>3123.4129895399637</v>
      </c>
      <c r="M13" s="115">
        <v>0.98678549999999998</v>
      </c>
      <c r="N13" s="115">
        <v>0.98678549999999998</v>
      </c>
      <c r="O13" s="355">
        <f t="shared" si="2"/>
        <v>3082.1386485896878</v>
      </c>
      <c r="P13" s="355">
        <f t="shared" si="3"/>
        <v>3082.1386485896878</v>
      </c>
      <c r="Q13" s="356">
        <f t="shared" si="4"/>
        <v>0.99224123889140958</v>
      </c>
      <c r="R13" s="357">
        <f t="shared" si="5"/>
        <v>0.99224123889140958</v>
      </c>
    </row>
    <row r="14" spans="1:18" x14ac:dyDescent="0.2">
      <c r="A14" s="17">
        <v>2007</v>
      </c>
      <c r="B14" s="134">
        <v>9571</v>
      </c>
      <c r="C14" s="134">
        <v>621</v>
      </c>
      <c r="D14" s="134">
        <v>740</v>
      </c>
      <c r="E14" s="51"/>
      <c r="F14" s="133">
        <v>5543666</v>
      </c>
      <c r="G14" s="133">
        <v>756913</v>
      </c>
      <c r="H14" s="133">
        <v>721521</v>
      </c>
      <c r="I14" s="358">
        <f t="shared" si="7"/>
        <v>7022100</v>
      </c>
      <c r="J14" s="354">
        <f t="shared" ref="J14:J50" si="8">I14/I13-1</f>
        <v>1.0906026379636113E-2</v>
      </c>
      <c r="K14" s="355">
        <f t="shared" si="6"/>
        <v>1556.7992480881787</v>
      </c>
      <c r="L14" s="355">
        <f t="shared" si="1"/>
        <v>3133.7909172469772</v>
      </c>
      <c r="M14" s="131">
        <v>0.97374562301024992</v>
      </c>
      <c r="N14" s="131">
        <v>0.97374562301024992</v>
      </c>
      <c r="O14" s="355">
        <f t="shared" si="2"/>
        <v>3051.5151890985203</v>
      </c>
      <c r="P14" s="355">
        <f t="shared" si="3"/>
        <v>3051.5151890985203</v>
      </c>
      <c r="Q14" s="356">
        <f t="shared" si="4"/>
        <v>0.98238254567572281</v>
      </c>
      <c r="R14" s="357">
        <f t="shared" si="5"/>
        <v>0.98238254567572281</v>
      </c>
    </row>
    <row r="15" spans="1:18" x14ac:dyDescent="0.2">
      <c r="A15" s="17">
        <v>2008</v>
      </c>
      <c r="B15" s="134">
        <v>9658</v>
      </c>
      <c r="C15" s="134">
        <v>639</v>
      </c>
      <c r="D15" s="134">
        <v>744</v>
      </c>
      <c r="E15" s="51"/>
      <c r="F15" s="133">
        <v>5570130</v>
      </c>
      <c r="G15" s="133">
        <v>773341</v>
      </c>
      <c r="H15" s="133">
        <v>720847</v>
      </c>
      <c r="I15" s="358">
        <f t="shared" si="7"/>
        <v>7064318</v>
      </c>
      <c r="J15" s="354">
        <f t="shared" si="8"/>
        <v>6.0121616040784698E-3</v>
      </c>
      <c r="K15" s="355">
        <f t="shared" si="6"/>
        <v>1562.9251118083869</v>
      </c>
      <c r="L15" s="355">
        <f t="shared" si="1"/>
        <v>3142.6121610040768</v>
      </c>
      <c r="M15" s="131">
        <v>0.96683539081863046</v>
      </c>
      <c r="N15" s="131">
        <v>0.97115279176668401</v>
      </c>
      <c r="O15" s="355">
        <f t="shared" si="2"/>
        <v>3038.3886568757575</v>
      </c>
      <c r="P15" s="355">
        <f t="shared" si="3"/>
        <v>3051.9565735990409</v>
      </c>
      <c r="Q15" s="356">
        <f t="shared" si="4"/>
        <v>0.97815668562201563</v>
      </c>
      <c r="R15" s="357">
        <f t="shared" si="5"/>
        <v>0.98252464178286081</v>
      </c>
    </row>
    <row r="16" spans="1:18" x14ac:dyDescent="0.2">
      <c r="A16" s="17">
        <v>2009</v>
      </c>
      <c r="B16" s="134">
        <v>9747</v>
      </c>
      <c r="C16" s="134">
        <v>651</v>
      </c>
      <c r="D16" s="134">
        <v>746</v>
      </c>
      <c r="E16" s="51"/>
      <c r="F16" s="133">
        <v>5598720</v>
      </c>
      <c r="G16" s="133">
        <v>782545</v>
      </c>
      <c r="H16" s="133">
        <v>718446</v>
      </c>
      <c r="I16" s="358">
        <f t="shared" si="7"/>
        <v>7099711</v>
      </c>
      <c r="J16" s="354">
        <f t="shared" si="8"/>
        <v>5.0101085483411634E-3</v>
      </c>
      <c r="K16" s="355">
        <f t="shared" si="6"/>
        <v>1569.6413558242018</v>
      </c>
      <c r="L16" s="355">
        <f t="shared" si="1"/>
        <v>3152.2835523868507</v>
      </c>
      <c r="M16" s="131">
        <v>0.9568684684490294</v>
      </c>
      <c r="N16" s="131">
        <v>0.96646709673878217</v>
      </c>
      <c r="O16" s="355">
        <f t="shared" si="2"/>
        <v>3016.3207348894716</v>
      </c>
      <c r="P16" s="355">
        <f t="shared" si="3"/>
        <v>3046.5783329727342</v>
      </c>
      <c r="Q16" s="356">
        <f t="shared" si="4"/>
        <v>0.97105229975623031</v>
      </c>
      <c r="R16" s="357">
        <f t="shared" si="5"/>
        <v>0.98079321021843568</v>
      </c>
    </row>
    <row r="17" spans="1:18" x14ac:dyDescent="0.2">
      <c r="A17" s="17">
        <v>2010</v>
      </c>
      <c r="B17" s="134">
        <v>9830</v>
      </c>
      <c r="C17" s="134">
        <v>660</v>
      </c>
      <c r="D17" s="134">
        <v>744</v>
      </c>
      <c r="E17" s="51"/>
      <c r="F17" s="133">
        <v>5622533</v>
      </c>
      <c r="G17" s="133">
        <v>788535</v>
      </c>
      <c r="H17" s="133">
        <v>712309</v>
      </c>
      <c r="I17" s="358">
        <f t="shared" si="7"/>
        <v>7123377</v>
      </c>
      <c r="J17" s="354">
        <f t="shared" si="8"/>
        <v>3.3333751190718353E-3</v>
      </c>
      <c r="K17" s="355">
        <f t="shared" si="6"/>
        <v>1577.0609922793642</v>
      </c>
      <c r="L17" s="355">
        <f t="shared" si="1"/>
        <v>3162.9678288822843</v>
      </c>
      <c r="M17" s="131">
        <v>0.94624796025621982</v>
      </c>
      <c r="N17" s="131">
        <v>0.96128543399132438</v>
      </c>
      <c r="O17" s="355">
        <f t="shared" si="2"/>
        <v>2992.9518564359055</v>
      </c>
      <c r="P17" s="355">
        <f t="shared" si="3"/>
        <v>3040.5149020877038</v>
      </c>
      <c r="Q17" s="356">
        <f t="shared" si="4"/>
        <v>0.9635290934530748</v>
      </c>
      <c r="R17" s="357">
        <f t="shared" si="5"/>
        <v>0.97884119349912035</v>
      </c>
    </row>
    <row r="18" spans="1:18" x14ac:dyDescent="0.2">
      <c r="A18" s="17">
        <v>2011</v>
      </c>
      <c r="B18" s="134">
        <v>9924</v>
      </c>
      <c r="C18" s="134">
        <v>671</v>
      </c>
      <c r="D18" s="134">
        <v>742</v>
      </c>
      <c r="E18" s="51"/>
      <c r="F18" s="133">
        <v>5653305</v>
      </c>
      <c r="G18" s="133">
        <v>795767</v>
      </c>
      <c r="H18" s="133">
        <v>705531</v>
      </c>
      <c r="I18" s="358">
        <f t="shared" si="7"/>
        <v>7154603</v>
      </c>
      <c r="J18" s="354">
        <f t="shared" si="8"/>
        <v>4.3835950280324276E-3</v>
      </c>
      <c r="K18" s="355">
        <f t="shared" si="6"/>
        <v>1584.5742943389032</v>
      </c>
      <c r="L18" s="355">
        <f t="shared" si="1"/>
        <v>3173.7869838480206</v>
      </c>
      <c r="M18" s="131">
        <v>0.93970687333754865</v>
      </c>
      <c r="N18" s="131">
        <v>0.95839562207697615</v>
      </c>
      <c r="O18" s="355">
        <f t="shared" si="2"/>
        <v>2982.4294432312327</v>
      </c>
      <c r="P18" s="355">
        <f t="shared" si="3"/>
        <v>3041.7435507248333</v>
      </c>
      <c r="Q18" s="356">
        <f t="shared" si="4"/>
        <v>0.96014158448455078</v>
      </c>
      <c r="R18" s="357">
        <f t="shared" si="5"/>
        <v>0.97923673568098346</v>
      </c>
    </row>
    <row r="19" spans="1:18" x14ac:dyDescent="0.2">
      <c r="A19" s="17">
        <v>2012</v>
      </c>
      <c r="B19" s="134">
        <v>10068</v>
      </c>
      <c r="C19" s="134">
        <v>690</v>
      </c>
      <c r="D19" s="134">
        <v>744</v>
      </c>
      <c r="E19" s="51"/>
      <c r="F19" s="133">
        <v>5711901</v>
      </c>
      <c r="G19" s="133">
        <v>813352</v>
      </c>
      <c r="H19" s="133">
        <v>703747</v>
      </c>
      <c r="I19" s="358">
        <f t="shared" si="7"/>
        <v>7229000</v>
      </c>
      <c r="J19" s="354">
        <f t="shared" si="8"/>
        <v>1.0398480530645848E-2</v>
      </c>
      <c r="K19" s="355">
        <f t="shared" si="6"/>
        <v>1591.0914372665652</v>
      </c>
      <c r="L19" s="355">
        <f t="shared" si="1"/>
        <v>3183.1716696638537</v>
      </c>
      <c r="M19" s="131">
        <v>0.93298696533764758</v>
      </c>
      <c r="N19" s="131">
        <v>0.95642975002728459</v>
      </c>
      <c r="O19" s="355">
        <f t="shared" si="2"/>
        <v>2969.8576762284515</v>
      </c>
      <c r="P19" s="355">
        <f t="shared" si="3"/>
        <v>3044.4800843105336</v>
      </c>
      <c r="Q19" s="356">
        <f t="shared" si="4"/>
        <v>0.95609432149993412</v>
      </c>
      <c r="R19" s="357">
        <f t="shared" si="5"/>
        <v>0.98011771534638092</v>
      </c>
    </row>
    <row r="20" spans="1:18" x14ac:dyDescent="0.2">
      <c r="A20" s="17">
        <v>2013</v>
      </c>
      <c r="B20" s="134">
        <v>10145</v>
      </c>
      <c r="C20" s="134">
        <v>707</v>
      </c>
      <c r="D20" s="134">
        <v>743</v>
      </c>
      <c r="E20" s="51"/>
      <c r="F20" s="133">
        <v>5733393</v>
      </c>
      <c r="G20" s="133">
        <v>827447</v>
      </c>
      <c r="H20" s="133">
        <v>698363</v>
      </c>
      <c r="I20" s="358">
        <f t="shared" si="7"/>
        <v>7259203</v>
      </c>
      <c r="J20" s="354">
        <f t="shared" si="8"/>
        <v>4.1780329229492708E-3</v>
      </c>
      <c r="K20" s="355">
        <f t="shared" si="6"/>
        <v>1597.2827871048653</v>
      </c>
      <c r="L20" s="355">
        <f t="shared" si="1"/>
        <v>3192.0872134310061</v>
      </c>
      <c r="M20" s="131">
        <v>0.92760141815440911</v>
      </c>
      <c r="N20" s="131">
        <v>0.95531982226779433</v>
      </c>
      <c r="O20" s="355">
        <f t="shared" si="2"/>
        <v>2960.9846260511572</v>
      </c>
      <c r="P20" s="355">
        <f t="shared" si="3"/>
        <v>3049.4641893982075</v>
      </c>
      <c r="Q20" s="356">
        <f t="shared" si="4"/>
        <v>0.95323779643585471</v>
      </c>
      <c r="R20" s="357">
        <f t="shared" si="5"/>
        <v>0.98172226178987765</v>
      </c>
    </row>
    <row r="21" spans="1:18" x14ac:dyDescent="0.2">
      <c r="A21" s="17">
        <v>2014</v>
      </c>
      <c r="B21" s="134">
        <v>10257</v>
      </c>
      <c r="C21" s="134">
        <v>726</v>
      </c>
      <c r="D21" s="134">
        <v>749</v>
      </c>
      <c r="E21" s="51"/>
      <c r="F21" s="133">
        <v>5774173</v>
      </c>
      <c r="G21" s="133">
        <v>844502</v>
      </c>
      <c r="H21" s="133">
        <v>699945</v>
      </c>
      <c r="I21" s="358">
        <f t="shared" si="7"/>
        <v>7318620</v>
      </c>
      <c r="J21" s="354">
        <f t="shared" si="8"/>
        <v>8.1850583321612103E-3</v>
      </c>
      <c r="K21" s="355">
        <f t="shared" si="6"/>
        <v>1603.0344518502122</v>
      </c>
      <c r="L21" s="355">
        <f t="shared" si="1"/>
        <v>3200.3696106643056</v>
      </c>
      <c r="M21" s="131">
        <v>0.92242606417191453</v>
      </c>
      <c r="N21" s="131">
        <v>0.95437888350952382</v>
      </c>
      <c r="O21" s="355">
        <f t="shared" si="2"/>
        <v>2952.1043438604779</v>
      </c>
      <c r="P21" s="355">
        <f t="shared" si="3"/>
        <v>3054.3651758436094</v>
      </c>
      <c r="Q21" s="356">
        <f t="shared" si="4"/>
        <v>0.95037894315012827</v>
      </c>
      <c r="R21" s="357">
        <f t="shared" si="5"/>
        <v>0.98330004962385487</v>
      </c>
    </row>
    <row r="22" spans="1:18" x14ac:dyDescent="0.2">
      <c r="A22" s="17">
        <v>2015</v>
      </c>
      <c r="B22" s="134">
        <v>10391</v>
      </c>
      <c r="C22" s="134">
        <v>747</v>
      </c>
      <c r="D22" s="134">
        <v>762</v>
      </c>
      <c r="E22" s="51"/>
      <c r="F22" s="133">
        <v>5826754</v>
      </c>
      <c r="G22" s="133">
        <v>864245</v>
      </c>
      <c r="H22" s="133">
        <v>707956</v>
      </c>
      <c r="I22" s="358">
        <f t="shared" si="7"/>
        <v>7398955</v>
      </c>
      <c r="J22" s="354">
        <f t="shared" si="8"/>
        <v>1.0976796171956016E-2</v>
      </c>
      <c r="K22" s="355">
        <f t="shared" si="6"/>
        <v>1608.3352311238546</v>
      </c>
      <c r="L22" s="355">
        <f t="shared" si="1"/>
        <v>3208.0027328183505</v>
      </c>
      <c r="M22" s="131">
        <v>0.91679686019378381</v>
      </c>
      <c r="N22" s="131">
        <v>0.95331995243087508</v>
      </c>
      <c r="O22" s="355">
        <f t="shared" si="2"/>
        <v>2941.0868329409418</v>
      </c>
      <c r="P22" s="355">
        <f t="shared" si="3"/>
        <v>3058.2530126485071</v>
      </c>
      <c r="Q22" s="356">
        <f t="shared" si="4"/>
        <v>0.94683204603396443</v>
      </c>
      <c r="R22" s="357">
        <f t="shared" si="5"/>
        <v>0.98455167145133637</v>
      </c>
    </row>
    <row r="23" spans="1:18" x14ac:dyDescent="0.2">
      <c r="A23" s="17">
        <v>2016</v>
      </c>
      <c r="B23" s="134">
        <v>10530</v>
      </c>
      <c r="C23" s="134">
        <v>771</v>
      </c>
      <c r="D23" s="134">
        <v>781</v>
      </c>
      <c r="E23" s="51"/>
      <c r="F23" s="133">
        <v>5882496</v>
      </c>
      <c r="G23" s="133">
        <v>887682</v>
      </c>
      <c r="H23" s="133">
        <v>722318</v>
      </c>
      <c r="I23" s="358">
        <f t="shared" si="7"/>
        <v>7492496</v>
      </c>
      <c r="J23" s="354">
        <f t="shared" si="8"/>
        <v>1.2642460996181271E-2</v>
      </c>
      <c r="K23" s="355">
        <f t="shared" si="6"/>
        <v>1612.5467400983598</v>
      </c>
      <c r="L23" s="355">
        <f t="shared" si="1"/>
        <v>3214.0673057416379</v>
      </c>
      <c r="M23" s="131">
        <v>0.91126595552346379</v>
      </c>
      <c r="N23" s="131">
        <v>0.95234401595045848</v>
      </c>
      <c r="O23" s="355">
        <f t="shared" si="2"/>
        <v>2928.8701144833785</v>
      </c>
      <c r="P23" s="355">
        <f t="shared" si="3"/>
        <v>3060.8977654850614</v>
      </c>
      <c r="Q23" s="356">
        <f t="shared" si="4"/>
        <v>0.94289908478867235</v>
      </c>
      <c r="R23" s="357">
        <f t="shared" si="5"/>
        <v>0.98540310389169883</v>
      </c>
    </row>
    <row r="24" spans="1:18" x14ac:dyDescent="0.2">
      <c r="A24" s="17">
        <v>2017</v>
      </c>
      <c r="B24" s="134">
        <v>10669</v>
      </c>
      <c r="C24" s="134">
        <v>797</v>
      </c>
      <c r="D24" s="134">
        <v>806</v>
      </c>
      <c r="E24" s="51"/>
      <c r="F24" s="133">
        <v>5937805</v>
      </c>
      <c r="G24" s="133">
        <v>913010</v>
      </c>
      <c r="H24" s="133">
        <v>741099</v>
      </c>
      <c r="I24" s="358">
        <f t="shared" si="7"/>
        <v>7591914</v>
      </c>
      <c r="J24" s="354">
        <f t="shared" si="8"/>
        <v>1.3269009419557998E-2</v>
      </c>
      <c r="K24" s="355">
        <f t="shared" si="6"/>
        <v>1616.4566669222017</v>
      </c>
      <c r="L24" s="355">
        <f t="shared" si="1"/>
        <v>3219.6976003679706</v>
      </c>
      <c r="M24" s="131">
        <v>0.90582812147436864</v>
      </c>
      <c r="N24" s="131">
        <v>0.95143207530482321</v>
      </c>
      <c r="O24" s="355">
        <f t="shared" si="2"/>
        <v>2916.4926290568515</v>
      </c>
      <c r="P24" s="355">
        <f t="shared" si="3"/>
        <v>3063.3235697720575</v>
      </c>
      <c r="Q24" s="356">
        <f t="shared" si="4"/>
        <v>0.93891436739784462</v>
      </c>
      <c r="R24" s="357">
        <f t="shared" si="5"/>
        <v>0.98618404963277972</v>
      </c>
    </row>
    <row r="25" spans="1:18" x14ac:dyDescent="0.2">
      <c r="A25" s="17">
        <v>2018</v>
      </c>
      <c r="B25" s="134">
        <v>10805</v>
      </c>
      <c r="C25" s="134">
        <v>822</v>
      </c>
      <c r="D25" s="134">
        <v>832</v>
      </c>
      <c r="E25" s="51"/>
      <c r="F25" s="133">
        <v>5991474</v>
      </c>
      <c r="G25" s="133">
        <v>938016</v>
      </c>
      <c r="H25" s="133">
        <v>761792</v>
      </c>
      <c r="I25" s="358">
        <f t="shared" si="7"/>
        <v>7691282</v>
      </c>
      <c r="J25" s="354">
        <f t="shared" si="8"/>
        <v>1.3088662490117864E-2</v>
      </c>
      <c r="K25" s="355">
        <f t="shared" si="6"/>
        <v>1619.8859955986532</v>
      </c>
      <c r="L25" s="355">
        <f t="shared" si="1"/>
        <v>3224.6358336620606</v>
      </c>
      <c r="M25" s="131">
        <v>0.90050427279284095</v>
      </c>
      <c r="N25" s="131">
        <v>0.95053013400837272</v>
      </c>
      <c r="O25" s="355">
        <f t="shared" si="2"/>
        <v>2903.7983464135905</v>
      </c>
      <c r="P25" s="355">
        <f t="shared" si="3"/>
        <v>3065.1135310989989</v>
      </c>
      <c r="Q25" s="356">
        <f t="shared" si="4"/>
        <v>0.93482766262142236</v>
      </c>
      <c r="R25" s="357">
        <f t="shared" si="5"/>
        <v>0.98676029672842058</v>
      </c>
    </row>
    <row r="26" spans="1:18" x14ac:dyDescent="0.2">
      <c r="A26" s="17">
        <v>2019</v>
      </c>
      <c r="B26" s="134">
        <v>10939</v>
      </c>
      <c r="C26" s="134">
        <v>847</v>
      </c>
      <c r="D26" s="134">
        <v>859</v>
      </c>
      <c r="E26" s="51"/>
      <c r="F26" s="133">
        <v>6044092</v>
      </c>
      <c r="G26" s="133">
        <v>962478</v>
      </c>
      <c r="H26" s="133">
        <v>782599</v>
      </c>
      <c r="I26" s="358">
        <f t="shared" si="7"/>
        <v>7789169</v>
      </c>
      <c r="J26" s="354">
        <f t="shared" si="8"/>
        <v>1.2727007019115888E-2</v>
      </c>
      <c r="K26" s="355">
        <f t="shared" si="6"/>
        <v>1623.4080939828114</v>
      </c>
      <c r="L26" s="355">
        <f t="shared" si="1"/>
        <v>3229.7076553352481</v>
      </c>
      <c r="M26" s="131">
        <v>0.89530800406400368</v>
      </c>
      <c r="N26" s="131">
        <v>0.94962319303732989</v>
      </c>
      <c r="O26" s="355">
        <f t="shared" si="2"/>
        <v>2891.5831146084342</v>
      </c>
      <c r="P26" s="355">
        <f t="shared" si="3"/>
        <v>3067.0052962365662</v>
      </c>
      <c r="Q26" s="356">
        <f t="shared" si="4"/>
        <v>0.93089517997816429</v>
      </c>
      <c r="R26" s="357">
        <f t="shared" si="5"/>
        <v>0.98736931780041237</v>
      </c>
    </row>
    <row r="27" spans="1:18" x14ac:dyDescent="0.2">
      <c r="A27" s="17">
        <v>2020</v>
      </c>
      <c r="B27" s="134">
        <v>11070</v>
      </c>
      <c r="C27" s="134">
        <v>872</v>
      </c>
      <c r="D27" s="134">
        <v>884</v>
      </c>
      <c r="E27" s="51"/>
      <c r="F27" s="133">
        <v>6095231</v>
      </c>
      <c r="G27" s="133">
        <v>986146</v>
      </c>
      <c r="H27" s="133">
        <v>802538</v>
      </c>
      <c r="I27" s="358">
        <f t="shared" si="7"/>
        <v>7883915</v>
      </c>
      <c r="J27" s="354">
        <f t="shared" si="8"/>
        <v>1.2163813623764064E-2</v>
      </c>
      <c r="K27" s="355">
        <f t="shared" si="6"/>
        <v>1626.8567076129054</v>
      </c>
      <c r="L27" s="355">
        <f t="shared" si="1"/>
        <v>3234.6736589625839</v>
      </c>
      <c r="M27" s="131">
        <v>0.8902706874073707</v>
      </c>
      <c r="N27" s="131">
        <v>0.94871225232661327</v>
      </c>
      <c r="O27" s="355">
        <f t="shared" si="2"/>
        <v>2879.7351419031347</v>
      </c>
      <c r="P27" s="355">
        <f t="shared" si="3"/>
        <v>3068.7745325359601</v>
      </c>
      <c r="Q27" s="356">
        <f t="shared" si="4"/>
        <v>0.92708093005114123</v>
      </c>
      <c r="R27" s="357">
        <f t="shared" si="5"/>
        <v>0.98793889283182945</v>
      </c>
    </row>
    <row r="28" spans="1:18" x14ac:dyDescent="0.2">
      <c r="A28" s="17">
        <v>2021</v>
      </c>
      <c r="B28" s="134">
        <v>11197</v>
      </c>
      <c r="C28" s="134">
        <v>895</v>
      </c>
      <c r="D28" s="134">
        <v>909</v>
      </c>
      <c r="E28" s="51"/>
      <c r="F28" s="133">
        <v>6143864</v>
      </c>
      <c r="G28" s="133">
        <v>1008790</v>
      </c>
      <c r="H28" s="133">
        <v>821054</v>
      </c>
      <c r="I28" s="358">
        <f t="shared" si="7"/>
        <v>7973708</v>
      </c>
      <c r="J28" s="354">
        <f t="shared" si="8"/>
        <v>1.1389392199180337E-2</v>
      </c>
      <c r="K28" s="355">
        <f t="shared" si="6"/>
        <v>1630.4835842998014</v>
      </c>
      <c r="L28" s="355">
        <f t="shared" si="1"/>
        <v>3239.896361391714</v>
      </c>
      <c r="M28" s="131">
        <v>0.88523546222537197</v>
      </c>
      <c r="N28" s="131">
        <v>0.94774731513029975</v>
      </c>
      <c r="O28" s="355">
        <f t="shared" si="2"/>
        <v>2868.0711530388949</v>
      </c>
      <c r="P28" s="355">
        <f t="shared" si="3"/>
        <v>3070.6030778094241</v>
      </c>
      <c r="Q28" s="356">
        <f t="shared" si="4"/>
        <v>0.92332591054013879</v>
      </c>
      <c r="R28" s="357">
        <f t="shared" si="5"/>
        <v>0.98852756136182607</v>
      </c>
    </row>
    <row r="29" spans="1:18" x14ac:dyDescent="0.2">
      <c r="A29" s="17">
        <v>2022</v>
      </c>
      <c r="B29" s="134">
        <v>11322</v>
      </c>
      <c r="C29" s="134">
        <v>918</v>
      </c>
      <c r="D29" s="134">
        <v>931</v>
      </c>
      <c r="E29" s="51"/>
      <c r="F29" s="133">
        <v>6191679</v>
      </c>
      <c r="G29" s="133">
        <v>1030747</v>
      </c>
      <c r="H29" s="133">
        <v>838298</v>
      </c>
      <c r="I29" s="358">
        <f t="shared" si="7"/>
        <v>8060724</v>
      </c>
      <c r="J29" s="354">
        <f t="shared" si="8"/>
        <v>1.0912865131253779E-2</v>
      </c>
      <c r="K29" s="355">
        <f t="shared" si="6"/>
        <v>1633.9723330063155</v>
      </c>
      <c r="L29" s="355">
        <f t="shared" si="1"/>
        <v>3244.9201595290942</v>
      </c>
      <c r="M29" s="131">
        <v>0.8801521331267852</v>
      </c>
      <c r="N29" s="131">
        <v>0.94671238248969403</v>
      </c>
      <c r="O29" s="355">
        <f t="shared" si="2"/>
        <v>2856.0234002356406</v>
      </c>
      <c r="P29" s="355">
        <f t="shared" si="3"/>
        <v>3072.0060952166268</v>
      </c>
      <c r="Q29" s="356">
        <f t="shared" si="4"/>
        <v>0.91944734486535051</v>
      </c>
      <c r="R29" s="357">
        <f t="shared" si="5"/>
        <v>0.9889792385538777</v>
      </c>
    </row>
    <row r="30" spans="1:18" x14ac:dyDescent="0.2">
      <c r="A30" s="17">
        <v>2023</v>
      </c>
      <c r="B30" s="134">
        <v>11450</v>
      </c>
      <c r="C30" s="134">
        <v>941</v>
      </c>
      <c r="D30" s="134">
        <v>952</v>
      </c>
      <c r="E30" s="51"/>
      <c r="F30" s="133">
        <v>6241201</v>
      </c>
      <c r="G30" s="133">
        <v>1051654</v>
      </c>
      <c r="H30" s="133">
        <v>854313</v>
      </c>
      <c r="I30" s="358">
        <f t="shared" si="7"/>
        <v>8147168</v>
      </c>
      <c r="J30" s="354">
        <f t="shared" si="8"/>
        <v>1.0724098728600584E-2</v>
      </c>
      <c r="K30" s="355">
        <f t="shared" si="6"/>
        <v>1637.7470060762219</v>
      </c>
      <c r="L30" s="355">
        <f t="shared" si="1"/>
        <v>3250.3556887497593</v>
      </c>
      <c r="M30" s="131">
        <v>0.87517233202259459</v>
      </c>
      <c r="N30" s="131">
        <v>0.94566045095547446</v>
      </c>
      <c r="O30" s="355">
        <f t="shared" si="2"/>
        <v>2844.6213680260335</v>
      </c>
      <c r="P30" s="355">
        <f t="shared" si="3"/>
        <v>3073.7328263887894</v>
      </c>
      <c r="Q30" s="356">
        <f t="shared" si="4"/>
        <v>0.91577665776932471</v>
      </c>
      <c r="R30" s="357">
        <f t="shared" si="5"/>
        <v>0.98953512979461833</v>
      </c>
    </row>
    <row r="31" spans="1:18" x14ac:dyDescent="0.2">
      <c r="A31" s="17">
        <v>2024</v>
      </c>
      <c r="B31" s="134">
        <v>11582</v>
      </c>
      <c r="C31" s="134">
        <v>963</v>
      </c>
      <c r="D31" s="134">
        <v>973</v>
      </c>
      <c r="E31" s="51"/>
      <c r="F31" s="133">
        <v>6292539</v>
      </c>
      <c r="G31" s="133">
        <v>1072061</v>
      </c>
      <c r="H31" s="133">
        <v>869435</v>
      </c>
      <c r="I31" s="358">
        <f t="shared" si="7"/>
        <v>8234035</v>
      </c>
      <c r="J31" s="354">
        <f t="shared" si="8"/>
        <v>1.0662232569648822E-2</v>
      </c>
      <c r="K31" s="355">
        <f t="shared" si="6"/>
        <v>1641.7224362053355</v>
      </c>
      <c r="L31" s="355">
        <f t="shared" si="1"/>
        <v>3256.080308135683</v>
      </c>
      <c r="M31" s="131">
        <v>0.87041736444158779</v>
      </c>
      <c r="N31" s="131">
        <v>0.94464551701323796</v>
      </c>
      <c r="O31" s="355">
        <f t="shared" si="2"/>
        <v>2834.1488402176142</v>
      </c>
      <c r="P31" s="355">
        <f t="shared" si="3"/>
        <v>3075.8416661154556</v>
      </c>
      <c r="Q31" s="356">
        <f t="shared" si="4"/>
        <v>0.91240520854146301</v>
      </c>
      <c r="R31" s="357">
        <f t="shared" si="5"/>
        <v>0.99021403427672794</v>
      </c>
    </row>
    <row r="32" spans="1:18" x14ac:dyDescent="0.2">
      <c r="A32" s="17">
        <v>2025</v>
      </c>
      <c r="B32" s="134">
        <v>11715</v>
      </c>
      <c r="C32" s="134">
        <v>985</v>
      </c>
      <c r="D32" s="134">
        <v>992</v>
      </c>
      <c r="E32" s="51"/>
      <c r="F32" s="133">
        <v>6344699</v>
      </c>
      <c r="G32" s="133">
        <v>1092496</v>
      </c>
      <c r="H32" s="133">
        <v>883435</v>
      </c>
      <c r="I32" s="358">
        <f t="shared" si="7"/>
        <v>8320630</v>
      </c>
      <c r="J32" s="354">
        <f t="shared" si="8"/>
        <v>1.0516715073472405E-2</v>
      </c>
      <c r="K32" s="355">
        <f t="shared" si="6"/>
        <v>1645.5484740939087</v>
      </c>
      <c r="L32" s="355">
        <f t="shared" si="1"/>
        <v>3261.5898026952286</v>
      </c>
      <c r="M32" s="131">
        <v>0.86587781874791059</v>
      </c>
      <c r="N32" s="131">
        <v>0.94366958053282135</v>
      </c>
      <c r="O32" s="355">
        <f t="shared" si="2"/>
        <v>2824.1382640081724</v>
      </c>
      <c r="P32" s="355">
        <f t="shared" si="3"/>
        <v>3077.8630809795341</v>
      </c>
      <c r="Q32" s="356">
        <f t="shared" si="4"/>
        <v>0.90918247664242313</v>
      </c>
      <c r="R32" s="357">
        <f t="shared" si="5"/>
        <v>0.99086479383615411</v>
      </c>
    </row>
    <row r="33" spans="1:18" x14ac:dyDescent="0.2">
      <c r="A33" s="17">
        <f t="shared" ref="A33:A50" si="9">A32+1</f>
        <v>2026</v>
      </c>
      <c r="B33" s="134">
        <v>11848</v>
      </c>
      <c r="C33" s="134">
        <v>1007</v>
      </c>
      <c r="D33" s="134">
        <v>1010</v>
      </c>
      <c r="E33" s="39"/>
      <c r="F33" s="133">
        <v>6396310</v>
      </c>
      <c r="G33" s="133">
        <v>1113270</v>
      </c>
      <c r="H33" s="133">
        <v>896454</v>
      </c>
      <c r="I33" s="358">
        <f t="shared" si="7"/>
        <v>8406034</v>
      </c>
      <c r="J33" s="354">
        <f t="shared" si="8"/>
        <v>1.0264126634641935E-2</v>
      </c>
      <c r="K33" s="355">
        <f t="shared" si="6"/>
        <v>1649.4104116162271</v>
      </c>
      <c r="L33" s="355">
        <f t="shared" si="1"/>
        <v>3267.1509927273669</v>
      </c>
      <c r="M33" s="131">
        <v>0.86137591959765014</v>
      </c>
      <c r="N33" s="131">
        <v>0.94268164483338324</v>
      </c>
      <c r="O33" s="355">
        <f t="shared" si="2"/>
        <v>2814.2451908249113</v>
      </c>
      <c r="P33" s="355">
        <f t="shared" si="3"/>
        <v>3079.8832717432551</v>
      </c>
      <c r="Q33" s="356">
        <f t="shared" si="4"/>
        <v>0.9059975728106977</v>
      </c>
      <c r="R33" s="357">
        <f t="shared" si="5"/>
        <v>0.99151515931763845</v>
      </c>
    </row>
    <row r="34" spans="1:18" x14ac:dyDescent="0.2">
      <c r="A34" s="17">
        <f t="shared" si="9"/>
        <v>2027</v>
      </c>
      <c r="B34" s="134">
        <v>11976</v>
      </c>
      <c r="C34" s="134">
        <v>1030</v>
      </c>
      <c r="D34" s="134">
        <v>1026</v>
      </c>
      <c r="E34" s="39"/>
      <c r="F34" s="133">
        <v>6445760</v>
      </c>
      <c r="G34" s="133">
        <v>1134284</v>
      </c>
      <c r="H34" s="133">
        <v>908418</v>
      </c>
      <c r="I34" s="358">
        <f t="shared" si="7"/>
        <v>8488462</v>
      </c>
      <c r="J34" s="354">
        <f t="shared" si="8"/>
        <v>9.8058133003031678E-3</v>
      </c>
      <c r="K34" s="355">
        <f t="shared" si="6"/>
        <v>1653.0674225790256</v>
      </c>
      <c r="L34" s="355">
        <f t="shared" si="1"/>
        <v>3272.4170885137969</v>
      </c>
      <c r="M34" s="131">
        <v>0.8570057833493484</v>
      </c>
      <c r="N34" s="131">
        <v>0.94171770757198825</v>
      </c>
      <c r="O34" s="355">
        <f t="shared" si="2"/>
        <v>2804.4803703875605</v>
      </c>
      <c r="P34" s="355">
        <f t="shared" si="3"/>
        <v>3081.6931188146132</v>
      </c>
      <c r="Q34" s="356">
        <f t="shared" si="4"/>
        <v>0.90285395773266008</v>
      </c>
      <c r="R34" s="357">
        <f t="shared" si="5"/>
        <v>0.99209780828481264</v>
      </c>
    </row>
    <row r="35" spans="1:18" x14ac:dyDescent="0.2">
      <c r="A35" s="17">
        <f t="shared" si="9"/>
        <v>2028</v>
      </c>
      <c r="B35" s="134">
        <v>12100</v>
      </c>
      <c r="C35" s="134">
        <v>1052</v>
      </c>
      <c r="D35" s="134">
        <v>1041</v>
      </c>
      <c r="E35" s="39"/>
      <c r="F35" s="133">
        <v>6492771</v>
      </c>
      <c r="G35" s="133">
        <v>1155481</v>
      </c>
      <c r="H35" s="133">
        <v>919216</v>
      </c>
      <c r="I35" s="358">
        <f t="shared" si="7"/>
        <v>8567468</v>
      </c>
      <c r="J35" s="354">
        <f t="shared" si="8"/>
        <v>9.3074575818328231E-3</v>
      </c>
      <c r="K35" s="355">
        <f t="shared" si="6"/>
        <v>1656.6154667866865</v>
      </c>
      <c r="L35" s="355">
        <f t="shared" si="1"/>
        <v>3277.5262721728286</v>
      </c>
      <c r="M35" s="131">
        <v>0.85289603569301298</v>
      </c>
      <c r="N35" s="131">
        <v>0.94083276516915149</v>
      </c>
      <c r="O35" s="355">
        <f t="shared" si="2"/>
        <v>2795.3891644159048</v>
      </c>
      <c r="P35" s="355">
        <f t="shared" si="3"/>
        <v>3083.6041055629034</v>
      </c>
      <c r="Q35" s="356">
        <f t="shared" si="4"/>
        <v>0.89992720118312586</v>
      </c>
      <c r="R35" s="357">
        <f t="shared" si="5"/>
        <v>0.99271301742197982</v>
      </c>
    </row>
    <row r="36" spans="1:18" x14ac:dyDescent="0.2">
      <c r="A36" s="17">
        <f t="shared" si="9"/>
        <v>2029</v>
      </c>
      <c r="B36" s="134">
        <v>12221</v>
      </c>
      <c r="C36" s="134">
        <v>1075</v>
      </c>
      <c r="D36" s="134">
        <v>1056</v>
      </c>
      <c r="E36" s="39"/>
      <c r="F36" s="133">
        <v>6538419</v>
      </c>
      <c r="G36" s="133">
        <v>1176776</v>
      </c>
      <c r="H36" s="133">
        <v>928971</v>
      </c>
      <c r="I36" s="358">
        <f t="shared" si="7"/>
        <v>8644166</v>
      </c>
      <c r="J36" s="354">
        <f t="shared" si="8"/>
        <v>8.9522365300926943E-3</v>
      </c>
      <c r="K36" s="355">
        <f t="shared" si="6"/>
        <v>1660.3105493346611</v>
      </c>
      <c r="L36" s="355">
        <f t="shared" si="1"/>
        <v>3282.8471910419121</v>
      </c>
      <c r="M36" s="131">
        <v>0.84905190531522945</v>
      </c>
      <c r="N36" s="131">
        <v>0.9400248177550361</v>
      </c>
      <c r="O36" s="355">
        <f t="shared" si="2"/>
        <v>2787.3076624128844</v>
      </c>
      <c r="P36" s="355">
        <f t="shared" si="3"/>
        <v>3085.9578324768054</v>
      </c>
      <c r="Q36" s="356">
        <f t="shared" si="4"/>
        <v>0.89732550136561451</v>
      </c>
      <c r="R36" s="357">
        <f t="shared" si="5"/>
        <v>0.99347075909921767</v>
      </c>
    </row>
    <row r="37" spans="1:18" x14ac:dyDescent="0.2">
      <c r="A37" s="17">
        <f t="shared" si="9"/>
        <v>2030</v>
      </c>
      <c r="B37" s="134">
        <v>12342</v>
      </c>
      <c r="C37" s="134">
        <v>1098</v>
      </c>
      <c r="D37" s="134">
        <v>1069</v>
      </c>
      <c r="E37" s="39"/>
      <c r="F37" s="133">
        <v>6583920</v>
      </c>
      <c r="G37" s="133">
        <v>1198033</v>
      </c>
      <c r="H37" s="133">
        <v>937855</v>
      </c>
      <c r="I37" s="358">
        <f t="shared" si="7"/>
        <v>8719808</v>
      </c>
      <c r="J37" s="354">
        <f t="shared" si="8"/>
        <v>8.7506417623168797E-3</v>
      </c>
      <c r="K37" s="355">
        <f t="shared" si="6"/>
        <v>1663.9127834007354</v>
      </c>
      <c r="L37" s="355">
        <f t="shared" si="1"/>
        <v>3288.034408097059</v>
      </c>
      <c r="M37" s="131">
        <v>0.84530084555867091</v>
      </c>
      <c r="N37" s="131">
        <v>0.93922286995043147</v>
      </c>
      <c r="O37" s="355">
        <f t="shared" si="2"/>
        <v>2779.3782653904482</v>
      </c>
      <c r="P37" s="355">
        <f t="shared" si="3"/>
        <v>3088.1971132686881</v>
      </c>
      <c r="Q37" s="356">
        <f t="shared" si="4"/>
        <v>0.89477276911627068</v>
      </c>
      <c r="R37" s="357">
        <f t="shared" si="5"/>
        <v>0.9941916568265734</v>
      </c>
    </row>
    <row r="38" spans="1:18" x14ac:dyDescent="0.2">
      <c r="A38" s="17">
        <f t="shared" si="9"/>
        <v>2031</v>
      </c>
      <c r="B38" s="134">
        <v>12461</v>
      </c>
      <c r="C38" s="134">
        <v>1121</v>
      </c>
      <c r="D38" s="134">
        <v>1081</v>
      </c>
      <c r="F38" s="133">
        <v>6628541</v>
      </c>
      <c r="G38" s="133">
        <v>1219323</v>
      </c>
      <c r="H38" s="133">
        <v>946063</v>
      </c>
      <c r="I38" s="358">
        <f t="shared" si="7"/>
        <v>8793927</v>
      </c>
      <c r="J38" s="354">
        <f t="shared" si="8"/>
        <v>8.5000724786601367E-3</v>
      </c>
      <c r="K38" s="355">
        <f>(SUM(B38:D38)*1000000)/I38</f>
        <v>1667.4006959575624</v>
      </c>
      <c r="L38" s="355">
        <f>892 + 1.44*K38</f>
        <v>3293.0570021788899</v>
      </c>
      <c r="M38" s="131">
        <v>0.84145566944357031</v>
      </c>
      <c r="N38" s="131">
        <v>0.93835192663645328</v>
      </c>
      <c r="O38" s="355">
        <f t="shared" si="2"/>
        <v>2770.9614842842748</v>
      </c>
      <c r="P38" s="355">
        <f>L38*N38</f>
        <v>3090.0463825182246</v>
      </c>
      <c r="Q38" s="356">
        <f t="shared" si="4"/>
        <v>0.8920631319894371</v>
      </c>
      <c r="R38" s="357">
        <f t="shared" si="5"/>
        <v>0.99478699708228957</v>
      </c>
    </row>
    <row r="39" spans="1:18" x14ac:dyDescent="0.2">
      <c r="A39" s="17">
        <f t="shared" si="9"/>
        <v>2032</v>
      </c>
      <c r="B39" s="134">
        <v>12577</v>
      </c>
      <c r="C39" s="134">
        <v>1144</v>
      </c>
      <c r="D39" s="134">
        <v>1092</v>
      </c>
      <c r="F39" s="133">
        <v>6671188</v>
      </c>
      <c r="G39" s="133">
        <v>1240435</v>
      </c>
      <c r="H39" s="133">
        <v>953778</v>
      </c>
      <c r="I39" s="358">
        <f t="shared" si="7"/>
        <v>8865401</v>
      </c>
      <c r="J39" s="354">
        <f t="shared" si="8"/>
        <v>8.1276544597197464E-3</v>
      </c>
      <c r="K39" s="355">
        <f>(SUM(B39:D39)*1000000)/I39</f>
        <v>1670.8776061003896</v>
      </c>
      <c r="L39" s="355">
        <f>892 + 1.44*K39</f>
        <v>3298.0637527845611</v>
      </c>
      <c r="M39" s="132">
        <v>0.83734905899918644</v>
      </c>
      <c r="N39" s="132">
        <v>0.93725099829122926</v>
      </c>
      <c r="O39" s="355">
        <f t="shared" si="2"/>
        <v>2761.6305799134775</v>
      </c>
      <c r="P39" s="355">
        <f>L39*N39</f>
        <v>3091.1135447254478</v>
      </c>
      <c r="Q39" s="356">
        <f t="shared" si="4"/>
        <v>0.88905920868537236</v>
      </c>
      <c r="R39" s="357">
        <f t="shared" si="5"/>
        <v>0.99513055150060803</v>
      </c>
    </row>
    <row r="40" spans="1:18" x14ac:dyDescent="0.2">
      <c r="A40" s="17">
        <f t="shared" si="9"/>
        <v>2033</v>
      </c>
      <c r="B40" s="134">
        <v>12691</v>
      </c>
      <c r="C40" s="134">
        <v>1166</v>
      </c>
      <c r="D40" s="134">
        <v>1103</v>
      </c>
      <c r="F40" s="133">
        <v>6713409</v>
      </c>
      <c r="G40" s="133">
        <v>1261326</v>
      </c>
      <c r="H40" s="133">
        <v>961060</v>
      </c>
      <c r="I40" s="358">
        <f t="shared" si="7"/>
        <v>8935795</v>
      </c>
      <c r="J40" s="354">
        <f t="shared" si="8"/>
        <v>7.9403063662883966E-3</v>
      </c>
      <c r="K40" s="355">
        <f>(SUM(B40:D40)*1000000)/I40</f>
        <v>1674.1655331170869</v>
      </c>
      <c r="L40" s="355">
        <f>892 + 1.44*K40</f>
        <v>3302.7983676886051</v>
      </c>
      <c r="M40" s="132">
        <v>0.8333010098445619</v>
      </c>
      <c r="N40" s="132">
        <v>0.93615106988092367</v>
      </c>
      <c r="O40" s="355">
        <f t="shared" si="2"/>
        <v>2752.2252151078851</v>
      </c>
      <c r="P40" s="355">
        <f>L40*N40</f>
        <v>3091.9182255126561</v>
      </c>
      <c r="Q40" s="356">
        <f t="shared" si="4"/>
        <v>0.8860313141319599</v>
      </c>
      <c r="R40" s="357">
        <f t="shared" si="5"/>
        <v>0.99538960456480974</v>
      </c>
    </row>
    <row r="41" spans="1:18" x14ac:dyDescent="0.2">
      <c r="A41" s="17">
        <f t="shared" si="9"/>
        <v>2034</v>
      </c>
      <c r="B41" s="134">
        <v>12807</v>
      </c>
      <c r="C41" s="134">
        <v>1189</v>
      </c>
      <c r="D41" s="134">
        <v>1114</v>
      </c>
      <c r="F41" s="133">
        <v>6756217</v>
      </c>
      <c r="G41" s="133">
        <v>1282015</v>
      </c>
      <c r="H41" s="133">
        <v>967988</v>
      </c>
      <c r="I41" s="358">
        <f t="shared" si="7"/>
        <v>9006220</v>
      </c>
      <c r="J41" s="354">
        <f t="shared" si="8"/>
        <v>7.8812237747172276E-3</v>
      </c>
      <c r="K41" s="355">
        <f>(SUM(B41:D41)*1000000)/I41</f>
        <v>1677.7293914650097</v>
      </c>
      <c r="L41" s="355">
        <f>892 + 1.44*K41</f>
        <v>3307.9303237096137</v>
      </c>
      <c r="M41" s="132">
        <v>0.82932093361555115</v>
      </c>
      <c r="N41" s="132">
        <v>0.93505714108012883</v>
      </c>
      <c r="O41" s="355">
        <f t="shared" si="2"/>
        <v>2743.3358643940492</v>
      </c>
      <c r="P41" s="355">
        <f>L41*N41</f>
        <v>3093.1038713801763</v>
      </c>
      <c r="Q41" s="356">
        <f t="shared" si="4"/>
        <v>0.88316954139202397</v>
      </c>
      <c r="R41" s="357">
        <f t="shared" si="5"/>
        <v>0.99577130274863834</v>
      </c>
    </row>
    <row r="42" spans="1:18" x14ac:dyDescent="0.2">
      <c r="A42" s="17">
        <f t="shared" si="9"/>
        <v>2035</v>
      </c>
      <c r="B42" s="134">
        <v>12924</v>
      </c>
      <c r="C42" s="134">
        <v>1211</v>
      </c>
      <c r="D42" s="134">
        <v>1124</v>
      </c>
      <c r="F42" s="133">
        <v>6799586</v>
      </c>
      <c r="G42" s="133">
        <v>1302633</v>
      </c>
      <c r="H42" s="133">
        <v>974707</v>
      </c>
      <c r="I42" s="358">
        <f t="shared" si="7"/>
        <v>9076926</v>
      </c>
      <c r="J42" s="354">
        <f t="shared" si="8"/>
        <v>7.8507964495648785E-3</v>
      </c>
      <c r="K42" s="355">
        <f>(SUM(B42:D42)*1000000)/I42</f>
        <v>1681.0757298230701</v>
      </c>
      <c r="L42" s="355">
        <f>892 + 1.44*K42</f>
        <v>3312.7490509452209</v>
      </c>
      <c r="M42" s="132">
        <v>0.82537954966727423</v>
      </c>
      <c r="N42" s="132">
        <v>0.93396021247457861</v>
      </c>
      <c r="O42" s="355">
        <f t="shared" si="2"/>
        <v>2734.2753198298565</v>
      </c>
      <c r="P42" s="355">
        <f>L42*N42</f>
        <v>3093.9758074957572</v>
      </c>
      <c r="Q42" s="356">
        <f t="shared" si="4"/>
        <v>0.88025265575239875</v>
      </c>
      <c r="R42" s="357">
        <f t="shared" si="5"/>
        <v>0.99605200750277201</v>
      </c>
    </row>
    <row r="43" spans="1:18" x14ac:dyDescent="0.2">
      <c r="A43" s="17">
        <f t="shared" si="9"/>
        <v>2036</v>
      </c>
      <c r="B43" s="209">
        <f>B42*(1+(B42/B41-1))</f>
        <v>13042.06886858749</v>
      </c>
      <c r="C43" s="209">
        <f t="shared" ref="C43:D50" si="10">C42*(1+(C42/C41-1))</f>
        <v>1233.4070647603025</v>
      </c>
      <c r="D43" s="209">
        <f t="shared" si="10"/>
        <v>1134.0897666068222</v>
      </c>
      <c r="E43" s="209"/>
      <c r="F43" s="209">
        <f t="shared" ref="F43:H50" si="11">F42*(1+(F42/F41-1))</f>
        <v>6843233.3910228172</v>
      </c>
      <c r="G43" s="209">
        <f t="shared" si="11"/>
        <v>1323582.5888846854</v>
      </c>
      <c r="H43" s="209">
        <f t="shared" si="11"/>
        <v>981472.63793456112</v>
      </c>
      <c r="I43" s="358">
        <f t="shared" si="7"/>
        <v>9148288.6178420633</v>
      </c>
      <c r="J43" s="354">
        <f t="shared" si="8"/>
        <v>7.8619807897588601E-3</v>
      </c>
      <c r="K43" s="355">
        <f t="shared" ref="K43:K49" si="12">(SUM(B43:D43)*1000000)/I43</f>
        <v>1684.4205887755963</v>
      </c>
      <c r="L43" s="355">
        <f t="shared" ref="L43:L50" si="13">892 + 1.44*K43</f>
        <v>3317.5656478368587</v>
      </c>
      <c r="M43" s="210">
        <f>M42*(1+(M42/M41-1))</f>
        <v>0.82145689731830718</v>
      </c>
      <c r="N43" s="210">
        <f t="shared" ref="N43:N50" si="14">N42*(1+(N42/N41-1))</f>
        <v>0.93286457069131212</v>
      </c>
      <c r="O43" s="355">
        <f t="shared" si="2"/>
        <v>2725.2371837218657</v>
      </c>
      <c r="P43" s="355">
        <f t="shared" ref="P43:P50" si="15">L43*N43</f>
        <v>3094.8394538095758</v>
      </c>
      <c r="Q43" s="356">
        <f t="shared" si="4"/>
        <v>0.87734298412774103</v>
      </c>
      <c r="R43" s="357">
        <f t="shared" si="5"/>
        <v>0.99633004349858278</v>
      </c>
    </row>
    <row r="44" spans="1:18" x14ac:dyDescent="0.2">
      <c r="A44" s="17">
        <f t="shared" si="9"/>
        <v>2037</v>
      </c>
      <c r="B44" s="209">
        <f t="shared" ref="B44:B50" si="16">B43*(1+(B43/B42-1))</f>
        <v>13161.216370549286</v>
      </c>
      <c r="C44" s="209">
        <f t="shared" si="10"/>
        <v>1256.2287261772299</v>
      </c>
      <c r="D44" s="209">
        <f t="shared" si="10"/>
        <v>1144.2701056248366</v>
      </c>
      <c r="F44" s="209">
        <f t="shared" si="11"/>
        <v>6887160.9600951653</v>
      </c>
      <c r="G44" s="209">
        <f t="shared" si="11"/>
        <v>1344869.099430681</v>
      </c>
      <c r="H44" s="209">
        <f t="shared" si="11"/>
        <v>988285.23752699641</v>
      </c>
      <c r="I44" s="358">
        <f t="shared" si="7"/>
        <v>9220315.2970528435</v>
      </c>
      <c r="J44" s="354">
        <f t="shared" si="8"/>
        <v>7.8732408015971256E-3</v>
      </c>
      <c r="K44" s="355">
        <f t="shared" si="12"/>
        <v>1687.7638888689041</v>
      </c>
      <c r="L44" s="355">
        <f t="shared" si="13"/>
        <v>3322.3799999712219</v>
      </c>
      <c r="M44" s="210">
        <f t="shared" ref="M44:M50" si="17">M43*(1+(M43/M42-1))</f>
        <v>0.81755288754590627</v>
      </c>
      <c r="N44" s="210">
        <f t="shared" si="14"/>
        <v>0.93177021422074013</v>
      </c>
      <c r="O44" s="355">
        <f t="shared" si="2"/>
        <v>2716.2213625012405</v>
      </c>
      <c r="P44" s="355">
        <f t="shared" si="15"/>
        <v>3095.6947242958881</v>
      </c>
      <c r="Q44" s="356">
        <f t="shared" si="4"/>
        <v>0.8744404963951824</v>
      </c>
      <c r="R44" s="357">
        <f t="shared" si="5"/>
        <v>0.99660538304156987</v>
      </c>
    </row>
    <row r="45" spans="1:18" x14ac:dyDescent="0.2">
      <c r="A45" s="17">
        <f t="shared" si="9"/>
        <v>2038</v>
      </c>
      <c r="B45" s="209">
        <f t="shared" si="16"/>
        <v>13281.452359879671</v>
      </c>
      <c r="C45" s="209">
        <f t="shared" si="10"/>
        <v>1279.4726555093569</v>
      </c>
      <c r="D45" s="209">
        <f t="shared" si="10"/>
        <v>1154.5418300918457</v>
      </c>
      <c r="F45" s="209">
        <f t="shared" si="11"/>
        <v>6931370.5057149064</v>
      </c>
      <c r="G45" s="209">
        <f t="shared" si="11"/>
        <v>1366497.9501789655</v>
      </c>
      <c r="H45" s="209">
        <f t="shared" si="11"/>
        <v>995145.12474764779</v>
      </c>
      <c r="I45" s="358">
        <f t="shared" si="7"/>
        <v>9293013.5806415193</v>
      </c>
      <c r="J45" s="354">
        <f t="shared" si="8"/>
        <v>7.8845767467314865E-3</v>
      </c>
      <c r="K45" s="355">
        <f t="shared" si="12"/>
        <v>1691.1055503263344</v>
      </c>
      <c r="L45" s="355">
        <f t="shared" si="13"/>
        <v>3327.1919924699214</v>
      </c>
      <c r="M45" s="210">
        <f t="shared" si="17"/>
        <v>0.81366743175041245</v>
      </c>
      <c r="N45" s="210">
        <f t="shared" si="14"/>
        <v>0.93067714155504433</v>
      </c>
      <c r="O45" s="355">
        <f t="shared" si="2"/>
        <v>2707.2277634535385</v>
      </c>
      <c r="P45" s="355">
        <f t="shared" si="15"/>
        <v>3096.541532956739</v>
      </c>
      <c r="Q45" s="356">
        <f t="shared" si="4"/>
        <v>0.87154516270691118</v>
      </c>
      <c r="R45" s="357">
        <f t="shared" si="5"/>
        <v>0.99687799844617908</v>
      </c>
    </row>
    <row r="46" spans="1:18" x14ac:dyDescent="0.2">
      <c r="A46" s="17">
        <f t="shared" si="9"/>
        <v>2039</v>
      </c>
      <c r="B46" s="209">
        <f t="shared" si="16"/>
        <v>13402.786780595367</v>
      </c>
      <c r="C46" s="209">
        <f t="shared" si="10"/>
        <v>1303.1466659561236</v>
      </c>
      <c r="D46" s="209">
        <f t="shared" si="10"/>
        <v>1164.9057603440165</v>
      </c>
      <c r="F46" s="209">
        <f t="shared" si="11"/>
        <v>6975863.8379246853</v>
      </c>
      <c r="G46" s="209">
        <f t="shared" si="11"/>
        <v>1388474.6468141763</v>
      </c>
      <c r="H46" s="209">
        <f t="shared" si="11"/>
        <v>1002052.6278294829</v>
      </c>
      <c r="I46" s="358">
        <f t="shared" si="7"/>
        <v>9366391.1125683449</v>
      </c>
      <c r="J46" s="354">
        <f t="shared" si="8"/>
        <v>7.8959888834855274E-3</v>
      </c>
      <c r="K46" s="355">
        <f t="shared" si="12"/>
        <v>1694.4454930564591</v>
      </c>
      <c r="L46" s="355">
        <f t="shared" si="13"/>
        <v>3332.0015100013011</v>
      </c>
      <c r="M46" s="210">
        <f t="shared" si="17"/>
        <v>0.80980044175324029</v>
      </c>
      <c r="N46" s="210">
        <f t="shared" si="14"/>
        <v>0.9295853511881752</v>
      </c>
      <c r="O46" s="355">
        <f t="shared" si="2"/>
        <v>2698.2562947215174</v>
      </c>
      <c r="P46" s="355">
        <f t="shared" si="15"/>
        <v>3097.3797938340895</v>
      </c>
      <c r="Q46" s="356">
        <f t="shared" si="4"/>
        <v>0.86865695349107674</v>
      </c>
      <c r="R46" s="357">
        <f t="shared" si="5"/>
        <v>0.99714786203970585</v>
      </c>
    </row>
    <row r="47" spans="1:18" x14ac:dyDescent="0.2">
      <c r="A47" s="17">
        <f t="shared" si="9"/>
        <v>2040</v>
      </c>
      <c r="B47" s="209">
        <f t="shared" si="16"/>
        <v>13525.229667557938</v>
      </c>
      <c r="C47" s="209">
        <f t="shared" si="10"/>
        <v>1327.2587152841593</v>
      </c>
      <c r="D47" s="209">
        <f t="shared" si="10"/>
        <v>1175.3627240813953</v>
      </c>
      <c r="F47" s="209">
        <f t="shared" si="11"/>
        <v>7020642.778386035</v>
      </c>
      <c r="G47" s="209">
        <f t="shared" si="11"/>
        <v>1410804.783566098</v>
      </c>
      <c r="H47" s="209">
        <f t="shared" si="11"/>
        <v>1009008.0772838008</v>
      </c>
      <c r="I47" s="358">
        <f t="shared" si="7"/>
        <v>9440455.6392359342</v>
      </c>
      <c r="J47" s="354">
        <f t="shared" si="8"/>
        <v>7.9074774667700076E-3</v>
      </c>
      <c r="K47" s="355">
        <f t="shared" si="12"/>
        <v>1697.7836366614938</v>
      </c>
      <c r="L47" s="355">
        <f t="shared" si="13"/>
        <v>3336.8084367925508</v>
      </c>
      <c r="M47" s="210">
        <f t="shared" si="17"/>
        <v>0.80595182979487701</v>
      </c>
      <c r="N47" s="210">
        <f t="shared" si="14"/>
        <v>0.92849484161585016</v>
      </c>
      <c r="O47" s="355">
        <f t="shared" si="2"/>
        <v>2689.3068653079395</v>
      </c>
      <c r="P47" s="355">
        <f t="shared" si="15"/>
        <v>3098.2094210221321</v>
      </c>
      <c r="Q47" s="356">
        <f t="shared" si="4"/>
        <v>0.8657758394526921</v>
      </c>
      <c r="R47" s="357">
        <f t="shared" si="5"/>
        <v>0.99741494616626136</v>
      </c>
    </row>
    <row r="48" spans="1:18" x14ac:dyDescent="0.2">
      <c r="A48" s="17">
        <f t="shared" si="9"/>
        <v>2041</v>
      </c>
      <c r="B48" s="209">
        <f t="shared" si="16"/>
        <v>13648.791147303724</v>
      </c>
      <c r="C48" s="209">
        <f t="shared" si="10"/>
        <v>1351.8169085022007</v>
      </c>
      <c r="D48" s="209">
        <f t="shared" si="10"/>
        <v>1185.9135564340111</v>
      </c>
      <c r="F48" s="209">
        <f t="shared" si="11"/>
        <v>7065709.1604539631</v>
      </c>
      <c r="G48" s="209">
        <f t="shared" si="11"/>
        <v>1433494.0446336875</v>
      </c>
      <c r="H48" s="209">
        <f t="shared" si="11"/>
        <v>1016011.805916046</v>
      </c>
      <c r="I48" s="358">
        <f t="shared" si="7"/>
        <v>9515215.0110036973</v>
      </c>
      <c r="J48" s="354">
        <f t="shared" si="8"/>
        <v>7.9190427480060332E-3</v>
      </c>
      <c r="K48" s="355">
        <f t="shared" si="12"/>
        <v>1701.1199004458992</v>
      </c>
      <c r="L48" s="355">
        <f t="shared" si="13"/>
        <v>3341.6126566420949</v>
      </c>
      <c r="M48" s="210">
        <f t="shared" si="17"/>
        <v>0.80212150853289066</v>
      </c>
      <c r="N48" s="210">
        <f t="shared" si="14"/>
        <v>0.92740561133555122</v>
      </c>
      <c r="O48" s="355">
        <f t="shared" si="2"/>
        <v>2680.3793850783577</v>
      </c>
      <c r="P48" s="355">
        <f t="shared" si="15"/>
        <v>3099.0303286797775</v>
      </c>
      <c r="Q48" s="356">
        <f t="shared" si="4"/>
        <v>0.86290179157453051</v>
      </c>
      <c r="R48" s="357">
        <f t="shared" si="5"/>
        <v>0.99767922319079116</v>
      </c>
    </row>
    <row r="49" spans="1:18" x14ac:dyDescent="0.2">
      <c r="A49" s="17">
        <f t="shared" si="9"/>
        <v>2042</v>
      </c>
      <c r="B49" s="209">
        <f t="shared" si="16"/>
        <v>13773.481438881339</v>
      </c>
      <c r="C49" s="209">
        <f t="shared" si="10"/>
        <v>1376.8295005855045</v>
      </c>
      <c r="D49" s="209">
        <f t="shared" si="10"/>
        <v>1196.5591000285713</v>
      </c>
      <c r="F49" s="209">
        <f t="shared" si="11"/>
        <v>7111064.8292520093</v>
      </c>
      <c r="G49" s="209">
        <f t="shared" si="11"/>
        <v>1456548.2056320044</v>
      </c>
      <c r="H49" s="209">
        <f t="shared" si="11"/>
        <v>1023064.148841733</v>
      </c>
      <c r="I49" s="358">
        <f t="shared" si="7"/>
        <v>9590677.1837257463</v>
      </c>
      <c r="J49" s="354">
        <f t="shared" si="8"/>
        <v>7.9306849750406805E-3</v>
      </c>
      <c r="K49" s="355">
        <f t="shared" si="12"/>
        <v>1704.4542034251906</v>
      </c>
      <c r="L49" s="355">
        <f t="shared" si="13"/>
        <v>3346.4140529322744</v>
      </c>
      <c r="M49" s="210">
        <f t="shared" si="17"/>
        <v>0.79830939103994814</v>
      </c>
      <c r="N49" s="210">
        <f t="shared" si="14"/>
        <v>0.92631765884652295</v>
      </c>
      <c r="O49" s="355">
        <f t="shared" si="2"/>
        <v>2671.473764763889</v>
      </c>
      <c r="P49" s="355">
        <f t="shared" si="15"/>
        <v>3099.8424310433288</v>
      </c>
      <c r="Q49" s="356">
        <f t="shared" si="4"/>
        <v>0.86003478111801901</v>
      </c>
      <c r="R49" s="357">
        <f t="shared" si="5"/>
        <v>0.99794066550315608</v>
      </c>
    </row>
    <row r="50" spans="1:18" x14ac:dyDescent="0.2">
      <c r="A50" s="17">
        <f t="shared" si="9"/>
        <v>2043</v>
      </c>
      <c r="B50" s="209">
        <f t="shared" si="16"/>
        <v>13899.31085469684</v>
      </c>
      <c r="C50" s="209">
        <f t="shared" si="10"/>
        <v>1402.3048992506695</v>
      </c>
      <c r="D50" s="209">
        <f t="shared" si="10"/>
        <v>1207.3002050557577</v>
      </c>
      <c r="F50" s="209">
        <f t="shared" si="11"/>
        <v>7156711.6417477941</v>
      </c>
      <c r="G50" s="209">
        <f t="shared" si="11"/>
        <v>1479973.1350624096</v>
      </c>
      <c r="H50" s="209">
        <f t="shared" si="11"/>
        <v>1030165.4435024804</v>
      </c>
      <c r="I50" s="358">
        <f t="shared" si="7"/>
        <v>9666850.2203126829</v>
      </c>
      <c r="J50" s="354">
        <f t="shared" si="8"/>
        <v>7.9424043920686138E-3</v>
      </c>
      <c r="K50" s="355">
        <f t="shared" ref="K50" si="18">(SUM(B50:D50)*1000000)/I50</f>
        <v>1707.7864643349437</v>
      </c>
      <c r="L50" s="355">
        <f t="shared" si="13"/>
        <v>3351.2125086423189</v>
      </c>
      <c r="M50" s="210">
        <f t="shared" si="17"/>
        <v>0.79451539080184219</v>
      </c>
      <c r="N50" s="210">
        <f t="shared" si="14"/>
        <v>0.92523098264977066</v>
      </c>
      <c r="O50" s="355">
        <f t="shared" si="2"/>
        <v>2662.5899159639739</v>
      </c>
      <c r="P50" s="355">
        <f t="shared" si="15"/>
        <v>3100.6456424393359</v>
      </c>
      <c r="Q50" s="356">
        <f t="shared" si="4"/>
        <v>0.85717477962412614</v>
      </c>
      <c r="R50" s="357">
        <f t="shared" si="5"/>
        <v>0.99819924552227057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tabSelected="1" workbookViewId="0"/>
  </sheetViews>
  <sheetFormatPr defaultRowHeight="12.75" x14ac:dyDescent="0.2"/>
  <cols>
    <col min="1" max="14" width="8.7109375" style="1" customWidth="1"/>
  </cols>
  <sheetData>
    <row r="1" spans="1:17" x14ac:dyDescent="0.2">
      <c r="A1" s="22" t="s">
        <v>15</v>
      </c>
      <c r="B1" s="22" t="s">
        <v>18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10</v>
      </c>
      <c r="I1" s="3" t="s">
        <v>11</v>
      </c>
      <c r="J1" s="3" t="s">
        <v>12</v>
      </c>
      <c r="K1" s="3" t="s">
        <v>100</v>
      </c>
      <c r="L1" s="3" t="s">
        <v>174</v>
      </c>
      <c r="M1" s="3" t="s">
        <v>13</v>
      </c>
      <c r="N1" s="3" t="s">
        <v>14</v>
      </c>
    </row>
    <row r="2" spans="1:17" s="2" customFormat="1" x14ac:dyDescent="0.2">
      <c r="A2" s="56">
        <v>2001</v>
      </c>
      <c r="B2" s="57">
        <v>1</v>
      </c>
      <c r="C2" s="58">
        <v>0.1015625</v>
      </c>
      <c r="D2" s="58">
        <f>1/12</f>
        <v>8.3333333333333329E-2</v>
      </c>
      <c r="E2" s="58">
        <v>7.5709779179810713E-2</v>
      </c>
      <c r="F2" s="58">
        <v>7.5709779179810713E-2</v>
      </c>
      <c r="G2" s="58">
        <v>7.8171091445427721E-2</v>
      </c>
      <c r="H2" s="58">
        <f>1/12</f>
        <v>8.3333333333333329E-2</v>
      </c>
      <c r="I2" s="58">
        <f>1/12</f>
        <v>8.3333333333333329E-2</v>
      </c>
      <c r="J2" s="58">
        <f>1/12</f>
        <v>8.3333333333333329E-2</v>
      </c>
      <c r="K2" s="58">
        <f t="shared" ref="K2:K13" si="0">1/12</f>
        <v>8.3333333333333329E-2</v>
      </c>
      <c r="L2" s="58">
        <v>0.22752497225305215</v>
      </c>
      <c r="M2" s="58">
        <v>9.8182753897774241E-2</v>
      </c>
      <c r="N2" s="58">
        <f t="shared" ref="N2:N13" si="1">1/12</f>
        <v>8.3333333333333329E-2</v>
      </c>
      <c r="P2" s="352" t="e">
        <f>#REF!</f>
        <v>#REF!</v>
      </c>
      <c r="Q2" s="138" t="e">
        <f>P2/(SUM(P$2:P$13))</f>
        <v>#REF!</v>
      </c>
    </row>
    <row r="3" spans="1:17" x14ac:dyDescent="0.2">
      <c r="A3" s="56">
        <v>2001</v>
      </c>
      <c r="B3" s="57">
        <v>2</v>
      </c>
      <c r="C3" s="58">
        <v>9.765625E-2</v>
      </c>
      <c r="D3" s="58">
        <f t="shared" ref="D3:D13" si="2">1/12</f>
        <v>8.3333333333333329E-2</v>
      </c>
      <c r="E3" s="58">
        <v>7.7812828601472123E-2</v>
      </c>
      <c r="F3" s="58">
        <v>7.7812828601472123E-2</v>
      </c>
      <c r="G3" s="58">
        <v>7.8171091445427721E-2</v>
      </c>
      <c r="H3" s="58">
        <f t="shared" ref="H3:J13" si="3">1/12</f>
        <v>8.3333333333333329E-2</v>
      </c>
      <c r="I3" s="58">
        <f t="shared" si="3"/>
        <v>8.3333333333333329E-2</v>
      </c>
      <c r="J3" s="58">
        <f t="shared" si="3"/>
        <v>8.3333333333333329E-2</v>
      </c>
      <c r="K3" s="58">
        <f t="shared" si="0"/>
        <v>8.3333333333333329E-2</v>
      </c>
      <c r="L3" s="58">
        <v>0.17286348501664817</v>
      </c>
      <c r="M3" s="58">
        <v>9.4422296773449807E-2</v>
      </c>
      <c r="N3" s="58">
        <f t="shared" si="1"/>
        <v>8.3333333333333329E-2</v>
      </c>
      <c r="P3" s="352" t="e">
        <f>#REF!</f>
        <v>#REF!</v>
      </c>
      <c r="Q3" s="138" t="e">
        <f t="shared" ref="Q3:Q13" si="4">P3/(SUM(P$2:P$13))</f>
        <v>#REF!</v>
      </c>
    </row>
    <row r="4" spans="1:17" x14ac:dyDescent="0.2">
      <c r="A4" s="56">
        <v>2001</v>
      </c>
      <c r="B4" s="57">
        <v>3</v>
      </c>
      <c r="C4" s="58">
        <v>9.375E-2</v>
      </c>
      <c r="D4" s="58">
        <f t="shared" si="2"/>
        <v>8.3333333333333329E-2</v>
      </c>
      <c r="E4" s="58">
        <v>7.8864353312302821E-2</v>
      </c>
      <c r="F4" s="58">
        <v>7.8864353312302821E-2</v>
      </c>
      <c r="G4" s="58">
        <v>7.9646017699115029E-2</v>
      </c>
      <c r="H4" s="58">
        <f t="shared" si="3"/>
        <v>8.3333333333333329E-2</v>
      </c>
      <c r="I4" s="58">
        <f t="shared" si="3"/>
        <v>8.3333333333333329E-2</v>
      </c>
      <c r="J4" s="58">
        <f t="shared" si="3"/>
        <v>8.3333333333333329E-2</v>
      </c>
      <c r="K4" s="58">
        <f t="shared" si="0"/>
        <v>8.3333333333333329E-2</v>
      </c>
      <c r="L4" s="58">
        <v>0.12541620421753608</v>
      </c>
      <c r="M4" s="58">
        <v>9.0621776199670406E-2</v>
      </c>
      <c r="N4" s="58">
        <f t="shared" si="1"/>
        <v>8.3333333333333329E-2</v>
      </c>
      <c r="P4" s="352" t="e">
        <f>#REF!</f>
        <v>#REF!</v>
      </c>
      <c r="Q4" s="138" t="e">
        <f t="shared" si="4"/>
        <v>#REF!</v>
      </c>
    </row>
    <row r="5" spans="1:17" x14ac:dyDescent="0.2">
      <c r="A5" s="56">
        <v>2001</v>
      </c>
      <c r="B5" s="57">
        <v>4</v>
      </c>
      <c r="C5" s="58">
        <v>8.59375E-2</v>
      </c>
      <c r="D5" s="58">
        <f t="shared" si="2"/>
        <v>8.3333333333333329E-2</v>
      </c>
      <c r="E5" s="58">
        <v>7.9915878023133546E-2</v>
      </c>
      <c r="F5" s="58">
        <v>7.9915878023133546E-2</v>
      </c>
      <c r="G5" s="58">
        <v>8.1120943952802352E-2</v>
      </c>
      <c r="H5" s="58">
        <f t="shared" si="3"/>
        <v>8.3333333333333329E-2</v>
      </c>
      <c r="I5" s="58">
        <f t="shared" si="3"/>
        <v>8.3333333333333329E-2</v>
      </c>
      <c r="J5" s="58">
        <f t="shared" si="3"/>
        <v>8.3333333333333329E-2</v>
      </c>
      <c r="K5" s="58">
        <f t="shared" si="0"/>
        <v>8.3333333333333329E-2</v>
      </c>
      <c r="L5" s="58">
        <v>5.9933407325194227E-2</v>
      </c>
      <c r="M5" s="58">
        <v>8.5759184176289791E-2</v>
      </c>
      <c r="N5" s="58">
        <f t="shared" si="1"/>
        <v>8.3333333333333329E-2</v>
      </c>
      <c r="P5" s="352" t="e">
        <f>#REF!</f>
        <v>#REF!</v>
      </c>
      <c r="Q5" s="138" t="e">
        <f t="shared" si="4"/>
        <v>#REF!</v>
      </c>
    </row>
    <row r="6" spans="1:17" x14ac:dyDescent="0.2">
      <c r="A6" s="56">
        <v>2001</v>
      </c>
      <c r="B6" s="57">
        <v>5</v>
      </c>
      <c r="C6" s="58">
        <v>8.203125E-2</v>
      </c>
      <c r="D6" s="58">
        <f t="shared" si="2"/>
        <v>8.3333333333333329E-2</v>
      </c>
      <c r="E6" s="58">
        <v>8.4121976866456366E-2</v>
      </c>
      <c r="F6" s="58">
        <v>8.4121976866456366E-2</v>
      </c>
      <c r="G6" s="58">
        <v>8.259587020648966E-2</v>
      </c>
      <c r="H6" s="58">
        <f t="shared" si="3"/>
        <v>8.3333333333333329E-2</v>
      </c>
      <c r="I6" s="58">
        <f t="shared" si="3"/>
        <v>8.3333333333333329E-2</v>
      </c>
      <c r="J6" s="58">
        <f t="shared" si="3"/>
        <v>8.3333333333333329E-2</v>
      </c>
      <c r="K6" s="58">
        <f t="shared" si="0"/>
        <v>8.3333333333333329E-2</v>
      </c>
      <c r="L6" s="58">
        <v>2.1087680355160933E-2</v>
      </c>
      <c r="M6" s="58">
        <v>7.8758507816662299E-2</v>
      </c>
      <c r="N6" s="58">
        <f t="shared" si="1"/>
        <v>8.3333333333333329E-2</v>
      </c>
      <c r="P6" s="352" t="e">
        <f>#REF!</f>
        <v>#REF!</v>
      </c>
      <c r="Q6" s="138" t="e">
        <f t="shared" si="4"/>
        <v>#REF!</v>
      </c>
    </row>
    <row r="7" spans="1:17" x14ac:dyDescent="0.2">
      <c r="A7" s="56">
        <v>2001</v>
      </c>
      <c r="B7" s="57">
        <v>6</v>
      </c>
      <c r="C7" s="58">
        <v>7.8125E-2</v>
      </c>
      <c r="D7" s="58">
        <f t="shared" si="2"/>
        <v>8.3333333333333329E-2</v>
      </c>
      <c r="E7" s="58">
        <v>9.0431125131440568E-2</v>
      </c>
      <c r="F7" s="58">
        <v>9.0431125131440568E-2</v>
      </c>
      <c r="G7" s="58">
        <v>8.7020648967551628E-2</v>
      </c>
      <c r="H7" s="58">
        <f t="shared" si="3"/>
        <v>8.3333333333333329E-2</v>
      </c>
      <c r="I7" s="58">
        <f t="shared" si="3"/>
        <v>8.3333333333333329E-2</v>
      </c>
      <c r="J7" s="58">
        <f t="shared" si="3"/>
        <v>8.3333333333333329E-2</v>
      </c>
      <c r="K7" s="58">
        <f t="shared" si="0"/>
        <v>8.3333333333333329E-2</v>
      </c>
      <c r="L7" s="58">
        <v>1.9422863485016649E-3</v>
      </c>
      <c r="M7" s="58">
        <v>7.0474300891255795E-2</v>
      </c>
      <c r="N7" s="58">
        <f t="shared" si="1"/>
        <v>8.3333333333333329E-2</v>
      </c>
      <c r="P7" s="352" t="e">
        <f>#REF!</f>
        <v>#REF!</v>
      </c>
      <c r="Q7" s="138" t="e">
        <f t="shared" si="4"/>
        <v>#REF!</v>
      </c>
    </row>
    <row r="8" spans="1:17" x14ac:dyDescent="0.2">
      <c r="A8" s="56">
        <v>2001</v>
      </c>
      <c r="B8" s="57">
        <v>7</v>
      </c>
      <c r="C8" s="58">
        <v>6.640625E-2</v>
      </c>
      <c r="D8" s="58">
        <f t="shared" si="2"/>
        <v>8.3333333333333329E-2</v>
      </c>
      <c r="E8" s="58">
        <v>9.2534174553102019E-2</v>
      </c>
      <c r="F8" s="58">
        <v>9.2534174553102019E-2</v>
      </c>
      <c r="G8" s="58">
        <v>9.4395280235988185E-2</v>
      </c>
      <c r="H8" s="58">
        <f t="shared" si="3"/>
        <v>8.3333333333333329E-2</v>
      </c>
      <c r="I8" s="58">
        <f t="shared" si="3"/>
        <v>8.3333333333333329E-2</v>
      </c>
      <c r="J8" s="58">
        <f t="shared" si="3"/>
        <v>8.3333333333333329E-2</v>
      </c>
      <c r="K8" s="58">
        <f t="shared" si="0"/>
        <v>8.3333333333333329E-2</v>
      </c>
      <c r="L8" s="58">
        <v>0</v>
      </c>
      <c r="M8" s="58">
        <v>6.7537871687453455E-2</v>
      </c>
      <c r="N8" s="58">
        <f t="shared" si="1"/>
        <v>8.3333333333333329E-2</v>
      </c>
      <c r="P8" s="352" t="e">
        <f>#REF!</f>
        <v>#REF!</v>
      </c>
      <c r="Q8" s="138" t="e">
        <f t="shared" si="4"/>
        <v>#REF!</v>
      </c>
    </row>
    <row r="9" spans="1:17" s="2" customFormat="1" x14ac:dyDescent="0.2">
      <c r="A9" s="56">
        <v>2001</v>
      </c>
      <c r="B9" s="57">
        <v>8</v>
      </c>
      <c r="C9" s="58">
        <v>6.25E-2</v>
      </c>
      <c r="D9" s="58">
        <f t="shared" si="2"/>
        <v>8.3333333333333329E-2</v>
      </c>
      <c r="E9" s="58">
        <v>9.2534174553101992E-2</v>
      </c>
      <c r="F9" s="58">
        <v>9.2534174553101992E-2</v>
      </c>
      <c r="G9" s="58">
        <v>9.4395280235988185E-2</v>
      </c>
      <c r="H9" s="58">
        <f t="shared" si="3"/>
        <v>8.3333333333333329E-2</v>
      </c>
      <c r="I9" s="58">
        <f t="shared" si="3"/>
        <v>8.3333333333333329E-2</v>
      </c>
      <c r="J9" s="58">
        <f t="shared" si="3"/>
        <v>8.3333333333333329E-2</v>
      </c>
      <c r="K9" s="58">
        <f t="shared" si="0"/>
        <v>8.3333333333333329E-2</v>
      </c>
      <c r="L9" s="58">
        <v>2.7746947835738069E-4</v>
      </c>
      <c r="M9" s="58">
        <v>7.0007562503699813E-2</v>
      </c>
      <c r="N9" s="58">
        <f t="shared" si="1"/>
        <v>8.3333333333333329E-2</v>
      </c>
      <c r="P9" s="352" t="e">
        <f>#REF!</f>
        <v>#REF!</v>
      </c>
      <c r="Q9" s="138" t="e">
        <f t="shared" si="4"/>
        <v>#REF!</v>
      </c>
    </row>
    <row r="10" spans="1:17" x14ac:dyDescent="0.2">
      <c r="A10" s="56">
        <v>2001</v>
      </c>
      <c r="B10" s="57">
        <v>9</v>
      </c>
      <c r="C10" s="58">
        <v>7.03125E-2</v>
      </c>
      <c r="D10" s="58">
        <f t="shared" si="2"/>
        <v>8.3333333333333329E-2</v>
      </c>
      <c r="E10" s="58">
        <v>8.6225026288117762E-2</v>
      </c>
      <c r="F10" s="58">
        <v>8.6225026288117762E-2</v>
      </c>
      <c r="G10" s="58">
        <v>8.5545722713864278E-2</v>
      </c>
      <c r="H10" s="58">
        <f t="shared" si="3"/>
        <v>8.3333333333333329E-2</v>
      </c>
      <c r="I10" s="58">
        <f t="shared" si="3"/>
        <v>8.3333333333333329E-2</v>
      </c>
      <c r="J10" s="58">
        <f t="shared" si="3"/>
        <v>8.3333333333333329E-2</v>
      </c>
      <c r="K10" s="58">
        <f t="shared" si="0"/>
        <v>8.3333333333333329E-2</v>
      </c>
      <c r="L10" s="58">
        <v>8.8790233074361822E-3</v>
      </c>
      <c r="M10" s="58">
        <v>7.5335892792489145E-2</v>
      </c>
      <c r="N10" s="58">
        <f t="shared" si="1"/>
        <v>8.3333333333333329E-2</v>
      </c>
      <c r="P10" s="352" t="e">
        <f>#REF!</f>
        <v>#REF!</v>
      </c>
      <c r="Q10" s="138" t="e">
        <f t="shared" si="4"/>
        <v>#REF!</v>
      </c>
    </row>
    <row r="11" spans="1:17" x14ac:dyDescent="0.2">
      <c r="A11" s="56">
        <v>2001</v>
      </c>
      <c r="B11" s="57">
        <v>10</v>
      </c>
      <c r="C11" s="58">
        <v>7.8125E-2</v>
      </c>
      <c r="D11" s="58">
        <f t="shared" si="2"/>
        <v>8.3333333333333329E-2</v>
      </c>
      <c r="E11" s="58">
        <v>8.4121976866456352E-2</v>
      </c>
      <c r="F11" s="58">
        <v>8.4121976866456352E-2</v>
      </c>
      <c r="G11" s="58">
        <v>8.1120943952802352E-2</v>
      </c>
      <c r="H11" s="58">
        <f t="shared" si="3"/>
        <v>8.3333333333333329E-2</v>
      </c>
      <c r="I11" s="58">
        <f t="shared" si="3"/>
        <v>8.3333333333333329E-2</v>
      </c>
      <c r="J11" s="58">
        <f t="shared" si="3"/>
        <v>8.3333333333333329E-2</v>
      </c>
      <c r="K11" s="58">
        <f t="shared" si="0"/>
        <v>8.3333333333333329E-2</v>
      </c>
      <c r="L11" s="58">
        <v>5.9100998890122089E-2</v>
      </c>
      <c r="M11" s="58">
        <v>8.2900544703746845E-2</v>
      </c>
      <c r="N11" s="58">
        <f t="shared" si="1"/>
        <v>8.3333333333333329E-2</v>
      </c>
      <c r="P11" s="352" t="e">
        <f>#REF!</f>
        <v>#REF!</v>
      </c>
      <c r="Q11" s="138" t="e">
        <f t="shared" si="4"/>
        <v>#REF!</v>
      </c>
    </row>
    <row r="12" spans="1:17" s="2" customFormat="1" x14ac:dyDescent="0.2">
      <c r="A12" s="56">
        <v>2001</v>
      </c>
      <c r="B12" s="57">
        <v>11</v>
      </c>
      <c r="C12" s="58">
        <v>8.59375E-2</v>
      </c>
      <c r="D12" s="58">
        <f t="shared" si="2"/>
        <v>8.3333333333333329E-2</v>
      </c>
      <c r="E12" s="58">
        <v>7.9915878023133533E-2</v>
      </c>
      <c r="F12" s="58">
        <v>7.9915878023133533E-2</v>
      </c>
      <c r="G12" s="58">
        <v>7.9646017699115015E-2</v>
      </c>
      <c r="H12" s="58">
        <f t="shared" si="3"/>
        <v>8.3333333333333329E-2</v>
      </c>
      <c r="I12" s="58">
        <f t="shared" si="3"/>
        <v>8.3333333333333329E-2</v>
      </c>
      <c r="J12" s="58">
        <f t="shared" si="3"/>
        <v>8.3333333333333329E-2</v>
      </c>
      <c r="K12" s="58">
        <f t="shared" si="0"/>
        <v>8.3333333333333329E-2</v>
      </c>
      <c r="L12" s="58">
        <v>0.12458379578246392</v>
      </c>
      <c r="M12" s="58">
        <v>9.0621776199670406E-2</v>
      </c>
      <c r="N12" s="58">
        <f t="shared" si="1"/>
        <v>8.3333333333333329E-2</v>
      </c>
      <c r="P12" s="352" t="e">
        <f>#REF!</f>
        <v>#REF!</v>
      </c>
      <c r="Q12" s="138" t="e">
        <f t="shared" si="4"/>
        <v>#REF!</v>
      </c>
    </row>
    <row r="13" spans="1:17" x14ac:dyDescent="0.2">
      <c r="A13" s="56">
        <v>2001</v>
      </c>
      <c r="B13" s="57">
        <v>12</v>
      </c>
      <c r="C13" s="58">
        <v>9.765625E-2</v>
      </c>
      <c r="D13" s="58">
        <f t="shared" si="2"/>
        <v>8.3333333333333329E-2</v>
      </c>
      <c r="E13" s="58">
        <v>7.7812828601472123E-2</v>
      </c>
      <c r="F13" s="58">
        <v>7.7812828601472123E-2</v>
      </c>
      <c r="G13" s="58">
        <v>7.8171091445427721E-2</v>
      </c>
      <c r="H13" s="58">
        <f t="shared" si="3"/>
        <v>8.3333333333333329E-2</v>
      </c>
      <c r="I13" s="58">
        <f t="shared" si="3"/>
        <v>8.3333333333333329E-2</v>
      </c>
      <c r="J13" s="58">
        <f t="shared" si="3"/>
        <v>8.3333333333333329E-2</v>
      </c>
      <c r="K13" s="58">
        <f t="shared" si="0"/>
        <v>8.3333333333333329E-2</v>
      </c>
      <c r="L13" s="58">
        <v>0.19839067702552718</v>
      </c>
      <c r="M13" s="58">
        <v>9.5377532357837844E-2</v>
      </c>
      <c r="N13" s="58">
        <f t="shared" si="1"/>
        <v>8.3333333333333329E-2</v>
      </c>
      <c r="P13" s="352" t="e">
        <f>#REF!</f>
        <v>#REF!</v>
      </c>
      <c r="Q13" s="138" t="e">
        <f t="shared" si="4"/>
        <v>#REF!</v>
      </c>
    </row>
  </sheetData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7"/>
  <sheetViews>
    <sheetView tabSelected="1" workbookViewId="0"/>
  </sheetViews>
  <sheetFormatPr defaultColWidth="9.140625" defaultRowHeight="12.75" x14ac:dyDescent="0.2"/>
  <cols>
    <col min="1" max="1" width="6" style="147" bestFit="1" customWidth="1"/>
    <col min="2" max="2" width="7.140625" style="147" bestFit="1" customWidth="1"/>
    <col min="3" max="4" width="7.140625" style="147" customWidth="1"/>
    <col min="5" max="5" width="18.28515625" style="147" bestFit="1" customWidth="1"/>
    <col min="6" max="6" width="27.42578125" style="147" bestFit="1" customWidth="1"/>
    <col min="7" max="7" width="11.42578125" style="147" customWidth="1"/>
    <col min="8" max="8" width="18.28515625" style="147" customWidth="1"/>
    <col min="9" max="9" width="12.7109375" style="147" bestFit="1" customWidth="1"/>
    <col min="10" max="12" width="7.140625" style="147" customWidth="1"/>
    <col min="13" max="13" width="5.7109375" style="170" customWidth="1"/>
    <col min="14" max="14" width="8.7109375" style="170" customWidth="1"/>
    <col min="15" max="15" width="18.28515625" style="150" bestFit="1" customWidth="1"/>
    <col min="16" max="16" width="18.28515625" style="150" customWidth="1"/>
    <col min="17" max="17" width="18.28515625" style="150" hidden="1" customWidth="1"/>
    <col min="18" max="18" width="20.140625" style="170" bestFit="1" customWidth="1"/>
    <col min="19" max="19" width="20.140625" style="170" customWidth="1"/>
    <col min="20" max="20" width="10.28515625" style="170" customWidth="1"/>
    <col min="21" max="16384" width="9.140625" style="170"/>
  </cols>
  <sheetData>
    <row r="1" spans="1:24" x14ac:dyDescent="0.2">
      <c r="A1" s="144" t="s">
        <v>15</v>
      </c>
      <c r="B1" s="144" t="s">
        <v>18</v>
      </c>
      <c r="C1" s="144" t="s">
        <v>188</v>
      </c>
      <c r="D1" s="144" t="s">
        <v>187</v>
      </c>
      <c r="E1" s="146" t="s">
        <v>184</v>
      </c>
      <c r="F1" s="146" t="s">
        <v>186</v>
      </c>
      <c r="G1" s="146" t="s">
        <v>158</v>
      </c>
      <c r="H1" s="146" t="s">
        <v>185</v>
      </c>
      <c r="I1" s="146"/>
      <c r="J1" s="146"/>
      <c r="K1" s="146"/>
      <c r="L1" s="144" t="s">
        <v>183</v>
      </c>
      <c r="M1" s="170" t="s">
        <v>182</v>
      </c>
      <c r="N1" s="170" t="s">
        <v>181</v>
      </c>
      <c r="O1" s="146" t="s">
        <v>184</v>
      </c>
      <c r="P1" s="146" t="s">
        <v>185</v>
      </c>
      <c r="Q1" s="146" t="s">
        <v>185</v>
      </c>
      <c r="R1" s="146" t="s">
        <v>186</v>
      </c>
      <c r="S1" s="146"/>
      <c r="T1" s="146" t="s">
        <v>158</v>
      </c>
      <c r="U1" s="185" t="s">
        <v>197</v>
      </c>
      <c r="V1" s="185" t="s">
        <v>198</v>
      </c>
      <c r="W1" s="170" t="s">
        <v>199</v>
      </c>
      <c r="X1" s="170" t="s">
        <v>199</v>
      </c>
    </row>
    <row r="2" spans="1:24" x14ac:dyDescent="0.2">
      <c r="A2" s="147">
        <v>2001</v>
      </c>
      <c r="B2" s="147">
        <v>1</v>
      </c>
      <c r="C2" s="147" t="str">
        <f>A2&amp;B2</f>
        <v>20011</v>
      </c>
      <c r="D2" s="170" t="s">
        <v>177</v>
      </c>
      <c r="E2" s="360">
        <f>VLOOKUP($A2&amp;$D2,$N$1:$T$173,MATCH(E$1,$N$1:$T$1,0),0)</f>
        <v>113069.322</v>
      </c>
      <c r="F2" s="360">
        <f>VLOOKUP($A2&amp;$D2,$N$1:$T$173,MATCH(F$1,$N$1:$T$1,0),0)</f>
        <v>34569.886538168648</v>
      </c>
      <c r="G2" s="360">
        <f>VLOOKUP($A2&amp;$D2,$N$1:$T$173,MATCH(G$1,$N$1:$T$1,0),0)</f>
        <v>4063.346</v>
      </c>
      <c r="H2" s="360">
        <f>VLOOKUP($A2&amp;$D2,$N$1:$T$173,MATCH(H$1,$N$1:$T$1,0),0)</f>
        <v>1603.5920000000001</v>
      </c>
      <c r="L2" s="147">
        <v>2001</v>
      </c>
      <c r="M2" s="170" t="s">
        <v>177</v>
      </c>
      <c r="N2" s="170" t="str">
        <f t="shared" ref="N2:N49" si="0">L2&amp;M2</f>
        <v>2001Q1</v>
      </c>
      <c r="O2" s="175">
        <v>113069.322</v>
      </c>
      <c r="P2" s="233">
        <v>1603.5920000000001</v>
      </c>
      <c r="Q2" s="233">
        <v>1603.5920000000001</v>
      </c>
      <c r="R2" s="180">
        <v>34569.886538168648</v>
      </c>
      <c r="S2" s="180"/>
      <c r="T2" s="235">
        <f>V2</f>
        <v>4063.346</v>
      </c>
      <c r="U2" s="180">
        <v>413.29820000000001</v>
      </c>
      <c r="V2" s="180">
        <v>4063.346</v>
      </c>
      <c r="W2" s="170">
        <f>U2/P2</f>
        <v>0.25773276494270364</v>
      </c>
      <c r="X2" s="170">
        <f>V2/Q2</f>
        <v>2.5339026385763956</v>
      </c>
    </row>
    <row r="3" spans="1:24" x14ac:dyDescent="0.2">
      <c r="A3" s="147">
        <v>2001</v>
      </c>
      <c r="B3" s="147">
        <v>2</v>
      </c>
      <c r="C3" s="147" t="str">
        <f t="shared" ref="C3:C66" si="1">A3&amp;B3</f>
        <v>20012</v>
      </c>
      <c r="D3" s="170" t="s">
        <v>177</v>
      </c>
      <c r="E3" s="360">
        <f t="shared" ref="E3:H66" si="2">VLOOKUP($A3&amp;$D3,$N$1:$T$173,MATCH(E$1,$N$1:$T$1,0),0)</f>
        <v>113069.322</v>
      </c>
      <c r="F3" s="360">
        <f t="shared" si="2"/>
        <v>34569.886538168648</v>
      </c>
      <c r="G3" s="360">
        <f t="shared" si="2"/>
        <v>4063.346</v>
      </c>
      <c r="H3" s="360">
        <f t="shared" si="2"/>
        <v>1603.5920000000001</v>
      </c>
      <c r="L3" s="147">
        <v>2001</v>
      </c>
      <c r="M3" s="170" t="s">
        <v>178</v>
      </c>
      <c r="N3" s="170" t="str">
        <f t="shared" si="0"/>
        <v>2001Q2</v>
      </c>
      <c r="O3" s="175">
        <v>112494.27</v>
      </c>
      <c r="P3" s="233">
        <v>1606.74</v>
      </c>
      <c r="Q3" s="233">
        <v>1606.74</v>
      </c>
      <c r="R3" s="180">
        <v>34431.916408019461</v>
      </c>
      <c r="S3" s="180"/>
      <c r="T3" s="235">
        <f t="shared" ref="T3:T66" si="3">V3</f>
        <v>4068.1320000000001</v>
      </c>
      <c r="U3" s="180">
        <v>414.52</v>
      </c>
      <c r="V3" s="180">
        <v>4068.1320000000001</v>
      </c>
      <c r="W3" s="170">
        <f t="shared" ref="W3:X66" si="4">U3/P3</f>
        <v>0.25798822460385623</v>
      </c>
      <c r="X3" s="170">
        <f t="shared" si="4"/>
        <v>2.5319168004779864</v>
      </c>
    </row>
    <row r="4" spans="1:24" x14ac:dyDescent="0.2">
      <c r="A4" s="147">
        <v>2001</v>
      </c>
      <c r="B4" s="147">
        <v>3</v>
      </c>
      <c r="C4" s="147" t="str">
        <f t="shared" si="1"/>
        <v>20013</v>
      </c>
      <c r="D4" s="170" t="s">
        <v>177</v>
      </c>
      <c r="E4" s="360">
        <f t="shared" si="2"/>
        <v>113069.322</v>
      </c>
      <c r="F4" s="360">
        <f t="shared" si="2"/>
        <v>34569.886538168648</v>
      </c>
      <c r="G4" s="360">
        <f t="shared" si="2"/>
        <v>4063.346</v>
      </c>
      <c r="H4" s="360">
        <f t="shared" si="2"/>
        <v>1603.5920000000001</v>
      </c>
      <c r="L4" s="147">
        <v>2001</v>
      </c>
      <c r="M4" s="170" t="s">
        <v>179</v>
      </c>
      <c r="N4" s="170" t="str">
        <f t="shared" si="0"/>
        <v>2001Q3</v>
      </c>
      <c r="O4" s="175">
        <v>112373.137</v>
      </c>
      <c r="P4" s="233">
        <v>1609.894</v>
      </c>
      <c r="Q4" s="233">
        <v>1609.894</v>
      </c>
      <c r="R4" s="180">
        <v>34399.937636938055</v>
      </c>
      <c r="S4" s="180"/>
      <c r="T4" s="235">
        <f t="shared" si="3"/>
        <v>4073.5569999999998</v>
      </c>
      <c r="U4" s="180">
        <v>415.50199999999995</v>
      </c>
      <c r="V4" s="180">
        <v>4073.5569999999998</v>
      </c>
      <c r="W4" s="170">
        <f t="shared" si="4"/>
        <v>0.25809276884068139</v>
      </c>
      <c r="X4" s="170">
        <f t="shared" si="4"/>
        <v>2.5303262202356178</v>
      </c>
    </row>
    <row r="5" spans="1:24" x14ac:dyDescent="0.2">
      <c r="A5" s="147">
        <v>2001</v>
      </c>
      <c r="B5" s="147">
        <v>4</v>
      </c>
      <c r="C5" s="147" t="str">
        <f t="shared" si="1"/>
        <v>20014</v>
      </c>
      <c r="D5" s="170" t="s">
        <v>178</v>
      </c>
      <c r="E5" s="360">
        <f t="shared" si="2"/>
        <v>112494.27</v>
      </c>
      <c r="F5" s="360">
        <f t="shared" si="2"/>
        <v>34431.916408019461</v>
      </c>
      <c r="G5" s="360">
        <f t="shared" si="2"/>
        <v>4068.1320000000001</v>
      </c>
      <c r="H5" s="360">
        <f t="shared" si="2"/>
        <v>1606.74</v>
      </c>
      <c r="L5" s="147">
        <v>2001</v>
      </c>
      <c r="M5" s="170" t="s">
        <v>180</v>
      </c>
      <c r="N5" s="170" t="str">
        <f t="shared" si="0"/>
        <v>2001Q4</v>
      </c>
      <c r="O5" s="175">
        <v>112983.58500000001</v>
      </c>
      <c r="P5" s="233">
        <v>1613.0550000000001</v>
      </c>
      <c r="Q5" s="233">
        <v>1613.0550000000001</v>
      </c>
      <c r="R5" s="180">
        <v>34635.991880930669</v>
      </c>
      <c r="S5" s="180"/>
      <c r="T5" s="235">
        <f t="shared" si="3"/>
        <v>4078.989</v>
      </c>
      <c r="U5" s="180">
        <v>416.48399999999992</v>
      </c>
      <c r="V5" s="180">
        <v>4078.989</v>
      </c>
      <c r="W5" s="170">
        <f t="shared" si="4"/>
        <v>0.25819578377674657</v>
      </c>
      <c r="X5" s="170">
        <f t="shared" si="4"/>
        <v>2.528735226015232</v>
      </c>
    </row>
    <row r="6" spans="1:24" x14ac:dyDescent="0.2">
      <c r="A6" s="147">
        <v>2001</v>
      </c>
      <c r="B6" s="147">
        <v>5</v>
      </c>
      <c r="C6" s="147" t="str">
        <f t="shared" si="1"/>
        <v>20015</v>
      </c>
      <c r="D6" s="170" t="s">
        <v>178</v>
      </c>
      <c r="E6" s="360">
        <f t="shared" si="2"/>
        <v>112494.27</v>
      </c>
      <c r="F6" s="360">
        <f t="shared" si="2"/>
        <v>34431.916408019461</v>
      </c>
      <c r="G6" s="360">
        <f t="shared" si="2"/>
        <v>4068.1320000000001</v>
      </c>
      <c r="H6" s="360">
        <f t="shared" si="2"/>
        <v>1606.74</v>
      </c>
      <c r="L6" s="147">
        <f>L2+1</f>
        <v>2002</v>
      </c>
      <c r="M6" s="170" t="str">
        <f>M2</f>
        <v>Q1</v>
      </c>
      <c r="N6" s="170" t="str">
        <f t="shared" si="0"/>
        <v>2002Q1</v>
      </c>
      <c r="O6" s="175">
        <v>113421.694</v>
      </c>
      <c r="P6" s="233">
        <v>1616.222</v>
      </c>
      <c r="Q6" s="233">
        <v>1616.222</v>
      </c>
      <c r="R6" s="180">
        <v>35447.445392607326</v>
      </c>
      <c r="S6" s="180"/>
      <c r="T6" s="235">
        <f t="shared" si="3"/>
        <v>4084.4279999999999</v>
      </c>
      <c r="U6" s="180">
        <v>417.46599999999995</v>
      </c>
      <c r="V6" s="180">
        <v>4084.4279999999999</v>
      </c>
      <c r="W6" s="170">
        <f t="shared" si="4"/>
        <v>0.25829743686201523</v>
      </c>
      <c r="X6" s="170">
        <f t="shared" si="4"/>
        <v>2.5271454045298234</v>
      </c>
    </row>
    <row r="7" spans="1:24" x14ac:dyDescent="0.2">
      <c r="A7" s="147">
        <v>2001</v>
      </c>
      <c r="B7" s="147">
        <v>6</v>
      </c>
      <c r="C7" s="147" t="str">
        <f t="shared" si="1"/>
        <v>20016</v>
      </c>
      <c r="D7" s="170" t="s">
        <v>178</v>
      </c>
      <c r="E7" s="360">
        <f t="shared" si="2"/>
        <v>112494.27</v>
      </c>
      <c r="F7" s="360">
        <f t="shared" si="2"/>
        <v>34431.916408019461</v>
      </c>
      <c r="G7" s="360">
        <f t="shared" si="2"/>
        <v>4068.1320000000001</v>
      </c>
      <c r="H7" s="360">
        <f t="shared" si="2"/>
        <v>1606.74</v>
      </c>
      <c r="L7" s="147">
        <f t="shared" ref="L7:L70" si="5">L3+1</f>
        <v>2002</v>
      </c>
      <c r="M7" s="170" t="str">
        <f t="shared" ref="M7:M70" si="6">M3</f>
        <v>Q2</v>
      </c>
      <c r="N7" s="170" t="str">
        <f t="shared" si="0"/>
        <v>2002Q2</v>
      </c>
      <c r="O7" s="175">
        <v>114074.546</v>
      </c>
      <c r="P7" s="233">
        <v>1619.394</v>
      </c>
      <c r="Q7" s="233">
        <v>1619.394</v>
      </c>
      <c r="R7" s="180">
        <v>35596.576099127022</v>
      </c>
      <c r="S7" s="180"/>
      <c r="T7" s="235">
        <f t="shared" si="3"/>
        <v>4089.875</v>
      </c>
      <c r="U7" s="180">
        <v>418.44800000000004</v>
      </c>
      <c r="V7" s="180">
        <v>4089.875</v>
      </c>
      <c r="W7" s="170">
        <f t="shared" si="4"/>
        <v>0.2583978945210369</v>
      </c>
      <c r="X7" s="170">
        <f t="shared" si="4"/>
        <v>2.5255589436542309</v>
      </c>
    </row>
    <row r="8" spans="1:24" x14ac:dyDescent="0.2">
      <c r="A8" s="147">
        <v>2001</v>
      </c>
      <c r="B8" s="147">
        <v>7</v>
      </c>
      <c r="C8" s="147" t="str">
        <f t="shared" si="1"/>
        <v>20017</v>
      </c>
      <c r="D8" s="170" t="s">
        <v>179</v>
      </c>
      <c r="E8" s="360">
        <f t="shared" si="2"/>
        <v>112373.137</v>
      </c>
      <c r="F8" s="360">
        <f t="shared" si="2"/>
        <v>34399.937636938055</v>
      </c>
      <c r="G8" s="360">
        <f t="shared" si="2"/>
        <v>4073.5569999999998</v>
      </c>
      <c r="H8" s="360">
        <f t="shared" si="2"/>
        <v>1609.894</v>
      </c>
      <c r="L8" s="147">
        <f t="shared" si="5"/>
        <v>2002</v>
      </c>
      <c r="M8" s="170" t="str">
        <f t="shared" si="6"/>
        <v>Q3</v>
      </c>
      <c r="N8" s="170" t="str">
        <f t="shared" si="0"/>
        <v>2002Q3</v>
      </c>
      <c r="O8" s="175">
        <v>114002.70699999999</v>
      </c>
      <c r="P8" s="233">
        <v>1622.5740000000001</v>
      </c>
      <c r="Q8" s="233">
        <v>1622.5740000000001</v>
      </c>
      <c r="R8" s="180">
        <v>35529.120654001694</v>
      </c>
      <c r="S8" s="180"/>
      <c r="T8" s="235">
        <f t="shared" si="3"/>
        <v>4096.6819999999998</v>
      </c>
      <c r="U8" s="180">
        <v>420.07424999999984</v>
      </c>
      <c r="V8" s="180">
        <v>4096.6819999999998</v>
      </c>
      <c r="W8" s="170">
        <f t="shared" si="4"/>
        <v>0.25889373920696362</v>
      </c>
      <c r="X8" s="170">
        <f t="shared" si="4"/>
        <v>2.5248044156999927</v>
      </c>
    </row>
    <row r="9" spans="1:24" x14ac:dyDescent="0.2">
      <c r="A9" s="147">
        <v>2001</v>
      </c>
      <c r="B9" s="147">
        <v>8</v>
      </c>
      <c r="C9" s="147" t="str">
        <f t="shared" si="1"/>
        <v>20018</v>
      </c>
      <c r="D9" s="170" t="s">
        <v>179</v>
      </c>
      <c r="E9" s="360">
        <f t="shared" si="2"/>
        <v>112373.137</v>
      </c>
      <c r="F9" s="360">
        <f t="shared" si="2"/>
        <v>34399.937636938055</v>
      </c>
      <c r="G9" s="360">
        <f t="shared" si="2"/>
        <v>4073.5569999999998</v>
      </c>
      <c r="H9" s="360">
        <f t="shared" si="2"/>
        <v>1609.894</v>
      </c>
      <c r="L9" s="147">
        <f t="shared" si="5"/>
        <v>2002</v>
      </c>
      <c r="M9" s="170" t="str">
        <f t="shared" si="6"/>
        <v>Q4</v>
      </c>
      <c r="N9" s="170" t="str">
        <f t="shared" si="0"/>
        <v>2002Q4</v>
      </c>
      <c r="O9" s="175">
        <v>114407.613</v>
      </c>
      <c r="P9" s="233">
        <v>1625.759</v>
      </c>
      <c r="Q9" s="233">
        <v>1625.759</v>
      </c>
      <c r="R9" s="180">
        <v>35618.929902433476</v>
      </c>
      <c r="S9" s="180"/>
      <c r="T9" s="235">
        <f t="shared" si="3"/>
        <v>4103.5</v>
      </c>
      <c r="U9" s="180">
        <v>421.70050000000003</v>
      </c>
      <c r="V9" s="180">
        <v>4103.5</v>
      </c>
      <c r="W9" s="170">
        <f t="shared" si="4"/>
        <v>0.25938684638990162</v>
      </c>
      <c r="X9" s="170">
        <f t="shared" si="4"/>
        <v>2.5240518428623187</v>
      </c>
    </row>
    <row r="10" spans="1:24" x14ac:dyDescent="0.2">
      <c r="A10" s="147">
        <v>2001</v>
      </c>
      <c r="B10" s="147">
        <v>9</v>
      </c>
      <c r="C10" s="147" t="str">
        <f t="shared" si="1"/>
        <v>20019</v>
      </c>
      <c r="D10" s="170" t="s">
        <v>179</v>
      </c>
      <c r="E10" s="360">
        <f t="shared" si="2"/>
        <v>112373.137</v>
      </c>
      <c r="F10" s="360">
        <f t="shared" si="2"/>
        <v>34399.937636938055</v>
      </c>
      <c r="G10" s="360">
        <f t="shared" si="2"/>
        <v>4073.5569999999998</v>
      </c>
      <c r="H10" s="360">
        <f t="shared" si="2"/>
        <v>1609.894</v>
      </c>
      <c r="L10" s="147">
        <f t="shared" si="5"/>
        <v>2003</v>
      </c>
      <c r="M10" s="170" t="str">
        <f t="shared" si="6"/>
        <v>Q1</v>
      </c>
      <c r="N10" s="170" t="str">
        <f t="shared" si="0"/>
        <v>2003Q1</v>
      </c>
      <c r="O10" s="175">
        <v>113801.59699999999</v>
      </c>
      <c r="P10" s="233">
        <v>1628.951</v>
      </c>
      <c r="Q10" s="233">
        <v>1628.951</v>
      </c>
      <c r="R10" s="180">
        <v>35646.967823316591</v>
      </c>
      <c r="S10" s="180"/>
      <c r="T10" s="235">
        <f t="shared" si="3"/>
        <v>4110.3289999999997</v>
      </c>
      <c r="U10" s="180">
        <v>423.32675</v>
      </c>
      <c r="V10" s="180">
        <v>4110.3289999999997</v>
      </c>
      <c r="W10" s="170">
        <f t="shared" si="4"/>
        <v>0.25987690851351575</v>
      </c>
      <c r="X10" s="170">
        <f t="shared" si="4"/>
        <v>2.5232981225340723</v>
      </c>
    </row>
    <row r="11" spans="1:24" x14ac:dyDescent="0.2">
      <c r="A11" s="147">
        <v>2001</v>
      </c>
      <c r="B11" s="147">
        <v>10</v>
      </c>
      <c r="C11" s="147" t="str">
        <f t="shared" si="1"/>
        <v>200110</v>
      </c>
      <c r="D11" s="170" t="s">
        <v>180</v>
      </c>
      <c r="E11" s="360">
        <f t="shared" si="2"/>
        <v>112983.58500000001</v>
      </c>
      <c r="F11" s="360">
        <f t="shared" si="2"/>
        <v>34635.991880930669</v>
      </c>
      <c r="G11" s="360">
        <f t="shared" si="2"/>
        <v>4078.989</v>
      </c>
      <c r="H11" s="360">
        <f t="shared" si="2"/>
        <v>1613.0550000000001</v>
      </c>
      <c r="L11" s="147">
        <f t="shared" si="5"/>
        <v>2003</v>
      </c>
      <c r="M11" s="170" t="str">
        <f t="shared" si="6"/>
        <v>Q2</v>
      </c>
      <c r="N11" s="170" t="str">
        <f t="shared" si="0"/>
        <v>2003Q2</v>
      </c>
      <c r="O11" s="175">
        <v>114321.784</v>
      </c>
      <c r="P11" s="233">
        <v>1632.1479999999999</v>
      </c>
      <c r="Q11" s="233">
        <v>1632.1479999999999</v>
      </c>
      <c r="R11" s="180">
        <v>35842.575547320266</v>
      </c>
      <c r="S11" s="180"/>
      <c r="T11" s="235">
        <f t="shared" si="3"/>
        <v>4117.17</v>
      </c>
      <c r="U11" s="180">
        <v>424.95300000000003</v>
      </c>
      <c r="V11" s="180">
        <v>4117.17</v>
      </c>
      <c r="W11" s="170">
        <f t="shared" si="4"/>
        <v>0.26036425618265013</v>
      </c>
      <c r="X11" s="170">
        <f t="shared" si="4"/>
        <v>2.5225469749066876</v>
      </c>
    </row>
    <row r="12" spans="1:24" x14ac:dyDescent="0.2">
      <c r="A12" s="147">
        <v>2001</v>
      </c>
      <c r="B12" s="147">
        <v>11</v>
      </c>
      <c r="C12" s="147" t="str">
        <f t="shared" si="1"/>
        <v>200111</v>
      </c>
      <c r="D12" s="170" t="s">
        <v>180</v>
      </c>
      <c r="E12" s="360">
        <f t="shared" si="2"/>
        <v>112983.58500000001</v>
      </c>
      <c r="F12" s="360">
        <f t="shared" si="2"/>
        <v>34635.991880930669</v>
      </c>
      <c r="G12" s="360">
        <f t="shared" si="2"/>
        <v>4078.989</v>
      </c>
      <c r="H12" s="360">
        <f t="shared" si="2"/>
        <v>1613.0550000000001</v>
      </c>
      <c r="L12" s="147">
        <f t="shared" si="5"/>
        <v>2003</v>
      </c>
      <c r="M12" s="170" t="str">
        <f t="shared" si="6"/>
        <v>Q3</v>
      </c>
      <c r="N12" s="170" t="str">
        <f t="shared" si="0"/>
        <v>2003Q3</v>
      </c>
      <c r="O12" s="175">
        <v>114399.553</v>
      </c>
      <c r="P12" s="233">
        <v>1635.3530000000001</v>
      </c>
      <c r="Q12" s="233">
        <v>1635.3530000000001</v>
      </c>
      <c r="R12" s="180">
        <v>35879.356060081816</v>
      </c>
      <c r="S12" s="180"/>
      <c r="T12" s="235">
        <f t="shared" si="3"/>
        <v>4124.384</v>
      </c>
      <c r="U12" s="180">
        <v>426.27199999999993</v>
      </c>
      <c r="V12" s="180">
        <v>4124.384</v>
      </c>
      <c r="W12" s="170">
        <f t="shared" si="4"/>
        <v>0.2606605424027717</v>
      </c>
      <c r="X12" s="170">
        <f t="shared" si="4"/>
        <v>2.5220145130745473</v>
      </c>
    </row>
    <row r="13" spans="1:24" x14ac:dyDescent="0.2">
      <c r="A13" s="147">
        <v>2001</v>
      </c>
      <c r="B13" s="147">
        <v>12</v>
      </c>
      <c r="C13" s="147" t="str">
        <f t="shared" si="1"/>
        <v>200112</v>
      </c>
      <c r="D13" s="170" t="s">
        <v>180</v>
      </c>
      <c r="E13" s="360">
        <f t="shared" si="2"/>
        <v>112983.58500000001</v>
      </c>
      <c r="F13" s="360">
        <f t="shared" si="2"/>
        <v>34635.991880930669</v>
      </c>
      <c r="G13" s="360">
        <f t="shared" si="2"/>
        <v>4078.989</v>
      </c>
      <c r="H13" s="360">
        <f t="shared" si="2"/>
        <v>1613.0550000000001</v>
      </c>
      <c r="L13" s="147">
        <f t="shared" si="5"/>
        <v>2003</v>
      </c>
      <c r="M13" s="170" t="str">
        <f t="shared" si="6"/>
        <v>Q4</v>
      </c>
      <c r="N13" s="170" t="str">
        <f t="shared" si="0"/>
        <v>2003Q4</v>
      </c>
      <c r="O13" s="175">
        <v>115855.962</v>
      </c>
      <c r="P13" s="233">
        <v>1638.5630000000001</v>
      </c>
      <c r="Q13" s="233">
        <v>1638.5630000000001</v>
      </c>
      <c r="R13" s="180">
        <v>36361.519986701038</v>
      </c>
      <c r="S13" s="180"/>
      <c r="T13" s="235">
        <f t="shared" si="3"/>
        <v>4131.6099999999997</v>
      </c>
      <c r="U13" s="180">
        <v>427.59099999999995</v>
      </c>
      <c r="V13" s="180">
        <v>4131.6099999999997</v>
      </c>
      <c r="W13" s="170">
        <f t="shared" si="4"/>
        <v>0.26095487326395134</v>
      </c>
      <c r="X13" s="170">
        <f t="shared" si="4"/>
        <v>2.5214837635171792</v>
      </c>
    </row>
    <row r="14" spans="1:24" x14ac:dyDescent="0.2">
      <c r="A14" s="147">
        <v>2002</v>
      </c>
      <c r="B14" s="147">
        <v>1</v>
      </c>
      <c r="C14" s="147" t="str">
        <f t="shared" si="1"/>
        <v>20021</v>
      </c>
      <c r="D14" s="147" t="str">
        <f>D2</f>
        <v>Q1</v>
      </c>
      <c r="E14" s="360">
        <f t="shared" si="2"/>
        <v>113421.694</v>
      </c>
      <c r="F14" s="360">
        <f t="shared" si="2"/>
        <v>35447.445392607326</v>
      </c>
      <c r="G14" s="360">
        <f t="shared" si="2"/>
        <v>4084.4279999999999</v>
      </c>
      <c r="H14" s="360">
        <f t="shared" si="2"/>
        <v>1616.222</v>
      </c>
      <c r="L14" s="147">
        <f t="shared" si="5"/>
        <v>2004</v>
      </c>
      <c r="M14" s="170" t="str">
        <f t="shared" si="6"/>
        <v>Q1</v>
      </c>
      <c r="N14" s="170" t="str">
        <f t="shared" si="0"/>
        <v>2004Q1</v>
      </c>
      <c r="O14" s="175">
        <v>116263.073</v>
      </c>
      <c r="P14" s="233">
        <v>1641.78</v>
      </c>
      <c r="Q14" s="233">
        <v>1641.78</v>
      </c>
      <c r="R14" s="180">
        <v>36644.026083426186</v>
      </c>
      <c r="S14" s="180"/>
      <c r="T14" s="235">
        <f t="shared" si="3"/>
        <v>4138.8490000000002</v>
      </c>
      <c r="U14" s="180">
        <v>428.91</v>
      </c>
      <c r="V14" s="180">
        <v>4138.8490000000002</v>
      </c>
      <c r="W14" s="170">
        <f t="shared" si="4"/>
        <v>0.26124693929759168</v>
      </c>
      <c r="X14" s="170">
        <f t="shared" si="4"/>
        <v>2.5209522591333799</v>
      </c>
    </row>
    <row r="15" spans="1:24" x14ac:dyDescent="0.2">
      <c r="A15" s="147">
        <v>2002</v>
      </c>
      <c r="B15" s="147">
        <v>2</v>
      </c>
      <c r="C15" s="147" t="str">
        <f t="shared" si="1"/>
        <v>20022</v>
      </c>
      <c r="D15" s="147" t="str">
        <f t="shared" ref="D15:D78" si="7">D3</f>
        <v>Q1</v>
      </c>
      <c r="E15" s="360">
        <f t="shared" si="2"/>
        <v>113421.694</v>
      </c>
      <c r="F15" s="360">
        <f t="shared" si="2"/>
        <v>35447.445392607326</v>
      </c>
      <c r="G15" s="360">
        <f t="shared" si="2"/>
        <v>4084.4279999999999</v>
      </c>
      <c r="H15" s="360">
        <f t="shared" si="2"/>
        <v>1616.222</v>
      </c>
      <c r="L15" s="147">
        <f t="shared" si="5"/>
        <v>2004</v>
      </c>
      <c r="M15" s="170" t="str">
        <f t="shared" si="6"/>
        <v>Q2</v>
      </c>
      <c r="N15" s="170" t="str">
        <f t="shared" si="0"/>
        <v>2004Q2</v>
      </c>
      <c r="O15" s="175">
        <v>116694.558</v>
      </c>
      <c r="P15" s="233">
        <v>1645.002</v>
      </c>
      <c r="Q15" s="233">
        <v>1645.002</v>
      </c>
      <c r="R15" s="180">
        <v>36771.492378685805</v>
      </c>
      <c r="S15" s="180"/>
      <c r="T15" s="235">
        <f t="shared" si="3"/>
        <v>4146.1009999999997</v>
      </c>
      <c r="U15" s="180">
        <v>430.22899999999998</v>
      </c>
      <c r="V15" s="180">
        <v>4146.1009999999997</v>
      </c>
      <c r="W15" s="170">
        <f t="shared" si="4"/>
        <v>0.26153706804003884</v>
      </c>
      <c r="X15" s="170">
        <f t="shared" si="4"/>
        <v>2.5204230754734644</v>
      </c>
    </row>
    <row r="16" spans="1:24" x14ac:dyDescent="0.2">
      <c r="A16" s="147">
        <v>2002</v>
      </c>
      <c r="B16" s="147">
        <v>3</v>
      </c>
      <c r="C16" s="147" t="str">
        <f t="shared" si="1"/>
        <v>20023</v>
      </c>
      <c r="D16" s="147" t="str">
        <f t="shared" si="7"/>
        <v>Q1</v>
      </c>
      <c r="E16" s="360">
        <f t="shared" si="2"/>
        <v>113421.694</v>
      </c>
      <c r="F16" s="360">
        <f t="shared" si="2"/>
        <v>35447.445392607326</v>
      </c>
      <c r="G16" s="360">
        <f t="shared" si="2"/>
        <v>4084.4279999999999</v>
      </c>
      <c r="H16" s="360">
        <f t="shared" si="2"/>
        <v>1616.222</v>
      </c>
      <c r="L16" s="147">
        <f t="shared" si="5"/>
        <v>2004</v>
      </c>
      <c r="M16" s="170" t="str">
        <f t="shared" si="6"/>
        <v>Q3</v>
      </c>
      <c r="N16" s="170" t="str">
        <f t="shared" si="0"/>
        <v>2004Q3</v>
      </c>
      <c r="O16" s="175">
        <v>117551.33500000001</v>
      </c>
      <c r="P16" s="233">
        <v>1648.232</v>
      </c>
      <c r="Q16" s="233">
        <v>1648.232</v>
      </c>
      <c r="R16" s="180">
        <v>36973.693354213639</v>
      </c>
      <c r="S16" s="180"/>
      <c r="T16" s="235">
        <f t="shared" si="3"/>
        <v>4155.2309999999998</v>
      </c>
      <c r="U16" s="180">
        <v>431.89625000000001</v>
      </c>
      <c r="V16" s="180">
        <v>4155.2309999999998</v>
      </c>
      <c r="W16" s="170">
        <f t="shared" si="4"/>
        <v>0.26203607865882961</v>
      </c>
      <c r="X16" s="170">
        <f t="shared" si="4"/>
        <v>2.5210231326657895</v>
      </c>
    </row>
    <row r="17" spans="1:24" x14ac:dyDescent="0.2">
      <c r="A17" s="147">
        <v>2002</v>
      </c>
      <c r="B17" s="147">
        <v>4</v>
      </c>
      <c r="C17" s="147" t="str">
        <f t="shared" si="1"/>
        <v>20024</v>
      </c>
      <c r="D17" s="147" t="str">
        <f t="shared" si="7"/>
        <v>Q2</v>
      </c>
      <c r="E17" s="360">
        <f t="shared" si="2"/>
        <v>114074.546</v>
      </c>
      <c r="F17" s="360">
        <f t="shared" si="2"/>
        <v>35596.576099127022</v>
      </c>
      <c r="G17" s="360">
        <f t="shared" si="2"/>
        <v>4089.875</v>
      </c>
      <c r="H17" s="360">
        <f t="shared" si="2"/>
        <v>1619.394</v>
      </c>
      <c r="L17" s="147">
        <f t="shared" si="5"/>
        <v>2004</v>
      </c>
      <c r="M17" s="170" t="str">
        <f t="shared" si="6"/>
        <v>Q4</v>
      </c>
      <c r="N17" s="170" t="str">
        <f t="shared" si="0"/>
        <v>2004Q4</v>
      </c>
      <c r="O17" s="175">
        <v>118914.68</v>
      </c>
      <c r="P17" s="233">
        <v>1651.4670000000001</v>
      </c>
      <c r="Q17" s="233">
        <v>1651.4670000000001</v>
      </c>
      <c r="R17" s="180">
        <v>37306.699921138053</v>
      </c>
      <c r="S17" s="180"/>
      <c r="T17" s="235">
        <f t="shared" si="3"/>
        <v>4164.3810000000003</v>
      </c>
      <c r="U17" s="180">
        <v>433.56350000000003</v>
      </c>
      <c r="V17" s="180">
        <v>4164.3810000000003</v>
      </c>
      <c r="W17" s="170">
        <f t="shared" si="4"/>
        <v>0.26253234245673696</v>
      </c>
      <c r="X17" s="170">
        <f t="shared" si="4"/>
        <v>2.5216253185803894</v>
      </c>
    </row>
    <row r="18" spans="1:24" x14ac:dyDescent="0.2">
      <c r="A18" s="147">
        <v>2002</v>
      </c>
      <c r="B18" s="147">
        <v>5</v>
      </c>
      <c r="C18" s="147" t="str">
        <f t="shared" si="1"/>
        <v>20025</v>
      </c>
      <c r="D18" s="147" t="str">
        <f t="shared" si="7"/>
        <v>Q2</v>
      </c>
      <c r="E18" s="360">
        <f t="shared" si="2"/>
        <v>114074.546</v>
      </c>
      <c r="F18" s="360">
        <f t="shared" si="2"/>
        <v>35596.576099127022</v>
      </c>
      <c r="G18" s="360">
        <f t="shared" si="2"/>
        <v>4089.875</v>
      </c>
      <c r="H18" s="360">
        <f t="shared" si="2"/>
        <v>1619.394</v>
      </c>
      <c r="L18" s="147">
        <f t="shared" si="5"/>
        <v>2005</v>
      </c>
      <c r="M18" s="170" t="str">
        <f t="shared" si="6"/>
        <v>Q1</v>
      </c>
      <c r="N18" s="170" t="str">
        <f t="shared" si="0"/>
        <v>2005Q1</v>
      </c>
      <c r="O18" s="175">
        <v>118334.43</v>
      </c>
      <c r="P18" s="233">
        <v>1654.7090000000001</v>
      </c>
      <c r="Q18" s="233">
        <v>1654.7090000000001</v>
      </c>
      <c r="R18" s="180">
        <v>36497.743140651095</v>
      </c>
      <c r="S18" s="180"/>
      <c r="T18" s="235">
        <f t="shared" si="3"/>
        <v>4173.5519999999997</v>
      </c>
      <c r="U18" s="180">
        <v>435.23075</v>
      </c>
      <c r="V18" s="180">
        <v>4173.5519999999997</v>
      </c>
      <c r="W18" s="170">
        <f t="shared" si="4"/>
        <v>0.26302555313351167</v>
      </c>
      <c r="X18" s="170">
        <f t="shared" si="4"/>
        <v>2.5222271710614974</v>
      </c>
    </row>
    <row r="19" spans="1:24" x14ac:dyDescent="0.2">
      <c r="A19" s="147">
        <v>2002</v>
      </c>
      <c r="B19" s="147">
        <v>6</v>
      </c>
      <c r="C19" s="147" t="str">
        <f t="shared" si="1"/>
        <v>20026</v>
      </c>
      <c r="D19" s="147" t="str">
        <f t="shared" si="7"/>
        <v>Q2</v>
      </c>
      <c r="E19" s="360">
        <f t="shared" si="2"/>
        <v>114074.546</v>
      </c>
      <c r="F19" s="360">
        <f t="shared" si="2"/>
        <v>35596.576099127022</v>
      </c>
      <c r="G19" s="360">
        <f t="shared" si="2"/>
        <v>4089.875</v>
      </c>
      <c r="H19" s="360">
        <f t="shared" si="2"/>
        <v>1619.394</v>
      </c>
      <c r="L19" s="147">
        <f t="shared" si="5"/>
        <v>2005</v>
      </c>
      <c r="M19" s="170" t="str">
        <f t="shared" si="6"/>
        <v>Q2</v>
      </c>
      <c r="N19" s="170" t="str">
        <f t="shared" si="0"/>
        <v>2005Q2</v>
      </c>
      <c r="O19" s="175">
        <v>119333.414</v>
      </c>
      <c r="P19" s="233">
        <v>1657.9570000000001</v>
      </c>
      <c r="Q19" s="233">
        <v>1657.9570000000001</v>
      </c>
      <c r="R19" s="180">
        <v>36925.598833112439</v>
      </c>
      <c r="S19" s="180"/>
      <c r="T19" s="235">
        <f t="shared" si="3"/>
        <v>4182.7420000000002</v>
      </c>
      <c r="U19" s="180">
        <v>436.89800000000002</v>
      </c>
      <c r="V19" s="180">
        <v>4182.7420000000002</v>
      </c>
      <c r="W19" s="170">
        <f t="shared" si="4"/>
        <v>0.26351588129245812</v>
      </c>
      <c r="X19" s="170">
        <f t="shared" si="4"/>
        <v>2.5228289997870874</v>
      </c>
    </row>
    <row r="20" spans="1:24" x14ac:dyDescent="0.2">
      <c r="A20" s="147">
        <v>2002</v>
      </c>
      <c r="B20" s="147">
        <v>7</v>
      </c>
      <c r="C20" s="147" t="str">
        <f t="shared" si="1"/>
        <v>20027</v>
      </c>
      <c r="D20" s="147" t="str">
        <f t="shared" si="7"/>
        <v>Q3</v>
      </c>
      <c r="E20" s="360">
        <f t="shared" si="2"/>
        <v>114002.70699999999</v>
      </c>
      <c r="F20" s="360">
        <f t="shared" si="2"/>
        <v>35529.120654001694</v>
      </c>
      <c r="G20" s="360">
        <f t="shared" si="2"/>
        <v>4096.6819999999998</v>
      </c>
      <c r="H20" s="360">
        <f t="shared" si="2"/>
        <v>1622.5740000000001</v>
      </c>
      <c r="L20" s="147">
        <f t="shared" si="5"/>
        <v>2005</v>
      </c>
      <c r="M20" s="170" t="str">
        <f t="shared" si="6"/>
        <v>Q3</v>
      </c>
      <c r="N20" s="170" t="str">
        <f t="shared" si="0"/>
        <v>2005Q3</v>
      </c>
      <c r="O20" s="175">
        <v>119379.652</v>
      </c>
      <c r="P20" s="233">
        <v>1657.652</v>
      </c>
      <c r="Q20" s="233">
        <v>1657.652</v>
      </c>
      <c r="R20" s="180">
        <v>37050.927192459436</v>
      </c>
      <c r="S20" s="180"/>
      <c r="T20" s="235">
        <f t="shared" si="3"/>
        <v>4191.8370000000004</v>
      </c>
      <c r="U20" s="180">
        <v>439.09474999999986</v>
      </c>
      <c r="V20" s="180">
        <v>4191.8370000000004</v>
      </c>
      <c r="W20" s="170">
        <f t="shared" si="4"/>
        <v>0.26488958478619146</v>
      </c>
      <c r="X20" s="170">
        <f t="shared" si="4"/>
        <v>2.5287798645312769</v>
      </c>
    </row>
    <row r="21" spans="1:24" x14ac:dyDescent="0.2">
      <c r="A21" s="147">
        <v>2002</v>
      </c>
      <c r="B21" s="147">
        <v>8</v>
      </c>
      <c r="C21" s="147" t="str">
        <f t="shared" si="1"/>
        <v>20028</v>
      </c>
      <c r="D21" s="147" t="str">
        <f t="shared" si="7"/>
        <v>Q3</v>
      </c>
      <c r="E21" s="360">
        <f t="shared" si="2"/>
        <v>114002.70699999999</v>
      </c>
      <c r="F21" s="360">
        <f t="shared" si="2"/>
        <v>35529.120654001694</v>
      </c>
      <c r="G21" s="360">
        <f t="shared" si="2"/>
        <v>4096.6819999999998</v>
      </c>
      <c r="H21" s="360">
        <f t="shared" si="2"/>
        <v>1622.5740000000001</v>
      </c>
      <c r="L21" s="147">
        <f t="shared" si="5"/>
        <v>2005</v>
      </c>
      <c r="M21" s="170" t="str">
        <f t="shared" si="6"/>
        <v>Q4</v>
      </c>
      <c r="N21" s="170" t="str">
        <f t="shared" si="0"/>
        <v>2005Q4</v>
      </c>
      <c r="O21" s="175">
        <v>119542.07799999999</v>
      </c>
      <c r="P21" s="233">
        <v>1657.348</v>
      </c>
      <c r="Q21" s="233">
        <v>1657.348</v>
      </c>
      <c r="R21" s="180">
        <v>37214.08364461326</v>
      </c>
      <c r="S21" s="180"/>
      <c r="T21" s="235">
        <f t="shared" si="3"/>
        <v>4200.951</v>
      </c>
      <c r="U21" s="180">
        <v>441.29150000000004</v>
      </c>
      <c r="V21" s="180">
        <v>4200.951</v>
      </c>
      <c r="W21" s="170">
        <f t="shared" si="4"/>
        <v>0.26626363322609375</v>
      </c>
      <c r="X21" s="170">
        <f t="shared" si="4"/>
        <v>2.5347428542466641</v>
      </c>
    </row>
    <row r="22" spans="1:24" x14ac:dyDescent="0.2">
      <c r="A22" s="147">
        <v>2002</v>
      </c>
      <c r="B22" s="147">
        <v>9</v>
      </c>
      <c r="C22" s="147" t="str">
        <f t="shared" si="1"/>
        <v>20029</v>
      </c>
      <c r="D22" s="147" t="str">
        <f t="shared" si="7"/>
        <v>Q3</v>
      </c>
      <c r="E22" s="360">
        <f t="shared" si="2"/>
        <v>114002.70699999999</v>
      </c>
      <c r="F22" s="360">
        <f t="shared" si="2"/>
        <v>35529.120654001694</v>
      </c>
      <c r="G22" s="360">
        <f t="shared" si="2"/>
        <v>4096.6819999999998</v>
      </c>
      <c r="H22" s="360">
        <f t="shared" si="2"/>
        <v>1622.5740000000001</v>
      </c>
      <c r="L22" s="147">
        <f t="shared" si="5"/>
        <v>2006</v>
      </c>
      <c r="M22" s="170" t="str">
        <f t="shared" si="6"/>
        <v>Q1</v>
      </c>
      <c r="N22" s="170" t="str">
        <f t="shared" si="0"/>
        <v>2006Q1</v>
      </c>
      <c r="O22" s="175">
        <v>121891.27099999999</v>
      </c>
      <c r="P22" s="233">
        <v>1657.0429999999999</v>
      </c>
      <c r="Q22" s="233">
        <v>1657.0429999999999</v>
      </c>
      <c r="R22" s="180">
        <v>38232.076121240505</v>
      </c>
      <c r="S22" s="180"/>
      <c r="T22" s="235">
        <f t="shared" si="3"/>
        <v>4210.085</v>
      </c>
      <c r="U22" s="180">
        <v>443.48824999999999</v>
      </c>
      <c r="V22" s="180">
        <v>4210.085</v>
      </c>
      <c r="W22" s="170">
        <f t="shared" si="4"/>
        <v>0.26763834734524089</v>
      </c>
      <c r="X22" s="170">
        <f t="shared" si="4"/>
        <v>2.540721634864032</v>
      </c>
    </row>
    <row r="23" spans="1:24" x14ac:dyDescent="0.2">
      <c r="A23" s="147">
        <v>2002</v>
      </c>
      <c r="B23" s="147">
        <v>10</v>
      </c>
      <c r="C23" s="147" t="str">
        <f t="shared" si="1"/>
        <v>200210</v>
      </c>
      <c r="D23" s="147" t="str">
        <f t="shared" si="7"/>
        <v>Q4</v>
      </c>
      <c r="E23" s="360">
        <f t="shared" si="2"/>
        <v>114407.613</v>
      </c>
      <c r="F23" s="360">
        <f t="shared" si="2"/>
        <v>35618.929902433476</v>
      </c>
      <c r="G23" s="360">
        <f t="shared" si="2"/>
        <v>4103.5</v>
      </c>
      <c r="H23" s="360">
        <f t="shared" si="2"/>
        <v>1625.759</v>
      </c>
      <c r="L23" s="147">
        <f t="shared" si="5"/>
        <v>2006</v>
      </c>
      <c r="M23" s="170" t="str">
        <f t="shared" si="6"/>
        <v>Q2</v>
      </c>
      <c r="N23" s="170" t="str">
        <f t="shared" si="0"/>
        <v>2006Q2</v>
      </c>
      <c r="O23" s="175">
        <v>123006.787</v>
      </c>
      <c r="P23" s="233">
        <v>1656.7380000000001</v>
      </c>
      <c r="Q23" s="233">
        <v>1656.7380000000001</v>
      </c>
      <c r="R23" s="180">
        <v>38551.986971371545</v>
      </c>
      <c r="S23" s="180"/>
      <c r="T23" s="235">
        <f t="shared" si="3"/>
        <v>4219.2389999999996</v>
      </c>
      <c r="U23" s="180">
        <v>445.685</v>
      </c>
      <c r="V23" s="180">
        <v>4219.2389999999996</v>
      </c>
      <c r="W23" s="170">
        <f t="shared" si="4"/>
        <v>0.26901356762505596</v>
      </c>
      <c r="X23" s="170">
        <f t="shared" si="4"/>
        <v>2.5467146887437839</v>
      </c>
    </row>
    <row r="24" spans="1:24" x14ac:dyDescent="0.2">
      <c r="A24" s="147">
        <v>2002</v>
      </c>
      <c r="B24" s="147">
        <v>11</v>
      </c>
      <c r="C24" s="147" t="str">
        <f t="shared" si="1"/>
        <v>200211</v>
      </c>
      <c r="D24" s="147" t="str">
        <f t="shared" si="7"/>
        <v>Q4</v>
      </c>
      <c r="E24" s="360">
        <f t="shared" si="2"/>
        <v>114407.613</v>
      </c>
      <c r="F24" s="360">
        <f t="shared" si="2"/>
        <v>35618.929902433476</v>
      </c>
      <c r="G24" s="360">
        <f t="shared" si="2"/>
        <v>4103.5</v>
      </c>
      <c r="H24" s="360">
        <f t="shared" si="2"/>
        <v>1625.759</v>
      </c>
      <c r="L24" s="147">
        <f t="shared" si="5"/>
        <v>2006</v>
      </c>
      <c r="M24" s="170" t="str">
        <f t="shared" si="6"/>
        <v>Q3</v>
      </c>
      <c r="N24" s="170" t="str">
        <f t="shared" si="0"/>
        <v>2006Q3</v>
      </c>
      <c r="O24" s="175">
        <v>123530.77899999999</v>
      </c>
      <c r="P24" s="233">
        <v>1657.8969999999999</v>
      </c>
      <c r="Q24" s="233">
        <v>1657.8969999999999</v>
      </c>
      <c r="R24" s="180">
        <v>38698.21171607422</v>
      </c>
      <c r="S24" s="180"/>
      <c r="T24" s="235">
        <f t="shared" si="3"/>
        <v>4228.5659999999998</v>
      </c>
      <c r="U24" s="180">
        <v>447.29824999999994</v>
      </c>
      <c r="V24" s="180">
        <v>4228.5659999999998</v>
      </c>
      <c r="W24" s="170">
        <f t="shared" si="4"/>
        <v>0.26979857614797537</v>
      </c>
      <c r="X24" s="170">
        <f t="shared" si="4"/>
        <v>2.5505601373306064</v>
      </c>
    </row>
    <row r="25" spans="1:24" x14ac:dyDescent="0.2">
      <c r="A25" s="147">
        <v>2002</v>
      </c>
      <c r="B25" s="147">
        <v>12</v>
      </c>
      <c r="C25" s="147" t="str">
        <f t="shared" si="1"/>
        <v>200212</v>
      </c>
      <c r="D25" s="147" t="str">
        <f t="shared" si="7"/>
        <v>Q4</v>
      </c>
      <c r="E25" s="360">
        <f t="shared" si="2"/>
        <v>114407.613</v>
      </c>
      <c r="F25" s="360">
        <f t="shared" si="2"/>
        <v>35618.929902433476</v>
      </c>
      <c r="G25" s="360">
        <f t="shared" si="2"/>
        <v>4103.5</v>
      </c>
      <c r="H25" s="360">
        <f t="shared" si="2"/>
        <v>1625.759</v>
      </c>
      <c r="L25" s="147">
        <f t="shared" si="5"/>
        <v>2006</v>
      </c>
      <c r="M25" s="170" t="str">
        <f t="shared" si="6"/>
        <v>Q4</v>
      </c>
      <c r="N25" s="170" t="str">
        <f t="shared" si="0"/>
        <v>2006Q4</v>
      </c>
      <c r="O25" s="175">
        <v>124988.379</v>
      </c>
      <c r="P25" s="233">
        <v>1659.057</v>
      </c>
      <c r="Q25" s="233">
        <v>1659.057</v>
      </c>
      <c r="R25" s="180">
        <v>39120.882163460956</v>
      </c>
      <c r="S25" s="180"/>
      <c r="T25" s="235">
        <f t="shared" si="3"/>
        <v>4237.9139999999998</v>
      </c>
      <c r="U25" s="180">
        <v>448.91149999999993</v>
      </c>
      <c r="V25" s="180">
        <v>4237.9139999999998</v>
      </c>
      <c r="W25" s="170">
        <f t="shared" si="4"/>
        <v>0.27058232477847349</v>
      </c>
      <c r="X25" s="170">
        <f t="shared" si="4"/>
        <v>2.5544113312562495</v>
      </c>
    </row>
    <row r="26" spans="1:24" x14ac:dyDescent="0.2">
      <c r="A26" s="147">
        <v>2003</v>
      </c>
      <c r="B26" s="147">
        <v>1</v>
      </c>
      <c r="C26" s="147" t="str">
        <f t="shared" si="1"/>
        <v>20031</v>
      </c>
      <c r="D26" s="147" t="str">
        <f t="shared" si="7"/>
        <v>Q1</v>
      </c>
      <c r="E26" s="360">
        <f t="shared" si="2"/>
        <v>113801.59699999999</v>
      </c>
      <c r="F26" s="360">
        <f t="shared" si="2"/>
        <v>35646.967823316591</v>
      </c>
      <c r="G26" s="360">
        <f t="shared" si="2"/>
        <v>4110.3289999999997</v>
      </c>
      <c r="H26" s="360">
        <f t="shared" si="2"/>
        <v>1628.951</v>
      </c>
      <c r="L26" s="147">
        <f t="shared" si="5"/>
        <v>2007</v>
      </c>
      <c r="M26" s="170" t="str">
        <f t="shared" si="6"/>
        <v>Q1</v>
      </c>
      <c r="N26" s="170" t="str">
        <f t="shared" si="0"/>
        <v>2007Q1</v>
      </c>
      <c r="O26" s="175">
        <v>125421.274</v>
      </c>
      <c r="P26" s="233">
        <v>1660.2180000000001</v>
      </c>
      <c r="Q26" s="233">
        <v>1660.2180000000001</v>
      </c>
      <c r="R26" s="180">
        <v>39207.939116974187</v>
      </c>
      <c r="S26" s="180"/>
      <c r="T26" s="235">
        <f t="shared" si="3"/>
        <v>4247.2830000000004</v>
      </c>
      <c r="U26" s="180">
        <v>450.52474999999998</v>
      </c>
      <c r="V26" s="180">
        <v>4247.2830000000004</v>
      </c>
      <c r="W26" s="170">
        <f t="shared" si="4"/>
        <v>0.27136481474119661</v>
      </c>
      <c r="X26" s="170">
        <f t="shared" si="4"/>
        <v>2.5582682515187765</v>
      </c>
    </row>
    <row r="27" spans="1:24" x14ac:dyDescent="0.2">
      <c r="A27" s="147">
        <v>2003</v>
      </c>
      <c r="B27" s="147">
        <v>2</v>
      </c>
      <c r="C27" s="147" t="str">
        <f t="shared" si="1"/>
        <v>20032</v>
      </c>
      <c r="D27" s="147" t="str">
        <f t="shared" si="7"/>
        <v>Q1</v>
      </c>
      <c r="E27" s="360">
        <f t="shared" si="2"/>
        <v>113801.59699999999</v>
      </c>
      <c r="F27" s="360">
        <f t="shared" si="2"/>
        <v>35646.967823316591</v>
      </c>
      <c r="G27" s="360">
        <f t="shared" si="2"/>
        <v>4110.3289999999997</v>
      </c>
      <c r="H27" s="360">
        <f t="shared" si="2"/>
        <v>1628.951</v>
      </c>
      <c r="L27" s="147">
        <f t="shared" si="5"/>
        <v>2007</v>
      </c>
      <c r="M27" s="170" t="str">
        <f t="shared" si="6"/>
        <v>Q2</v>
      </c>
      <c r="N27" s="170" t="str">
        <f t="shared" si="0"/>
        <v>2007Q2</v>
      </c>
      <c r="O27" s="175">
        <v>125696.571</v>
      </c>
      <c r="P27" s="233">
        <v>1661.3789999999999</v>
      </c>
      <c r="Q27" s="233">
        <v>1661.3789999999999</v>
      </c>
      <c r="R27" s="180">
        <v>39146.160290129192</v>
      </c>
      <c r="S27" s="180"/>
      <c r="T27" s="235">
        <f t="shared" si="3"/>
        <v>4256.6719999999996</v>
      </c>
      <c r="U27" s="180">
        <v>452.13799999999998</v>
      </c>
      <c r="V27" s="180">
        <v>4256.6719999999996</v>
      </c>
      <c r="W27" s="170">
        <f t="shared" si="4"/>
        <v>0.27214621106923825</v>
      </c>
      <c r="X27" s="170">
        <f t="shared" si="4"/>
        <v>2.5621318194102609</v>
      </c>
    </row>
    <row r="28" spans="1:24" x14ac:dyDescent="0.2">
      <c r="A28" s="147">
        <v>2003</v>
      </c>
      <c r="B28" s="147">
        <v>3</v>
      </c>
      <c r="C28" s="147" t="str">
        <f t="shared" si="1"/>
        <v>20033</v>
      </c>
      <c r="D28" s="147" t="str">
        <f t="shared" si="7"/>
        <v>Q1</v>
      </c>
      <c r="E28" s="360">
        <f t="shared" si="2"/>
        <v>113801.59699999999</v>
      </c>
      <c r="F28" s="360">
        <f t="shared" si="2"/>
        <v>35646.967823316591</v>
      </c>
      <c r="G28" s="360">
        <f t="shared" si="2"/>
        <v>4110.3289999999997</v>
      </c>
      <c r="H28" s="360">
        <f t="shared" si="2"/>
        <v>1628.951</v>
      </c>
      <c r="L28" s="147">
        <f t="shared" si="5"/>
        <v>2007</v>
      </c>
      <c r="M28" s="170" t="str">
        <f t="shared" si="6"/>
        <v>Q3</v>
      </c>
      <c r="N28" s="170" t="str">
        <f t="shared" si="0"/>
        <v>2007Q3</v>
      </c>
      <c r="O28" s="175">
        <v>125601.717</v>
      </c>
      <c r="P28" s="233">
        <v>1669.175</v>
      </c>
      <c r="Q28" s="233">
        <v>1669.175</v>
      </c>
      <c r="R28" s="180">
        <v>39001.852326761655</v>
      </c>
      <c r="S28" s="180"/>
      <c r="T28" s="235">
        <f t="shared" si="3"/>
        <v>4264.9489999999996</v>
      </c>
      <c r="U28" s="180">
        <v>454.13150000000007</v>
      </c>
      <c r="V28" s="180">
        <v>4264.9489999999996</v>
      </c>
      <c r="W28" s="170">
        <f t="shared" si="4"/>
        <v>0.27206943549957319</v>
      </c>
      <c r="X28" s="170">
        <f t="shared" si="4"/>
        <v>2.5551239384725988</v>
      </c>
    </row>
    <row r="29" spans="1:24" x14ac:dyDescent="0.2">
      <c r="A29" s="147">
        <v>2003</v>
      </c>
      <c r="B29" s="147">
        <v>4</v>
      </c>
      <c r="C29" s="147" t="str">
        <f t="shared" si="1"/>
        <v>20034</v>
      </c>
      <c r="D29" s="147" t="str">
        <f t="shared" si="7"/>
        <v>Q2</v>
      </c>
      <c r="E29" s="360">
        <f t="shared" si="2"/>
        <v>114321.784</v>
      </c>
      <c r="F29" s="360">
        <f t="shared" si="2"/>
        <v>35842.575547320266</v>
      </c>
      <c r="G29" s="360">
        <f t="shared" si="2"/>
        <v>4117.17</v>
      </c>
      <c r="H29" s="360">
        <f t="shared" si="2"/>
        <v>1632.1479999999999</v>
      </c>
      <c r="L29" s="147">
        <f t="shared" si="5"/>
        <v>2007</v>
      </c>
      <c r="M29" s="170" t="str">
        <f t="shared" si="6"/>
        <v>Q4</v>
      </c>
      <c r="N29" s="170" t="str">
        <f t="shared" si="0"/>
        <v>2007Q4</v>
      </c>
      <c r="O29" s="175">
        <v>126411.315</v>
      </c>
      <c r="P29" s="233">
        <v>1677.0070000000001</v>
      </c>
      <c r="Q29" s="233">
        <v>1677.0070000000001</v>
      </c>
      <c r="R29" s="180">
        <v>39135.118262944496</v>
      </c>
      <c r="S29" s="180"/>
      <c r="T29" s="235">
        <f t="shared" si="3"/>
        <v>4273.2430000000004</v>
      </c>
      <c r="U29" s="180">
        <v>456.125</v>
      </c>
      <c r="V29" s="180">
        <v>4273.2430000000004</v>
      </c>
      <c r="W29" s="170">
        <f t="shared" si="4"/>
        <v>0.27198753493575162</v>
      </c>
      <c r="X29" s="170">
        <f t="shared" si="4"/>
        <v>2.548136650592395</v>
      </c>
    </row>
    <row r="30" spans="1:24" x14ac:dyDescent="0.2">
      <c r="A30" s="147">
        <v>2003</v>
      </c>
      <c r="B30" s="147">
        <v>5</v>
      </c>
      <c r="C30" s="147" t="str">
        <f t="shared" si="1"/>
        <v>20035</v>
      </c>
      <c r="D30" s="147" t="str">
        <f t="shared" si="7"/>
        <v>Q2</v>
      </c>
      <c r="E30" s="360">
        <f t="shared" si="2"/>
        <v>114321.784</v>
      </c>
      <c r="F30" s="360">
        <f t="shared" si="2"/>
        <v>35842.575547320266</v>
      </c>
      <c r="G30" s="360">
        <f t="shared" si="2"/>
        <v>4117.17</v>
      </c>
      <c r="H30" s="360">
        <f t="shared" si="2"/>
        <v>1632.1479999999999</v>
      </c>
      <c r="L30" s="147">
        <f t="shared" si="5"/>
        <v>2008</v>
      </c>
      <c r="M30" s="170" t="str">
        <f t="shared" si="6"/>
        <v>Q1</v>
      </c>
      <c r="N30" s="170" t="str">
        <f t="shared" si="0"/>
        <v>2008Q1</v>
      </c>
      <c r="O30" s="175">
        <v>128364.796</v>
      </c>
      <c r="P30" s="233">
        <v>1684.875</v>
      </c>
      <c r="Q30" s="233">
        <v>1684.875</v>
      </c>
      <c r="R30" s="180">
        <v>39632.680925057175</v>
      </c>
      <c r="S30" s="180"/>
      <c r="T30" s="235">
        <f t="shared" si="3"/>
        <v>4281.5519999999997</v>
      </c>
      <c r="U30" s="180">
        <v>458.11849999999993</v>
      </c>
      <c r="V30" s="180">
        <v>4281.5519999999997</v>
      </c>
      <c r="W30" s="170">
        <f t="shared" si="4"/>
        <v>0.27190058609689144</v>
      </c>
      <c r="X30" s="170">
        <f t="shared" si="4"/>
        <v>2.5411689294458042</v>
      </c>
    </row>
    <row r="31" spans="1:24" x14ac:dyDescent="0.2">
      <c r="A31" s="147">
        <v>2003</v>
      </c>
      <c r="B31" s="147">
        <v>6</v>
      </c>
      <c r="C31" s="147" t="str">
        <f t="shared" si="1"/>
        <v>20036</v>
      </c>
      <c r="D31" s="147" t="str">
        <f t="shared" si="7"/>
        <v>Q2</v>
      </c>
      <c r="E31" s="360">
        <f t="shared" si="2"/>
        <v>114321.784</v>
      </c>
      <c r="F31" s="360">
        <f t="shared" si="2"/>
        <v>35842.575547320266</v>
      </c>
      <c r="G31" s="360">
        <f t="shared" si="2"/>
        <v>4117.17</v>
      </c>
      <c r="H31" s="360">
        <f t="shared" si="2"/>
        <v>1632.1479999999999</v>
      </c>
      <c r="L31" s="147">
        <f t="shared" si="5"/>
        <v>2008</v>
      </c>
      <c r="M31" s="170" t="str">
        <f t="shared" si="6"/>
        <v>Q2</v>
      </c>
      <c r="N31" s="170" t="str">
        <f t="shared" si="0"/>
        <v>2008Q2</v>
      </c>
      <c r="O31" s="175">
        <v>129399.736</v>
      </c>
      <c r="P31" s="233">
        <v>1692.7809999999999</v>
      </c>
      <c r="Q31" s="233">
        <v>1692.7809999999999</v>
      </c>
      <c r="R31" s="180">
        <v>39855.727140851915</v>
      </c>
      <c r="S31" s="180"/>
      <c r="T31" s="235">
        <f t="shared" si="3"/>
        <v>4289.8779999999997</v>
      </c>
      <c r="U31" s="180">
        <v>460.11199999999997</v>
      </c>
      <c r="V31" s="180">
        <v>4289.8779999999997</v>
      </c>
      <c r="W31" s="170">
        <f t="shared" si="4"/>
        <v>0.27180834378457697</v>
      </c>
      <c r="X31" s="170">
        <f t="shared" si="4"/>
        <v>2.5342191340758196</v>
      </c>
    </row>
    <row r="32" spans="1:24" x14ac:dyDescent="0.2">
      <c r="A32" s="147">
        <v>2003</v>
      </c>
      <c r="B32" s="147">
        <v>7</v>
      </c>
      <c r="C32" s="147" t="str">
        <f t="shared" si="1"/>
        <v>20037</v>
      </c>
      <c r="D32" s="147" t="str">
        <f t="shared" si="7"/>
        <v>Q3</v>
      </c>
      <c r="E32" s="360">
        <f t="shared" si="2"/>
        <v>114399.553</v>
      </c>
      <c r="F32" s="360">
        <f t="shared" si="2"/>
        <v>35879.356060081816</v>
      </c>
      <c r="G32" s="360">
        <f t="shared" si="2"/>
        <v>4124.384</v>
      </c>
      <c r="H32" s="360">
        <f t="shared" si="2"/>
        <v>1635.3530000000001</v>
      </c>
      <c r="L32" s="147">
        <f t="shared" si="5"/>
        <v>2008</v>
      </c>
      <c r="M32" s="170" t="str">
        <f t="shared" si="6"/>
        <v>Q3</v>
      </c>
      <c r="N32" s="170" t="str">
        <f t="shared" si="0"/>
        <v>2008Q3</v>
      </c>
      <c r="O32" s="175">
        <v>126756.973</v>
      </c>
      <c r="P32" s="233">
        <v>1694.962</v>
      </c>
      <c r="Q32" s="233">
        <v>1694.962</v>
      </c>
      <c r="R32" s="180">
        <v>38971.970554889042</v>
      </c>
      <c r="S32" s="180"/>
      <c r="T32" s="235">
        <f t="shared" si="3"/>
        <v>4296.6610000000001</v>
      </c>
      <c r="U32" s="180">
        <v>461.91600000000005</v>
      </c>
      <c r="V32" s="180">
        <v>4296.6610000000001</v>
      </c>
      <c r="W32" s="170">
        <f t="shared" si="4"/>
        <v>0.27252292381776116</v>
      </c>
      <c r="X32" s="170">
        <f t="shared" si="4"/>
        <v>2.5349600758011093</v>
      </c>
    </row>
    <row r="33" spans="1:24" x14ac:dyDescent="0.2">
      <c r="A33" s="147">
        <v>2003</v>
      </c>
      <c r="B33" s="147">
        <v>8</v>
      </c>
      <c r="C33" s="147" t="str">
        <f t="shared" si="1"/>
        <v>20038</v>
      </c>
      <c r="D33" s="147" t="str">
        <f t="shared" si="7"/>
        <v>Q3</v>
      </c>
      <c r="E33" s="360">
        <f t="shared" si="2"/>
        <v>114399.553</v>
      </c>
      <c r="F33" s="360">
        <f t="shared" si="2"/>
        <v>35879.356060081816</v>
      </c>
      <c r="G33" s="360">
        <f t="shared" si="2"/>
        <v>4124.384</v>
      </c>
      <c r="H33" s="360">
        <f t="shared" si="2"/>
        <v>1635.3530000000001</v>
      </c>
      <c r="L33" s="147">
        <f t="shared" si="5"/>
        <v>2008</v>
      </c>
      <c r="M33" s="170" t="str">
        <f t="shared" si="6"/>
        <v>Q4</v>
      </c>
      <c r="N33" s="170" t="str">
        <f t="shared" si="0"/>
        <v>2008Q4</v>
      </c>
      <c r="O33" s="175">
        <v>127793.833</v>
      </c>
      <c r="P33" s="233">
        <v>1697.1469999999999</v>
      </c>
      <c r="Q33" s="233">
        <v>1697.1469999999999</v>
      </c>
      <c r="R33" s="180">
        <v>39250.753059038092</v>
      </c>
      <c r="S33" s="180"/>
      <c r="T33" s="235">
        <f t="shared" si="3"/>
        <v>4303.4549999999999</v>
      </c>
      <c r="U33" s="180">
        <v>463.72</v>
      </c>
      <c r="V33" s="180">
        <v>4303.4549999999999</v>
      </c>
      <c r="W33" s="170">
        <f t="shared" si="4"/>
        <v>0.27323502324783888</v>
      </c>
      <c r="X33" s="170">
        <f t="shared" si="4"/>
        <v>2.5356996182416727</v>
      </c>
    </row>
    <row r="34" spans="1:24" x14ac:dyDescent="0.2">
      <c r="A34" s="147">
        <v>2003</v>
      </c>
      <c r="B34" s="147">
        <v>9</v>
      </c>
      <c r="C34" s="147" t="str">
        <f t="shared" si="1"/>
        <v>20039</v>
      </c>
      <c r="D34" s="147" t="str">
        <f t="shared" si="7"/>
        <v>Q3</v>
      </c>
      <c r="E34" s="360">
        <f t="shared" si="2"/>
        <v>114399.553</v>
      </c>
      <c r="F34" s="360">
        <f t="shared" si="2"/>
        <v>35879.356060081816</v>
      </c>
      <c r="G34" s="360">
        <f t="shared" si="2"/>
        <v>4124.384</v>
      </c>
      <c r="H34" s="360">
        <f t="shared" si="2"/>
        <v>1635.3530000000001</v>
      </c>
      <c r="L34" s="147">
        <f t="shared" si="5"/>
        <v>2009</v>
      </c>
      <c r="M34" s="170" t="str">
        <f t="shared" si="6"/>
        <v>Q1</v>
      </c>
      <c r="N34" s="170" t="str">
        <f t="shared" si="0"/>
        <v>2009Q1</v>
      </c>
      <c r="O34" s="175">
        <v>126804.629</v>
      </c>
      <c r="P34" s="233">
        <v>1699.3340000000001</v>
      </c>
      <c r="Q34" s="233">
        <v>1699.3340000000001</v>
      </c>
      <c r="R34" s="180">
        <v>39351.75300796557</v>
      </c>
      <c r="S34" s="180"/>
      <c r="T34" s="235">
        <f t="shared" si="3"/>
        <v>4310.259</v>
      </c>
      <c r="U34" s="180">
        <v>465.524</v>
      </c>
      <c r="V34" s="180">
        <v>4310.259</v>
      </c>
      <c r="W34" s="170">
        <f t="shared" si="4"/>
        <v>0.27394496902904314</v>
      </c>
      <c r="X34" s="170">
        <f t="shared" si="4"/>
        <v>2.5364401583208478</v>
      </c>
    </row>
    <row r="35" spans="1:24" x14ac:dyDescent="0.2">
      <c r="A35" s="147">
        <v>2003</v>
      </c>
      <c r="B35" s="147">
        <v>10</v>
      </c>
      <c r="C35" s="147" t="str">
        <f t="shared" si="1"/>
        <v>200310</v>
      </c>
      <c r="D35" s="147" t="str">
        <f t="shared" si="7"/>
        <v>Q4</v>
      </c>
      <c r="E35" s="360">
        <f t="shared" si="2"/>
        <v>115855.962</v>
      </c>
      <c r="F35" s="360">
        <f t="shared" si="2"/>
        <v>36361.519986701038</v>
      </c>
      <c r="G35" s="360">
        <f t="shared" si="2"/>
        <v>4131.6099999999997</v>
      </c>
      <c r="H35" s="360">
        <f t="shared" si="2"/>
        <v>1638.5630000000001</v>
      </c>
      <c r="L35" s="147">
        <f t="shared" si="5"/>
        <v>2009</v>
      </c>
      <c r="M35" s="170" t="str">
        <f t="shared" si="6"/>
        <v>Q2</v>
      </c>
      <c r="N35" s="170" t="str">
        <f t="shared" si="0"/>
        <v>2009Q2</v>
      </c>
      <c r="O35" s="175">
        <v>127078.37</v>
      </c>
      <c r="P35" s="233">
        <v>1701.5239999999999</v>
      </c>
      <c r="Q35" s="233">
        <v>1701.5239999999999</v>
      </c>
      <c r="R35" s="180">
        <v>39473.581717535344</v>
      </c>
      <c r="S35" s="180"/>
      <c r="T35" s="235">
        <f t="shared" si="3"/>
        <v>4317.0739999999996</v>
      </c>
      <c r="U35" s="180">
        <v>467.32800000000003</v>
      </c>
      <c r="V35" s="180">
        <v>4317.0739999999996</v>
      </c>
      <c r="W35" s="170">
        <f t="shared" si="4"/>
        <v>0.27465260554655713</v>
      </c>
      <c r="X35" s="170">
        <f t="shared" si="4"/>
        <v>2.5371807861658136</v>
      </c>
    </row>
    <row r="36" spans="1:24" x14ac:dyDescent="0.2">
      <c r="A36" s="147">
        <v>2003</v>
      </c>
      <c r="B36" s="147">
        <v>11</v>
      </c>
      <c r="C36" s="147" t="str">
        <f t="shared" si="1"/>
        <v>200311</v>
      </c>
      <c r="D36" s="147" t="str">
        <f t="shared" si="7"/>
        <v>Q4</v>
      </c>
      <c r="E36" s="360">
        <f t="shared" si="2"/>
        <v>115855.962</v>
      </c>
      <c r="F36" s="360">
        <f t="shared" si="2"/>
        <v>36361.519986701038</v>
      </c>
      <c r="G36" s="360">
        <f t="shared" si="2"/>
        <v>4131.6099999999997</v>
      </c>
      <c r="H36" s="360">
        <f t="shared" si="2"/>
        <v>1638.5630000000001</v>
      </c>
      <c r="L36" s="147">
        <f t="shared" si="5"/>
        <v>2009</v>
      </c>
      <c r="M36" s="170" t="str">
        <f t="shared" si="6"/>
        <v>Q3</v>
      </c>
      <c r="N36" s="170" t="str">
        <f t="shared" si="0"/>
        <v>2009Q3</v>
      </c>
      <c r="O36" s="175">
        <v>125951.257</v>
      </c>
      <c r="P36" s="233">
        <v>1707.499</v>
      </c>
      <c r="Q36" s="233">
        <v>1707.499</v>
      </c>
      <c r="R36" s="180">
        <v>39137.875476073954</v>
      </c>
      <c r="S36" s="180"/>
      <c r="T36" s="235">
        <f t="shared" si="3"/>
        <v>4324.5050000000001</v>
      </c>
      <c r="U36" s="180">
        <v>468.91833333333329</v>
      </c>
      <c r="V36" s="180">
        <v>4324.5050000000001</v>
      </c>
      <c r="W36" s="170">
        <f t="shared" si="4"/>
        <v>0.27462290363469222</v>
      </c>
      <c r="X36" s="170">
        <f t="shared" si="4"/>
        <v>2.5326544847171215</v>
      </c>
    </row>
    <row r="37" spans="1:24" x14ac:dyDescent="0.2">
      <c r="A37" s="147">
        <v>2003</v>
      </c>
      <c r="B37" s="147">
        <v>12</v>
      </c>
      <c r="C37" s="147" t="str">
        <f t="shared" si="1"/>
        <v>200312</v>
      </c>
      <c r="D37" s="147" t="str">
        <f t="shared" si="7"/>
        <v>Q4</v>
      </c>
      <c r="E37" s="360">
        <f t="shared" si="2"/>
        <v>115855.962</v>
      </c>
      <c r="F37" s="360">
        <f t="shared" si="2"/>
        <v>36361.519986701038</v>
      </c>
      <c r="G37" s="360">
        <f t="shared" si="2"/>
        <v>4131.6099999999997</v>
      </c>
      <c r="H37" s="360">
        <f t="shared" si="2"/>
        <v>1638.5630000000001</v>
      </c>
      <c r="L37" s="147">
        <f t="shared" si="5"/>
        <v>2009</v>
      </c>
      <c r="M37" s="170" t="str">
        <f t="shared" si="6"/>
        <v>Q4</v>
      </c>
      <c r="N37" s="170" t="str">
        <f t="shared" si="0"/>
        <v>2009Q4</v>
      </c>
      <c r="O37" s="175">
        <v>125669.07</v>
      </c>
      <c r="P37" s="233">
        <v>1713.644</v>
      </c>
      <c r="Q37" s="233">
        <v>1713.644</v>
      </c>
      <c r="R37" s="180">
        <v>39094.688351422847</v>
      </c>
      <c r="S37" s="180"/>
      <c r="T37" s="235">
        <f t="shared" si="3"/>
        <v>4331.9359999999997</v>
      </c>
      <c r="U37" s="180">
        <v>470.50866666666684</v>
      </c>
      <c r="V37" s="180">
        <v>4331.9359999999997</v>
      </c>
      <c r="W37" s="170">
        <f t="shared" si="4"/>
        <v>0.27456616815783608</v>
      </c>
      <c r="X37" s="170">
        <f t="shared" si="4"/>
        <v>2.5279089472492533</v>
      </c>
    </row>
    <row r="38" spans="1:24" x14ac:dyDescent="0.2">
      <c r="A38" s="147">
        <v>2004</v>
      </c>
      <c r="B38" s="147">
        <v>1</v>
      </c>
      <c r="C38" s="147" t="str">
        <f t="shared" si="1"/>
        <v>20041</v>
      </c>
      <c r="D38" s="147" t="str">
        <f t="shared" si="7"/>
        <v>Q1</v>
      </c>
      <c r="E38" s="360">
        <f t="shared" si="2"/>
        <v>116263.073</v>
      </c>
      <c r="F38" s="360">
        <f t="shared" si="2"/>
        <v>36644.026083426186</v>
      </c>
      <c r="G38" s="360">
        <f t="shared" si="2"/>
        <v>4138.8490000000002</v>
      </c>
      <c r="H38" s="360">
        <f t="shared" si="2"/>
        <v>1641.78</v>
      </c>
      <c r="L38" s="147">
        <f t="shared" si="5"/>
        <v>2010</v>
      </c>
      <c r="M38" s="170" t="str">
        <f t="shared" si="6"/>
        <v>Q1</v>
      </c>
      <c r="N38" s="170" t="str">
        <f t="shared" si="0"/>
        <v>2010Q1</v>
      </c>
      <c r="O38" s="175">
        <v>124919.205</v>
      </c>
      <c r="P38" s="233">
        <v>1719.9649999999999</v>
      </c>
      <c r="Q38" s="233">
        <v>1719.9649999999999</v>
      </c>
      <c r="R38" s="180">
        <v>38849.752908087466</v>
      </c>
      <c r="S38" s="180"/>
      <c r="T38" s="235">
        <f t="shared" si="3"/>
        <v>4339.3670000000002</v>
      </c>
      <c r="U38" s="180">
        <v>472.0990000000001</v>
      </c>
      <c r="V38" s="180">
        <v>4339.3670000000002</v>
      </c>
      <c r="W38" s="170">
        <f t="shared" si="4"/>
        <v>0.27448174817510829</v>
      </c>
      <c r="X38" s="170">
        <f t="shared" si="4"/>
        <v>2.5229391295753114</v>
      </c>
    </row>
    <row r="39" spans="1:24" x14ac:dyDescent="0.2">
      <c r="A39" s="147">
        <v>2004</v>
      </c>
      <c r="B39" s="147">
        <v>2</v>
      </c>
      <c r="C39" s="147" t="str">
        <f t="shared" si="1"/>
        <v>20042</v>
      </c>
      <c r="D39" s="147" t="str">
        <f t="shared" si="7"/>
        <v>Q1</v>
      </c>
      <c r="E39" s="360">
        <f t="shared" si="2"/>
        <v>116263.073</v>
      </c>
      <c r="F39" s="360">
        <f t="shared" si="2"/>
        <v>36644.026083426186</v>
      </c>
      <c r="G39" s="360">
        <f t="shared" si="2"/>
        <v>4138.8490000000002</v>
      </c>
      <c r="H39" s="360">
        <f t="shared" si="2"/>
        <v>1641.78</v>
      </c>
      <c r="L39" s="147">
        <f t="shared" si="5"/>
        <v>2010</v>
      </c>
      <c r="M39" s="170" t="str">
        <f t="shared" si="6"/>
        <v>Q2</v>
      </c>
      <c r="N39" s="170" t="str">
        <f t="shared" si="0"/>
        <v>2010Q2</v>
      </c>
      <c r="O39" s="175">
        <v>126480.192</v>
      </c>
      <c r="P39" s="233">
        <v>1722.9169999999999</v>
      </c>
      <c r="Q39" s="233">
        <v>1722.9169999999999</v>
      </c>
      <c r="R39" s="180">
        <v>39352.623912366878</v>
      </c>
      <c r="S39" s="180"/>
      <c r="T39" s="235">
        <f t="shared" si="3"/>
        <v>4347.223</v>
      </c>
      <c r="U39" s="180">
        <v>473.74394922397329</v>
      </c>
      <c r="V39" s="180">
        <v>4347.223</v>
      </c>
      <c r="W39" s="170">
        <f t="shared" si="4"/>
        <v>0.27496620511839709</v>
      </c>
      <c r="X39" s="170">
        <f t="shared" si="4"/>
        <v>2.5231761019248173</v>
      </c>
    </row>
    <row r="40" spans="1:24" x14ac:dyDescent="0.2">
      <c r="A40" s="147">
        <v>2004</v>
      </c>
      <c r="B40" s="147">
        <v>3</v>
      </c>
      <c r="C40" s="147" t="str">
        <f t="shared" si="1"/>
        <v>20043</v>
      </c>
      <c r="D40" s="147" t="str">
        <f t="shared" si="7"/>
        <v>Q1</v>
      </c>
      <c r="E40" s="360">
        <f t="shared" si="2"/>
        <v>116263.073</v>
      </c>
      <c r="F40" s="360">
        <f t="shared" si="2"/>
        <v>36644.026083426186</v>
      </c>
      <c r="G40" s="360">
        <f t="shared" si="2"/>
        <v>4138.8490000000002</v>
      </c>
      <c r="H40" s="360">
        <f t="shared" si="2"/>
        <v>1641.78</v>
      </c>
      <c r="L40" s="147">
        <f t="shared" si="5"/>
        <v>2010</v>
      </c>
      <c r="M40" s="170" t="str">
        <f t="shared" si="6"/>
        <v>Q3</v>
      </c>
      <c r="N40" s="170" t="str">
        <f t="shared" si="0"/>
        <v>2010Q3</v>
      </c>
      <c r="O40" s="175">
        <v>127650.806</v>
      </c>
      <c r="P40" s="233">
        <v>1724.191</v>
      </c>
      <c r="Q40" s="233">
        <v>1724.191</v>
      </c>
      <c r="R40" s="180">
        <v>39753.15333007311</v>
      </c>
      <c r="S40" s="180"/>
      <c r="T40" s="235">
        <f t="shared" si="3"/>
        <v>4352.7560000000003</v>
      </c>
      <c r="U40" s="180">
        <v>475.14385549795145</v>
      </c>
      <c r="V40" s="180">
        <v>4352.7560000000003</v>
      </c>
      <c r="W40" s="170">
        <f t="shared" si="4"/>
        <v>0.27557495399172799</v>
      </c>
      <c r="X40" s="170">
        <f t="shared" si="4"/>
        <v>2.5245207752505379</v>
      </c>
    </row>
    <row r="41" spans="1:24" x14ac:dyDescent="0.2">
      <c r="A41" s="147">
        <v>2004</v>
      </c>
      <c r="B41" s="147">
        <v>4</v>
      </c>
      <c r="C41" s="147" t="str">
        <f t="shared" si="1"/>
        <v>20044</v>
      </c>
      <c r="D41" s="147" t="str">
        <f t="shared" si="7"/>
        <v>Q2</v>
      </c>
      <c r="E41" s="360">
        <f t="shared" si="2"/>
        <v>116694.558</v>
      </c>
      <c r="F41" s="360">
        <f t="shared" si="2"/>
        <v>36771.492378685805</v>
      </c>
      <c r="G41" s="360">
        <f t="shared" si="2"/>
        <v>4146.1009999999997</v>
      </c>
      <c r="H41" s="360">
        <f t="shared" si="2"/>
        <v>1645.002</v>
      </c>
      <c r="L41" s="147">
        <f t="shared" si="5"/>
        <v>2010</v>
      </c>
      <c r="M41" s="170" t="str">
        <f t="shared" si="6"/>
        <v>Q4</v>
      </c>
      <c r="N41" s="170" t="str">
        <f t="shared" si="0"/>
        <v>2010Q4</v>
      </c>
      <c r="O41" s="175">
        <v>127503.515</v>
      </c>
      <c r="P41" s="233">
        <v>1725.0830000000001</v>
      </c>
      <c r="Q41" s="233">
        <v>1725.0830000000001</v>
      </c>
      <c r="R41" s="180">
        <v>39757.383833693879</v>
      </c>
      <c r="S41" s="180"/>
      <c r="T41" s="235">
        <f t="shared" si="3"/>
        <v>4358.29</v>
      </c>
      <c r="U41" s="180">
        <v>476.55146399433579</v>
      </c>
      <c r="V41" s="180">
        <v>4358.29</v>
      </c>
      <c r="W41" s="170">
        <f t="shared" si="4"/>
        <v>0.27624842630432028</v>
      </c>
      <c r="X41" s="170">
        <f t="shared" si="4"/>
        <v>2.5264233662959983</v>
      </c>
    </row>
    <row r="42" spans="1:24" x14ac:dyDescent="0.2">
      <c r="A42" s="147">
        <v>2004</v>
      </c>
      <c r="B42" s="147">
        <v>5</v>
      </c>
      <c r="C42" s="147" t="str">
        <f t="shared" si="1"/>
        <v>20045</v>
      </c>
      <c r="D42" s="147" t="str">
        <f t="shared" si="7"/>
        <v>Q2</v>
      </c>
      <c r="E42" s="360">
        <f t="shared" si="2"/>
        <v>116694.558</v>
      </c>
      <c r="F42" s="360">
        <f t="shared" si="2"/>
        <v>36771.492378685805</v>
      </c>
      <c r="G42" s="360">
        <f t="shared" si="2"/>
        <v>4146.1009999999997</v>
      </c>
      <c r="H42" s="360">
        <f t="shared" si="2"/>
        <v>1645.002</v>
      </c>
      <c r="L42" s="147">
        <f t="shared" si="5"/>
        <v>2011</v>
      </c>
      <c r="M42" s="170" t="str">
        <f t="shared" si="6"/>
        <v>Q1</v>
      </c>
      <c r="N42" s="170" t="str">
        <f t="shared" si="0"/>
        <v>2011Q1</v>
      </c>
      <c r="O42" s="175">
        <v>128893.008</v>
      </c>
      <c r="P42" s="233">
        <v>1728.1579999999999</v>
      </c>
      <c r="Q42" s="233">
        <v>1728.1579999999999</v>
      </c>
      <c r="R42" s="180">
        <v>39737.516530036453</v>
      </c>
      <c r="S42" s="180"/>
      <c r="T42" s="235">
        <f t="shared" si="3"/>
        <v>4363.8230000000003</v>
      </c>
      <c r="U42" s="180">
        <v>477.96681763895879</v>
      </c>
      <c r="V42" s="180">
        <v>4363.8230000000003</v>
      </c>
      <c r="W42" s="170">
        <f t="shared" si="4"/>
        <v>0.27657587884843793</v>
      </c>
      <c r="X42" s="170">
        <f t="shared" si="4"/>
        <v>2.525129646710544</v>
      </c>
    </row>
    <row r="43" spans="1:24" x14ac:dyDescent="0.2">
      <c r="A43" s="147">
        <v>2004</v>
      </c>
      <c r="B43" s="147">
        <v>6</v>
      </c>
      <c r="C43" s="147" t="str">
        <f t="shared" si="1"/>
        <v>20046</v>
      </c>
      <c r="D43" s="147" t="str">
        <f t="shared" si="7"/>
        <v>Q2</v>
      </c>
      <c r="E43" s="360">
        <f t="shared" si="2"/>
        <v>116694.558</v>
      </c>
      <c r="F43" s="360">
        <f t="shared" si="2"/>
        <v>36771.492378685805</v>
      </c>
      <c r="G43" s="360">
        <f t="shared" si="2"/>
        <v>4146.1009999999997</v>
      </c>
      <c r="H43" s="360">
        <f t="shared" si="2"/>
        <v>1645.002</v>
      </c>
      <c r="L43" s="147">
        <f t="shared" si="5"/>
        <v>2011</v>
      </c>
      <c r="M43" s="170" t="str">
        <f t="shared" si="6"/>
        <v>Q2</v>
      </c>
      <c r="N43" s="170" t="str">
        <f t="shared" si="0"/>
        <v>2011Q2</v>
      </c>
      <c r="O43" s="175">
        <v>129036.827</v>
      </c>
      <c r="P43" s="233">
        <v>1730.3009999999999</v>
      </c>
      <c r="Q43" s="233">
        <v>1730.3009999999999</v>
      </c>
      <c r="R43" s="180">
        <v>39626.695414935333</v>
      </c>
      <c r="S43" s="180"/>
      <c r="T43" s="235">
        <f t="shared" si="3"/>
        <v>4369.3559999999998</v>
      </c>
      <c r="U43" s="180">
        <v>479.38995939285263</v>
      </c>
      <c r="V43" s="180">
        <v>4369.3559999999998</v>
      </c>
      <c r="W43" s="170">
        <f t="shared" si="4"/>
        <v>0.27705581826101505</v>
      </c>
      <c r="X43" s="170">
        <f t="shared" si="4"/>
        <v>2.5251999507600122</v>
      </c>
    </row>
    <row r="44" spans="1:24" x14ac:dyDescent="0.2">
      <c r="A44" s="147">
        <v>2004</v>
      </c>
      <c r="B44" s="147">
        <v>7</v>
      </c>
      <c r="C44" s="147" t="str">
        <f t="shared" si="1"/>
        <v>20047</v>
      </c>
      <c r="D44" s="147" t="str">
        <f t="shared" si="7"/>
        <v>Q3</v>
      </c>
      <c r="E44" s="360">
        <f t="shared" si="2"/>
        <v>117551.33500000001</v>
      </c>
      <c r="F44" s="360">
        <f t="shared" si="2"/>
        <v>36973.693354213639</v>
      </c>
      <c r="G44" s="360">
        <f t="shared" si="2"/>
        <v>4155.2309999999998</v>
      </c>
      <c r="H44" s="360">
        <f t="shared" si="2"/>
        <v>1648.232</v>
      </c>
      <c r="L44" s="147">
        <f t="shared" si="5"/>
        <v>2011</v>
      </c>
      <c r="M44" s="170" t="str">
        <f t="shared" si="6"/>
        <v>Q3</v>
      </c>
      <c r="N44" s="170" t="str">
        <f t="shared" si="0"/>
        <v>2011Q3</v>
      </c>
      <c r="O44" s="175">
        <v>128885.583</v>
      </c>
      <c r="P44" s="233">
        <v>1732.7529999999999</v>
      </c>
      <c r="Q44" s="233">
        <v>1732.7529999999999</v>
      </c>
      <c r="R44" s="180">
        <v>39675.467395051506</v>
      </c>
      <c r="S44" s="180"/>
      <c r="T44" s="235">
        <f t="shared" si="3"/>
        <v>4375.2330000000002</v>
      </c>
      <c r="U44" s="180">
        <v>480.85874919674939</v>
      </c>
      <c r="V44" s="180">
        <v>4375.2330000000002</v>
      </c>
      <c r="W44" s="170">
        <f t="shared" si="4"/>
        <v>0.27751142211079677</v>
      </c>
      <c r="X44" s="170">
        <f t="shared" si="4"/>
        <v>2.5250182801587995</v>
      </c>
    </row>
    <row r="45" spans="1:24" x14ac:dyDescent="0.2">
      <c r="A45" s="147">
        <v>2004</v>
      </c>
      <c r="B45" s="147">
        <v>8</v>
      </c>
      <c r="C45" s="147" t="str">
        <f t="shared" si="1"/>
        <v>20048</v>
      </c>
      <c r="D45" s="147" t="str">
        <f t="shared" si="7"/>
        <v>Q3</v>
      </c>
      <c r="E45" s="360">
        <f t="shared" si="2"/>
        <v>117551.33500000001</v>
      </c>
      <c r="F45" s="360">
        <f t="shared" si="2"/>
        <v>36973.693354213639</v>
      </c>
      <c r="G45" s="360">
        <f t="shared" si="2"/>
        <v>4155.2309999999998</v>
      </c>
      <c r="H45" s="360">
        <f t="shared" si="2"/>
        <v>1648.232</v>
      </c>
      <c r="L45" s="147">
        <f t="shared" si="5"/>
        <v>2011</v>
      </c>
      <c r="M45" s="170" t="str">
        <f t="shared" si="6"/>
        <v>Q4</v>
      </c>
      <c r="N45" s="170" t="str">
        <f t="shared" si="0"/>
        <v>2011Q4</v>
      </c>
      <c r="O45" s="175">
        <v>129177.128</v>
      </c>
      <c r="P45" s="233">
        <v>1735.6120000000001</v>
      </c>
      <c r="Q45" s="233">
        <v>1735.6120000000001</v>
      </c>
      <c r="R45" s="180">
        <v>39786.860383818384</v>
      </c>
      <c r="S45" s="180"/>
      <c r="T45" s="235">
        <f t="shared" si="3"/>
        <v>4381.482</v>
      </c>
      <c r="U45" s="180">
        <v>481.7924771225633</v>
      </c>
      <c r="V45" s="180">
        <v>4381.482</v>
      </c>
      <c r="W45" s="170">
        <f t="shared" si="4"/>
        <v>0.27759227126947916</v>
      </c>
      <c r="X45" s="170">
        <f t="shared" si="4"/>
        <v>2.5244593837793237</v>
      </c>
    </row>
    <row r="46" spans="1:24" x14ac:dyDescent="0.2">
      <c r="A46" s="147">
        <v>2004</v>
      </c>
      <c r="B46" s="147">
        <v>9</v>
      </c>
      <c r="C46" s="147" t="str">
        <f t="shared" si="1"/>
        <v>20049</v>
      </c>
      <c r="D46" s="147" t="str">
        <f t="shared" si="7"/>
        <v>Q3</v>
      </c>
      <c r="E46" s="360">
        <f t="shared" si="2"/>
        <v>117551.33500000001</v>
      </c>
      <c r="F46" s="360">
        <f t="shared" si="2"/>
        <v>36973.693354213639</v>
      </c>
      <c r="G46" s="360">
        <f t="shared" si="2"/>
        <v>4155.2309999999998</v>
      </c>
      <c r="H46" s="360">
        <f t="shared" si="2"/>
        <v>1648.232</v>
      </c>
      <c r="L46" s="147">
        <f t="shared" si="5"/>
        <v>2012</v>
      </c>
      <c r="M46" s="170" t="str">
        <f t="shared" si="6"/>
        <v>Q1</v>
      </c>
      <c r="N46" s="170" t="str">
        <f t="shared" si="0"/>
        <v>2012Q1</v>
      </c>
      <c r="O46" s="175">
        <v>129516.13400000001</v>
      </c>
      <c r="P46" s="233">
        <v>1738.9960000000001</v>
      </c>
      <c r="Q46" s="233">
        <v>1738.9960000000001</v>
      </c>
      <c r="R46" s="180">
        <v>39800.138297807738</v>
      </c>
      <c r="S46" s="180"/>
      <c r="T46" s="235">
        <f t="shared" si="3"/>
        <v>4387.8289999999997</v>
      </c>
      <c r="U46" s="180">
        <v>483.3171549792832</v>
      </c>
      <c r="V46" s="180">
        <v>4387.8289999999997</v>
      </c>
      <c r="W46" s="170">
        <f t="shared" si="4"/>
        <v>0.27792884801303924</v>
      </c>
      <c r="X46" s="170">
        <f t="shared" si="4"/>
        <v>2.5231967181063095</v>
      </c>
    </row>
    <row r="47" spans="1:24" x14ac:dyDescent="0.2">
      <c r="A47" s="147">
        <v>2004</v>
      </c>
      <c r="B47" s="147">
        <v>10</v>
      </c>
      <c r="C47" s="147" t="str">
        <f t="shared" si="1"/>
        <v>200410</v>
      </c>
      <c r="D47" s="147" t="str">
        <f t="shared" si="7"/>
        <v>Q4</v>
      </c>
      <c r="E47" s="360">
        <f t="shared" si="2"/>
        <v>118914.68</v>
      </c>
      <c r="F47" s="360">
        <f t="shared" si="2"/>
        <v>37306.699921138053</v>
      </c>
      <c r="G47" s="360">
        <f t="shared" si="2"/>
        <v>4164.3810000000003</v>
      </c>
      <c r="H47" s="360">
        <f t="shared" si="2"/>
        <v>1651.4670000000001</v>
      </c>
      <c r="L47" s="147">
        <f t="shared" si="5"/>
        <v>2012</v>
      </c>
      <c r="M47" s="170" t="str">
        <f t="shared" si="6"/>
        <v>Q2</v>
      </c>
      <c r="N47" s="170" t="str">
        <f t="shared" si="0"/>
        <v>2012Q2</v>
      </c>
      <c r="O47" s="175">
        <v>130403.818</v>
      </c>
      <c r="P47" s="233">
        <v>1742.2639999999999</v>
      </c>
      <c r="Q47" s="233">
        <v>1742.2639999999999</v>
      </c>
      <c r="R47" s="180">
        <v>39988.352967991457</v>
      </c>
      <c r="S47" s="180"/>
      <c r="T47" s="235">
        <f t="shared" si="3"/>
        <v>4394.317</v>
      </c>
      <c r="U47" s="180">
        <v>484.85487049310797</v>
      </c>
      <c r="V47" s="180">
        <v>4394.317</v>
      </c>
      <c r="W47" s="170">
        <f t="shared" si="4"/>
        <v>0.27829012738202019</v>
      </c>
      <c r="X47" s="170">
        <f t="shared" si="4"/>
        <v>2.5221877970273163</v>
      </c>
    </row>
    <row r="48" spans="1:24" x14ac:dyDescent="0.2">
      <c r="A48" s="147">
        <v>2004</v>
      </c>
      <c r="B48" s="147">
        <v>11</v>
      </c>
      <c r="C48" s="147" t="str">
        <f t="shared" si="1"/>
        <v>200411</v>
      </c>
      <c r="D48" s="147" t="str">
        <f t="shared" si="7"/>
        <v>Q4</v>
      </c>
      <c r="E48" s="360">
        <f t="shared" si="2"/>
        <v>118914.68</v>
      </c>
      <c r="F48" s="360">
        <f t="shared" si="2"/>
        <v>37306.699921138053</v>
      </c>
      <c r="G48" s="360">
        <f t="shared" si="2"/>
        <v>4164.3810000000003</v>
      </c>
      <c r="H48" s="360">
        <f t="shared" si="2"/>
        <v>1651.4670000000001</v>
      </c>
      <c r="L48" s="147">
        <f t="shared" si="5"/>
        <v>2012</v>
      </c>
      <c r="M48" s="170" t="str">
        <f t="shared" si="6"/>
        <v>Q3</v>
      </c>
      <c r="N48" s="170" t="str">
        <f t="shared" si="0"/>
        <v>2012Q3</v>
      </c>
      <c r="O48" s="175">
        <v>131166.87299999999</v>
      </c>
      <c r="P48" s="233">
        <v>1745.2270000000001</v>
      </c>
      <c r="Q48" s="233">
        <v>1745.2270000000001</v>
      </c>
      <c r="R48" s="180">
        <v>40189.459532165798</v>
      </c>
      <c r="S48" s="180"/>
      <c r="T48" s="235">
        <f t="shared" si="3"/>
        <v>4400.95</v>
      </c>
      <c r="U48" s="180">
        <v>486.39485134618292</v>
      </c>
      <c r="V48" s="180">
        <v>4400.95</v>
      </c>
      <c r="W48" s="170">
        <f t="shared" si="4"/>
        <v>0.27870004953291627</v>
      </c>
      <c r="X48" s="170">
        <f t="shared" si="4"/>
        <v>2.5217063453636688</v>
      </c>
    </row>
    <row r="49" spans="1:24" x14ac:dyDescent="0.2">
      <c r="A49" s="147">
        <v>2004</v>
      </c>
      <c r="B49" s="147">
        <v>12</v>
      </c>
      <c r="C49" s="147" t="str">
        <f t="shared" si="1"/>
        <v>200412</v>
      </c>
      <c r="D49" s="147" t="str">
        <f t="shared" si="7"/>
        <v>Q4</v>
      </c>
      <c r="E49" s="360">
        <f t="shared" si="2"/>
        <v>118914.68</v>
      </c>
      <c r="F49" s="360">
        <f t="shared" si="2"/>
        <v>37306.699921138053</v>
      </c>
      <c r="G49" s="360">
        <f t="shared" si="2"/>
        <v>4164.3810000000003</v>
      </c>
      <c r="H49" s="360">
        <f t="shared" si="2"/>
        <v>1651.4670000000001</v>
      </c>
      <c r="L49" s="147">
        <f t="shared" si="5"/>
        <v>2012</v>
      </c>
      <c r="M49" s="170" t="str">
        <f t="shared" si="6"/>
        <v>Q4</v>
      </c>
      <c r="N49" s="170" t="str">
        <f t="shared" si="0"/>
        <v>2012Q4</v>
      </c>
      <c r="O49" s="175">
        <v>132095.09099999999</v>
      </c>
      <c r="P49" s="233">
        <v>1748.2629999999999</v>
      </c>
      <c r="Q49" s="233">
        <v>1748.2629999999999</v>
      </c>
      <c r="R49" s="180">
        <v>40421.283791564252</v>
      </c>
      <c r="S49" s="180"/>
      <c r="T49" s="235">
        <f t="shared" si="3"/>
        <v>4407.7280000000001</v>
      </c>
      <c r="U49" s="180">
        <v>487.93731470917857</v>
      </c>
      <c r="V49" s="180">
        <v>4407.7280000000001</v>
      </c>
      <c r="W49" s="170">
        <f t="shared" si="4"/>
        <v>0.27909834773668413</v>
      </c>
      <c r="X49" s="170">
        <f t="shared" si="4"/>
        <v>2.5212041895298363</v>
      </c>
    </row>
    <row r="50" spans="1:24" x14ac:dyDescent="0.2">
      <c r="A50" s="147">
        <v>2005</v>
      </c>
      <c r="B50" s="147">
        <v>1</v>
      </c>
      <c r="C50" s="147" t="str">
        <f t="shared" si="1"/>
        <v>20051</v>
      </c>
      <c r="D50" s="147" t="str">
        <f t="shared" si="7"/>
        <v>Q1</v>
      </c>
      <c r="E50" s="360">
        <f t="shared" si="2"/>
        <v>118334.43</v>
      </c>
      <c r="F50" s="360">
        <f t="shared" si="2"/>
        <v>36497.743140651095</v>
      </c>
      <c r="G50" s="360">
        <f t="shared" si="2"/>
        <v>4173.5519999999997</v>
      </c>
      <c r="H50" s="360">
        <f t="shared" si="2"/>
        <v>1654.7090000000001</v>
      </c>
      <c r="L50" s="147">
        <f t="shared" si="5"/>
        <v>2013</v>
      </c>
      <c r="M50" s="170" t="str">
        <f t="shared" si="6"/>
        <v>Q1</v>
      </c>
      <c r="N50" s="170" t="str">
        <f>L50&amp;M50</f>
        <v>2013Q1</v>
      </c>
      <c r="O50" s="175">
        <v>132729.997</v>
      </c>
      <c r="P50" s="233">
        <v>1751.194</v>
      </c>
      <c r="Q50" s="233">
        <v>1751.194</v>
      </c>
      <c r="R50" s="180">
        <v>40466.045989246653</v>
      </c>
      <c r="S50" s="180"/>
      <c r="T50" s="235">
        <f t="shared" si="3"/>
        <v>4414.6940000000004</v>
      </c>
      <c r="U50" s="180">
        <v>489.48665509939298</v>
      </c>
      <c r="V50" s="180">
        <v>4414.6940000000004</v>
      </c>
      <c r="W50" s="170">
        <f t="shared" si="4"/>
        <v>0.27951595031697973</v>
      </c>
      <c r="X50" s="170">
        <f t="shared" si="4"/>
        <v>2.5209622691717768</v>
      </c>
    </row>
    <row r="51" spans="1:24" x14ac:dyDescent="0.2">
      <c r="A51" s="147">
        <v>2005</v>
      </c>
      <c r="B51" s="147">
        <v>2</v>
      </c>
      <c r="C51" s="147" t="str">
        <f t="shared" si="1"/>
        <v>20052</v>
      </c>
      <c r="D51" s="147" t="str">
        <f t="shared" si="7"/>
        <v>Q1</v>
      </c>
      <c r="E51" s="360">
        <f t="shared" si="2"/>
        <v>118334.43</v>
      </c>
      <c r="F51" s="360">
        <f t="shared" si="2"/>
        <v>36497.743140651095</v>
      </c>
      <c r="G51" s="360">
        <f t="shared" si="2"/>
        <v>4173.5519999999997</v>
      </c>
      <c r="H51" s="360">
        <f t="shared" si="2"/>
        <v>1654.7090000000001</v>
      </c>
      <c r="L51" s="147">
        <f t="shared" si="5"/>
        <v>2013</v>
      </c>
      <c r="M51" s="170" t="str">
        <f t="shared" si="6"/>
        <v>Q2</v>
      </c>
      <c r="N51" s="170" t="str">
        <f t="shared" ref="N51:N114" si="8">L51&amp;M51</f>
        <v>2013Q2</v>
      </c>
      <c r="O51" s="175">
        <v>133712.25599999999</v>
      </c>
      <c r="P51" s="233">
        <v>1754.297</v>
      </c>
      <c r="Q51" s="233">
        <v>1754.297</v>
      </c>
      <c r="R51" s="180">
        <v>40674.221991986815</v>
      </c>
      <c r="S51" s="180"/>
      <c r="T51" s="235">
        <f t="shared" si="3"/>
        <v>4421.8450000000003</v>
      </c>
      <c r="U51" s="180">
        <v>491.06492370621629</v>
      </c>
      <c r="V51" s="180">
        <v>4421.8450000000003</v>
      </c>
      <c r="W51" s="170">
        <f t="shared" si="4"/>
        <v>0.27992120131666204</v>
      </c>
      <c r="X51" s="170">
        <f t="shared" si="4"/>
        <v>2.5205794685848519</v>
      </c>
    </row>
    <row r="52" spans="1:24" x14ac:dyDescent="0.2">
      <c r="A52" s="147">
        <v>2005</v>
      </c>
      <c r="B52" s="147">
        <v>3</v>
      </c>
      <c r="C52" s="147" t="str">
        <f t="shared" si="1"/>
        <v>20053</v>
      </c>
      <c r="D52" s="147" t="str">
        <f t="shared" si="7"/>
        <v>Q1</v>
      </c>
      <c r="E52" s="360">
        <f t="shared" si="2"/>
        <v>118334.43</v>
      </c>
      <c r="F52" s="360">
        <f t="shared" si="2"/>
        <v>36497.743140651095</v>
      </c>
      <c r="G52" s="360">
        <f t="shared" si="2"/>
        <v>4173.5519999999997</v>
      </c>
      <c r="H52" s="360">
        <f t="shared" si="2"/>
        <v>1654.7090000000001</v>
      </c>
      <c r="L52" s="147">
        <f t="shared" si="5"/>
        <v>2013</v>
      </c>
      <c r="M52" s="170" t="str">
        <f t="shared" si="6"/>
        <v>Q3</v>
      </c>
      <c r="N52" s="170" t="str">
        <f t="shared" si="8"/>
        <v>2013Q3</v>
      </c>
      <c r="O52" s="175">
        <v>134397.17499999999</v>
      </c>
      <c r="P52" s="233">
        <v>1757.2080000000001</v>
      </c>
      <c r="Q52" s="233">
        <v>1757.2080000000001</v>
      </c>
      <c r="R52" s="180">
        <v>40887.017192114734</v>
      </c>
      <c r="S52" s="180"/>
      <c r="T52" s="235">
        <f t="shared" si="3"/>
        <v>4429.1769999999997</v>
      </c>
      <c r="U52" s="180">
        <v>492.64952505414612</v>
      </c>
      <c r="V52" s="180">
        <v>4429.1769999999997</v>
      </c>
      <c r="W52" s="170">
        <f t="shared" si="4"/>
        <v>0.28035925459828664</v>
      </c>
      <c r="X52" s="170">
        <f t="shared" si="4"/>
        <v>2.5205763916394641</v>
      </c>
    </row>
    <row r="53" spans="1:24" x14ac:dyDescent="0.2">
      <c r="A53" s="147">
        <v>2005</v>
      </c>
      <c r="B53" s="147">
        <v>4</v>
      </c>
      <c r="C53" s="147" t="str">
        <f t="shared" si="1"/>
        <v>20054</v>
      </c>
      <c r="D53" s="147" t="str">
        <f t="shared" si="7"/>
        <v>Q2</v>
      </c>
      <c r="E53" s="360">
        <f t="shared" si="2"/>
        <v>119333.414</v>
      </c>
      <c r="F53" s="360">
        <f t="shared" si="2"/>
        <v>36925.598833112439</v>
      </c>
      <c r="G53" s="360">
        <f t="shared" si="2"/>
        <v>4182.7420000000002</v>
      </c>
      <c r="H53" s="360">
        <f t="shared" si="2"/>
        <v>1657.9570000000001</v>
      </c>
      <c r="L53" s="147">
        <f t="shared" si="5"/>
        <v>2013</v>
      </c>
      <c r="M53" s="170" t="str">
        <f t="shared" si="6"/>
        <v>Q4</v>
      </c>
      <c r="N53" s="170" t="str">
        <f t="shared" si="8"/>
        <v>2013Q4</v>
      </c>
      <c r="O53" s="175">
        <v>135147.93599999999</v>
      </c>
      <c r="P53" s="233">
        <v>1760.5619999999999</v>
      </c>
      <c r="Q53" s="233">
        <v>1760.5619999999999</v>
      </c>
      <c r="R53" s="180">
        <v>41128.895775846191</v>
      </c>
      <c r="S53" s="180"/>
      <c r="T53" s="235">
        <f t="shared" si="3"/>
        <v>4436.7079999999996</v>
      </c>
      <c r="U53" s="180">
        <v>494.20204926318712</v>
      </c>
      <c r="V53" s="180">
        <v>4436.7079999999996</v>
      </c>
      <c r="W53" s="170">
        <f t="shared" si="4"/>
        <v>0.28070698405576577</v>
      </c>
      <c r="X53" s="170">
        <f t="shared" si="4"/>
        <v>2.5200521197208618</v>
      </c>
    </row>
    <row r="54" spans="1:24" x14ac:dyDescent="0.2">
      <c r="A54" s="147">
        <v>2005</v>
      </c>
      <c r="B54" s="147">
        <v>5</v>
      </c>
      <c r="C54" s="147" t="str">
        <f t="shared" si="1"/>
        <v>20055</v>
      </c>
      <c r="D54" s="147" t="str">
        <f t="shared" si="7"/>
        <v>Q2</v>
      </c>
      <c r="E54" s="360">
        <f t="shared" si="2"/>
        <v>119333.414</v>
      </c>
      <c r="F54" s="360">
        <f t="shared" si="2"/>
        <v>36925.598833112439</v>
      </c>
      <c r="G54" s="360">
        <f t="shared" si="2"/>
        <v>4182.7420000000002</v>
      </c>
      <c r="H54" s="360">
        <f t="shared" si="2"/>
        <v>1657.9570000000001</v>
      </c>
      <c r="L54" s="147">
        <f t="shared" si="5"/>
        <v>2014</v>
      </c>
      <c r="M54" s="170" t="str">
        <f t="shared" si="6"/>
        <v>Q1</v>
      </c>
      <c r="N54" s="170" t="str">
        <f t="shared" si="8"/>
        <v>2014Q1</v>
      </c>
      <c r="O54" s="175">
        <v>136646.935</v>
      </c>
      <c r="P54" s="233">
        <v>1763.893</v>
      </c>
      <c r="Q54" s="233">
        <v>1763.893</v>
      </c>
      <c r="R54" s="180">
        <v>41502.915812465311</v>
      </c>
      <c r="S54" s="180"/>
      <c r="T54" s="235">
        <f t="shared" si="3"/>
        <v>4444.3590000000004</v>
      </c>
      <c r="U54" s="180">
        <v>495.647401189238</v>
      </c>
      <c r="V54" s="180">
        <v>4444.3590000000004</v>
      </c>
      <c r="W54" s="170">
        <f t="shared" si="4"/>
        <v>0.28099629693481293</v>
      </c>
      <c r="X54" s="170">
        <f t="shared" si="4"/>
        <v>2.5196307259000408</v>
      </c>
    </row>
    <row r="55" spans="1:24" x14ac:dyDescent="0.2">
      <c r="A55" s="147">
        <v>2005</v>
      </c>
      <c r="B55" s="147">
        <v>6</v>
      </c>
      <c r="C55" s="147" t="str">
        <f t="shared" si="1"/>
        <v>20056</v>
      </c>
      <c r="D55" s="147" t="str">
        <f t="shared" si="7"/>
        <v>Q2</v>
      </c>
      <c r="E55" s="360">
        <f t="shared" si="2"/>
        <v>119333.414</v>
      </c>
      <c r="F55" s="360">
        <f t="shared" si="2"/>
        <v>36925.598833112439</v>
      </c>
      <c r="G55" s="360">
        <f t="shared" si="2"/>
        <v>4182.7420000000002</v>
      </c>
      <c r="H55" s="360">
        <f t="shared" si="2"/>
        <v>1657.9570000000001</v>
      </c>
      <c r="L55" s="147">
        <f t="shared" si="5"/>
        <v>2014</v>
      </c>
      <c r="M55" s="170" t="str">
        <f t="shared" si="6"/>
        <v>Q2</v>
      </c>
      <c r="N55" s="170" t="str">
        <f t="shared" si="8"/>
        <v>2014Q2</v>
      </c>
      <c r="O55" s="175">
        <v>137566.70699999999</v>
      </c>
      <c r="P55" s="233">
        <v>1767.1759999999999</v>
      </c>
      <c r="Q55" s="233">
        <v>1767.1759999999999</v>
      </c>
      <c r="R55" s="180">
        <v>41808.34126836736</v>
      </c>
      <c r="S55" s="180"/>
      <c r="T55" s="235">
        <f t="shared" si="3"/>
        <v>4452.1120000000001</v>
      </c>
      <c r="U55" s="180">
        <v>497.19351131894661</v>
      </c>
      <c r="V55" s="180">
        <v>4452.1120000000001</v>
      </c>
      <c r="W55" s="170">
        <f t="shared" si="4"/>
        <v>0.28134917592755143</v>
      </c>
      <c r="X55" s="170">
        <f t="shared" si="4"/>
        <v>2.5193370665966492</v>
      </c>
    </row>
    <row r="56" spans="1:24" x14ac:dyDescent="0.2">
      <c r="A56" s="147">
        <v>2005</v>
      </c>
      <c r="B56" s="147">
        <v>7</v>
      </c>
      <c r="C56" s="147" t="str">
        <f t="shared" si="1"/>
        <v>20057</v>
      </c>
      <c r="D56" s="147" t="str">
        <f t="shared" si="7"/>
        <v>Q3</v>
      </c>
      <c r="E56" s="360">
        <f t="shared" si="2"/>
        <v>119379.652</v>
      </c>
      <c r="F56" s="360">
        <f t="shared" si="2"/>
        <v>37050.927192459436</v>
      </c>
      <c r="G56" s="360">
        <f t="shared" si="2"/>
        <v>4191.8370000000004</v>
      </c>
      <c r="H56" s="360">
        <f t="shared" si="2"/>
        <v>1657.652</v>
      </c>
      <c r="L56" s="147">
        <f t="shared" si="5"/>
        <v>2014</v>
      </c>
      <c r="M56" s="170" t="str">
        <f t="shared" si="6"/>
        <v>Q3</v>
      </c>
      <c r="N56" s="170" t="str">
        <f t="shared" si="8"/>
        <v>2014Q3</v>
      </c>
      <c r="O56" s="175">
        <v>138505.228</v>
      </c>
      <c r="P56" s="233">
        <v>1770.816</v>
      </c>
      <c r="Q56" s="233">
        <v>1770.816</v>
      </c>
      <c r="R56" s="180">
        <v>42112.64484379522</v>
      </c>
      <c r="S56" s="180"/>
      <c r="T56" s="235">
        <f t="shared" si="3"/>
        <v>4459.9639999999999</v>
      </c>
      <c r="U56" s="180">
        <v>498.84270062606771</v>
      </c>
      <c r="V56" s="180">
        <v>4459.9639999999999</v>
      </c>
      <c r="W56" s="170">
        <f t="shared" si="4"/>
        <v>0.28170216477943938</v>
      </c>
      <c r="X56" s="170">
        <f t="shared" si="4"/>
        <v>2.5185925584589253</v>
      </c>
    </row>
    <row r="57" spans="1:24" x14ac:dyDescent="0.2">
      <c r="A57" s="147">
        <v>2005</v>
      </c>
      <c r="B57" s="147">
        <v>8</v>
      </c>
      <c r="C57" s="147" t="str">
        <f t="shared" si="1"/>
        <v>20058</v>
      </c>
      <c r="D57" s="147" t="str">
        <f t="shared" si="7"/>
        <v>Q3</v>
      </c>
      <c r="E57" s="360">
        <f t="shared" si="2"/>
        <v>119379.652</v>
      </c>
      <c r="F57" s="360">
        <f t="shared" si="2"/>
        <v>37050.927192459436</v>
      </c>
      <c r="G57" s="360">
        <f t="shared" si="2"/>
        <v>4191.8370000000004</v>
      </c>
      <c r="H57" s="360">
        <f t="shared" si="2"/>
        <v>1657.652</v>
      </c>
      <c r="L57" s="147">
        <f t="shared" si="5"/>
        <v>2014</v>
      </c>
      <c r="M57" s="170" t="str">
        <f t="shared" si="6"/>
        <v>Q4</v>
      </c>
      <c r="N57" s="170" t="str">
        <f t="shared" si="8"/>
        <v>2014Q4</v>
      </c>
      <c r="O57" s="175">
        <v>139445.223</v>
      </c>
      <c r="P57" s="233">
        <v>1774.326</v>
      </c>
      <c r="Q57" s="233">
        <v>1774.326</v>
      </c>
      <c r="R57" s="180">
        <v>42435.52573788313</v>
      </c>
      <c r="S57" s="180"/>
      <c r="T57" s="235">
        <f t="shared" si="3"/>
        <v>4467.9120000000003</v>
      </c>
      <c r="U57" s="180">
        <v>500.43928707342133</v>
      </c>
      <c r="V57" s="180">
        <v>4467.9120000000003</v>
      </c>
      <c r="W57" s="170">
        <f t="shared" si="4"/>
        <v>0.28204472406616443</v>
      </c>
      <c r="X57" s="170">
        <f t="shared" si="4"/>
        <v>2.5180896858863591</v>
      </c>
    </row>
    <row r="58" spans="1:24" x14ac:dyDescent="0.2">
      <c r="A58" s="147">
        <v>2005</v>
      </c>
      <c r="B58" s="147">
        <v>9</v>
      </c>
      <c r="C58" s="147" t="str">
        <f t="shared" si="1"/>
        <v>20059</v>
      </c>
      <c r="D58" s="147" t="str">
        <f t="shared" si="7"/>
        <v>Q3</v>
      </c>
      <c r="E58" s="360">
        <f t="shared" si="2"/>
        <v>119379.652</v>
      </c>
      <c r="F58" s="360">
        <f t="shared" si="2"/>
        <v>37050.927192459436</v>
      </c>
      <c r="G58" s="360">
        <f t="shared" si="2"/>
        <v>4191.8370000000004</v>
      </c>
      <c r="H58" s="360">
        <f t="shared" si="2"/>
        <v>1657.652</v>
      </c>
      <c r="L58" s="147">
        <f t="shared" si="5"/>
        <v>2015</v>
      </c>
      <c r="M58" s="170" t="str">
        <f t="shared" si="6"/>
        <v>Q1</v>
      </c>
      <c r="N58" s="170" t="str">
        <f t="shared" si="8"/>
        <v>2015Q1</v>
      </c>
      <c r="O58" s="175">
        <v>140510.76300000001</v>
      </c>
      <c r="P58" s="233">
        <v>1778.097</v>
      </c>
      <c r="Q58" s="233">
        <v>1778.097</v>
      </c>
      <c r="R58" s="180">
        <v>42650.097953529214</v>
      </c>
      <c r="S58" s="180"/>
      <c r="T58" s="235">
        <f t="shared" si="3"/>
        <v>4475.9679999999998</v>
      </c>
      <c r="U58" s="180">
        <v>501.8291618821915</v>
      </c>
      <c r="V58" s="180">
        <v>4475.9679999999998</v>
      </c>
      <c r="W58" s="170">
        <f t="shared" si="4"/>
        <v>0.28222822595291003</v>
      </c>
      <c r="X58" s="170">
        <f t="shared" si="4"/>
        <v>2.5172799909116317</v>
      </c>
    </row>
    <row r="59" spans="1:24" x14ac:dyDescent="0.2">
      <c r="A59" s="147">
        <v>2005</v>
      </c>
      <c r="B59" s="147">
        <v>10</v>
      </c>
      <c r="C59" s="147" t="str">
        <f t="shared" si="1"/>
        <v>200510</v>
      </c>
      <c r="D59" s="147" t="str">
        <f t="shared" si="7"/>
        <v>Q4</v>
      </c>
      <c r="E59" s="360">
        <f t="shared" si="2"/>
        <v>119542.07799999999</v>
      </c>
      <c r="F59" s="360">
        <f t="shared" si="2"/>
        <v>37214.08364461326</v>
      </c>
      <c r="G59" s="360">
        <f t="shared" si="2"/>
        <v>4200.951</v>
      </c>
      <c r="H59" s="360">
        <f t="shared" si="2"/>
        <v>1657.348</v>
      </c>
      <c r="L59" s="147">
        <f t="shared" si="5"/>
        <v>2015</v>
      </c>
      <c r="M59" s="170" t="str">
        <f t="shared" si="6"/>
        <v>Q2</v>
      </c>
      <c r="N59" s="170" t="str">
        <f t="shared" si="8"/>
        <v>2015Q2</v>
      </c>
      <c r="O59" s="175">
        <v>141224.63399999999</v>
      </c>
      <c r="P59" s="233">
        <v>1782.097</v>
      </c>
      <c r="Q59" s="233">
        <v>1782.097</v>
      </c>
      <c r="R59" s="180">
        <v>42880.981284829548</v>
      </c>
      <c r="S59" s="180"/>
      <c r="T59" s="235">
        <f t="shared" si="3"/>
        <v>4484.1310000000003</v>
      </c>
      <c r="U59" s="180">
        <v>503.37931941722849</v>
      </c>
      <c r="V59" s="180">
        <v>4484.1310000000003</v>
      </c>
      <c r="W59" s="170">
        <f t="shared" si="4"/>
        <v>0.28246460176815769</v>
      </c>
      <c r="X59" s="170">
        <f t="shared" si="4"/>
        <v>2.5162103970771517</v>
      </c>
    </row>
    <row r="60" spans="1:24" x14ac:dyDescent="0.2">
      <c r="A60" s="147">
        <v>2005</v>
      </c>
      <c r="B60" s="147">
        <v>11</v>
      </c>
      <c r="C60" s="147" t="str">
        <f t="shared" si="1"/>
        <v>200511</v>
      </c>
      <c r="D60" s="147" t="str">
        <f t="shared" si="7"/>
        <v>Q4</v>
      </c>
      <c r="E60" s="360">
        <f t="shared" si="2"/>
        <v>119542.07799999999</v>
      </c>
      <c r="F60" s="360">
        <f t="shared" si="2"/>
        <v>37214.08364461326</v>
      </c>
      <c r="G60" s="360">
        <f t="shared" si="2"/>
        <v>4200.951</v>
      </c>
      <c r="H60" s="360">
        <f t="shared" si="2"/>
        <v>1657.348</v>
      </c>
      <c r="L60" s="147">
        <f t="shared" si="5"/>
        <v>2015</v>
      </c>
      <c r="M60" s="170" t="str">
        <f t="shared" si="6"/>
        <v>Q3</v>
      </c>
      <c r="N60" s="170" t="str">
        <f t="shared" si="8"/>
        <v>2015Q3</v>
      </c>
      <c r="O60" s="175">
        <v>141992.24600000001</v>
      </c>
      <c r="P60" s="233">
        <v>1785.9590000000001</v>
      </c>
      <c r="Q60" s="233">
        <v>1785.9590000000001</v>
      </c>
      <c r="R60" s="180">
        <v>43176.797187660617</v>
      </c>
      <c r="S60" s="180"/>
      <c r="T60" s="235">
        <f t="shared" si="3"/>
        <v>4492.3999999999996</v>
      </c>
      <c r="U60" s="180">
        <v>504.94774529623874</v>
      </c>
      <c r="V60" s="180">
        <v>4492.3999999999996</v>
      </c>
      <c r="W60" s="170">
        <f t="shared" si="4"/>
        <v>0.28273199177374103</v>
      </c>
      <c r="X60" s="170">
        <f t="shared" si="4"/>
        <v>2.515399289681342</v>
      </c>
    </row>
    <row r="61" spans="1:24" x14ac:dyDescent="0.2">
      <c r="A61" s="147">
        <v>2005</v>
      </c>
      <c r="B61" s="147">
        <v>12</v>
      </c>
      <c r="C61" s="147" t="str">
        <f t="shared" si="1"/>
        <v>200512</v>
      </c>
      <c r="D61" s="147" t="str">
        <f t="shared" si="7"/>
        <v>Q4</v>
      </c>
      <c r="E61" s="360">
        <f t="shared" si="2"/>
        <v>119542.07799999999</v>
      </c>
      <c r="F61" s="360">
        <f t="shared" si="2"/>
        <v>37214.08364461326</v>
      </c>
      <c r="G61" s="360">
        <f t="shared" si="2"/>
        <v>4200.951</v>
      </c>
      <c r="H61" s="360">
        <f t="shared" si="2"/>
        <v>1657.348</v>
      </c>
      <c r="L61" s="147">
        <f t="shared" si="5"/>
        <v>2015</v>
      </c>
      <c r="M61" s="170" t="str">
        <f t="shared" si="6"/>
        <v>Q4</v>
      </c>
      <c r="N61" s="170" t="str">
        <f t="shared" si="8"/>
        <v>2015Q4</v>
      </c>
      <c r="O61" s="175">
        <v>142772.34400000001</v>
      </c>
      <c r="P61" s="233">
        <v>1789.7339999999999</v>
      </c>
      <c r="Q61" s="233">
        <v>1789.7339999999999</v>
      </c>
      <c r="R61" s="180">
        <v>43428.863134860279</v>
      </c>
      <c r="S61" s="180"/>
      <c r="T61" s="235">
        <f t="shared" si="3"/>
        <v>4500.777</v>
      </c>
      <c r="U61" s="180">
        <v>506.36904628060279</v>
      </c>
      <c r="V61" s="180">
        <v>4500.777</v>
      </c>
      <c r="W61" s="170">
        <f t="shared" si="4"/>
        <v>0.28292977966591842</v>
      </c>
      <c r="X61" s="170">
        <f t="shared" si="4"/>
        <v>2.514774262544043</v>
      </c>
    </row>
    <row r="62" spans="1:24" x14ac:dyDescent="0.2">
      <c r="A62" s="147">
        <v>2006</v>
      </c>
      <c r="B62" s="147">
        <v>1</v>
      </c>
      <c r="C62" s="147" t="str">
        <f t="shared" si="1"/>
        <v>20061</v>
      </c>
      <c r="D62" s="147" t="str">
        <f t="shared" si="7"/>
        <v>Q1</v>
      </c>
      <c r="E62" s="360">
        <f t="shared" si="2"/>
        <v>121891.27099999999</v>
      </c>
      <c r="F62" s="360">
        <f t="shared" si="2"/>
        <v>38232.076121240505</v>
      </c>
      <c r="G62" s="360">
        <f t="shared" si="2"/>
        <v>4210.085</v>
      </c>
      <c r="H62" s="360">
        <f t="shared" si="2"/>
        <v>1657.0429999999999</v>
      </c>
      <c r="L62" s="147">
        <f t="shared" si="5"/>
        <v>2016</v>
      </c>
      <c r="M62" s="170" t="str">
        <f t="shared" si="6"/>
        <v>Q1</v>
      </c>
      <c r="N62" s="170" t="str">
        <f t="shared" si="8"/>
        <v>2016Q1</v>
      </c>
      <c r="O62" s="175">
        <v>144227.636</v>
      </c>
      <c r="P62" s="233">
        <v>1793.4010000000001</v>
      </c>
      <c r="Q62" s="233">
        <v>1793.4010000000001</v>
      </c>
      <c r="R62" s="180">
        <v>43755.370741727726</v>
      </c>
      <c r="S62" s="180"/>
      <c r="T62" s="235">
        <f t="shared" si="3"/>
        <v>4509.174</v>
      </c>
      <c r="U62" s="180">
        <v>507.86793941892671</v>
      </c>
      <c r="V62" s="180">
        <v>4509.174</v>
      </c>
      <c r="W62" s="170">
        <f t="shared" si="4"/>
        <v>0.28318705042482228</v>
      </c>
      <c r="X62" s="170">
        <f t="shared" si="4"/>
        <v>2.5143144227085856</v>
      </c>
    </row>
    <row r="63" spans="1:24" x14ac:dyDescent="0.2">
      <c r="A63" s="147">
        <v>2006</v>
      </c>
      <c r="B63" s="147">
        <v>2</v>
      </c>
      <c r="C63" s="147" t="str">
        <f t="shared" si="1"/>
        <v>20062</v>
      </c>
      <c r="D63" s="147" t="str">
        <f t="shared" si="7"/>
        <v>Q1</v>
      </c>
      <c r="E63" s="360">
        <f t="shared" si="2"/>
        <v>121891.27099999999</v>
      </c>
      <c r="F63" s="360">
        <f t="shared" si="2"/>
        <v>38232.076121240505</v>
      </c>
      <c r="G63" s="360">
        <f t="shared" si="2"/>
        <v>4210.085</v>
      </c>
      <c r="H63" s="360">
        <f t="shared" si="2"/>
        <v>1657.0429999999999</v>
      </c>
      <c r="L63" s="147">
        <f t="shared" si="5"/>
        <v>2016</v>
      </c>
      <c r="M63" s="170" t="str">
        <f t="shared" si="6"/>
        <v>Q2</v>
      </c>
      <c r="N63" s="170" t="str">
        <f t="shared" si="8"/>
        <v>2016Q2</v>
      </c>
      <c r="O63" s="175">
        <v>145000.861</v>
      </c>
      <c r="P63" s="233">
        <v>1797.0340000000001</v>
      </c>
      <c r="Q63" s="233">
        <v>1797.0340000000001</v>
      </c>
      <c r="R63" s="180">
        <v>43979.682119470162</v>
      </c>
      <c r="S63" s="180"/>
      <c r="T63" s="235">
        <f t="shared" si="3"/>
        <v>4517.5919999999996</v>
      </c>
      <c r="U63" s="180">
        <v>509.12265081383066</v>
      </c>
      <c r="V63" s="180">
        <v>4517.5919999999996</v>
      </c>
      <c r="W63" s="170">
        <f t="shared" si="4"/>
        <v>0.28331275357830216</v>
      </c>
      <c r="X63" s="170">
        <f t="shared" si="4"/>
        <v>2.513915707771806</v>
      </c>
    </row>
    <row r="64" spans="1:24" x14ac:dyDescent="0.2">
      <c r="A64" s="147">
        <v>2006</v>
      </c>
      <c r="B64" s="147">
        <v>3</v>
      </c>
      <c r="C64" s="147" t="str">
        <f t="shared" si="1"/>
        <v>20063</v>
      </c>
      <c r="D64" s="147" t="str">
        <f t="shared" si="7"/>
        <v>Q1</v>
      </c>
      <c r="E64" s="360">
        <f t="shared" si="2"/>
        <v>121891.27099999999</v>
      </c>
      <c r="F64" s="360">
        <f t="shared" si="2"/>
        <v>38232.076121240505</v>
      </c>
      <c r="G64" s="360">
        <f t="shared" si="2"/>
        <v>4210.085</v>
      </c>
      <c r="H64" s="360">
        <f t="shared" si="2"/>
        <v>1657.0429999999999</v>
      </c>
      <c r="L64" s="147">
        <f t="shared" si="5"/>
        <v>2016</v>
      </c>
      <c r="M64" s="170" t="str">
        <f t="shared" si="6"/>
        <v>Q3</v>
      </c>
      <c r="N64" s="170" t="str">
        <f t="shared" si="8"/>
        <v>2016Q3</v>
      </c>
      <c r="O64" s="175">
        <v>145740.07199999999</v>
      </c>
      <c r="P64" s="233">
        <v>1800.662</v>
      </c>
      <c r="Q64" s="233">
        <v>1800.662</v>
      </c>
      <c r="R64" s="180">
        <v>44190.115651236883</v>
      </c>
      <c r="S64" s="180"/>
      <c r="T64" s="235">
        <f t="shared" si="3"/>
        <v>4526.0309999999999</v>
      </c>
      <c r="U64" s="180">
        <v>510.37312120930113</v>
      </c>
      <c r="V64" s="180">
        <v>4526.0309999999999</v>
      </c>
      <c r="W64" s="170">
        <f t="shared" si="4"/>
        <v>0.28343638129160337</v>
      </c>
      <c r="X64" s="170">
        <f t="shared" si="4"/>
        <v>2.5135372435248815</v>
      </c>
    </row>
    <row r="65" spans="1:24" x14ac:dyDescent="0.2">
      <c r="A65" s="147">
        <v>2006</v>
      </c>
      <c r="B65" s="147">
        <v>4</v>
      </c>
      <c r="C65" s="147" t="str">
        <f t="shared" si="1"/>
        <v>20064</v>
      </c>
      <c r="D65" s="147" t="str">
        <f t="shared" si="7"/>
        <v>Q2</v>
      </c>
      <c r="E65" s="360">
        <f t="shared" si="2"/>
        <v>123006.787</v>
      </c>
      <c r="F65" s="360">
        <f t="shared" si="2"/>
        <v>38551.986971371545</v>
      </c>
      <c r="G65" s="360">
        <f t="shared" si="2"/>
        <v>4219.2389999999996</v>
      </c>
      <c r="H65" s="360">
        <f t="shared" si="2"/>
        <v>1656.7380000000001</v>
      </c>
      <c r="L65" s="147">
        <f t="shared" si="5"/>
        <v>2016</v>
      </c>
      <c r="M65" s="170" t="str">
        <f t="shared" si="6"/>
        <v>Q4</v>
      </c>
      <c r="N65" s="170" t="str">
        <f t="shared" si="8"/>
        <v>2016Q4</v>
      </c>
      <c r="O65" s="175">
        <v>146638.23699999999</v>
      </c>
      <c r="P65" s="233">
        <v>1804.307</v>
      </c>
      <c r="Q65" s="233">
        <v>1804.307</v>
      </c>
      <c r="R65" s="180">
        <v>44479.131361056192</v>
      </c>
      <c r="S65" s="180"/>
      <c r="T65" s="235">
        <f t="shared" si="3"/>
        <v>4534.4889999999996</v>
      </c>
      <c r="U65" s="180">
        <v>511.92023406263525</v>
      </c>
      <c r="V65" s="180">
        <v>4534.4889999999996</v>
      </c>
      <c r="W65" s="170">
        <f t="shared" si="4"/>
        <v>0.28372124813717137</v>
      </c>
      <c r="X65" s="170">
        <f t="shared" si="4"/>
        <v>2.5131471528958205</v>
      </c>
    </row>
    <row r="66" spans="1:24" x14ac:dyDescent="0.2">
      <c r="A66" s="147">
        <v>2006</v>
      </c>
      <c r="B66" s="147">
        <v>5</v>
      </c>
      <c r="C66" s="147" t="str">
        <f t="shared" si="1"/>
        <v>20065</v>
      </c>
      <c r="D66" s="147" t="str">
        <f t="shared" si="7"/>
        <v>Q2</v>
      </c>
      <c r="E66" s="360">
        <f t="shared" si="2"/>
        <v>123006.787</v>
      </c>
      <c r="F66" s="360">
        <f t="shared" si="2"/>
        <v>38551.986971371545</v>
      </c>
      <c r="G66" s="360">
        <f t="shared" si="2"/>
        <v>4219.2389999999996</v>
      </c>
      <c r="H66" s="360">
        <f t="shared" ref="H66:H129" si="9">VLOOKUP($A66&amp;$D66,$N$1:$T$173,MATCH(H$1,$N$1:$T$1,0),0)</f>
        <v>1656.7380000000001</v>
      </c>
      <c r="L66" s="147">
        <f t="shared" si="5"/>
        <v>2017</v>
      </c>
      <c r="M66" s="170" t="str">
        <f t="shared" si="6"/>
        <v>Q1</v>
      </c>
      <c r="N66" s="170" t="str">
        <f t="shared" si="8"/>
        <v>2017Q1</v>
      </c>
      <c r="O66" s="175">
        <v>147397.973</v>
      </c>
      <c r="P66" s="233">
        <v>1806.8440000000001</v>
      </c>
      <c r="Q66" s="233">
        <v>1806.8440000000001</v>
      </c>
      <c r="R66" s="180">
        <v>44591.826055215206</v>
      </c>
      <c r="S66" s="180"/>
      <c r="T66" s="235">
        <f t="shared" si="3"/>
        <v>4542.9390000000003</v>
      </c>
      <c r="U66" s="180">
        <v>513.08300928065671</v>
      </c>
      <c r="V66" s="180">
        <v>4542.9390000000003</v>
      </c>
      <c r="W66" s="170">
        <f t="shared" si="4"/>
        <v>0.28396641286168406</v>
      </c>
      <c r="X66" s="170">
        <f t="shared" si="4"/>
        <v>2.5142950913305189</v>
      </c>
    </row>
    <row r="67" spans="1:24" x14ac:dyDescent="0.2">
      <c r="A67" s="147">
        <v>2006</v>
      </c>
      <c r="B67" s="147">
        <v>6</v>
      </c>
      <c r="C67" s="147" t="str">
        <f t="shared" ref="C67:C130" si="10">A67&amp;B67</f>
        <v>20066</v>
      </c>
      <c r="D67" s="147" t="str">
        <f t="shared" si="7"/>
        <v>Q2</v>
      </c>
      <c r="E67" s="360">
        <f t="shared" ref="E67:H130" si="11">VLOOKUP($A67&amp;$D67,$N$1:$T$173,MATCH(E$1,$N$1:$T$1,0),0)</f>
        <v>123006.787</v>
      </c>
      <c r="F67" s="360">
        <f t="shared" si="11"/>
        <v>38551.986971371545</v>
      </c>
      <c r="G67" s="360">
        <f t="shared" si="11"/>
        <v>4219.2389999999996</v>
      </c>
      <c r="H67" s="360">
        <f t="shared" si="9"/>
        <v>1656.7380000000001</v>
      </c>
      <c r="L67" s="147">
        <f t="shared" si="5"/>
        <v>2017</v>
      </c>
      <c r="M67" s="170" t="str">
        <f t="shared" si="6"/>
        <v>Q2</v>
      </c>
      <c r="N67" s="170" t="str">
        <f t="shared" si="8"/>
        <v>2017Q2</v>
      </c>
      <c r="O67" s="175">
        <v>148169.18</v>
      </c>
      <c r="P67" s="233">
        <v>1809.4</v>
      </c>
      <c r="Q67" s="233">
        <v>1809.4</v>
      </c>
      <c r="R67" s="180">
        <v>44904.574224823955</v>
      </c>
      <c r="S67" s="180"/>
      <c r="T67" s="235">
        <f t="shared" ref="T67:T130" si="12">V67</f>
        <v>4551.38</v>
      </c>
      <c r="U67" s="180">
        <v>514.67933105390614</v>
      </c>
      <c r="V67" s="180">
        <v>4551.38</v>
      </c>
      <c r="W67" s="170">
        <f t="shared" ref="W67:X130" si="13">U67/P67</f>
        <v>0.28444751357019238</v>
      </c>
      <c r="X67" s="170">
        <f t="shared" si="13"/>
        <v>2.5154084226815518</v>
      </c>
    </row>
    <row r="68" spans="1:24" x14ac:dyDescent="0.2">
      <c r="A68" s="147">
        <v>2006</v>
      </c>
      <c r="B68" s="147">
        <v>7</v>
      </c>
      <c r="C68" s="147" t="str">
        <f t="shared" si="10"/>
        <v>20067</v>
      </c>
      <c r="D68" s="147" t="str">
        <f t="shared" si="7"/>
        <v>Q3</v>
      </c>
      <c r="E68" s="360">
        <f t="shared" si="11"/>
        <v>123530.77899999999</v>
      </c>
      <c r="F68" s="360">
        <f t="shared" si="11"/>
        <v>38698.21171607422</v>
      </c>
      <c r="G68" s="360">
        <f t="shared" si="11"/>
        <v>4228.5659999999998</v>
      </c>
      <c r="H68" s="360">
        <f t="shared" si="9"/>
        <v>1657.8969999999999</v>
      </c>
      <c r="L68" s="147">
        <f t="shared" si="5"/>
        <v>2017</v>
      </c>
      <c r="M68" s="170" t="str">
        <f t="shared" si="6"/>
        <v>Q3</v>
      </c>
      <c r="N68" s="170" t="str">
        <f t="shared" si="8"/>
        <v>2017Q3</v>
      </c>
      <c r="O68" s="175">
        <v>149003.10200000001</v>
      </c>
      <c r="P68" s="233">
        <v>1811.9380000000001</v>
      </c>
      <c r="Q68" s="233">
        <v>1811.9380000000001</v>
      </c>
      <c r="R68" s="180">
        <v>45194.496478629822</v>
      </c>
      <c r="S68" s="180"/>
      <c r="T68" s="235">
        <f t="shared" si="12"/>
        <v>4559.8130000000001</v>
      </c>
      <c r="U68" s="180">
        <v>515.82043868573078</v>
      </c>
      <c r="V68" s="180">
        <v>4559.8130000000001</v>
      </c>
      <c r="W68" s="170">
        <f t="shared" si="13"/>
        <v>0.2846788569397688</v>
      </c>
      <c r="X68" s="170">
        <f t="shared" si="13"/>
        <v>2.516539197257301</v>
      </c>
    </row>
    <row r="69" spans="1:24" x14ac:dyDescent="0.2">
      <c r="A69" s="147">
        <v>2006</v>
      </c>
      <c r="B69" s="147">
        <v>8</v>
      </c>
      <c r="C69" s="147" t="str">
        <f t="shared" si="10"/>
        <v>20068</v>
      </c>
      <c r="D69" s="147" t="str">
        <f t="shared" si="7"/>
        <v>Q3</v>
      </c>
      <c r="E69" s="360">
        <f t="shared" si="11"/>
        <v>123530.77899999999</v>
      </c>
      <c r="F69" s="360">
        <f t="shared" si="11"/>
        <v>38698.21171607422</v>
      </c>
      <c r="G69" s="360">
        <f t="shared" si="11"/>
        <v>4228.5659999999998</v>
      </c>
      <c r="H69" s="360">
        <f t="shared" si="9"/>
        <v>1657.8969999999999</v>
      </c>
      <c r="L69" s="147">
        <f t="shared" si="5"/>
        <v>2017</v>
      </c>
      <c r="M69" s="170" t="str">
        <f t="shared" si="6"/>
        <v>Q4</v>
      </c>
      <c r="N69" s="170" t="str">
        <f t="shared" si="8"/>
        <v>2017Q4</v>
      </c>
      <c r="O69" s="175">
        <v>149821.88399999999</v>
      </c>
      <c r="P69" s="233">
        <v>1814.3879999999999</v>
      </c>
      <c r="Q69" s="233">
        <v>1814.3879999999999</v>
      </c>
      <c r="R69" s="180">
        <v>45448.674552537363</v>
      </c>
      <c r="S69" s="180"/>
      <c r="T69" s="235">
        <f t="shared" si="12"/>
        <v>4568.2250000000004</v>
      </c>
      <c r="U69" s="180">
        <v>517.2860463041992</v>
      </c>
      <c r="V69" s="180">
        <v>4568.2250000000004</v>
      </c>
      <c r="W69" s="170">
        <f t="shared" si="13"/>
        <v>0.28510221975905881</v>
      </c>
      <c r="X69" s="170">
        <f t="shared" si="13"/>
        <v>2.5177773442064213</v>
      </c>
    </row>
    <row r="70" spans="1:24" x14ac:dyDescent="0.2">
      <c r="A70" s="147">
        <v>2006</v>
      </c>
      <c r="B70" s="147">
        <v>9</v>
      </c>
      <c r="C70" s="147" t="str">
        <f t="shared" si="10"/>
        <v>20069</v>
      </c>
      <c r="D70" s="147" t="str">
        <f t="shared" si="7"/>
        <v>Q3</v>
      </c>
      <c r="E70" s="360">
        <f t="shared" si="11"/>
        <v>123530.77899999999</v>
      </c>
      <c r="F70" s="360">
        <f t="shared" si="11"/>
        <v>38698.21171607422</v>
      </c>
      <c r="G70" s="360">
        <f t="shared" si="11"/>
        <v>4228.5659999999998</v>
      </c>
      <c r="H70" s="360">
        <f t="shared" si="9"/>
        <v>1657.8969999999999</v>
      </c>
      <c r="L70" s="147">
        <f t="shared" si="5"/>
        <v>2018</v>
      </c>
      <c r="M70" s="170" t="str">
        <f t="shared" si="6"/>
        <v>Q1</v>
      </c>
      <c r="N70" s="170" t="str">
        <f t="shared" si="8"/>
        <v>2018Q1</v>
      </c>
      <c r="O70" s="175">
        <v>151159.774</v>
      </c>
      <c r="P70" s="233">
        <v>1817.81</v>
      </c>
      <c r="Q70" s="233">
        <v>1817.81</v>
      </c>
      <c r="R70" s="180">
        <v>45721.18203228699</v>
      </c>
      <c r="S70" s="180"/>
      <c r="T70" s="235">
        <f t="shared" si="12"/>
        <v>4576.63</v>
      </c>
      <c r="U70" s="180">
        <v>518.66652313964676</v>
      </c>
      <c r="V70" s="180">
        <v>4576.63</v>
      </c>
      <c r="W70" s="170">
        <f t="shared" si="13"/>
        <v>0.28532493667635606</v>
      </c>
      <c r="X70" s="170">
        <f t="shared" si="13"/>
        <v>2.5176613617484778</v>
      </c>
    </row>
    <row r="71" spans="1:24" x14ac:dyDescent="0.2">
      <c r="A71" s="147">
        <v>2006</v>
      </c>
      <c r="B71" s="147">
        <v>10</v>
      </c>
      <c r="C71" s="147" t="str">
        <f t="shared" si="10"/>
        <v>200610</v>
      </c>
      <c r="D71" s="147" t="str">
        <f t="shared" si="7"/>
        <v>Q4</v>
      </c>
      <c r="E71" s="360">
        <f t="shared" si="11"/>
        <v>124988.379</v>
      </c>
      <c r="F71" s="360">
        <f t="shared" si="11"/>
        <v>39120.882163460956</v>
      </c>
      <c r="G71" s="360">
        <f t="shared" si="11"/>
        <v>4237.9139999999998</v>
      </c>
      <c r="H71" s="360">
        <f t="shared" si="9"/>
        <v>1659.057</v>
      </c>
      <c r="L71" s="147">
        <f t="shared" ref="L71:L134" si="14">L67+1</f>
        <v>2018</v>
      </c>
      <c r="M71" s="170" t="str">
        <f t="shared" ref="M71:M134" si="15">M67</f>
        <v>Q2</v>
      </c>
      <c r="N71" s="170" t="str">
        <f t="shared" si="8"/>
        <v>2018Q2</v>
      </c>
      <c r="O71" s="175">
        <v>152014.81099999999</v>
      </c>
      <c r="P71" s="233">
        <v>1821.1880000000001</v>
      </c>
      <c r="Q71" s="233">
        <v>1821.1880000000001</v>
      </c>
      <c r="R71" s="180">
        <v>45952.240193290287</v>
      </c>
      <c r="S71" s="180"/>
      <c r="T71" s="235">
        <f t="shared" si="12"/>
        <v>4585.03</v>
      </c>
      <c r="U71" s="180">
        <v>519.97560455539224</v>
      </c>
      <c r="V71" s="180">
        <v>4585.03</v>
      </c>
      <c r="W71" s="170">
        <f t="shared" si="13"/>
        <v>0.28551451280998569</v>
      </c>
      <c r="X71" s="170">
        <f t="shared" si="13"/>
        <v>2.5176038937221197</v>
      </c>
    </row>
    <row r="72" spans="1:24" x14ac:dyDescent="0.2">
      <c r="A72" s="147">
        <v>2006</v>
      </c>
      <c r="B72" s="147">
        <v>11</v>
      </c>
      <c r="C72" s="147" t="str">
        <f t="shared" si="10"/>
        <v>200611</v>
      </c>
      <c r="D72" s="147" t="str">
        <f t="shared" si="7"/>
        <v>Q4</v>
      </c>
      <c r="E72" s="360">
        <f t="shared" si="11"/>
        <v>124988.379</v>
      </c>
      <c r="F72" s="360">
        <f t="shared" si="11"/>
        <v>39120.882163460956</v>
      </c>
      <c r="G72" s="360">
        <f t="shared" si="11"/>
        <v>4237.9139999999998</v>
      </c>
      <c r="H72" s="360">
        <f t="shared" si="9"/>
        <v>1659.057</v>
      </c>
      <c r="L72" s="147">
        <f t="shared" si="14"/>
        <v>2018</v>
      </c>
      <c r="M72" s="170" t="str">
        <f t="shared" si="15"/>
        <v>Q3</v>
      </c>
      <c r="N72" s="170" t="str">
        <f t="shared" si="8"/>
        <v>2018Q3</v>
      </c>
      <c r="O72" s="175">
        <v>152840.09</v>
      </c>
      <c r="P72" s="233">
        <v>1824.57</v>
      </c>
      <c r="Q72" s="233">
        <v>1824.57</v>
      </c>
      <c r="R72" s="180">
        <v>46269.534926018147</v>
      </c>
      <c r="S72" s="180"/>
      <c r="T72" s="235">
        <f t="shared" si="12"/>
        <v>4593.4229999999998</v>
      </c>
      <c r="U72" s="180">
        <v>521.40413123458416</v>
      </c>
      <c r="V72" s="180">
        <v>4593.4229999999998</v>
      </c>
      <c r="W72" s="170">
        <f t="shared" si="13"/>
        <v>0.28576822551866149</v>
      </c>
      <c r="X72" s="170">
        <f t="shared" si="13"/>
        <v>2.5175372827570333</v>
      </c>
    </row>
    <row r="73" spans="1:24" x14ac:dyDescent="0.2">
      <c r="A73" s="147">
        <v>2006</v>
      </c>
      <c r="B73" s="147">
        <v>12</v>
      </c>
      <c r="C73" s="147" t="str">
        <f t="shared" si="10"/>
        <v>200612</v>
      </c>
      <c r="D73" s="147" t="str">
        <f t="shared" si="7"/>
        <v>Q4</v>
      </c>
      <c r="E73" s="360">
        <f t="shared" si="11"/>
        <v>124988.379</v>
      </c>
      <c r="F73" s="360">
        <f t="shared" si="11"/>
        <v>39120.882163460956</v>
      </c>
      <c r="G73" s="360">
        <f t="shared" si="11"/>
        <v>4237.9139999999998</v>
      </c>
      <c r="H73" s="360">
        <f t="shared" si="9"/>
        <v>1659.057</v>
      </c>
      <c r="L73" s="147">
        <f t="shared" si="14"/>
        <v>2018</v>
      </c>
      <c r="M73" s="170" t="str">
        <f t="shared" si="15"/>
        <v>Q4</v>
      </c>
      <c r="N73" s="170" t="str">
        <f t="shared" si="8"/>
        <v>2018Q4</v>
      </c>
      <c r="O73" s="175">
        <v>153691.45300000001</v>
      </c>
      <c r="P73" s="233">
        <v>1827.9390000000001</v>
      </c>
      <c r="Q73" s="233">
        <v>1827.9390000000001</v>
      </c>
      <c r="R73" s="180">
        <v>46499.695892915195</v>
      </c>
      <c r="S73" s="180"/>
      <c r="T73" s="235">
        <f t="shared" si="12"/>
        <v>4601.8090000000002</v>
      </c>
      <c r="U73" s="180">
        <v>522.62622358863541</v>
      </c>
      <c r="V73" s="180">
        <v>4601.8090000000002</v>
      </c>
      <c r="W73" s="170">
        <f t="shared" si="13"/>
        <v>0.28591010071377404</v>
      </c>
      <c r="X73" s="170">
        <f t="shared" si="13"/>
        <v>2.5174849926611338</v>
      </c>
    </row>
    <row r="74" spans="1:24" x14ac:dyDescent="0.2">
      <c r="A74" s="147">
        <v>2007</v>
      </c>
      <c r="B74" s="147">
        <v>1</v>
      </c>
      <c r="C74" s="147" t="str">
        <f t="shared" si="10"/>
        <v>20071</v>
      </c>
      <c r="D74" s="147" t="str">
        <f t="shared" si="7"/>
        <v>Q1</v>
      </c>
      <c r="E74" s="360">
        <f t="shared" si="11"/>
        <v>125421.274</v>
      </c>
      <c r="F74" s="360">
        <f t="shared" si="11"/>
        <v>39207.939116974187</v>
      </c>
      <c r="G74" s="360">
        <f t="shared" si="11"/>
        <v>4247.2830000000004</v>
      </c>
      <c r="H74" s="360">
        <f t="shared" si="9"/>
        <v>1660.2180000000001</v>
      </c>
      <c r="L74" s="147">
        <f t="shared" si="14"/>
        <v>2019</v>
      </c>
      <c r="M74" s="170" t="str">
        <f t="shared" si="15"/>
        <v>Q1</v>
      </c>
      <c r="N74" s="170" t="str">
        <f t="shared" si="8"/>
        <v>2019Q1</v>
      </c>
      <c r="O74" s="175">
        <v>155062.20000000001</v>
      </c>
      <c r="P74" s="233">
        <v>1831.317</v>
      </c>
      <c r="Q74" s="233">
        <v>1831.317</v>
      </c>
      <c r="R74" s="180">
        <v>46951.95820849367</v>
      </c>
      <c r="S74" s="180"/>
      <c r="T74" s="235">
        <f t="shared" si="12"/>
        <v>4610.1880000000001</v>
      </c>
      <c r="U74" s="180">
        <v>524.02248071463271</v>
      </c>
      <c r="V74" s="180">
        <v>4610.1880000000001</v>
      </c>
      <c r="W74" s="170">
        <f t="shared" si="13"/>
        <v>0.28614515166660537</v>
      </c>
      <c r="X74" s="170">
        <f t="shared" si="13"/>
        <v>2.5174167006585972</v>
      </c>
    </row>
    <row r="75" spans="1:24" x14ac:dyDescent="0.2">
      <c r="A75" s="147">
        <v>2007</v>
      </c>
      <c r="B75" s="147">
        <v>2</v>
      </c>
      <c r="C75" s="147" t="str">
        <f t="shared" si="10"/>
        <v>20072</v>
      </c>
      <c r="D75" s="147" t="str">
        <f t="shared" si="7"/>
        <v>Q1</v>
      </c>
      <c r="E75" s="360">
        <f t="shared" si="11"/>
        <v>125421.274</v>
      </c>
      <c r="F75" s="360">
        <f t="shared" si="11"/>
        <v>39207.939116974187</v>
      </c>
      <c r="G75" s="360">
        <f t="shared" si="11"/>
        <v>4247.2830000000004</v>
      </c>
      <c r="H75" s="360">
        <f t="shared" si="9"/>
        <v>1660.2180000000001</v>
      </c>
      <c r="L75" s="147">
        <f t="shared" si="14"/>
        <v>2019</v>
      </c>
      <c r="M75" s="170" t="str">
        <f t="shared" si="15"/>
        <v>Q2</v>
      </c>
      <c r="N75" s="170" t="str">
        <f t="shared" si="8"/>
        <v>2019Q2</v>
      </c>
      <c r="O75" s="175">
        <v>155893.33300000001</v>
      </c>
      <c r="P75" s="233">
        <v>1834.68</v>
      </c>
      <c r="Q75" s="233">
        <v>1834.68</v>
      </c>
      <c r="R75" s="180">
        <v>47295.046546996404</v>
      </c>
      <c r="S75" s="180"/>
      <c r="T75" s="235">
        <f t="shared" si="12"/>
        <v>4618.558</v>
      </c>
      <c r="U75" s="180">
        <v>525.23105771001019</v>
      </c>
      <c r="V75" s="180">
        <v>4618.558</v>
      </c>
      <c r="W75" s="170">
        <f t="shared" si="13"/>
        <v>0.28627938262258823</v>
      </c>
      <c r="X75" s="170">
        <f t="shared" si="13"/>
        <v>2.517364336015</v>
      </c>
    </row>
    <row r="76" spans="1:24" x14ac:dyDescent="0.2">
      <c r="A76" s="147">
        <v>2007</v>
      </c>
      <c r="B76" s="147">
        <v>3</v>
      </c>
      <c r="C76" s="147" t="str">
        <f t="shared" si="10"/>
        <v>20073</v>
      </c>
      <c r="D76" s="147" t="str">
        <f t="shared" si="7"/>
        <v>Q1</v>
      </c>
      <c r="E76" s="360">
        <f t="shared" si="11"/>
        <v>125421.274</v>
      </c>
      <c r="F76" s="360">
        <f t="shared" si="11"/>
        <v>39207.939116974187</v>
      </c>
      <c r="G76" s="360">
        <f t="shared" si="11"/>
        <v>4247.2830000000004</v>
      </c>
      <c r="H76" s="360">
        <f t="shared" si="9"/>
        <v>1660.2180000000001</v>
      </c>
      <c r="L76" s="147">
        <f t="shared" si="14"/>
        <v>2019</v>
      </c>
      <c r="M76" s="170" t="str">
        <f t="shared" si="15"/>
        <v>Q3</v>
      </c>
      <c r="N76" s="170" t="str">
        <f t="shared" si="8"/>
        <v>2019Q3</v>
      </c>
      <c r="O76" s="175">
        <v>156697.22099999999</v>
      </c>
      <c r="P76" s="233">
        <v>1838.0340000000001</v>
      </c>
      <c r="Q76" s="233">
        <v>1838.0340000000001</v>
      </c>
      <c r="R76" s="180">
        <v>47474.511791947109</v>
      </c>
      <c r="S76" s="180"/>
      <c r="T76" s="235">
        <f t="shared" si="12"/>
        <v>4626.9070000000002</v>
      </c>
      <c r="U76" s="180">
        <v>526.52557973637499</v>
      </c>
      <c r="V76" s="180">
        <v>4626.9070000000002</v>
      </c>
      <c r="W76" s="170">
        <f t="shared" si="13"/>
        <v>0.28646128403303472</v>
      </c>
      <c r="X76" s="170">
        <f t="shared" si="13"/>
        <v>2.5173130638497438</v>
      </c>
    </row>
    <row r="77" spans="1:24" x14ac:dyDescent="0.2">
      <c r="A77" s="147">
        <v>2007</v>
      </c>
      <c r="B77" s="147">
        <v>4</v>
      </c>
      <c r="C77" s="147" t="str">
        <f t="shared" si="10"/>
        <v>20074</v>
      </c>
      <c r="D77" s="147" t="str">
        <f t="shared" si="7"/>
        <v>Q2</v>
      </c>
      <c r="E77" s="360">
        <f t="shared" si="11"/>
        <v>125696.571</v>
      </c>
      <c r="F77" s="360">
        <f t="shared" si="11"/>
        <v>39146.160290129192</v>
      </c>
      <c r="G77" s="360">
        <f t="shared" si="11"/>
        <v>4256.6719999999996</v>
      </c>
      <c r="H77" s="360">
        <f t="shared" si="9"/>
        <v>1661.3789999999999</v>
      </c>
      <c r="L77" s="147">
        <f t="shared" si="14"/>
        <v>2019</v>
      </c>
      <c r="M77" s="170" t="str">
        <f t="shared" si="15"/>
        <v>Q4</v>
      </c>
      <c r="N77" s="170" t="str">
        <f t="shared" si="8"/>
        <v>2019Q4</v>
      </c>
      <c r="O77" s="175">
        <v>157503.777</v>
      </c>
      <c r="P77" s="233">
        <v>1841.366</v>
      </c>
      <c r="Q77" s="233">
        <v>1841.366</v>
      </c>
      <c r="R77" s="180">
        <v>47726.545621421916</v>
      </c>
      <c r="S77" s="180"/>
      <c r="T77" s="235">
        <f t="shared" si="12"/>
        <v>4635.2470000000003</v>
      </c>
      <c r="U77" s="180">
        <v>527.97489990513088</v>
      </c>
      <c r="V77" s="180">
        <v>4635.2470000000003</v>
      </c>
      <c r="W77" s="170">
        <f t="shared" si="13"/>
        <v>0.2867300145137528</v>
      </c>
      <c r="X77" s="170">
        <f t="shared" si="13"/>
        <v>2.5172871661581677</v>
      </c>
    </row>
    <row r="78" spans="1:24" x14ac:dyDescent="0.2">
      <c r="A78" s="147">
        <v>2007</v>
      </c>
      <c r="B78" s="147">
        <v>5</v>
      </c>
      <c r="C78" s="147" t="str">
        <f t="shared" si="10"/>
        <v>20075</v>
      </c>
      <c r="D78" s="147" t="str">
        <f t="shared" si="7"/>
        <v>Q2</v>
      </c>
      <c r="E78" s="360">
        <f t="shared" si="11"/>
        <v>125696.571</v>
      </c>
      <c r="F78" s="360">
        <f t="shared" si="11"/>
        <v>39146.160290129192</v>
      </c>
      <c r="G78" s="360">
        <f t="shared" si="11"/>
        <v>4256.6719999999996</v>
      </c>
      <c r="H78" s="360">
        <f t="shared" si="9"/>
        <v>1661.3789999999999</v>
      </c>
      <c r="L78" s="147">
        <f t="shared" si="14"/>
        <v>2020</v>
      </c>
      <c r="M78" s="170" t="str">
        <f t="shared" si="15"/>
        <v>Q1</v>
      </c>
      <c r="N78" s="170" t="str">
        <f t="shared" si="8"/>
        <v>2020Q1</v>
      </c>
      <c r="O78" s="175">
        <v>158898.726</v>
      </c>
      <c r="P78" s="233">
        <v>1844.713</v>
      </c>
      <c r="Q78" s="233">
        <v>1844.713</v>
      </c>
      <c r="R78" s="180">
        <v>48243.78300199988</v>
      </c>
      <c r="S78" s="180"/>
      <c r="T78" s="235">
        <f t="shared" si="12"/>
        <v>4643.5770000000002</v>
      </c>
      <c r="U78" s="180">
        <v>529.18438960096785</v>
      </c>
      <c r="V78" s="180">
        <v>4643.5770000000002</v>
      </c>
      <c r="W78" s="170">
        <f t="shared" si="13"/>
        <v>0.28686543088326905</v>
      </c>
      <c r="X78" s="170">
        <f t="shared" si="13"/>
        <v>2.5172354724013979</v>
      </c>
    </row>
    <row r="79" spans="1:24" x14ac:dyDescent="0.2">
      <c r="A79" s="147">
        <v>2007</v>
      </c>
      <c r="B79" s="147">
        <v>6</v>
      </c>
      <c r="C79" s="147" t="str">
        <f t="shared" si="10"/>
        <v>20076</v>
      </c>
      <c r="D79" s="147" t="str">
        <f t="shared" ref="D79:D142" si="16">D67</f>
        <v>Q2</v>
      </c>
      <c r="E79" s="360">
        <f t="shared" si="11"/>
        <v>125696.571</v>
      </c>
      <c r="F79" s="360">
        <f t="shared" si="11"/>
        <v>39146.160290129192</v>
      </c>
      <c r="G79" s="360">
        <f t="shared" si="11"/>
        <v>4256.6719999999996</v>
      </c>
      <c r="H79" s="360">
        <f t="shared" si="9"/>
        <v>1661.3789999999999</v>
      </c>
      <c r="L79" s="147">
        <f t="shared" si="14"/>
        <v>2020</v>
      </c>
      <c r="M79" s="170" t="str">
        <f t="shared" si="15"/>
        <v>Q2</v>
      </c>
      <c r="N79" s="170" t="str">
        <f t="shared" si="8"/>
        <v>2020Q2</v>
      </c>
      <c r="O79" s="175">
        <v>159849.41</v>
      </c>
      <c r="P79" s="233">
        <v>1847.818</v>
      </c>
      <c r="Q79" s="233">
        <v>1847.818</v>
      </c>
      <c r="R79" s="180">
        <v>48481.970690693073</v>
      </c>
      <c r="S79" s="180"/>
      <c r="T79" s="235">
        <f t="shared" si="12"/>
        <v>4651.8969999999999</v>
      </c>
      <c r="U79" s="180">
        <v>530.5241401390773</v>
      </c>
      <c r="V79" s="180">
        <v>4651.8969999999999</v>
      </c>
      <c r="W79" s="170">
        <f t="shared" si="13"/>
        <v>0.28710843824395982</v>
      </c>
      <c r="X79" s="170">
        <f t="shared" si="13"/>
        <v>2.5175082178006707</v>
      </c>
    </row>
    <row r="80" spans="1:24" x14ac:dyDescent="0.2">
      <c r="A80" s="147">
        <v>2007</v>
      </c>
      <c r="B80" s="147">
        <v>7</v>
      </c>
      <c r="C80" s="147" t="str">
        <f t="shared" si="10"/>
        <v>20077</v>
      </c>
      <c r="D80" s="147" t="str">
        <f t="shared" si="16"/>
        <v>Q3</v>
      </c>
      <c r="E80" s="360">
        <f t="shared" si="11"/>
        <v>125601.717</v>
      </c>
      <c r="F80" s="360">
        <f t="shared" si="11"/>
        <v>39001.852326761655</v>
      </c>
      <c r="G80" s="360">
        <f t="shared" si="11"/>
        <v>4264.9489999999996</v>
      </c>
      <c r="H80" s="360">
        <f t="shared" si="9"/>
        <v>1669.175</v>
      </c>
      <c r="L80" s="147">
        <f t="shared" si="14"/>
        <v>2020</v>
      </c>
      <c r="M80" s="170" t="str">
        <f t="shared" si="15"/>
        <v>Q3</v>
      </c>
      <c r="N80" s="170" t="str">
        <f t="shared" si="8"/>
        <v>2020Q3</v>
      </c>
      <c r="O80" s="175">
        <v>160644.163</v>
      </c>
      <c r="P80" s="233">
        <v>1850.903</v>
      </c>
      <c r="Q80" s="233">
        <v>1850.903</v>
      </c>
      <c r="R80" s="180">
        <v>48705.682421467725</v>
      </c>
      <c r="S80" s="180"/>
      <c r="T80" s="235">
        <f t="shared" si="12"/>
        <v>4660.2060000000001</v>
      </c>
      <c r="U80" s="180">
        <v>531.85916409426079</v>
      </c>
      <c r="V80" s="180">
        <v>4660.2060000000001</v>
      </c>
      <c r="W80" s="170">
        <f t="shared" si="13"/>
        <v>0.28735118160933382</v>
      </c>
      <c r="X80" s="170">
        <f t="shared" si="13"/>
        <v>2.5178013110357487</v>
      </c>
    </row>
    <row r="81" spans="1:24" x14ac:dyDescent="0.2">
      <c r="A81" s="147">
        <v>2007</v>
      </c>
      <c r="B81" s="147">
        <v>8</v>
      </c>
      <c r="C81" s="147" t="str">
        <f t="shared" si="10"/>
        <v>20078</v>
      </c>
      <c r="D81" s="147" t="str">
        <f t="shared" si="16"/>
        <v>Q3</v>
      </c>
      <c r="E81" s="360">
        <f t="shared" si="11"/>
        <v>125601.717</v>
      </c>
      <c r="F81" s="360">
        <f t="shared" si="11"/>
        <v>39001.852326761655</v>
      </c>
      <c r="G81" s="360">
        <f t="shared" si="11"/>
        <v>4264.9489999999996</v>
      </c>
      <c r="H81" s="360">
        <f t="shared" si="9"/>
        <v>1669.175</v>
      </c>
      <c r="L81" s="147">
        <f t="shared" si="14"/>
        <v>2020</v>
      </c>
      <c r="M81" s="170" t="str">
        <f t="shared" si="15"/>
        <v>Q4</v>
      </c>
      <c r="N81" s="170" t="str">
        <f t="shared" si="8"/>
        <v>2020Q4</v>
      </c>
      <c r="O81" s="175">
        <v>161348.13399999999</v>
      </c>
      <c r="P81" s="233">
        <v>1853.9760000000001</v>
      </c>
      <c r="Q81" s="233">
        <v>1853.9760000000001</v>
      </c>
      <c r="R81" s="180">
        <v>48829.591308895542</v>
      </c>
      <c r="S81" s="180"/>
      <c r="T81" s="235">
        <f t="shared" si="12"/>
        <v>4668.5039999999999</v>
      </c>
      <c r="U81" s="180">
        <v>533.19423469180015</v>
      </c>
      <c r="V81" s="180">
        <v>4668.5039999999999</v>
      </c>
      <c r="W81" s="170">
        <f t="shared" si="13"/>
        <v>0.28759500376045866</v>
      </c>
      <c r="X81" s="170">
        <f t="shared" si="13"/>
        <v>2.5181037942238733</v>
      </c>
    </row>
    <row r="82" spans="1:24" x14ac:dyDescent="0.2">
      <c r="A82" s="147">
        <v>2007</v>
      </c>
      <c r="B82" s="147">
        <v>9</v>
      </c>
      <c r="C82" s="147" t="str">
        <f t="shared" si="10"/>
        <v>20079</v>
      </c>
      <c r="D82" s="147" t="str">
        <f t="shared" si="16"/>
        <v>Q3</v>
      </c>
      <c r="E82" s="360">
        <f t="shared" si="11"/>
        <v>125601.717</v>
      </c>
      <c r="F82" s="360">
        <f t="shared" si="11"/>
        <v>39001.852326761655</v>
      </c>
      <c r="G82" s="360">
        <f t="shared" si="11"/>
        <v>4264.9489999999996</v>
      </c>
      <c r="H82" s="360">
        <f t="shared" si="9"/>
        <v>1669.175</v>
      </c>
      <c r="L82" s="147">
        <f t="shared" si="14"/>
        <v>2021</v>
      </c>
      <c r="M82" s="170" t="str">
        <f t="shared" si="15"/>
        <v>Q1</v>
      </c>
      <c r="N82" s="170" t="str">
        <f t="shared" si="8"/>
        <v>2021Q1</v>
      </c>
      <c r="O82" s="175">
        <v>162475.66899999999</v>
      </c>
      <c r="P82" s="233">
        <v>1856.8409999999999</v>
      </c>
      <c r="Q82" s="233">
        <v>1856.8409999999999</v>
      </c>
      <c r="R82" s="180">
        <v>49203.757964168057</v>
      </c>
      <c r="S82" s="180"/>
      <c r="T82" s="235">
        <f t="shared" si="12"/>
        <v>4676.79</v>
      </c>
      <c r="U82" s="180">
        <v>534.67221974965719</v>
      </c>
      <c r="V82" s="180">
        <v>4676.79</v>
      </c>
      <c r="W82" s="170">
        <f t="shared" si="13"/>
        <v>0.28794722851857385</v>
      </c>
      <c r="X82" s="170">
        <f t="shared" si="13"/>
        <v>2.5186809209835417</v>
      </c>
    </row>
    <row r="83" spans="1:24" x14ac:dyDescent="0.2">
      <c r="A83" s="147">
        <v>2007</v>
      </c>
      <c r="B83" s="147">
        <v>10</v>
      </c>
      <c r="C83" s="147" t="str">
        <f t="shared" si="10"/>
        <v>200710</v>
      </c>
      <c r="D83" s="147" t="str">
        <f t="shared" si="16"/>
        <v>Q4</v>
      </c>
      <c r="E83" s="360">
        <f t="shared" si="11"/>
        <v>126411.315</v>
      </c>
      <c r="F83" s="360">
        <f t="shared" si="11"/>
        <v>39135.118262944496</v>
      </c>
      <c r="G83" s="360">
        <f t="shared" si="11"/>
        <v>4273.2430000000004</v>
      </c>
      <c r="H83" s="360">
        <f t="shared" si="9"/>
        <v>1677.0070000000001</v>
      </c>
      <c r="L83" s="147">
        <f t="shared" si="14"/>
        <v>2021</v>
      </c>
      <c r="M83" s="170" t="str">
        <f t="shared" si="15"/>
        <v>Q2</v>
      </c>
      <c r="N83" s="170" t="str">
        <f t="shared" si="8"/>
        <v>2021Q2</v>
      </c>
      <c r="O83" s="175">
        <v>163161.704</v>
      </c>
      <c r="P83" s="233">
        <v>1859.7909999999999</v>
      </c>
      <c r="Q83" s="233">
        <v>1859.7909999999999</v>
      </c>
      <c r="R83" s="180">
        <v>49409.045195684346</v>
      </c>
      <c r="S83" s="180"/>
      <c r="T83" s="235">
        <f t="shared" si="12"/>
        <v>4685.0510000000004</v>
      </c>
      <c r="U83" s="180">
        <v>536.05011678668382</v>
      </c>
      <c r="V83" s="180">
        <v>4685.0510000000004</v>
      </c>
      <c r="W83" s="170">
        <f t="shared" si="13"/>
        <v>0.28823137480861227</v>
      </c>
      <c r="X83" s="170">
        <f t="shared" si="13"/>
        <v>2.5191276869282628</v>
      </c>
    </row>
    <row r="84" spans="1:24" x14ac:dyDescent="0.2">
      <c r="A84" s="147">
        <v>2007</v>
      </c>
      <c r="B84" s="147">
        <v>11</v>
      </c>
      <c r="C84" s="147" t="str">
        <f t="shared" si="10"/>
        <v>200711</v>
      </c>
      <c r="D84" s="147" t="str">
        <f t="shared" si="16"/>
        <v>Q4</v>
      </c>
      <c r="E84" s="360">
        <f t="shared" si="11"/>
        <v>126411.315</v>
      </c>
      <c r="F84" s="360">
        <f t="shared" si="11"/>
        <v>39135.118262944496</v>
      </c>
      <c r="G84" s="360">
        <f t="shared" si="11"/>
        <v>4273.2430000000004</v>
      </c>
      <c r="H84" s="360">
        <f t="shared" si="9"/>
        <v>1677.0070000000001</v>
      </c>
      <c r="L84" s="147">
        <f t="shared" si="14"/>
        <v>2021</v>
      </c>
      <c r="M84" s="170" t="str">
        <f t="shared" si="15"/>
        <v>Q3</v>
      </c>
      <c r="N84" s="170" t="str">
        <f t="shared" si="8"/>
        <v>2021Q3</v>
      </c>
      <c r="O84" s="175">
        <v>163854.01199999999</v>
      </c>
      <c r="P84" s="233">
        <v>1862.693</v>
      </c>
      <c r="Q84" s="233">
        <v>1862.693</v>
      </c>
      <c r="R84" s="180">
        <v>49571.67892035051</v>
      </c>
      <c r="S84" s="180"/>
      <c r="T84" s="235">
        <f t="shared" si="12"/>
        <v>4693.299</v>
      </c>
      <c r="U84" s="180">
        <v>537.54613568352875</v>
      </c>
      <c r="V84" s="180">
        <v>4693.299</v>
      </c>
      <c r="W84" s="170">
        <f t="shared" si="13"/>
        <v>0.28858547043636751</v>
      </c>
      <c r="X84" s="170">
        <f t="shared" si="13"/>
        <v>2.5196309858897843</v>
      </c>
    </row>
    <row r="85" spans="1:24" x14ac:dyDescent="0.2">
      <c r="A85" s="147">
        <v>2007</v>
      </c>
      <c r="B85" s="147">
        <v>12</v>
      </c>
      <c r="C85" s="147" t="str">
        <f t="shared" si="10"/>
        <v>200712</v>
      </c>
      <c r="D85" s="147" t="str">
        <f t="shared" si="16"/>
        <v>Q4</v>
      </c>
      <c r="E85" s="360">
        <f t="shared" si="11"/>
        <v>126411.315</v>
      </c>
      <c r="F85" s="360">
        <f t="shared" si="11"/>
        <v>39135.118262944496</v>
      </c>
      <c r="G85" s="360">
        <f t="shared" si="11"/>
        <v>4273.2430000000004</v>
      </c>
      <c r="H85" s="360">
        <f t="shared" si="9"/>
        <v>1677.0070000000001</v>
      </c>
      <c r="L85" s="147">
        <f t="shared" si="14"/>
        <v>2021</v>
      </c>
      <c r="M85" s="170" t="str">
        <f t="shared" si="15"/>
        <v>Q4</v>
      </c>
      <c r="N85" s="170" t="str">
        <f t="shared" si="8"/>
        <v>2021Q4</v>
      </c>
      <c r="O85" s="175">
        <v>164597.87899999999</v>
      </c>
      <c r="P85" s="233">
        <v>1866.915</v>
      </c>
      <c r="Q85" s="233">
        <v>1866.915</v>
      </c>
      <c r="R85" s="180">
        <v>49908.568796165404</v>
      </c>
      <c r="S85" s="180"/>
      <c r="T85" s="235">
        <f t="shared" si="12"/>
        <v>4701.5330000000004</v>
      </c>
      <c r="U85" s="180">
        <v>538.9246517565972</v>
      </c>
      <c r="V85" s="180">
        <v>4701.5330000000004</v>
      </c>
      <c r="W85" s="170">
        <f t="shared" si="13"/>
        <v>0.28867123128615774</v>
      </c>
      <c r="X85" s="170">
        <f t="shared" si="13"/>
        <v>2.5183433632489964</v>
      </c>
    </row>
    <row r="86" spans="1:24" x14ac:dyDescent="0.2">
      <c r="A86" s="147">
        <v>2008</v>
      </c>
      <c r="B86" s="147">
        <v>1</v>
      </c>
      <c r="C86" s="147" t="str">
        <f t="shared" si="10"/>
        <v>20081</v>
      </c>
      <c r="D86" s="147" t="str">
        <f t="shared" si="16"/>
        <v>Q1</v>
      </c>
      <c r="E86" s="360">
        <f t="shared" si="11"/>
        <v>128364.796</v>
      </c>
      <c r="F86" s="360">
        <f t="shared" si="11"/>
        <v>39632.680925057175</v>
      </c>
      <c r="G86" s="360">
        <f t="shared" si="11"/>
        <v>4281.5519999999997</v>
      </c>
      <c r="H86" s="360">
        <f t="shared" si="9"/>
        <v>1684.875</v>
      </c>
      <c r="L86" s="147">
        <f t="shared" si="14"/>
        <v>2022</v>
      </c>
      <c r="M86" s="170" t="str">
        <f t="shared" si="15"/>
        <v>Q1</v>
      </c>
      <c r="N86" s="170" t="str">
        <f t="shared" si="8"/>
        <v>2022Q1</v>
      </c>
      <c r="O86" s="175">
        <v>165857.508</v>
      </c>
      <c r="P86" s="233">
        <v>1869.009</v>
      </c>
      <c r="Q86" s="233">
        <v>1869.009</v>
      </c>
      <c r="R86" s="180">
        <v>50229.384400300703</v>
      </c>
      <c r="S86" s="180"/>
      <c r="T86" s="235">
        <f t="shared" si="12"/>
        <v>4709.7529999999997</v>
      </c>
      <c r="U86" s="180">
        <v>540.22864364519683</v>
      </c>
      <c r="V86" s="180">
        <v>4709.7529999999997</v>
      </c>
      <c r="W86" s="170">
        <f t="shared" si="13"/>
        <v>0.28904550146371516</v>
      </c>
      <c r="X86" s="170">
        <f t="shared" si="13"/>
        <v>2.5199199147783662</v>
      </c>
    </row>
    <row r="87" spans="1:24" x14ac:dyDescent="0.2">
      <c r="A87" s="147">
        <v>2008</v>
      </c>
      <c r="B87" s="147">
        <v>2</v>
      </c>
      <c r="C87" s="147" t="str">
        <f t="shared" si="10"/>
        <v>20082</v>
      </c>
      <c r="D87" s="147" t="str">
        <f t="shared" si="16"/>
        <v>Q1</v>
      </c>
      <c r="E87" s="360">
        <f t="shared" si="11"/>
        <v>128364.796</v>
      </c>
      <c r="F87" s="360">
        <f t="shared" si="11"/>
        <v>39632.680925057175</v>
      </c>
      <c r="G87" s="360">
        <f t="shared" si="11"/>
        <v>4281.5519999999997</v>
      </c>
      <c r="H87" s="360">
        <f t="shared" si="9"/>
        <v>1684.875</v>
      </c>
      <c r="L87" s="147">
        <f t="shared" si="14"/>
        <v>2022</v>
      </c>
      <c r="M87" s="170" t="str">
        <f t="shared" si="15"/>
        <v>Q2</v>
      </c>
      <c r="N87" s="170" t="str">
        <f t="shared" si="8"/>
        <v>2022Q2</v>
      </c>
      <c r="O87" s="175">
        <v>166796.47399999999</v>
      </c>
      <c r="P87" s="233">
        <v>1872.117</v>
      </c>
      <c r="Q87" s="233">
        <v>1872.117</v>
      </c>
      <c r="R87" s="180">
        <v>50462.244962799821</v>
      </c>
      <c r="S87" s="180"/>
      <c r="T87" s="235">
        <f t="shared" si="12"/>
        <v>4717.9579999999996</v>
      </c>
      <c r="U87" s="180">
        <v>541.6057162006723</v>
      </c>
      <c r="V87" s="180">
        <v>4717.9579999999996</v>
      </c>
      <c r="W87" s="170">
        <f t="shared" si="13"/>
        <v>0.28930121151651972</v>
      </c>
      <c r="X87" s="170">
        <f t="shared" si="13"/>
        <v>2.5201192019515872</v>
      </c>
    </row>
    <row r="88" spans="1:24" x14ac:dyDescent="0.2">
      <c r="A88" s="147">
        <v>2008</v>
      </c>
      <c r="B88" s="147">
        <v>3</v>
      </c>
      <c r="C88" s="147" t="str">
        <f t="shared" si="10"/>
        <v>20083</v>
      </c>
      <c r="D88" s="147" t="str">
        <f t="shared" si="16"/>
        <v>Q1</v>
      </c>
      <c r="E88" s="360">
        <f t="shared" si="11"/>
        <v>128364.796</v>
      </c>
      <c r="F88" s="360">
        <f t="shared" si="11"/>
        <v>39632.680925057175</v>
      </c>
      <c r="G88" s="360">
        <f t="shared" si="11"/>
        <v>4281.5519999999997</v>
      </c>
      <c r="H88" s="360">
        <f t="shared" si="9"/>
        <v>1684.875</v>
      </c>
      <c r="L88" s="147">
        <f t="shared" si="14"/>
        <v>2022</v>
      </c>
      <c r="M88" s="170" t="str">
        <f t="shared" si="15"/>
        <v>Q3</v>
      </c>
      <c r="N88" s="170" t="str">
        <f t="shared" si="8"/>
        <v>2022Q3</v>
      </c>
      <c r="O88" s="175">
        <v>167787.24299999999</v>
      </c>
      <c r="P88" s="233">
        <v>1875.1959999999999</v>
      </c>
      <c r="Q88" s="233">
        <v>1875.1959999999999</v>
      </c>
      <c r="R88" s="180">
        <v>50848.241817321788</v>
      </c>
      <c r="S88" s="180"/>
      <c r="T88" s="235">
        <f t="shared" si="12"/>
        <v>4726.1329999999998</v>
      </c>
      <c r="U88" s="180">
        <v>542.8681305385121</v>
      </c>
      <c r="V88" s="180">
        <v>4726.1329999999998</v>
      </c>
      <c r="W88" s="170">
        <f t="shared" si="13"/>
        <v>0.28949940728249857</v>
      </c>
      <c r="X88" s="170">
        <f t="shared" si="13"/>
        <v>2.5203408070409705</v>
      </c>
    </row>
    <row r="89" spans="1:24" x14ac:dyDescent="0.2">
      <c r="A89" s="152">
        <v>2008</v>
      </c>
      <c r="B89" s="152">
        <v>4</v>
      </c>
      <c r="C89" s="147" t="str">
        <f t="shared" si="10"/>
        <v>20084</v>
      </c>
      <c r="D89" s="147" t="str">
        <f t="shared" si="16"/>
        <v>Q2</v>
      </c>
      <c r="E89" s="360">
        <f t="shared" si="11"/>
        <v>129399.736</v>
      </c>
      <c r="F89" s="360">
        <f t="shared" si="11"/>
        <v>39855.727140851915</v>
      </c>
      <c r="G89" s="360">
        <f t="shared" si="11"/>
        <v>4289.8779999999997</v>
      </c>
      <c r="H89" s="360">
        <f t="shared" si="9"/>
        <v>1692.7809999999999</v>
      </c>
      <c r="J89" s="152"/>
      <c r="K89" s="152"/>
      <c r="L89" s="147">
        <f t="shared" si="14"/>
        <v>2022</v>
      </c>
      <c r="M89" s="170" t="str">
        <f t="shared" si="15"/>
        <v>Q4</v>
      </c>
      <c r="N89" s="170" t="str">
        <f t="shared" si="8"/>
        <v>2022Q4</v>
      </c>
      <c r="O89" s="175">
        <v>168781.15</v>
      </c>
      <c r="P89" s="233">
        <v>1878.357</v>
      </c>
      <c r="Q89" s="233">
        <v>1878.357</v>
      </c>
      <c r="R89" s="180">
        <v>51088.93854491684</v>
      </c>
      <c r="S89" s="180"/>
      <c r="T89" s="235">
        <f t="shared" si="12"/>
        <v>4734.2920000000004</v>
      </c>
      <c r="U89" s="180">
        <v>544.45445662214399</v>
      </c>
      <c r="V89" s="180">
        <v>4734.2920000000004</v>
      </c>
      <c r="W89" s="170">
        <f t="shared" si="13"/>
        <v>0.2898567506720735</v>
      </c>
      <c r="X89" s="170">
        <f t="shared" si="13"/>
        <v>2.5204431319498903</v>
      </c>
    </row>
    <row r="90" spans="1:24" x14ac:dyDescent="0.2">
      <c r="A90" s="147">
        <v>2008</v>
      </c>
      <c r="B90" s="147">
        <v>5</v>
      </c>
      <c r="C90" s="147" t="str">
        <f t="shared" si="10"/>
        <v>20085</v>
      </c>
      <c r="D90" s="147" t="str">
        <f t="shared" si="16"/>
        <v>Q2</v>
      </c>
      <c r="E90" s="360">
        <f t="shared" si="11"/>
        <v>129399.736</v>
      </c>
      <c r="F90" s="360">
        <f t="shared" si="11"/>
        <v>39855.727140851915</v>
      </c>
      <c r="G90" s="360">
        <f t="shared" si="11"/>
        <v>4289.8779999999997</v>
      </c>
      <c r="H90" s="360">
        <f t="shared" si="9"/>
        <v>1692.7809999999999</v>
      </c>
      <c r="L90" s="147">
        <f t="shared" si="14"/>
        <v>2023</v>
      </c>
      <c r="M90" s="170" t="str">
        <f t="shared" si="15"/>
        <v>Q1</v>
      </c>
      <c r="N90" s="170" t="str">
        <f t="shared" si="8"/>
        <v>2023Q1</v>
      </c>
      <c r="O90" s="175">
        <v>170138.21400000001</v>
      </c>
      <c r="P90" s="233">
        <v>1881.624</v>
      </c>
      <c r="Q90" s="233">
        <v>1881.624</v>
      </c>
      <c r="R90" s="180">
        <v>51474.30535634797</v>
      </c>
      <c r="S90" s="180"/>
      <c r="T90" s="235">
        <f t="shared" si="12"/>
        <v>4742.4340000000002</v>
      </c>
      <c r="U90" s="180">
        <v>545.9473307236226</v>
      </c>
      <c r="V90" s="180">
        <v>4742.4340000000002</v>
      </c>
      <c r="W90" s="170">
        <f t="shared" si="13"/>
        <v>0.2901468788257498</v>
      </c>
      <c r="X90" s="170">
        <f t="shared" si="13"/>
        <v>2.5203940851094586</v>
      </c>
    </row>
    <row r="91" spans="1:24" x14ac:dyDescent="0.2">
      <c r="A91" s="147">
        <v>2008</v>
      </c>
      <c r="B91" s="147">
        <v>6</v>
      </c>
      <c r="C91" s="147" t="str">
        <f t="shared" si="10"/>
        <v>20086</v>
      </c>
      <c r="D91" s="147" t="str">
        <f t="shared" si="16"/>
        <v>Q2</v>
      </c>
      <c r="E91" s="360">
        <f t="shared" si="11"/>
        <v>129399.736</v>
      </c>
      <c r="F91" s="360">
        <f t="shared" si="11"/>
        <v>39855.727140851915</v>
      </c>
      <c r="G91" s="360">
        <f t="shared" si="11"/>
        <v>4289.8779999999997</v>
      </c>
      <c r="H91" s="360">
        <f t="shared" si="9"/>
        <v>1692.7809999999999</v>
      </c>
      <c r="L91" s="147">
        <f t="shared" si="14"/>
        <v>2023</v>
      </c>
      <c r="M91" s="170" t="str">
        <f t="shared" si="15"/>
        <v>Q2</v>
      </c>
      <c r="N91" s="170" t="str">
        <f t="shared" si="8"/>
        <v>2023Q2</v>
      </c>
      <c r="O91" s="175">
        <v>171101.02100000001</v>
      </c>
      <c r="P91" s="233">
        <v>1884.9670000000001</v>
      </c>
      <c r="Q91" s="233">
        <v>1884.9670000000001</v>
      </c>
      <c r="R91" s="180">
        <v>51828.21608039493</v>
      </c>
      <c r="S91" s="180"/>
      <c r="T91" s="235">
        <f t="shared" si="12"/>
        <v>4750.558</v>
      </c>
      <c r="U91" s="180">
        <v>547.24893214982171</v>
      </c>
      <c r="V91" s="180">
        <v>4750.558</v>
      </c>
      <c r="W91" s="170">
        <f t="shared" si="13"/>
        <v>0.29032281846304031</v>
      </c>
      <c r="X91" s="170">
        <f t="shared" si="13"/>
        <v>2.5202340412325519</v>
      </c>
    </row>
    <row r="92" spans="1:24" x14ac:dyDescent="0.2">
      <c r="A92" s="147">
        <v>2008</v>
      </c>
      <c r="B92" s="147">
        <v>7</v>
      </c>
      <c r="C92" s="147" t="str">
        <f t="shared" si="10"/>
        <v>20087</v>
      </c>
      <c r="D92" s="147" t="str">
        <f t="shared" si="16"/>
        <v>Q3</v>
      </c>
      <c r="E92" s="360">
        <f t="shared" si="11"/>
        <v>126756.973</v>
      </c>
      <c r="F92" s="360">
        <f t="shared" si="11"/>
        <v>38971.970554889042</v>
      </c>
      <c r="G92" s="360">
        <f t="shared" si="11"/>
        <v>4296.6610000000001</v>
      </c>
      <c r="H92" s="360">
        <f t="shared" si="9"/>
        <v>1694.962</v>
      </c>
      <c r="L92" s="147">
        <f t="shared" si="14"/>
        <v>2023</v>
      </c>
      <c r="M92" s="170" t="str">
        <f t="shared" si="15"/>
        <v>Q3</v>
      </c>
      <c r="N92" s="170" t="str">
        <f t="shared" si="8"/>
        <v>2023Q3</v>
      </c>
      <c r="O92" s="175">
        <v>172007.791</v>
      </c>
      <c r="P92" s="233">
        <v>1888.2650000000001</v>
      </c>
      <c r="Q92" s="233">
        <v>1888.2650000000001</v>
      </c>
      <c r="R92" s="180">
        <v>52161.614922601206</v>
      </c>
      <c r="S92" s="180"/>
      <c r="T92" s="235">
        <f t="shared" si="12"/>
        <v>4758.6490000000003</v>
      </c>
      <c r="U92" s="180">
        <v>548.62078192226488</v>
      </c>
      <c r="V92" s="180">
        <v>4758.6490000000003</v>
      </c>
      <c r="W92" s="170">
        <f t="shared" si="13"/>
        <v>0.29054226071142814</v>
      </c>
      <c r="X92" s="170">
        <f t="shared" si="13"/>
        <v>2.5201171445745167</v>
      </c>
    </row>
    <row r="93" spans="1:24" x14ac:dyDescent="0.2">
      <c r="A93" s="147">
        <v>2008</v>
      </c>
      <c r="B93" s="147">
        <v>8</v>
      </c>
      <c r="C93" s="147" t="str">
        <f t="shared" si="10"/>
        <v>20088</v>
      </c>
      <c r="D93" s="147" t="str">
        <f t="shared" si="16"/>
        <v>Q3</v>
      </c>
      <c r="E93" s="360">
        <f t="shared" si="11"/>
        <v>126756.973</v>
      </c>
      <c r="F93" s="360">
        <f t="shared" si="11"/>
        <v>38971.970554889042</v>
      </c>
      <c r="G93" s="360">
        <f t="shared" si="11"/>
        <v>4296.6610000000001</v>
      </c>
      <c r="H93" s="360">
        <f t="shared" si="9"/>
        <v>1694.962</v>
      </c>
      <c r="L93" s="147">
        <f t="shared" si="14"/>
        <v>2023</v>
      </c>
      <c r="M93" s="170" t="str">
        <f t="shared" si="15"/>
        <v>Q4</v>
      </c>
      <c r="N93" s="170" t="str">
        <f t="shared" si="8"/>
        <v>2023Q4</v>
      </c>
      <c r="O93" s="175">
        <v>172918.79399999999</v>
      </c>
      <c r="P93" s="233">
        <v>1893.3720000000001</v>
      </c>
      <c r="Q93" s="233">
        <v>1893.3720000000001</v>
      </c>
      <c r="R93" s="180">
        <v>52372.236748881944</v>
      </c>
      <c r="S93" s="180"/>
      <c r="T93" s="235">
        <f t="shared" si="12"/>
        <v>4766.7089999999998</v>
      </c>
      <c r="U93" s="180">
        <v>550.02989993152096</v>
      </c>
      <c r="V93" s="180">
        <v>4766.7089999999998</v>
      </c>
      <c r="W93" s="170">
        <f t="shared" si="13"/>
        <v>0.29050281715981907</v>
      </c>
      <c r="X93" s="170">
        <f t="shared" si="13"/>
        <v>2.5175765776614418</v>
      </c>
    </row>
    <row r="94" spans="1:24" x14ac:dyDescent="0.2">
      <c r="A94" s="147">
        <v>2008</v>
      </c>
      <c r="B94" s="147">
        <v>9</v>
      </c>
      <c r="C94" s="147" t="str">
        <f t="shared" si="10"/>
        <v>20089</v>
      </c>
      <c r="D94" s="147" t="str">
        <f t="shared" si="16"/>
        <v>Q3</v>
      </c>
      <c r="E94" s="360">
        <f t="shared" si="11"/>
        <v>126756.973</v>
      </c>
      <c r="F94" s="360">
        <f t="shared" si="11"/>
        <v>38971.970554889042</v>
      </c>
      <c r="G94" s="360">
        <f t="shared" si="11"/>
        <v>4296.6610000000001</v>
      </c>
      <c r="H94" s="360">
        <f t="shared" si="9"/>
        <v>1694.962</v>
      </c>
      <c r="L94" s="147">
        <f t="shared" si="14"/>
        <v>2024</v>
      </c>
      <c r="M94" s="170" t="str">
        <f t="shared" si="15"/>
        <v>Q1</v>
      </c>
      <c r="N94" s="170" t="str">
        <f t="shared" si="8"/>
        <v>2024Q1</v>
      </c>
      <c r="O94" s="175">
        <v>174458.15100000001</v>
      </c>
      <c r="P94" s="233">
        <v>1895.836</v>
      </c>
      <c r="Q94" s="233">
        <v>1895.836</v>
      </c>
      <c r="R94" s="180">
        <v>52955.358119127079</v>
      </c>
      <c r="S94" s="180"/>
      <c r="T94" s="235">
        <f t="shared" si="12"/>
        <v>4774.7489999999998</v>
      </c>
      <c r="U94" s="180">
        <v>551.36102397652587</v>
      </c>
      <c r="V94" s="180">
        <v>4774.7489999999998</v>
      </c>
      <c r="W94" s="170">
        <f t="shared" si="13"/>
        <v>0.29082738379085843</v>
      </c>
      <c r="X94" s="170">
        <f t="shared" si="13"/>
        <v>2.5185453805075966</v>
      </c>
    </row>
    <row r="95" spans="1:24" x14ac:dyDescent="0.2">
      <c r="A95" s="147">
        <v>2008</v>
      </c>
      <c r="B95" s="147">
        <v>10</v>
      </c>
      <c r="C95" s="147" t="str">
        <f t="shared" si="10"/>
        <v>200810</v>
      </c>
      <c r="D95" s="147" t="str">
        <f t="shared" si="16"/>
        <v>Q4</v>
      </c>
      <c r="E95" s="360">
        <f t="shared" si="11"/>
        <v>127793.833</v>
      </c>
      <c r="F95" s="360">
        <f t="shared" si="11"/>
        <v>39250.753059038092</v>
      </c>
      <c r="G95" s="360">
        <f t="shared" si="11"/>
        <v>4303.4549999999999</v>
      </c>
      <c r="H95" s="360">
        <f t="shared" si="9"/>
        <v>1697.1469999999999</v>
      </c>
      <c r="L95" s="147">
        <f t="shared" si="14"/>
        <v>2024</v>
      </c>
      <c r="M95" s="170" t="str">
        <f t="shared" si="15"/>
        <v>Q2</v>
      </c>
      <c r="N95" s="170" t="str">
        <f t="shared" si="8"/>
        <v>2024Q2</v>
      </c>
      <c r="O95" s="175">
        <v>175426.49799999999</v>
      </c>
      <c r="P95" s="233">
        <v>1898.4659999999999</v>
      </c>
      <c r="Q95" s="233">
        <v>1898.4659999999999</v>
      </c>
      <c r="R95" s="180">
        <v>53167.209134536846</v>
      </c>
      <c r="S95" s="180"/>
      <c r="T95" s="235">
        <f t="shared" si="12"/>
        <v>4782.7700000000004</v>
      </c>
      <c r="U95" s="180">
        <v>552.72758362695288</v>
      </c>
      <c r="V95" s="180">
        <v>4782.7700000000004</v>
      </c>
      <c r="W95" s="170">
        <f t="shared" si="13"/>
        <v>0.29114431526661677</v>
      </c>
      <c r="X95" s="170">
        <f t="shared" si="13"/>
        <v>2.5192813566321446</v>
      </c>
    </row>
    <row r="96" spans="1:24" x14ac:dyDescent="0.2">
      <c r="A96" s="147">
        <v>2008</v>
      </c>
      <c r="B96" s="147">
        <v>11</v>
      </c>
      <c r="C96" s="147" t="str">
        <f t="shared" si="10"/>
        <v>200811</v>
      </c>
      <c r="D96" s="147" t="str">
        <f t="shared" si="16"/>
        <v>Q4</v>
      </c>
      <c r="E96" s="360">
        <f t="shared" si="11"/>
        <v>127793.833</v>
      </c>
      <c r="F96" s="360">
        <f t="shared" si="11"/>
        <v>39250.753059038092</v>
      </c>
      <c r="G96" s="360">
        <f t="shared" si="11"/>
        <v>4303.4549999999999</v>
      </c>
      <c r="H96" s="360">
        <f t="shared" si="9"/>
        <v>1697.1469999999999</v>
      </c>
      <c r="L96" s="147">
        <f t="shared" si="14"/>
        <v>2024</v>
      </c>
      <c r="M96" s="170" t="str">
        <f t="shared" si="15"/>
        <v>Q3</v>
      </c>
      <c r="N96" s="170" t="str">
        <f t="shared" si="8"/>
        <v>2024Q3</v>
      </c>
      <c r="O96" s="175">
        <v>176369.43100000001</v>
      </c>
      <c r="P96" s="233">
        <v>1901.0250000000001</v>
      </c>
      <c r="Q96" s="233">
        <v>1901.0250000000001</v>
      </c>
      <c r="R96" s="180">
        <v>53462.846369802268</v>
      </c>
      <c r="S96" s="180"/>
      <c r="T96" s="235">
        <f t="shared" si="12"/>
        <v>4790.7579999999998</v>
      </c>
      <c r="U96" s="180">
        <v>554.09834181426595</v>
      </c>
      <c r="V96" s="180">
        <v>4790.7579999999998</v>
      </c>
      <c r="W96" s="170">
        <f t="shared" si="13"/>
        <v>0.29147346395458551</v>
      </c>
      <c r="X96" s="170">
        <f t="shared" si="13"/>
        <v>2.5200920556015833</v>
      </c>
    </row>
    <row r="97" spans="1:24" x14ac:dyDescent="0.2">
      <c r="A97" s="147">
        <v>2008</v>
      </c>
      <c r="B97" s="147">
        <v>12</v>
      </c>
      <c r="C97" s="147" t="str">
        <f t="shared" si="10"/>
        <v>200812</v>
      </c>
      <c r="D97" s="147" t="str">
        <f t="shared" si="16"/>
        <v>Q4</v>
      </c>
      <c r="E97" s="360">
        <f t="shared" si="11"/>
        <v>127793.833</v>
      </c>
      <c r="F97" s="360">
        <f t="shared" si="11"/>
        <v>39250.753059038092</v>
      </c>
      <c r="G97" s="360">
        <f t="shared" si="11"/>
        <v>4303.4549999999999</v>
      </c>
      <c r="H97" s="360">
        <f t="shared" si="9"/>
        <v>1697.1469999999999</v>
      </c>
      <c r="L97" s="147">
        <f t="shared" si="14"/>
        <v>2024</v>
      </c>
      <c r="M97" s="170" t="str">
        <f t="shared" si="15"/>
        <v>Q4</v>
      </c>
      <c r="N97" s="170" t="str">
        <f t="shared" si="8"/>
        <v>2024Q4</v>
      </c>
      <c r="O97" s="175">
        <v>177331.9</v>
      </c>
      <c r="P97" s="233">
        <v>1903.5609999999999</v>
      </c>
      <c r="Q97" s="233">
        <v>1903.5609999999999</v>
      </c>
      <c r="R97" s="180">
        <v>53789.882915045469</v>
      </c>
      <c r="S97" s="180"/>
      <c r="T97" s="235">
        <f t="shared" si="12"/>
        <v>4798.7250000000004</v>
      </c>
      <c r="U97" s="180">
        <v>555.46391912793047</v>
      </c>
      <c r="V97" s="180">
        <v>4798.7250000000004</v>
      </c>
      <c r="W97" s="170">
        <f t="shared" si="13"/>
        <v>0.2918025317433644</v>
      </c>
      <c r="X97" s="170">
        <f t="shared" si="13"/>
        <v>2.5209200020382854</v>
      </c>
    </row>
    <row r="98" spans="1:24" x14ac:dyDescent="0.2">
      <c r="A98" s="147">
        <v>2009</v>
      </c>
      <c r="B98" s="147">
        <v>1</v>
      </c>
      <c r="C98" s="147" t="str">
        <f t="shared" si="10"/>
        <v>20091</v>
      </c>
      <c r="D98" s="147" t="str">
        <f t="shared" si="16"/>
        <v>Q1</v>
      </c>
      <c r="E98" s="360">
        <f t="shared" si="11"/>
        <v>126804.629</v>
      </c>
      <c r="F98" s="360">
        <f t="shared" si="11"/>
        <v>39351.75300796557</v>
      </c>
      <c r="G98" s="360">
        <f t="shared" si="11"/>
        <v>4310.259</v>
      </c>
      <c r="H98" s="360">
        <f t="shared" si="9"/>
        <v>1699.3340000000001</v>
      </c>
      <c r="L98" s="147">
        <f t="shared" si="14"/>
        <v>2025</v>
      </c>
      <c r="M98" s="170" t="str">
        <f t="shared" si="15"/>
        <v>Q1</v>
      </c>
      <c r="N98" s="170" t="str">
        <f t="shared" si="8"/>
        <v>2025Q1</v>
      </c>
      <c r="O98" s="175">
        <v>178892.09099999999</v>
      </c>
      <c r="P98" s="233">
        <v>1907.3309999999999</v>
      </c>
      <c r="Q98" s="233">
        <v>1907.3309999999999</v>
      </c>
      <c r="R98" s="180">
        <v>54223.677742674183</v>
      </c>
      <c r="S98" s="180"/>
      <c r="T98" s="235">
        <f t="shared" si="12"/>
        <v>4806.6729999999998</v>
      </c>
      <c r="U98" s="180">
        <v>556.94168069036982</v>
      </c>
      <c r="V98" s="180">
        <v>4806.6729999999998</v>
      </c>
      <c r="W98" s="170">
        <f t="shared" si="13"/>
        <v>0.29200053933500258</v>
      </c>
      <c r="X98" s="170">
        <f t="shared" si="13"/>
        <v>2.5201042713613946</v>
      </c>
    </row>
    <row r="99" spans="1:24" x14ac:dyDescent="0.2">
      <c r="A99" s="147">
        <v>2009</v>
      </c>
      <c r="B99" s="147">
        <v>2</v>
      </c>
      <c r="C99" s="147" t="str">
        <f t="shared" si="10"/>
        <v>20092</v>
      </c>
      <c r="D99" s="147" t="str">
        <f t="shared" si="16"/>
        <v>Q1</v>
      </c>
      <c r="E99" s="360">
        <f t="shared" si="11"/>
        <v>126804.629</v>
      </c>
      <c r="F99" s="360">
        <f t="shared" si="11"/>
        <v>39351.75300796557</v>
      </c>
      <c r="G99" s="360">
        <f t="shared" si="11"/>
        <v>4310.259</v>
      </c>
      <c r="H99" s="360">
        <f t="shared" si="9"/>
        <v>1699.3340000000001</v>
      </c>
      <c r="L99" s="147">
        <f t="shared" si="14"/>
        <v>2025</v>
      </c>
      <c r="M99" s="170" t="str">
        <f t="shared" si="15"/>
        <v>Q2</v>
      </c>
      <c r="N99" s="170" t="str">
        <f t="shared" si="8"/>
        <v>2025Q2</v>
      </c>
      <c r="O99" s="175">
        <v>179884.057</v>
      </c>
      <c r="P99" s="233">
        <v>1911.173</v>
      </c>
      <c r="Q99" s="233">
        <v>1911.173</v>
      </c>
      <c r="R99" s="180">
        <v>54510.190519624688</v>
      </c>
      <c r="S99" s="180"/>
      <c r="T99" s="235">
        <f t="shared" si="12"/>
        <v>4814.6009999999997</v>
      </c>
      <c r="U99" s="180">
        <v>558.30530320823425</v>
      </c>
      <c r="V99" s="180">
        <v>4814.6009999999997</v>
      </c>
      <c r="W99" s="170">
        <f t="shared" si="13"/>
        <v>0.29212703570437332</v>
      </c>
      <c r="X99" s="170">
        <f t="shared" si="13"/>
        <v>2.5191863844874325</v>
      </c>
    </row>
    <row r="100" spans="1:24" x14ac:dyDescent="0.2">
      <c r="A100" s="152">
        <v>2009</v>
      </c>
      <c r="B100" s="152">
        <v>3</v>
      </c>
      <c r="C100" s="147" t="str">
        <f t="shared" si="10"/>
        <v>20093</v>
      </c>
      <c r="D100" s="147" t="str">
        <f t="shared" si="16"/>
        <v>Q1</v>
      </c>
      <c r="E100" s="360">
        <f t="shared" si="11"/>
        <v>126804.629</v>
      </c>
      <c r="F100" s="360">
        <f t="shared" si="11"/>
        <v>39351.75300796557</v>
      </c>
      <c r="G100" s="360">
        <f t="shared" si="11"/>
        <v>4310.259</v>
      </c>
      <c r="H100" s="360">
        <f t="shared" si="9"/>
        <v>1699.3340000000001</v>
      </c>
      <c r="J100" s="152"/>
      <c r="K100" s="152"/>
      <c r="L100" s="147">
        <f t="shared" si="14"/>
        <v>2025</v>
      </c>
      <c r="M100" s="170" t="str">
        <f t="shared" si="15"/>
        <v>Q3</v>
      </c>
      <c r="N100" s="170" t="str">
        <f t="shared" si="8"/>
        <v>2025Q3</v>
      </c>
      <c r="O100" s="175">
        <v>180786.26300000001</v>
      </c>
      <c r="P100" s="233">
        <v>1914.9459999999999</v>
      </c>
      <c r="Q100" s="233">
        <v>1914.9459999999999</v>
      </c>
      <c r="R100" s="180">
        <v>54815.658019537463</v>
      </c>
      <c r="S100" s="180"/>
      <c r="T100" s="235">
        <f t="shared" si="12"/>
        <v>4822.4949999999999</v>
      </c>
      <c r="U100" s="180">
        <v>559.67020193041674</v>
      </c>
      <c r="V100" s="180">
        <v>4822.4949999999999</v>
      </c>
      <c r="W100" s="170">
        <f t="shared" si="13"/>
        <v>0.29226422151351356</v>
      </c>
      <c r="X100" s="170">
        <f t="shared" si="13"/>
        <v>2.518345164824491</v>
      </c>
    </row>
    <row r="101" spans="1:24" x14ac:dyDescent="0.2">
      <c r="A101" s="147">
        <v>2009</v>
      </c>
      <c r="B101" s="147">
        <v>4</v>
      </c>
      <c r="C101" s="147" t="str">
        <f t="shared" si="10"/>
        <v>20094</v>
      </c>
      <c r="D101" s="147" t="str">
        <f t="shared" si="16"/>
        <v>Q2</v>
      </c>
      <c r="E101" s="360">
        <f t="shared" si="11"/>
        <v>127078.37</v>
      </c>
      <c r="F101" s="360">
        <f t="shared" si="11"/>
        <v>39473.581717535344</v>
      </c>
      <c r="G101" s="360">
        <f t="shared" si="11"/>
        <v>4317.0739999999996</v>
      </c>
      <c r="H101" s="360">
        <f t="shared" si="9"/>
        <v>1701.5239999999999</v>
      </c>
      <c r="L101" s="147">
        <f t="shared" si="14"/>
        <v>2025</v>
      </c>
      <c r="M101" s="170" t="str">
        <f t="shared" si="15"/>
        <v>Q4</v>
      </c>
      <c r="N101" s="170" t="str">
        <f t="shared" si="8"/>
        <v>2025Q4</v>
      </c>
      <c r="O101" s="175">
        <v>181695.31</v>
      </c>
      <c r="P101" s="233">
        <v>1918.75</v>
      </c>
      <c r="Q101" s="233">
        <v>1918.75</v>
      </c>
      <c r="R101" s="180">
        <v>55097.083363484009</v>
      </c>
      <c r="S101" s="180"/>
      <c r="T101" s="235">
        <f t="shared" si="12"/>
        <v>4830.3680000000004</v>
      </c>
      <c r="U101" s="180">
        <v>561.21625254453284</v>
      </c>
      <c r="V101" s="180">
        <v>4830.3680000000004</v>
      </c>
      <c r="W101" s="170">
        <f t="shared" si="13"/>
        <v>0.29249055507206922</v>
      </c>
      <c r="X101" s="170">
        <f t="shared" si="13"/>
        <v>2.5174556351791533</v>
      </c>
    </row>
    <row r="102" spans="1:24" x14ac:dyDescent="0.2">
      <c r="A102" s="147">
        <v>2009</v>
      </c>
      <c r="B102" s="147">
        <v>5</v>
      </c>
      <c r="C102" s="147" t="str">
        <f t="shared" si="10"/>
        <v>20095</v>
      </c>
      <c r="D102" s="147" t="str">
        <f t="shared" si="16"/>
        <v>Q2</v>
      </c>
      <c r="E102" s="360">
        <f t="shared" si="11"/>
        <v>127078.37</v>
      </c>
      <c r="F102" s="360">
        <f t="shared" si="11"/>
        <v>39473.581717535344</v>
      </c>
      <c r="G102" s="360">
        <f t="shared" si="11"/>
        <v>4317.0739999999996</v>
      </c>
      <c r="H102" s="360">
        <f t="shared" si="9"/>
        <v>1701.5239999999999</v>
      </c>
      <c r="L102" s="147">
        <f t="shared" si="14"/>
        <v>2026</v>
      </c>
      <c r="M102" s="170" t="str">
        <f t="shared" si="15"/>
        <v>Q1</v>
      </c>
      <c r="N102" s="170" t="str">
        <f t="shared" si="8"/>
        <v>2026Q1</v>
      </c>
      <c r="O102" s="175">
        <v>183193.88699999999</v>
      </c>
      <c r="P102" s="233">
        <v>1922.499</v>
      </c>
      <c r="Q102" s="233">
        <v>1922.499</v>
      </c>
      <c r="R102" s="180">
        <v>55569.291010852481</v>
      </c>
      <c r="S102" s="180"/>
      <c r="T102" s="235">
        <f t="shared" si="12"/>
        <v>4838.2219999999998</v>
      </c>
      <c r="U102" s="180">
        <v>562.17454112653661</v>
      </c>
      <c r="V102" s="180">
        <v>4838.2219999999998</v>
      </c>
      <c r="W102" s="170">
        <f t="shared" si="13"/>
        <v>0.29241863903520188</v>
      </c>
      <c r="X102" s="170">
        <f t="shared" si="13"/>
        <v>2.5166317381699548</v>
      </c>
    </row>
    <row r="103" spans="1:24" x14ac:dyDescent="0.2">
      <c r="A103" s="147">
        <v>2009</v>
      </c>
      <c r="B103" s="147">
        <v>6</v>
      </c>
      <c r="C103" s="147" t="str">
        <f t="shared" si="10"/>
        <v>20096</v>
      </c>
      <c r="D103" s="147" t="str">
        <f t="shared" si="16"/>
        <v>Q2</v>
      </c>
      <c r="E103" s="360">
        <f t="shared" si="11"/>
        <v>127078.37</v>
      </c>
      <c r="F103" s="360">
        <f t="shared" si="11"/>
        <v>39473.581717535344</v>
      </c>
      <c r="G103" s="360">
        <f t="shared" si="11"/>
        <v>4317.0739999999996</v>
      </c>
      <c r="H103" s="360">
        <f t="shared" si="9"/>
        <v>1701.5239999999999</v>
      </c>
      <c r="L103" s="147">
        <f t="shared" si="14"/>
        <v>2026</v>
      </c>
      <c r="M103" s="170" t="str">
        <f t="shared" si="15"/>
        <v>Q2</v>
      </c>
      <c r="N103" s="170" t="str">
        <f t="shared" si="8"/>
        <v>2026Q2</v>
      </c>
      <c r="O103" s="175">
        <v>184162.48300000001</v>
      </c>
      <c r="P103" s="233">
        <v>1926.31</v>
      </c>
      <c r="Q103" s="233">
        <v>1926.31</v>
      </c>
      <c r="R103" s="180">
        <v>55793.331632268848</v>
      </c>
      <c r="S103" s="180"/>
      <c r="T103" s="235">
        <f t="shared" si="12"/>
        <v>4846.0540000000001</v>
      </c>
      <c r="U103" s="180">
        <v>563.53532508921921</v>
      </c>
      <c r="V103" s="180">
        <v>4846.0540000000001</v>
      </c>
      <c r="W103" s="170">
        <f t="shared" si="13"/>
        <v>0.29254653980367606</v>
      </c>
      <c r="X103" s="170">
        <f t="shared" si="13"/>
        <v>2.5157186537992327</v>
      </c>
    </row>
    <row r="104" spans="1:24" x14ac:dyDescent="0.2">
      <c r="A104" s="147">
        <v>2009</v>
      </c>
      <c r="B104" s="147">
        <v>7</v>
      </c>
      <c r="C104" s="147" t="str">
        <f t="shared" si="10"/>
        <v>20097</v>
      </c>
      <c r="D104" s="147" t="str">
        <f t="shared" si="16"/>
        <v>Q3</v>
      </c>
      <c r="E104" s="360">
        <f t="shared" si="11"/>
        <v>125951.257</v>
      </c>
      <c r="F104" s="360">
        <f t="shared" si="11"/>
        <v>39137.875476073954</v>
      </c>
      <c r="G104" s="360">
        <f t="shared" si="11"/>
        <v>4324.5050000000001</v>
      </c>
      <c r="H104" s="360">
        <f t="shared" si="9"/>
        <v>1707.499</v>
      </c>
      <c r="L104" s="147">
        <f t="shared" si="14"/>
        <v>2026</v>
      </c>
      <c r="M104" s="170" t="str">
        <f t="shared" si="15"/>
        <v>Q3</v>
      </c>
      <c r="N104" s="170" t="str">
        <f t="shared" si="8"/>
        <v>2026Q3</v>
      </c>
      <c r="O104" s="175">
        <v>185034.74600000001</v>
      </c>
      <c r="P104" s="233">
        <v>1930.05</v>
      </c>
      <c r="Q104" s="233">
        <v>1930.05</v>
      </c>
      <c r="R104" s="180">
        <v>56112.35191472694</v>
      </c>
      <c r="S104" s="180"/>
      <c r="T104" s="235">
        <f t="shared" si="12"/>
        <v>4853.84</v>
      </c>
      <c r="U104" s="180">
        <v>565.0105374107394</v>
      </c>
      <c r="V104" s="180">
        <v>4853.84</v>
      </c>
      <c r="W104" s="170">
        <f t="shared" si="13"/>
        <v>0.29274398974676274</v>
      </c>
      <c r="X104" s="170">
        <f t="shared" si="13"/>
        <v>2.5148778529053653</v>
      </c>
    </row>
    <row r="105" spans="1:24" x14ac:dyDescent="0.2">
      <c r="A105" s="147">
        <v>2009</v>
      </c>
      <c r="B105" s="147">
        <v>8</v>
      </c>
      <c r="C105" s="147" t="str">
        <f t="shared" si="10"/>
        <v>20098</v>
      </c>
      <c r="D105" s="147" t="str">
        <f t="shared" si="16"/>
        <v>Q3</v>
      </c>
      <c r="E105" s="360">
        <f t="shared" si="11"/>
        <v>125951.257</v>
      </c>
      <c r="F105" s="360">
        <f t="shared" si="11"/>
        <v>39137.875476073954</v>
      </c>
      <c r="G105" s="360">
        <f t="shared" si="11"/>
        <v>4324.5050000000001</v>
      </c>
      <c r="H105" s="360">
        <f t="shared" si="9"/>
        <v>1707.499</v>
      </c>
      <c r="L105" s="147">
        <f t="shared" si="14"/>
        <v>2026</v>
      </c>
      <c r="M105" s="170" t="str">
        <f t="shared" si="15"/>
        <v>Q4</v>
      </c>
      <c r="N105" s="170" t="str">
        <f t="shared" si="8"/>
        <v>2026Q4</v>
      </c>
      <c r="O105" s="175">
        <v>185915.33600000001</v>
      </c>
      <c r="P105" s="233">
        <v>1933.8019999999999</v>
      </c>
      <c r="Q105" s="233">
        <v>1933.8019999999999</v>
      </c>
      <c r="R105" s="180">
        <v>56458.331396926224</v>
      </c>
      <c r="S105" s="180"/>
      <c r="T105" s="235">
        <f t="shared" si="12"/>
        <v>4861.6040000000003</v>
      </c>
      <c r="U105" s="180">
        <v>566.36817001628992</v>
      </c>
      <c r="V105" s="180">
        <v>4861.6040000000003</v>
      </c>
      <c r="W105" s="170">
        <f t="shared" si="13"/>
        <v>0.29287805577628423</v>
      </c>
      <c r="X105" s="170">
        <f t="shared" si="13"/>
        <v>2.5140133271141516</v>
      </c>
    </row>
    <row r="106" spans="1:24" x14ac:dyDescent="0.2">
      <c r="A106" s="147">
        <v>2009</v>
      </c>
      <c r="B106" s="147">
        <v>9</v>
      </c>
      <c r="C106" s="147" t="str">
        <f t="shared" si="10"/>
        <v>20099</v>
      </c>
      <c r="D106" s="147" t="str">
        <f t="shared" si="16"/>
        <v>Q3</v>
      </c>
      <c r="E106" s="360">
        <f t="shared" si="11"/>
        <v>125951.257</v>
      </c>
      <c r="F106" s="360">
        <f t="shared" si="11"/>
        <v>39137.875476073954</v>
      </c>
      <c r="G106" s="360">
        <f t="shared" si="11"/>
        <v>4324.5050000000001</v>
      </c>
      <c r="H106" s="360">
        <f t="shared" si="9"/>
        <v>1707.499</v>
      </c>
      <c r="L106" s="147">
        <f t="shared" si="14"/>
        <v>2027</v>
      </c>
      <c r="M106" s="170" t="str">
        <f t="shared" si="15"/>
        <v>Q1</v>
      </c>
      <c r="N106" s="170" t="str">
        <f t="shared" si="8"/>
        <v>2027Q1</v>
      </c>
      <c r="O106" s="175">
        <v>187484.08600000001</v>
      </c>
      <c r="P106" s="233">
        <v>1937.5239999999999</v>
      </c>
      <c r="Q106" s="233">
        <v>1937.5239999999999</v>
      </c>
      <c r="R106" s="180">
        <v>56964.713161103646</v>
      </c>
      <c r="S106" s="180"/>
      <c r="T106" s="235">
        <f t="shared" si="12"/>
        <v>4869.3490000000002</v>
      </c>
      <c r="U106" s="180">
        <v>567.66960221909108</v>
      </c>
      <c r="V106" s="180">
        <v>4869.3490000000002</v>
      </c>
      <c r="W106" s="170">
        <f t="shared" si="13"/>
        <v>0.2929871331756877</v>
      </c>
      <c r="X106" s="170">
        <f t="shared" si="13"/>
        <v>2.5131812560773441</v>
      </c>
    </row>
    <row r="107" spans="1:24" x14ac:dyDescent="0.2">
      <c r="A107" s="147">
        <v>2009</v>
      </c>
      <c r="B107" s="147">
        <v>10</v>
      </c>
      <c r="C107" s="147" t="str">
        <f t="shared" si="10"/>
        <v>200910</v>
      </c>
      <c r="D107" s="147" t="str">
        <f t="shared" si="16"/>
        <v>Q4</v>
      </c>
      <c r="E107" s="360">
        <f t="shared" si="11"/>
        <v>125669.07</v>
      </c>
      <c r="F107" s="360">
        <f t="shared" si="11"/>
        <v>39094.688351422847</v>
      </c>
      <c r="G107" s="360">
        <f t="shared" si="11"/>
        <v>4331.9359999999997</v>
      </c>
      <c r="H107" s="360">
        <f t="shared" si="9"/>
        <v>1713.644</v>
      </c>
      <c r="L107" s="147">
        <f t="shared" si="14"/>
        <v>2027</v>
      </c>
      <c r="M107" s="170" t="str">
        <f t="shared" si="15"/>
        <v>Q2</v>
      </c>
      <c r="N107" s="170" t="str">
        <f t="shared" si="8"/>
        <v>2027Q2</v>
      </c>
      <c r="O107" s="175">
        <v>188450.351</v>
      </c>
      <c r="P107" s="233">
        <v>1941.306</v>
      </c>
      <c r="Q107" s="233">
        <v>1941.306</v>
      </c>
      <c r="R107" s="180">
        <v>57254.533685953822</v>
      </c>
      <c r="S107" s="180"/>
      <c r="T107" s="235">
        <f t="shared" si="12"/>
        <v>4877.0720000000001</v>
      </c>
      <c r="U107" s="180">
        <v>568.92392273691587</v>
      </c>
      <c r="V107" s="180">
        <v>4877.0720000000001</v>
      </c>
      <c r="W107" s="170">
        <f t="shared" si="13"/>
        <v>0.2930624655448012</v>
      </c>
      <c r="X107" s="170">
        <f t="shared" si="13"/>
        <v>2.512263393818388</v>
      </c>
    </row>
    <row r="108" spans="1:24" x14ac:dyDescent="0.2">
      <c r="A108" s="147">
        <v>2009</v>
      </c>
      <c r="B108" s="147">
        <v>11</v>
      </c>
      <c r="C108" s="147" t="str">
        <f t="shared" si="10"/>
        <v>200911</v>
      </c>
      <c r="D108" s="147" t="str">
        <f t="shared" si="16"/>
        <v>Q4</v>
      </c>
      <c r="E108" s="360">
        <f t="shared" si="11"/>
        <v>125669.07</v>
      </c>
      <c r="F108" s="360">
        <f t="shared" si="11"/>
        <v>39094.688351422847</v>
      </c>
      <c r="G108" s="360">
        <f t="shared" si="11"/>
        <v>4331.9359999999997</v>
      </c>
      <c r="H108" s="360">
        <f t="shared" si="9"/>
        <v>1713.644</v>
      </c>
      <c r="L108" s="147">
        <f t="shared" si="14"/>
        <v>2027</v>
      </c>
      <c r="M108" s="170" t="str">
        <f t="shared" si="15"/>
        <v>Q3</v>
      </c>
      <c r="N108" s="170" t="str">
        <f t="shared" si="8"/>
        <v>2027Q3</v>
      </c>
      <c r="O108" s="175">
        <v>189344.48499999999</v>
      </c>
      <c r="P108" s="233">
        <v>1947.4949999999999</v>
      </c>
      <c r="Q108" s="233">
        <v>1947.4949999999999</v>
      </c>
      <c r="R108" s="180">
        <v>57588.191423894845</v>
      </c>
      <c r="S108" s="180"/>
      <c r="T108" s="235">
        <f t="shared" si="12"/>
        <v>4884.7619999999997</v>
      </c>
      <c r="U108" s="180">
        <v>570.26405454610756</v>
      </c>
      <c r="V108" s="180">
        <v>4884.7619999999997</v>
      </c>
      <c r="W108" s="170">
        <f t="shared" si="13"/>
        <v>0.29281926502820682</v>
      </c>
      <c r="X108" s="170">
        <f t="shared" si="13"/>
        <v>2.5082282624602374</v>
      </c>
    </row>
    <row r="109" spans="1:24" x14ac:dyDescent="0.2">
      <c r="A109" s="147">
        <v>2009</v>
      </c>
      <c r="B109" s="147">
        <v>12</v>
      </c>
      <c r="C109" s="147" t="str">
        <f t="shared" si="10"/>
        <v>200912</v>
      </c>
      <c r="D109" s="147" t="str">
        <f t="shared" si="16"/>
        <v>Q4</v>
      </c>
      <c r="E109" s="360">
        <f t="shared" si="11"/>
        <v>125669.07</v>
      </c>
      <c r="F109" s="360">
        <f t="shared" si="11"/>
        <v>39094.688351422847</v>
      </c>
      <c r="G109" s="360">
        <f t="shared" si="11"/>
        <v>4331.9359999999997</v>
      </c>
      <c r="H109" s="360">
        <f t="shared" si="9"/>
        <v>1713.644</v>
      </c>
      <c r="L109" s="147">
        <f t="shared" si="14"/>
        <v>2027</v>
      </c>
      <c r="M109" s="170" t="str">
        <f t="shared" si="15"/>
        <v>Q4</v>
      </c>
      <c r="N109" s="170" t="str">
        <f t="shared" si="8"/>
        <v>2027Q4</v>
      </c>
      <c r="O109" s="175">
        <v>190254.26500000001</v>
      </c>
      <c r="P109" s="233">
        <v>1950.02</v>
      </c>
      <c r="Q109" s="233">
        <v>1950.02</v>
      </c>
      <c r="R109" s="180">
        <v>57876.059941927051</v>
      </c>
      <c r="S109" s="180"/>
      <c r="T109" s="235">
        <f t="shared" si="12"/>
        <v>4892.43</v>
      </c>
      <c r="U109" s="180">
        <v>571.67727103748598</v>
      </c>
      <c r="V109" s="180">
        <v>4892.43</v>
      </c>
      <c r="W109" s="170">
        <f t="shared" si="13"/>
        <v>0.2931648244825622</v>
      </c>
      <c r="X109" s="170">
        <f t="shared" si="13"/>
        <v>2.5089127291002145</v>
      </c>
    </row>
    <row r="110" spans="1:24" x14ac:dyDescent="0.2">
      <c r="A110" s="147">
        <v>2010</v>
      </c>
      <c r="B110" s="147">
        <v>1</v>
      </c>
      <c r="C110" s="147" t="str">
        <f t="shared" si="10"/>
        <v>20101</v>
      </c>
      <c r="D110" s="147" t="str">
        <f t="shared" si="16"/>
        <v>Q1</v>
      </c>
      <c r="E110" s="360">
        <f t="shared" si="11"/>
        <v>124919.205</v>
      </c>
      <c r="F110" s="360">
        <f t="shared" si="11"/>
        <v>38849.752908087466</v>
      </c>
      <c r="G110" s="360">
        <f t="shared" si="11"/>
        <v>4339.3670000000002</v>
      </c>
      <c r="H110" s="360">
        <f t="shared" si="9"/>
        <v>1719.9649999999999</v>
      </c>
      <c r="L110" s="147">
        <f t="shared" si="14"/>
        <v>2028</v>
      </c>
      <c r="M110" s="170" t="str">
        <f t="shared" si="15"/>
        <v>Q1</v>
      </c>
      <c r="N110" s="170" t="str">
        <f t="shared" si="8"/>
        <v>2028Q1</v>
      </c>
      <c r="O110" s="175">
        <v>191884.976</v>
      </c>
      <c r="P110" s="233">
        <v>1952.6130000000001</v>
      </c>
      <c r="Q110" s="233">
        <v>1952.6130000000001</v>
      </c>
      <c r="R110" s="180">
        <v>58418.654423987813</v>
      </c>
      <c r="S110" s="180"/>
      <c r="T110" s="235">
        <f t="shared" si="12"/>
        <v>4900.0990000000002</v>
      </c>
      <c r="U110" s="180">
        <v>572.9886755770907</v>
      </c>
      <c r="V110" s="180">
        <v>4900.0990000000002</v>
      </c>
      <c r="W110" s="170">
        <f t="shared" si="13"/>
        <v>0.29344712729920913</v>
      </c>
      <c r="X110" s="170">
        <f t="shared" si="13"/>
        <v>2.5095085406068689</v>
      </c>
    </row>
    <row r="111" spans="1:24" x14ac:dyDescent="0.2">
      <c r="A111" s="147">
        <v>2010</v>
      </c>
      <c r="B111" s="147">
        <v>2</v>
      </c>
      <c r="C111" s="147" t="str">
        <f t="shared" si="10"/>
        <v>20102</v>
      </c>
      <c r="D111" s="147" t="str">
        <f t="shared" si="16"/>
        <v>Q1</v>
      </c>
      <c r="E111" s="360">
        <f t="shared" si="11"/>
        <v>124919.205</v>
      </c>
      <c r="F111" s="360">
        <f t="shared" si="11"/>
        <v>38849.752908087466</v>
      </c>
      <c r="G111" s="360">
        <f t="shared" si="11"/>
        <v>4339.3670000000002</v>
      </c>
      <c r="H111" s="360">
        <f t="shared" si="9"/>
        <v>1719.9649999999999</v>
      </c>
      <c r="L111" s="147">
        <f t="shared" si="14"/>
        <v>2028</v>
      </c>
      <c r="M111" s="170" t="str">
        <f t="shared" si="15"/>
        <v>Q2</v>
      </c>
      <c r="N111" s="170" t="str">
        <f t="shared" si="8"/>
        <v>2028Q2</v>
      </c>
      <c r="O111" s="175">
        <v>192867.91899999999</v>
      </c>
      <c r="P111" s="233">
        <v>1955.2370000000001</v>
      </c>
      <c r="Q111" s="233">
        <v>1955.2370000000001</v>
      </c>
      <c r="R111" s="180">
        <v>58713.8376022312</v>
      </c>
      <c r="S111" s="180"/>
      <c r="T111" s="235">
        <f t="shared" si="12"/>
        <v>4907.7340000000004</v>
      </c>
      <c r="U111" s="180">
        <v>574.28786535250674</v>
      </c>
      <c r="V111" s="180">
        <v>4907.7340000000004</v>
      </c>
      <c r="W111" s="170">
        <f t="shared" si="13"/>
        <v>0.29371777710451813</v>
      </c>
      <c r="X111" s="170">
        <f t="shared" si="13"/>
        <v>2.5100455852666457</v>
      </c>
    </row>
    <row r="112" spans="1:24" x14ac:dyDescent="0.2">
      <c r="A112" s="147">
        <v>2010</v>
      </c>
      <c r="B112" s="147">
        <v>3</v>
      </c>
      <c r="C112" s="147" t="str">
        <f t="shared" si="10"/>
        <v>20103</v>
      </c>
      <c r="D112" s="147" t="str">
        <f t="shared" si="16"/>
        <v>Q1</v>
      </c>
      <c r="E112" s="360">
        <f t="shared" si="11"/>
        <v>124919.205</v>
      </c>
      <c r="F112" s="360">
        <f t="shared" si="11"/>
        <v>38849.752908087466</v>
      </c>
      <c r="G112" s="360">
        <f t="shared" si="11"/>
        <v>4339.3670000000002</v>
      </c>
      <c r="H112" s="360">
        <f t="shared" si="9"/>
        <v>1719.9649999999999</v>
      </c>
      <c r="L112" s="147">
        <f t="shared" si="14"/>
        <v>2028</v>
      </c>
      <c r="M112" s="170" t="str">
        <f t="shared" si="15"/>
        <v>Q3</v>
      </c>
      <c r="N112" s="170" t="str">
        <f t="shared" si="8"/>
        <v>2028Q3</v>
      </c>
      <c r="O112" s="175">
        <v>193808.63</v>
      </c>
      <c r="P112" s="233">
        <v>1957.7329999999999</v>
      </c>
      <c r="Q112" s="233">
        <v>1957.7329999999999</v>
      </c>
      <c r="R112" s="180">
        <v>59006.505698010005</v>
      </c>
      <c r="S112" s="180"/>
      <c r="T112" s="235">
        <f t="shared" si="12"/>
        <v>4915.3220000000001</v>
      </c>
      <c r="U112" s="180">
        <v>575.58621584333025</v>
      </c>
      <c r="V112" s="180">
        <v>4915.3220000000001</v>
      </c>
      <c r="W112" s="170">
        <f t="shared" si="13"/>
        <v>0.29400649416612495</v>
      </c>
      <c r="X112" s="170">
        <f t="shared" si="13"/>
        <v>2.5107213292108783</v>
      </c>
    </row>
    <row r="113" spans="1:24" x14ac:dyDescent="0.2">
      <c r="A113" s="147">
        <v>2010</v>
      </c>
      <c r="B113" s="147">
        <v>4</v>
      </c>
      <c r="C113" s="147" t="str">
        <f t="shared" si="10"/>
        <v>20104</v>
      </c>
      <c r="D113" s="147" t="str">
        <f t="shared" si="16"/>
        <v>Q2</v>
      </c>
      <c r="E113" s="360">
        <f t="shared" si="11"/>
        <v>126480.192</v>
      </c>
      <c r="F113" s="360">
        <f t="shared" si="11"/>
        <v>39352.623912366878</v>
      </c>
      <c r="G113" s="360">
        <f t="shared" si="11"/>
        <v>4347.223</v>
      </c>
      <c r="H113" s="360">
        <f t="shared" si="9"/>
        <v>1722.9169999999999</v>
      </c>
      <c r="L113" s="147">
        <f t="shared" si="14"/>
        <v>2028</v>
      </c>
      <c r="M113" s="170" t="str">
        <f t="shared" si="15"/>
        <v>Q4</v>
      </c>
      <c r="N113" s="170" t="str">
        <f t="shared" si="8"/>
        <v>2028Q4</v>
      </c>
      <c r="O113" s="175">
        <v>194786.40400000001</v>
      </c>
      <c r="P113" s="233">
        <v>1961.22</v>
      </c>
      <c r="Q113" s="233">
        <v>1961.22</v>
      </c>
      <c r="R113" s="180">
        <v>59266.994694104913</v>
      </c>
      <c r="S113" s="180"/>
      <c r="T113" s="235">
        <f t="shared" si="12"/>
        <v>4922.8760000000002</v>
      </c>
      <c r="U113" s="180">
        <v>576.89448991787128</v>
      </c>
      <c r="V113" s="180">
        <v>4922.8760000000002</v>
      </c>
      <c r="W113" s="170">
        <f t="shared" si="13"/>
        <v>0.29415082954378974</v>
      </c>
      <c r="X113" s="170">
        <f t="shared" si="13"/>
        <v>2.5101090137771389</v>
      </c>
    </row>
    <row r="114" spans="1:24" x14ac:dyDescent="0.2">
      <c r="A114" s="147">
        <v>2010</v>
      </c>
      <c r="B114" s="147">
        <v>5</v>
      </c>
      <c r="C114" s="147" t="str">
        <f t="shared" si="10"/>
        <v>20105</v>
      </c>
      <c r="D114" s="147" t="str">
        <f t="shared" si="16"/>
        <v>Q2</v>
      </c>
      <c r="E114" s="360">
        <f t="shared" si="11"/>
        <v>126480.192</v>
      </c>
      <c r="F114" s="360">
        <f t="shared" si="11"/>
        <v>39352.623912366878</v>
      </c>
      <c r="G114" s="360">
        <f t="shared" si="11"/>
        <v>4347.223</v>
      </c>
      <c r="H114" s="360">
        <f t="shared" si="9"/>
        <v>1722.9169999999999</v>
      </c>
      <c r="L114" s="147">
        <f t="shared" si="14"/>
        <v>2029</v>
      </c>
      <c r="M114" s="170" t="str">
        <f t="shared" si="15"/>
        <v>Q1</v>
      </c>
      <c r="N114" s="170" t="str">
        <f t="shared" si="8"/>
        <v>2029Q1</v>
      </c>
      <c r="O114" s="175">
        <v>196497.82699999999</v>
      </c>
      <c r="P114" s="233">
        <v>1964.691</v>
      </c>
      <c r="Q114" s="233">
        <v>1964.691</v>
      </c>
      <c r="R114" s="180">
        <v>59877.087698330462</v>
      </c>
      <c r="S114" s="180"/>
      <c r="T114" s="235">
        <f t="shared" si="12"/>
        <v>4930.3969999999999</v>
      </c>
      <c r="U114" s="180">
        <v>578.28422555075372</v>
      </c>
      <c r="V114" s="180">
        <v>4930.3969999999999</v>
      </c>
      <c r="W114" s="170">
        <f t="shared" si="13"/>
        <v>0.29433851203611849</v>
      </c>
      <c r="X114" s="170">
        <f t="shared" si="13"/>
        <v>2.5095025120998669</v>
      </c>
    </row>
    <row r="115" spans="1:24" x14ac:dyDescent="0.2">
      <c r="A115" s="147">
        <v>2010</v>
      </c>
      <c r="B115" s="147">
        <v>6</v>
      </c>
      <c r="C115" s="147" t="str">
        <f t="shared" si="10"/>
        <v>20106</v>
      </c>
      <c r="D115" s="147" t="str">
        <f t="shared" si="16"/>
        <v>Q2</v>
      </c>
      <c r="E115" s="360">
        <f t="shared" si="11"/>
        <v>126480.192</v>
      </c>
      <c r="F115" s="360">
        <f t="shared" si="11"/>
        <v>39352.623912366878</v>
      </c>
      <c r="G115" s="360">
        <f t="shared" si="11"/>
        <v>4347.223</v>
      </c>
      <c r="H115" s="360">
        <f t="shared" si="9"/>
        <v>1722.9169999999999</v>
      </c>
      <c r="L115" s="147">
        <f t="shared" si="14"/>
        <v>2029</v>
      </c>
      <c r="M115" s="170" t="str">
        <f t="shared" si="15"/>
        <v>Q2</v>
      </c>
      <c r="N115" s="170" t="str">
        <f t="shared" ref="N115:N173" si="17">L115&amp;M115</f>
        <v>2029Q2</v>
      </c>
      <c r="O115" s="175">
        <v>197549.33600000001</v>
      </c>
      <c r="P115" s="233">
        <v>1968.1590000000001</v>
      </c>
      <c r="Q115" s="233">
        <v>1968.1590000000001</v>
      </c>
      <c r="R115" s="180">
        <v>60277.737576157888</v>
      </c>
      <c r="S115" s="180"/>
      <c r="T115" s="235">
        <f t="shared" si="12"/>
        <v>4937.8850000000002</v>
      </c>
      <c r="U115" s="180">
        <v>579.57909725160312</v>
      </c>
      <c r="V115" s="180">
        <v>4937.8850000000002</v>
      </c>
      <c r="W115" s="170">
        <f t="shared" si="13"/>
        <v>0.29447778215662612</v>
      </c>
      <c r="X115" s="170">
        <f t="shared" si="13"/>
        <v>2.5088852069370411</v>
      </c>
    </row>
    <row r="116" spans="1:24" x14ac:dyDescent="0.2">
      <c r="A116" s="147">
        <v>2010</v>
      </c>
      <c r="B116" s="147">
        <v>7</v>
      </c>
      <c r="C116" s="147" t="str">
        <f t="shared" si="10"/>
        <v>20107</v>
      </c>
      <c r="D116" s="147" t="str">
        <f t="shared" si="16"/>
        <v>Q3</v>
      </c>
      <c r="E116" s="360">
        <f t="shared" si="11"/>
        <v>127650.806</v>
      </c>
      <c r="F116" s="360">
        <f t="shared" si="11"/>
        <v>39753.15333007311</v>
      </c>
      <c r="G116" s="360">
        <f t="shared" si="11"/>
        <v>4352.7560000000003</v>
      </c>
      <c r="H116" s="360">
        <f t="shared" si="9"/>
        <v>1724.191</v>
      </c>
      <c r="L116" s="147">
        <f t="shared" si="14"/>
        <v>2029</v>
      </c>
      <c r="M116" s="170" t="str">
        <f t="shared" si="15"/>
        <v>Q3</v>
      </c>
      <c r="N116" s="170" t="str">
        <f t="shared" si="17"/>
        <v>2029Q3</v>
      </c>
      <c r="O116" s="175">
        <v>198516.981</v>
      </c>
      <c r="P116" s="233">
        <v>1971.586</v>
      </c>
      <c r="Q116" s="233">
        <v>1971.586</v>
      </c>
      <c r="R116" s="180">
        <v>60511.781745148182</v>
      </c>
      <c r="S116" s="180"/>
      <c r="T116" s="235">
        <f t="shared" si="12"/>
        <v>4945.34</v>
      </c>
      <c r="U116" s="180">
        <v>580.87075309303168</v>
      </c>
      <c r="V116" s="180">
        <v>4945.34</v>
      </c>
      <c r="W116" s="170">
        <f t="shared" si="13"/>
        <v>0.2946210579163332</v>
      </c>
      <c r="X116" s="170">
        <f t="shared" si="13"/>
        <v>2.5083054961842901</v>
      </c>
    </row>
    <row r="117" spans="1:24" x14ac:dyDescent="0.2">
      <c r="A117" s="147">
        <v>2010</v>
      </c>
      <c r="B117" s="147">
        <v>8</v>
      </c>
      <c r="C117" s="147" t="str">
        <f t="shared" si="10"/>
        <v>20108</v>
      </c>
      <c r="D117" s="147" t="str">
        <f t="shared" si="16"/>
        <v>Q3</v>
      </c>
      <c r="E117" s="360">
        <f t="shared" si="11"/>
        <v>127650.806</v>
      </c>
      <c r="F117" s="360">
        <f t="shared" si="11"/>
        <v>39753.15333007311</v>
      </c>
      <c r="G117" s="360">
        <f t="shared" si="11"/>
        <v>4352.7560000000003</v>
      </c>
      <c r="H117" s="360">
        <f t="shared" si="9"/>
        <v>1724.191</v>
      </c>
      <c r="L117" s="147">
        <f t="shared" si="14"/>
        <v>2029</v>
      </c>
      <c r="M117" s="170" t="str">
        <f t="shared" si="15"/>
        <v>Q4</v>
      </c>
      <c r="N117" s="170" t="str">
        <f t="shared" si="17"/>
        <v>2029Q4</v>
      </c>
      <c r="O117" s="175">
        <v>199480.13399999999</v>
      </c>
      <c r="P117" s="233">
        <v>1975.02</v>
      </c>
      <c r="Q117" s="233">
        <v>1975.02</v>
      </c>
      <c r="R117" s="180">
        <v>60805.872480766535</v>
      </c>
      <c r="S117" s="180"/>
      <c r="T117" s="235">
        <f t="shared" si="12"/>
        <v>4952.7489999999998</v>
      </c>
      <c r="U117" s="180">
        <v>582.16021898732583</v>
      </c>
      <c r="V117" s="180">
        <v>4952.7489999999998</v>
      </c>
      <c r="W117" s="170">
        <f t="shared" si="13"/>
        <v>0.29476168291324939</v>
      </c>
      <c r="X117" s="170">
        <f t="shared" si="13"/>
        <v>2.5076956182722201</v>
      </c>
    </row>
    <row r="118" spans="1:24" x14ac:dyDescent="0.2">
      <c r="A118" s="147">
        <v>2010</v>
      </c>
      <c r="B118" s="147">
        <v>9</v>
      </c>
      <c r="C118" s="147" t="str">
        <f t="shared" si="10"/>
        <v>20109</v>
      </c>
      <c r="D118" s="147" t="str">
        <f t="shared" si="16"/>
        <v>Q3</v>
      </c>
      <c r="E118" s="360">
        <f t="shared" si="11"/>
        <v>127650.806</v>
      </c>
      <c r="F118" s="360">
        <f t="shared" si="11"/>
        <v>39753.15333007311</v>
      </c>
      <c r="G118" s="360">
        <f t="shared" si="11"/>
        <v>4352.7560000000003</v>
      </c>
      <c r="H118" s="360">
        <f t="shared" si="9"/>
        <v>1724.191</v>
      </c>
      <c r="L118" s="147">
        <f t="shared" si="14"/>
        <v>2030</v>
      </c>
      <c r="M118" s="170" t="str">
        <f t="shared" si="15"/>
        <v>Q1</v>
      </c>
      <c r="N118" s="170" t="str">
        <f t="shared" si="17"/>
        <v>2030Q1</v>
      </c>
      <c r="O118" s="175">
        <v>201210.11900000001</v>
      </c>
      <c r="P118" s="233">
        <v>1978.5</v>
      </c>
      <c r="Q118" s="233">
        <v>1978.5</v>
      </c>
      <c r="R118" s="180">
        <v>61466.666126746961</v>
      </c>
      <c r="S118" s="180"/>
      <c r="T118" s="235">
        <f t="shared" si="12"/>
        <v>4960.1260000000002</v>
      </c>
      <c r="U118" s="180">
        <v>583.44801513823779</v>
      </c>
      <c r="V118" s="180">
        <v>4960.1260000000002</v>
      </c>
      <c r="W118" s="170">
        <f t="shared" si="13"/>
        <v>0.29489411935215454</v>
      </c>
      <c r="X118" s="170">
        <f t="shared" si="13"/>
        <v>2.5070133939853427</v>
      </c>
    </row>
    <row r="119" spans="1:24" x14ac:dyDescent="0.2">
      <c r="A119" s="147">
        <v>2010</v>
      </c>
      <c r="B119" s="147">
        <v>10</v>
      </c>
      <c r="C119" s="147" t="str">
        <f t="shared" si="10"/>
        <v>201010</v>
      </c>
      <c r="D119" s="147" t="str">
        <f t="shared" si="16"/>
        <v>Q4</v>
      </c>
      <c r="E119" s="360">
        <f t="shared" si="11"/>
        <v>127503.515</v>
      </c>
      <c r="F119" s="360">
        <f t="shared" si="11"/>
        <v>39757.383833693879</v>
      </c>
      <c r="G119" s="360">
        <f t="shared" si="11"/>
        <v>4358.29</v>
      </c>
      <c r="H119" s="360">
        <f t="shared" si="9"/>
        <v>1725.0830000000001</v>
      </c>
      <c r="L119" s="147">
        <f t="shared" si="14"/>
        <v>2030</v>
      </c>
      <c r="M119" s="170" t="str">
        <f t="shared" si="15"/>
        <v>Q2</v>
      </c>
      <c r="N119" s="170" t="str">
        <f t="shared" si="17"/>
        <v>2030Q2</v>
      </c>
      <c r="O119" s="175">
        <v>202357.96400000001</v>
      </c>
      <c r="P119" s="233">
        <v>1982.0429999999999</v>
      </c>
      <c r="Q119" s="233">
        <v>1982.0429999999999</v>
      </c>
      <c r="R119" s="180">
        <v>61814.830377760452</v>
      </c>
      <c r="S119" s="180"/>
      <c r="T119" s="235">
        <f t="shared" si="12"/>
        <v>4967.4709999999995</v>
      </c>
      <c r="U119" s="180">
        <v>584.8193205792528</v>
      </c>
      <c r="V119" s="180">
        <v>4967.4709999999995</v>
      </c>
      <c r="W119" s="170">
        <f t="shared" si="13"/>
        <v>0.29505884613969163</v>
      </c>
      <c r="X119" s="170">
        <f t="shared" si="13"/>
        <v>2.5062377556894577</v>
      </c>
    </row>
    <row r="120" spans="1:24" x14ac:dyDescent="0.2">
      <c r="A120" s="147">
        <v>2010</v>
      </c>
      <c r="B120" s="147">
        <v>11</v>
      </c>
      <c r="C120" s="147" t="str">
        <f t="shared" si="10"/>
        <v>201011</v>
      </c>
      <c r="D120" s="147" t="str">
        <f t="shared" si="16"/>
        <v>Q4</v>
      </c>
      <c r="E120" s="360">
        <f t="shared" si="11"/>
        <v>127503.515</v>
      </c>
      <c r="F120" s="360">
        <f t="shared" si="11"/>
        <v>39757.383833693879</v>
      </c>
      <c r="G120" s="360">
        <f t="shared" si="11"/>
        <v>4358.29</v>
      </c>
      <c r="H120" s="360">
        <f t="shared" si="9"/>
        <v>1725.0830000000001</v>
      </c>
      <c r="L120" s="147">
        <f t="shared" si="14"/>
        <v>2030</v>
      </c>
      <c r="M120" s="170" t="str">
        <f t="shared" si="15"/>
        <v>Q3</v>
      </c>
      <c r="N120" s="170" t="str">
        <f t="shared" si="17"/>
        <v>2030Q3</v>
      </c>
      <c r="O120" s="175">
        <v>203321.337</v>
      </c>
      <c r="P120" s="233">
        <v>1985.5609999999999</v>
      </c>
      <c r="Q120" s="233">
        <v>1985.5609999999999</v>
      </c>
      <c r="R120" s="180">
        <v>62118.659604022723</v>
      </c>
      <c r="S120" s="180"/>
      <c r="T120" s="235">
        <f t="shared" si="12"/>
        <v>4974.7839999999997</v>
      </c>
      <c r="U120" s="180">
        <v>586.10120198955076</v>
      </c>
      <c r="V120" s="180">
        <v>4974.7839999999997</v>
      </c>
      <c r="W120" s="170">
        <f t="shared" si="13"/>
        <v>0.29518166502542648</v>
      </c>
      <c r="X120" s="170">
        <f t="shared" si="13"/>
        <v>2.5054803151351179</v>
      </c>
    </row>
    <row r="121" spans="1:24" x14ac:dyDescent="0.2">
      <c r="A121" s="147">
        <v>2010</v>
      </c>
      <c r="B121" s="147">
        <v>12</v>
      </c>
      <c r="C121" s="147" t="str">
        <f t="shared" si="10"/>
        <v>201012</v>
      </c>
      <c r="D121" s="147" t="str">
        <f t="shared" si="16"/>
        <v>Q4</v>
      </c>
      <c r="E121" s="360">
        <f t="shared" si="11"/>
        <v>127503.515</v>
      </c>
      <c r="F121" s="360">
        <f t="shared" si="11"/>
        <v>39757.383833693879</v>
      </c>
      <c r="G121" s="360">
        <f t="shared" si="11"/>
        <v>4358.29</v>
      </c>
      <c r="H121" s="360">
        <f t="shared" si="9"/>
        <v>1725.0830000000001</v>
      </c>
      <c r="L121" s="147">
        <f t="shared" si="14"/>
        <v>2030</v>
      </c>
      <c r="M121" s="170" t="str">
        <f t="shared" si="15"/>
        <v>Q4</v>
      </c>
      <c r="N121" s="170" t="str">
        <f t="shared" si="17"/>
        <v>2030Q4</v>
      </c>
      <c r="O121" s="175">
        <v>204205.139</v>
      </c>
      <c r="P121" s="233">
        <v>1989.038</v>
      </c>
      <c r="Q121" s="233">
        <v>1989.038</v>
      </c>
      <c r="R121" s="180">
        <v>62422.456993532964</v>
      </c>
      <c r="S121" s="180"/>
      <c r="T121" s="235">
        <f t="shared" si="12"/>
        <v>4982.0529999999999</v>
      </c>
      <c r="U121" s="180">
        <v>587.37919894773302</v>
      </c>
      <c r="V121" s="180">
        <v>4982.0529999999999</v>
      </c>
      <c r="W121" s="170">
        <f t="shared" si="13"/>
        <v>0.29530818362833339</v>
      </c>
      <c r="X121" s="170">
        <f t="shared" si="13"/>
        <v>2.5047550624975492</v>
      </c>
    </row>
    <row r="122" spans="1:24" x14ac:dyDescent="0.2">
      <c r="A122" s="147">
        <v>2011</v>
      </c>
      <c r="B122" s="147">
        <v>1</v>
      </c>
      <c r="C122" s="147" t="str">
        <f t="shared" si="10"/>
        <v>20111</v>
      </c>
      <c r="D122" s="147" t="str">
        <f t="shared" si="16"/>
        <v>Q1</v>
      </c>
      <c r="E122" s="360">
        <f t="shared" si="11"/>
        <v>128893.008</v>
      </c>
      <c r="F122" s="360">
        <f t="shared" si="11"/>
        <v>39737.516530036453</v>
      </c>
      <c r="G122" s="360">
        <f t="shared" si="11"/>
        <v>4363.8230000000003</v>
      </c>
      <c r="H122" s="360">
        <f t="shared" si="9"/>
        <v>1728.1579999999999</v>
      </c>
      <c r="J122" s="170"/>
      <c r="K122" s="170"/>
      <c r="L122" s="147">
        <f t="shared" si="14"/>
        <v>2031</v>
      </c>
      <c r="M122" s="170" t="str">
        <f t="shared" si="15"/>
        <v>Q1</v>
      </c>
      <c r="N122" s="170" t="str">
        <f t="shared" si="17"/>
        <v>2031Q1</v>
      </c>
      <c r="O122" s="175">
        <v>205835.74900000001</v>
      </c>
      <c r="P122" s="233">
        <v>1992.472</v>
      </c>
      <c r="Q122" s="233">
        <v>1992.472</v>
      </c>
      <c r="R122" s="180">
        <v>63011.686044511735</v>
      </c>
      <c r="S122" s="180"/>
      <c r="T122" s="235">
        <f t="shared" si="12"/>
        <v>4989.29</v>
      </c>
      <c r="U122" s="180">
        <v>588.65516986065256</v>
      </c>
      <c r="V122" s="180">
        <v>4989.29</v>
      </c>
      <c r="W122" s="170">
        <f t="shared" si="13"/>
        <v>0.29543961965872173</v>
      </c>
      <c r="X122" s="170">
        <f t="shared" si="13"/>
        <v>2.5040703206870663</v>
      </c>
    </row>
    <row r="123" spans="1:24" x14ac:dyDescent="0.2">
      <c r="A123" s="147">
        <v>2011</v>
      </c>
      <c r="B123" s="147">
        <v>2</v>
      </c>
      <c r="C123" s="147" t="str">
        <f t="shared" si="10"/>
        <v>20112</v>
      </c>
      <c r="D123" s="147" t="str">
        <f t="shared" si="16"/>
        <v>Q1</v>
      </c>
      <c r="E123" s="360">
        <f t="shared" si="11"/>
        <v>128893.008</v>
      </c>
      <c r="F123" s="360">
        <f t="shared" si="11"/>
        <v>39737.516530036453</v>
      </c>
      <c r="G123" s="360">
        <f t="shared" si="11"/>
        <v>4363.8230000000003</v>
      </c>
      <c r="H123" s="360">
        <f t="shared" si="9"/>
        <v>1728.1579999999999</v>
      </c>
      <c r="J123" s="170"/>
      <c r="K123" s="170"/>
      <c r="L123" s="147">
        <f t="shared" si="14"/>
        <v>2031</v>
      </c>
      <c r="M123" s="170" t="str">
        <f t="shared" si="15"/>
        <v>Q2</v>
      </c>
      <c r="N123" s="170" t="str">
        <f t="shared" si="17"/>
        <v>2031Q2</v>
      </c>
      <c r="O123" s="175">
        <v>206821.26699999999</v>
      </c>
      <c r="P123" s="233">
        <v>1995.8920000000001</v>
      </c>
      <c r="Q123" s="233">
        <v>1995.8920000000001</v>
      </c>
      <c r="R123" s="180">
        <v>63354.072173494787</v>
      </c>
      <c r="S123" s="180"/>
      <c r="T123" s="235">
        <f t="shared" si="12"/>
        <v>4996.4970000000003</v>
      </c>
      <c r="U123" s="180">
        <v>589.92872577657442</v>
      </c>
      <c r="V123" s="180">
        <v>4996.4970000000003</v>
      </c>
      <c r="W123" s="170">
        <f t="shared" si="13"/>
        <v>0.29557146668084966</v>
      </c>
      <c r="X123" s="170">
        <f t="shared" si="13"/>
        <v>2.5033904640130831</v>
      </c>
    </row>
    <row r="124" spans="1:24" x14ac:dyDescent="0.2">
      <c r="A124" s="147">
        <v>2011</v>
      </c>
      <c r="B124" s="147">
        <v>3</v>
      </c>
      <c r="C124" s="147" t="str">
        <f t="shared" si="10"/>
        <v>20113</v>
      </c>
      <c r="D124" s="147" t="str">
        <f t="shared" si="16"/>
        <v>Q1</v>
      </c>
      <c r="E124" s="360">
        <f t="shared" si="11"/>
        <v>128893.008</v>
      </c>
      <c r="F124" s="360">
        <f t="shared" si="11"/>
        <v>39737.516530036453</v>
      </c>
      <c r="G124" s="360">
        <f t="shared" si="11"/>
        <v>4363.8230000000003</v>
      </c>
      <c r="H124" s="360">
        <f t="shared" si="9"/>
        <v>1728.1579999999999</v>
      </c>
      <c r="J124" s="170"/>
      <c r="K124" s="170"/>
      <c r="L124" s="147">
        <f t="shared" si="14"/>
        <v>2031</v>
      </c>
      <c r="M124" s="170" t="str">
        <f t="shared" si="15"/>
        <v>Q3</v>
      </c>
      <c r="N124" s="170" t="str">
        <f t="shared" si="17"/>
        <v>2031Q3</v>
      </c>
      <c r="O124" s="175">
        <v>207691.48499999999</v>
      </c>
      <c r="P124" s="233">
        <v>1999.29</v>
      </c>
      <c r="Q124" s="233">
        <v>1999.29</v>
      </c>
      <c r="R124" s="180">
        <v>63686.068810866331</v>
      </c>
      <c r="S124" s="180"/>
      <c r="T124" s="235">
        <f t="shared" si="12"/>
        <v>5003.6859999999997</v>
      </c>
      <c r="U124" s="180">
        <v>591.28432577788192</v>
      </c>
      <c r="V124" s="180">
        <v>5003.6859999999997</v>
      </c>
      <c r="W124" s="170">
        <f t="shared" si="13"/>
        <v>0.29574715312830152</v>
      </c>
      <c r="X124" s="170">
        <f t="shared" si="13"/>
        <v>2.5027314696717333</v>
      </c>
    </row>
    <row r="125" spans="1:24" x14ac:dyDescent="0.2">
      <c r="A125" s="147">
        <v>2011</v>
      </c>
      <c r="B125" s="147">
        <v>4</v>
      </c>
      <c r="C125" s="147" t="str">
        <f t="shared" si="10"/>
        <v>20114</v>
      </c>
      <c r="D125" s="147" t="str">
        <f t="shared" si="16"/>
        <v>Q2</v>
      </c>
      <c r="E125" s="360">
        <f t="shared" si="11"/>
        <v>129036.827</v>
      </c>
      <c r="F125" s="360">
        <f t="shared" si="11"/>
        <v>39626.695414935333</v>
      </c>
      <c r="G125" s="360">
        <f t="shared" si="11"/>
        <v>4369.3559999999998</v>
      </c>
      <c r="H125" s="360">
        <f t="shared" si="9"/>
        <v>1730.3009999999999</v>
      </c>
      <c r="J125" s="170"/>
      <c r="K125" s="170"/>
      <c r="L125" s="147">
        <f t="shared" si="14"/>
        <v>2031</v>
      </c>
      <c r="M125" s="170" t="str">
        <f t="shared" si="15"/>
        <v>Q4</v>
      </c>
      <c r="N125" s="170" t="str">
        <f t="shared" si="17"/>
        <v>2031Q4</v>
      </c>
      <c r="O125" s="175">
        <v>208506.54</v>
      </c>
      <c r="P125" s="233">
        <v>2002.6890000000001</v>
      </c>
      <c r="Q125" s="233">
        <v>2002.6890000000001</v>
      </c>
      <c r="R125" s="180">
        <v>63983.702106726494</v>
      </c>
      <c r="S125" s="180"/>
      <c r="T125" s="235">
        <f t="shared" si="12"/>
        <v>5010.8329999999996</v>
      </c>
      <c r="U125" s="180">
        <v>592.55352794567204</v>
      </c>
      <c r="V125" s="180">
        <v>5010.8329999999996</v>
      </c>
      <c r="W125" s="170">
        <f t="shared" si="13"/>
        <v>0.29587895471821735</v>
      </c>
      <c r="X125" s="170">
        <f t="shared" si="13"/>
        <v>2.502052490426621</v>
      </c>
    </row>
    <row r="126" spans="1:24" x14ac:dyDescent="0.2">
      <c r="A126" s="147">
        <v>2011</v>
      </c>
      <c r="B126" s="147">
        <v>5</v>
      </c>
      <c r="C126" s="147" t="str">
        <f t="shared" si="10"/>
        <v>20115</v>
      </c>
      <c r="D126" s="147" t="str">
        <f t="shared" si="16"/>
        <v>Q2</v>
      </c>
      <c r="E126" s="360">
        <f t="shared" si="11"/>
        <v>129036.827</v>
      </c>
      <c r="F126" s="360">
        <f t="shared" si="11"/>
        <v>39626.695414935333</v>
      </c>
      <c r="G126" s="360">
        <f t="shared" si="11"/>
        <v>4369.3559999999998</v>
      </c>
      <c r="H126" s="360">
        <f t="shared" si="9"/>
        <v>1730.3009999999999</v>
      </c>
      <c r="J126" s="170"/>
      <c r="K126" s="170"/>
      <c r="L126" s="147">
        <f t="shared" si="14"/>
        <v>2032</v>
      </c>
      <c r="M126" s="170" t="str">
        <f t="shared" si="15"/>
        <v>Q1</v>
      </c>
      <c r="N126" s="170" t="str">
        <f t="shared" si="17"/>
        <v>2032Q1</v>
      </c>
      <c r="O126" s="175">
        <v>210181.51699999999</v>
      </c>
      <c r="P126" s="233">
        <v>2006.07</v>
      </c>
      <c r="Q126" s="233">
        <v>2006.07</v>
      </c>
      <c r="R126" s="180">
        <v>64517.895684862429</v>
      </c>
      <c r="S126" s="180"/>
      <c r="T126" s="235">
        <f t="shared" si="12"/>
        <v>5017.95</v>
      </c>
      <c r="U126" s="180">
        <v>593.8205289329336</v>
      </c>
      <c r="V126" s="180">
        <v>5017.95</v>
      </c>
      <c r="W126" s="170">
        <f t="shared" si="13"/>
        <v>0.29601186844573402</v>
      </c>
      <c r="X126" s="170">
        <f t="shared" si="13"/>
        <v>2.5013833016794029</v>
      </c>
    </row>
    <row r="127" spans="1:24" x14ac:dyDescent="0.2">
      <c r="A127" s="147">
        <v>2011</v>
      </c>
      <c r="B127" s="147">
        <v>6</v>
      </c>
      <c r="C127" s="147" t="str">
        <f t="shared" si="10"/>
        <v>20116</v>
      </c>
      <c r="D127" s="147" t="str">
        <f t="shared" si="16"/>
        <v>Q2</v>
      </c>
      <c r="E127" s="360">
        <f t="shared" si="11"/>
        <v>129036.827</v>
      </c>
      <c r="F127" s="360">
        <f t="shared" si="11"/>
        <v>39626.695414935333</v>
      </c>
      <c r="G127" s="360">
        <f t="shared" si="11"/>
        <v>4369.3559999999998</v>
      </c>
      <c r="H127" s="360">
        <f t="shared" si="9"/>
        <v>1730.3009999999999</v>
      </c>
      <c r="J127" s="170"/>
      <c r="K127" s="170"/>
      <c r="L127" s="147">
        <f t="shared" si="14"/>
        <v>2032</v>
      </c>
      <c r="M127" s="170" t="str">
        <f t="shared" si="15"/>
        <v>Q2</v>
      </c>
      <c r="N127" s="170" t="str">
        <f t="shared" si="17"/>
        <v>2032Q2</v>
      </c>
      <c r="O127" s="175">
        <v>211132.98300000001</v>
      </c>
      <c r="P127" s="233">
        <v>2009.4970000000001</v>
      </c>
      <c r="Q127" s="233">
        <v>2009.4970000000001</v>
      </c>
      <c r="R127" s="180">
        <v>64852.902436758101</v>
      </c>
      <c r="S127" s="180"/>
      <c r="T127" s="235">
        <f t="shared" si="12"/>
        <v>5025.0370000000003</v>
      </c>
      <c r="U127" s="180">
        <v>595.08542470246152</v>
      </c>
      <c r="V127" s="180">
        <v>5025.0370000000003</v>
      </c>
      <c r="W127" s="170">
        <f t="shared" si="13"/>
        <v>0.29613650814231696</v>
      </c>
      <c r="X127" s="170">
        <f t="shared" si="13"/>
        <v>2.5006441910587576</v>
      </c>
    </row>
    <row r="128" spans="1:24" x14ac:dyDescent="0.2">
      <c r="A128" s="147">
        <v>2011</v>
      </c>
      <c r="B128" s="147">
        <v>7</v>
      </c>
      <c r="C128" s="147" t="str">
        <f t="shared" si="10"/>
        <v>20117</v>
      </c>
      <c r="D128" s="147" t="str">
        <f t="shared" si="16"/>
        <v>Q3</v>
      </c>
      <c r="E128" s="360">
        <f t="shared" si="11"/>
        <v>128885.583</v>
      </c>
      <c r="F128" s="360">
        <f t="shared" si="11"/>
        <v>39675.467395051506</v>
      </c>
      <c r="G128" s="360">
        <f t="shared" si="11"/>
        <v>4375.2330000000002</v>
      </c>
      <c r="H128" s="360">
        <f t="shared" si="9"/>
        <v>1732.7529999999999</v>
      </c>
      <c r="J128" s="170"/>
      <c r="K128" s="170"/>
      <c r="L128" s="147">
        <f t="shared" si="14"/>
        <v>2032</v>
      </c>
      <c r="M128" s="170" t="str">
        <f t="shared" si="15"/>
        <v>Q3</v>
      </c>
      <c r="N128" s="170" t="str">
        <f t="shared" si="17"/>
        <v>2032Q3</v>
      </c>
      <c r="O128" s="175">
        <v>211990.587</v>
      </c>
      <c r="P128" s="233">
        <v>2014.751</v>
      </c>
      <c r="Q128" s="233">
        <v>2014.751</v>
      </c>
      <c r="R128" s="180">
        <v>65092.663837385568</v>
      </c>
      <c r="S128" s="180"/>
      <c r="T128" s="235">
        <f t="shared" si="12"/>
        <v>5032.0959999999995</v>
      </c>
      <c r="U128" s="180">
        <v>596.34815171082005</v>
      </c>
      <c r="V128" s="180">
        <v>5032.0959999999995</v>
      </c>
      <c r="W128" s="170">
        <f t="shared" si="13"/>
        <v>0.29599099427711911</v>
      </c>
      <c r="X128" s="170">
        <f t="shared" si="13"/>
        <v>2.4976267538767818</v>
      </c>
    </row>
    <row r="129" spans="1:24" x14ac:dyDescent="0.2">
      <c r="A129" s="147">
        <v>2011</v>
      </c>
      <c r="B129" s="147">
        <v>8</v>
      </c>
      <c r="C129" s="147" t="str">
        <f t="shared" si="10"/>
        <v>20118</v>
      </c>
      <c r="D129" s="147" t="str">
        <f t="shared" si="16"/>
        <v>Q3</v>
      </c>
      <c r="E129" s="360">
        <f t="shared" si="11"/>
        <v>128885.583</v>
      </c>
      <c r="F129" s="360">
        <f t="shared" si="11"/>
        <v>39675.467395051506</v>
      </c>
      <c r="G129" s="360">
        <f t="shared" si="11"/>
        <v>4375.2330000000002</v>
      </c>
      <c r="H129" s="360">
        <f t="shared" si="9"/>
        <v>1732.7529999999999</v>
      </c>
      <c r="J129" s="170"/>
      <c r="K129" s="170"/>
      <c r="L129" s="147">
        <f t="shared" si="14"/>
        <v>2032</v>
      </c>
      <c r="M129" s="170" t="str">
        <f t="shared" si="15"/>
        <v>Q4</v>
      </c>
      <c r="N129" s="170" t="str">
        <f t="shared" si="17"/>
        <v>2032Q4</v>
      </c>
      <c r="O129" s="175">
        <v>212819.59099999999</v>
      </c>
      <c r="P129" s="233">
        <v>2017.2260000000001</v>
      </c>
      <c r="Q129" s="233">
        <v>2017.2260000000001</v>
      </c>
      <c r="R129" s="180">
        <v>65379.712563198897</v>
      </c>
      <c r="S129" s="180"/>
      <c r="T129" s="235">
        <f t="shared" si="12"/>
        <v>5039.1130000000003</v>
      </c>
      <c r="U129" s="180">
        <v>597.60723946148869</v>
      </c>
      <c r="V129" s="180">
        <v>5039.1130000000003</v>
      </c>
      <c r="W129" s="170">
        <f t="shared" si="13"/>
        <v>0.29625200124402951</v>
      </c>
      <c r="X129" s="170">
        <f t="shared" si="13"/>
        <v>2.4980408739526458</v>
      </c>
    </row>
    <row r="130" spans="1:24" x14ac:dyDescent="0.2">
      <c r="A130" s="147">
        <v>2011</v>
      </c>
      <c r="B130" s="147">
        <v>9</v>
      </c>
      <c r="C130" s="147" t="str">
        <f t="shared" si="10"/>
        <v>20119</v>
      </c>
      <c r="D130" s="147" t="str">
        <f t="shared" si="16"/>
        <v>Q3</v>
      </c>
      <c r="E130" s="360">
        <f t="shared" si="11"/>
        <v>128885.583</v>
      </c>
      <c r="F130" s="360">
        <f t="shared" si="11"/>
        <v>39675.467395051506</v>
      </c>
      <c r="G130" s="360">
        <f t="shared" si="11"/>
        <v>4375.2330000000002</v>
      </c>
      <c r="H130" s="360">
        <f t="shared" si="11"/>
        <v>1732.7529999999999</v>
      </c>
      <c r="J130" s="170"/>
      <c r="K130" s="170"/>
      <c r="L130" s="147">
        <f t="shared" si="14"/>
        <v>2033</v>
      </c>
      <c r="M130" s="170" t="str">
        <f t="shared" si="15"/>
        <v>Q1</v>
      </c>
      <c r="N130" s="170" t="str">
        <f t="shared" si="17"/>
        <v>2033Q1</v>
      </c>
      <c r="O130" s="175">
        <v>214486.36799999999</v>
      </c>
      <c r="P130" s="233">
        <v>2020.7070000000001</v>
      </c>
      <c r="Q130" s="233">
        <v>2020.7070000000001</v>
      </c>
      <c r="R130" s="180">
        <v>65915.343848067831</v>
      </c>
      <c r="S130" s="180"/>
      <c r="T130" s="235">
        <f t="shared" si="12"/>
        <v>5046.1030000000001</v>
      </c>
      <c r="U130" s="180">
        <v>598.94114556781176</v>
      </c>
      <c r="V130" s="180">
        <v>5046.1030000000001</v>
      </c>
      <c r="W130" s="170">
        <f t="shared" si="13"/>
        <v>0.29640177698588255</v>
      </c>
      <c r="X130" s="170">
        <f t="shared" si="13"/>
        <v>2.4971967732085849</v>
      </c>
    </row>
    <row r="131" spans="1:24" x14ac:dyDescent="0.2">
      <c r="A131" s="147">
        <v>2011</v>
      </c>
      <c r="B131" s="147">
        <v>10</v>
      </c>
      <c r="C131" s="147" t="str">
        <f t="shared" ref="C131:C194" si="18">A131&amp;B131</f>
        <v>201110</v>
      </c>
      <c r="D131" s="147" t="str">
        <f t="shared" si="16"/>
        <v>Q4</v>
      </c>
      <c r="E131" s="360">
        <f t="shared" ref="E131:H194" si="19">VLOOKUP($A131&amp;$D131,$N$1:$T$173,MATCH(E$1,$N$1:$T$1,0),0)</f>
        <v>129177.128</v>
      </c>
      <c r="F131" s="360">
        <f t="shared" si="19"/>
        <v>39786.860383818384</v>
      </c>
      <c r="G131" s="360">
        <f t="shared" si="19"/>
        <v>4381.482</v>
      </c>
      <c r="H131" s="360">
        <f t="shared" si="19"/>
        <v>1735.6120000000001</v>
      </c>
      <c r="J131" s="170"/>
      <c r="K131" s="170"/>
      <c r="L131" s="147">
        <f t="shared" si="14"/>
        <v>2033</v>
      </c>
      <c r="M131" s="170" t="str">
        <f t="shared" si="15"/>
        <v>Q2</v>
      </c>
      <c r="N131" s="170" t="str">
        <f t="shared" si="17"/>
        <v>2033Q2</v>
      </c>
      <c r="O131" s="175">
        <v>215382.42600000001</v>
      </c>
      <c r="P131" s="233">
        <v>2024.18</v>
      </c>
      <c r="Q131" s="233">
        <v>2024.18</v>
      </c>
      <c r="R131" s="180">
        <v>66272.860998632343</v>
      </c>
      <c r="S131" s="180"/>
      <c r="T131" s="235">
        <f t="shared" ref="T131:T165" si="20">V131</f>
        <v>5053.0649999999996</v>
      </c>
      <c r="U131" s="180">
        <v>600.1964782787893</v>
      </c>
      <c r="V131" s="180">
        <v>5053.0649999999996</v>
      </c>
      <c r="W131" s="170">
        <f t="shared" ref="W131:X165" si="21">U131/P131</f>
        <v>0.29651339222736578</v>
      </c>
      <c r="X131" s="170">
        <f t="shared" si="21"/>
        <v>2.4963516090466262</v>
      </c>
    </row>
    <row r="132" spans="1:24" x14ac:dyDescent="0.2">
      <c r="A132" s="147">
        <v>2011</v>
      </c>
      <c r="B132" s="147">
        <v>11</v>
      </c>
      <c r="C132" s="147" t="str">
        <f t="shared" si="18"/>
        <v>201111</v>
      </c>
      <c r="D132" s="147" t="str">
        <f t="shared" si="16"/>
        <v>Q4</v>
      </c>
      <c r="E132" s="360">
        <f t="shared" si="19"/>
        <v>129177.128</v>
      </c>
      <c r="F132" s="360">
        <f t="shared" si="19"/>
        <v>39786.860383818384</v>
      </c>
      <c r="G132" s="360">
        <f t="shared" si="19"/>
        <v>4381.482</v>
      </c>
      <c r="H132" s="360">
        <f t="shared" si="19"/>
        <v>1735.6120000000001</v>
      </c>
      <c r="J132" s="170"/>
      <c r="K132" s="170"/>
      <c r="L132" s="147">
        <f t="shared" si="14"/>
        <v>2033</v>
      </c>
      <c r="M132" s="170" t="str">
        <f t="shared" si="15"/>
        <v>Q3</v>
      </c>
      <c r="N132" s="170" t="str">
        <f t="shared" si="17"/>
        <v>2033Q3</v>
      </c>
      <c r="O132" s="175">
        <v>216207.60200000001</v>
      </c>
      <c r="P132" s="233">
        <v>2027.626</v>
      </c>
      <c r="Q132" s="233">
        <v>2027.626</v>
      </c>
      <c r="R132" s="180">
        <v>66575.69117880259</v>
      </c>
      <c r="S132" s="180"/>
      <c r="T132" s="235">
        <f t="shared" si="20"/>
        <v>5060</v>
      </c>
      <c r="U132" s="180">
        <v>601.44988615916668</v>
      </c>
      <c r="V132" s="180">
        <v>5060</v>
      </c>
      <c r="W132" s="170">
        <f t="shared" si="21"/>
        <v>0.29662762568598289</v>
      </c>
      <c r="X132" s="170">
        <f t="shared" si="21"/>
        <v>2.4955292544088508</v>
      </c>
    </row>
    <row r="133" spans="1:24" x14ac:dyDescent="0.2">
      <c r="A133" s="147">
        <v>2011</v>
      </c>
      <c r="B133" s="147">
        <v>12</v>
      </c>
      <c r="C133" s="147" t="str">
        <f t="shared" si="18"/>
        <v>201112</v>
      </c>
      <c r="D133" s="147" t="str">
        <f t="shared" si="16"/>
        <v>Q4</v>
      </c>
      <c r="E133" s="360">
        <f t="shared" si="19"/>
        <v>129177.128</v>
      </c>
      <c r="F133" s="360">
        <f t="shared" si="19"/>
        <v>39786.860383818384</v>
      </c>
      <c r="G133" s="360">
        <f t="shared" si="19"/>
        <v>4381.482</v>
      </c>
      <c r="H133" s="360">
        <f t="shared" si="19"/>
        <v>1735.6120000000001</v>
      </c>
      <c r="J133" s="170"/>
      <c r="K133" s="170"/>
      <c r="L133" s="147">
        <f t="shared" si="14"/>
        <v>2033</v>
      </c>
      <c r="M133" s="170" t="str">
        <f t="shared" si="15"/>
        <v>Q4</v>
      </c>
      <c r="N133" s="170" t="str">
        <f t="shared" si="17"/>
        <v>2033Q4</v>
      </c>
      <c r="O133" s="175">
        <v>217023.29399999999</v>
      </c>
      <c r="P133" s="233">
        <v>2031.1179999999999</v>
      </c>
      <c r="Q133" s="233">
        <v>2031.1179999999999</v>
      </c>
      <c r="R133" s="180">
        <v>66846.031778371878</v>
      </c>
      <c r="S133" s="180"/>
      <c r="T133" s="235">
        <f t="shared" si="20"/>
        <v>5066.8959999999997</v>
      </c>
      <c r="U133" s="180">
        <v>602.69985845966437</v>
      </c>
      <c r="V133" s="180">
        <v>5066.8959999999997</v>
      </c>
      <c r="W133" s="170">
        <f t="shared" si="21"/>
        <v>0.29673305955619733</v>
      </c>
      <c r="X133" s="170">
        <f t="shared" si="21"/>
        <v>2.4946339897534262</v>
      </c>
    </row>
    <row r="134" spans="1:24" x14ac:dyDescent="0.2">
      <c r="A134" s="147">
        <v>2012</v>
      </c>
      <c r="B134" s="147">
        <v>1</v>
      </c>
      <c r="C134" s="147" t="str">
        <f t="shared" si="18"/>
        <v>20121</v>
      </c>
      <c r="D134" s="147" t="str">
        <f t="shared" si="16"/>
        <v>Q1</v>
      </c>
      <c r="E134" s="360">
        <f t="shared" si="19"/>
        <v>129516.13400000001</v>
      </c>
      <c r="F134" s="360">
        <f t="shared" si="19"/>
        <v>39800.138297807738</v>
      </c>
      <c r="G134" s="360">
        <f t="shared" si="19"/>
        <v>4387.8289999999997</v>
      </c>
      <c r="H134" s="360">
        <f t="shared" si="19"/>
        <v>1738.9960000000001</v>
      </c>
      <c r="L134" s="147">
        <f t="shared" si="14"/>
        <v>2034</v>
      </c>
      <c r="M134" s="170" t="str">
        <f t="shared" si="15"/>
        <v>Q1</v>
      </c>
      <c r="N134" s="170" t="str">
        <f t="shared" si="17"/>
        <v>2034Q1</v>
      </c>
      <c r="O134" s="175">
        <v>218712.25599999999</v>
      </c>
      <c r="P134" s="233">
        <v>2034.5630000000001</v>
      </c>
      <c r="Q134" s="233">
        <v>2034.5630000000001</v>
      </c>
      <c r="R134" s="180">
        <v>67408.698459790423</v>
      </c>
      <c r="S134" s="180"/>
      <c r="T134" s="235">
        <f t="shared" si="20"/>
        <v>5073.7650000000003</v>
      </c>
      <c r="U134" s="180">
        <v>604.02085840225141</v>
      </c>
      <c r="V134" s="180">
        <v>5073.7650000000003</v>
      </c>
      <c r="W134" s="170">
        <f t="shared" si="21"/>
        <v>0.29687989922270847</v>
      </c>
      <c r="X134" s="170">
        <f t="shared" si="21"/>
        <v>2.4937861349095605</v>
      </c>
    </row>
    <row r="135" spans="1:24" x14ac:dyDescent="0.2">
      <c r="A135" s="147">
        <v>2012</v>
      </c>
      <c r="B135" s="147">
        <v>2</v>
      </c>
      <c r="C135" s="147" t="str">
        <f t="shared" si="18"/>
        <v>20122</v>
      </c>
      <c r="D135" s="147" t="str">
        <f t="shared" si="16"/>
        <v>Q1</v>
      </c>
      <c r="E135" s="360">
        <f t="shared" si="19"/>
        <v>129516.13400000001</v>
      </c>
      <c r="F135" s="360">
        <f t="shared" si="19"/>
        <v>39800.138297807738</v>
      </c>
      <c r="G135" s="360">
        <f t="shared" si="19"/>
        <v>4387.8289999999997</v>
      </c>
      <c r="H135" s="360">
        <f t="shared" si="19"/>
        <v>1738.9960000000001</v>
      </c>
      <c r="L135" s="147">
        <f t="shared" ref="L135:L173" si="22">L131+1</f>
        <v>2034</v>
      </c>
      <c r="M135" s="170" t="str">
        <f t="shared" ref="M135:M173" si="23">M131</f>
        <v>Q2</v>
      </c>
      <c r="N135" s="170" t="str">
        <f t="shared" si="17"/>
        <v>2034Q2</v>
      </c>
      <c r="O135" s="175">
        <v>219678.68900000001</v>
      </c>
      <c r="P135" s="233">
        <v>2038.0329999999999</v>
      </c>
      <c r="Q135" s="233">
        <v>2038.0329999999999</v>
      </c>
      <c r="R135" s="180">
        <v>67784.731090709829</v>
      </c>
      <c r="S135" s="180"/>
      <c r="T135" s="235">
        <f t="shared" si="20"/>
        <v>5080.6090000000004</v>
      </c>
      <c r="U135" s="180">
        <v>605.26743767300002</v>
      </c>
      <c r="V135" s="180">
        <v>5080.6090000000004</v>
      </c>
      <c r="W135" s="170">
        <f t="shared" si="21"/>
        <v>0.29698608298933338</v>
      </c>
      <c r="X135" s="170">
        <f t="shared" si="21"/>
        <v>2.4928982994877908</v>
      </c>
    </row>
    <row r="136" spans="1:24" x14ac:dyDescent="0.2">
      <c r="A136" s="147">
        <v>2012</v>
      </c>
      <c r="B136" s="147">
        <v>3</v>
      </c>
      <c r="C136" s="147" t="str">
        <f t="shared" si="18"/>
        <v>20123</v>
      </c>
      <c r="D136" s="147" t="str">
        <f t="shared" si="16"/>
        <v>Q1</v>
      </c>
      <c r="E136" s="360">
        <f t="shared" si="19"/>
        <v>129516.13400000001</v>
      </c>
      <c r="F136" s="360">
        <f t="shared" si="19"/>
        <v>39800.138297807738</v>
      </c>
      <c r="G136" s="360">
        <f t="shared" si="19"/>
        <v>4387.8289999999997</v>
      </c>
      <c r="H136" s="360">
        <f t="shared" si="19"/>
        <v>1738.9960000000001</v>
      </c>
      <c r="L136" s="147">
        <f t="shared" si="22"/>
        <v>2034</v>
      </c>
      <c r="M136" s="170" t="str">
        <f t="shared" si="23"/>
        <v>Q3</v>
      </c>
      <c r="N136" s="170" t="str">
        <f t="shared" si="17"/>
        <v>2034Q3</v>
      </c>
      <c r="O136" s="175">
        <v>220588.57</v>
      </c>
      <c r="P136" s="233">
        <v>2043.357</v>
      </c>
      <c r="Q136" s="233">
        <v>2043.357</v>
      </c>
      <c r="R136" s="180">
        <v>68112.672404732177</v>
      </c>
      <c r="S136" s="180"/>
      <c r="T136" s="235">
        <f t="shared" si="20"/>
        <v>5087.4409999999998</v>
      </c>
      <c r="U136" s="180">
        <v>606.51387488154319</v>
      </c>
      <c r="V136" s="180">
        <v>5087.4409999999998</v>
      </c>
      <c r="W136" s="170">
        <f t="shared" si="21"/>
        <v>0.29682227573622388</v>
      </c>
      <c r="X136" s="170">
        <f t="shared" si="21"/>
        <v>2.4897465298525905</v>
      </c>
    </row>
    <row r="137" spans="1:24" x14ac:dyDescent="0.2">
      <c r="A137" s="147">
        <v>2012</v>
      </c>
      <c r="B137" s="147">
        <v>4</v>
      </c>
      <c r="C137" s="147" t="str">
        <f t="shared" si="18"/>
        <v>20124</v>
      </c>
      <c r="D137" s="147" t="str">
        <f t="shared" si="16"/>
        <v>Q2</v>
      </c>
      <c r="E137" s="360">
        <f t="shared" si="19"/>
        <v>130403.818</v>
      </c>
      <c r="F137" s="360">
        <f t="shared" si="19"/>
        <v>39988.352967991457</v>
      </c>
      <c r="G137" s="360">
        <f t="shared" si="19"/>
        <v>4394.317</v>
      </c>
      <c r="H137" s="360">
        <f t="shared" si="19"/>
        <v>1742.2639999999999</v>
      </c>
      <c r="L137" s="147">
        <f t="shared" si="22"/>
        <v>2034</v>
      </c>
      <c r="M137" s="170" t="str">
        <f t="shared" si="23"/>
        <v>Q4</v>
      </c>
      <c r="N137" s="170" t="str">
        <f t="shared" si="17"/>
        <v>2034Q4</v>
      </c>
      <c r="O137" s="175">
        <v>221480.42499999999</v>
      </c>
      <c r="P137" s="233">
        <v>2045.7919999999999</v>
      </c>
      <c r="Q137" s="233">
        <v>2045.7919999999999</v>
      </c>
      <c r="R137" s="180">
        <v>68426.110254572006</v>
      </c>
      <c r="S137" s="180"/>
      <c r="T137" s="235">
        <f t="shared" si="20"/>
        <v>5094.2359999999999</v>
      </c>
      <c r="U137" s="180">
        <v>607.75708718438602</v>
      </c>
      <c r="V137" s="180">
        <v>5094.2359999999999</v>
      </c>
      <c r="W137" s="170">
        <f t="shared" si="21"/>
        <v>0.29707667601808302</v>
      </c>
      <c r="X137" s="170">
        <f t="shared" si="21"/>
        <v>2.4901045658600678</v>
      </c>
    </row>
    <row r="138" spans="1:24" x14ac:dyDescent="0.2">
      <c r="A138" s="147">
        <v>2012</v>
      </c>
      <c r="B138" s="147">
        <v>5</v>
      </c>
      <c r="C138" s="147" t="str">
        <f t="shared" si="18"/>
        <v>20125</v>
      </c>
      <c r="D138" s="147" t="str">
        <f t="shared" si="16"/>
        <v>Q2</v>
      </c>
      <c r="E138" s="360">
        <f t="shared" si="19"/>
        <v>130403.818</v>
      </c>
      <c r="F138" s="360">
        <f t="shared" si="19"/>
        <v>39988.352967991457</v>
      </c>
      <c r="G138" s="360">
        <f t="shared" si="19"/>
        <v>4394.317</v>
      </c>
      <c r="H138" s="360">
        <f t="shared" si="19"/>
        <v>1742.2639999999999</v>
      </c>
      <c r="L138" s="147">
        <f t="shared" si="22"/>
        <v>2035</v>
      </c>
      <c r="M138" s="170" t="str">
        <f t="shared" si="23"/>
        <v>Q1</v>
      </c>
      <c r="N138" s="170" t="str">
        <f t="shared" si="17"/>
        <v>2035Q1</v>
      </c>
      <c r="O138" s="175">
        <v>223274.90299999999</v>
      </c>
      <c r="P138" s="233">
        <v>2049.09</v>
      </c>
      <c r="Q138" s="233">
        <v>2049.09</v>
      </c>
      <c r="R138" s="180">
        <v>69089.969321900251</v>
      </c>
      <c r="S138" s="180"/>
      <c r="T138" s="235">
        <f t="shared" si="20"/>
        <v>5101.0060000000003</v>
      </c>
      <c r="U138" s="180">
        <v>608.99857391944693</v>
      </c>
      <c r="V138" s="180">
        <v>5101.0060000000003</v>
      </c>
      <c r="W138" s="170">
        <f t="shared" si="21"/>
        <v>0.29720440484285554</v>
      </c>
      <c r="X138" s="170">
        <f t="shared" si="21"/>
        <v>2.4894006607811274</v>
      </c>
    </row>
    <row r="139" spans="1:24" x14ac:dyDescent="0.2">
      <c r="A139" s="147">
        <v>2012</v>
      </c>
      <c r="B139" s="147">
        <v>6</v>
      </c>
      <c r="C139" s="147" t="str">
        <f t="shared" si="18"/>
        <v>20126</v>
      </c>
      <c r="D139" s="147" t="str">
        <f t="shared" si="16"/>
        <v>Q2</v>
      </c>
      <c r="E139" s="360">
        <f t="shared" si="19"/>
        <v>130403.818</v>
      </c>
      <c r="F139" s="360">
        <f t="shared" si="19"/>
        <v>39988.352967991457</v>
      </c>
      <c r="G139" s="360">
        <f t="shared" si="19"/>
        <v>4394.317</v>
      </c>
      <c r="H139" s="360">
        <f t="shared" si="19"/>
        <v>1742.2639999999999</v>
      </c>
      <c r="L139" s="147">
        <f t="shared" si="22"/>
        <v>2035</v>
      </c>
      <c r="M139" s="170" t="str">
        <f t="shared" si="23"/>
        <v>Q2</v>
      </c>
      <c r="N139" s="170" t="str">
        <f t="shared" si="17"/>
        <v>2035Q2</v>
      </c>
      <c r="O139" s="175">
        <v>224274.87700000001</v>
      </c>
      <c r="P139" s="233">
        <v>2052.3820000000001</v>
      </c>
      <c r="Q139" s="233">
        <v>2052.3820000000001</v>
      </c>
      <c r="R139" s="180">
        <v>69470.238709459431</v>
      </c>
      <c r="S139" s="180"/>
      <c r="T139" s="235">
        <f t="shared" si="20"/>
        <v>5107.7510000000002</v>
      </c>
      <c r="U139" s="180">
        <v>610.30681877623215</v>
      </c>
      <c r="V139" s="180">
        <v>5107.7510000000002</v>
      </c>
      <c r="W139" s="170">
        <f t="shared" si="21"/>
        <v>0.29736511954218664</v>
      </c>
      <c r="X139" s="170">
        <f t="shared" si="21"/>
        <v>2.488694112499525</v>
      </c>
    </row>
    <row r="140" spans="1:24" x14ac:dyDescent="0.2">
      <c r="A140" s="147">
        <v>2012</v>
      </c>
      <c r="B140" s="147">
        <v>7</v>
      </c>
      <c r="C140" s="147" t="str">
        <f t="shared" si="18"/>
        <v>20127</v>
      </c>
      <c r="D140" s="147" t="str">
        <f t="shared" si="16"/>
        <v>Q3</v>
      </c>
      <c r="E140" s="360">
        <f t="shared" si="19"/>
        <v>131166.87299999999</v>
      </c>
      <c r="F140" s="360">
        <f t="shared" si="19"/>
        <v>40189.459532165798</v>
      </c>
      <c r="G140" s="360">
        <f t="shared" si="19"/>
        <v>4400.95</v>
      </c>
      <c r="H140" s="360">
        <f t="shared" si="19"/>
        <v>1745.2270000000001</v>
      </c>
      <c r="L140" s="147">
        <f t="shared" si="22"/>
        <v>2035</v>
      </c>
      <c r="M140" s="170" t="str">
        <f t="shared" si="23"/>
        <v>Q3</v>
      </c>
      <c r="N140" s="170" t="str">
        <f t="shared" si="17"/>
        <v>2035Q3</v>
      </c>
      <c r="O140" s="175">
        <v>225199.902</v>
      </c>
      <c r="P140" s="233">
        <v>2055.6619999999998</v>
      </c>
      <c r="Q140" s="233">
        <v>2055.6619999999998</v>
      </c>
      <c r="R140" s="180">
        <v>69817.684773173722</v>
      </c>
      <c r="S140" s="180"/>
      <c r="T140" s="235">
        <f t="shared" si="20"/>
        <v>5114.4719999999998</v>
      </c>
      <c r="U140" s="180">
        <v>611.54517106665378</v>
      </c>
      <c r="V140" s="180">
        <v>5114.4719999999998</v>
      </c>
      <c r="W140" s="170">
        <f t="shared" si="21"/>
        <v>0.29749305628389</v>
      </c>
      <c r="X140" s="170">
        <f t="shared" si="21"/>
        <v>2.4879926758387323</v>
      </c>
    </row>
    <row r="141" spans="1:24" x14ac:dyDescent="0.2">
      <c r="A141" s="147">
        <v>2012</v>
      </c>
      <c r="B141" s="147">
        <v>8</v>
      </c>
      <c r="C141" s="147" t="str">
        <f t="shared" si="18"/>
        <v>20128</v>
      </c>
      <c r="D141" s="147" t="str">
        <f t="shared" si="16"/>
        <v>Q3</v>
      </c>
      <c r="E141" s="360">
        <f t="shared" si="19"/>
        <v>131166.87299999999</v>
      </c>
      <c r="F141" s="360">
        <f t="shared" si="19"/>
        <v>40189.459532165798</v>
      </c>
      <c r="G141" s="360">
        <f t="shared" si="19"/>
        <v>4400.95</v>
      </c>
      <c r="H141" s="360">
        <f t="shared" si="19"/>
        <v>1745.2270000000001</v>
      </c>
      <c r="L141" s="147">
        <f t="shared" si="22"/>
        <v>2035</v>
      </c>
      <c r="M141" s="170" t="str">
        <f t="shared" si="23"/>
        <v>Q4</v>
      </c>
      <c r="N141" s="170" t="str">
        <f t="shared" si="17"/>
        <v>2035Q4</v>
      </c>
      <c r="O141" s="175">
        <v>226081.57399999999</v>
      </c>
      <c r="P141" s="233">
        <v>2058.951</v>
      </c>
      <c r="Q141" s="233">
        <v>2058.951</v>
      </c>
      <c r="R141" s="180">
        <v>70167.400418664678</v>
      </c>
      <c r="S141" s="180"/>
      <c r="T141" s="235">
        <f t="shared" si="20"/>
        <v>5121.1570000000002</v>
      </c>
      <c r="U141" s="180">
        <v>612.78041304382668</v>
      </c>
      <c r="V141" s="180">
        <v>5121.1570000000002</v>
      </c>
      <c r="W141" s="170">
        <f t="shared" si="21"/>
        <v>0.29761777382940474</v>
      </c>
      <c r="X141" s="170">
        <f t="shared" si="21"/>
        <v>2.4872651170426106</v>
      </c>
    </row>
    <row r="142" spans="1:24" x14ac:dyDescent="0.2">
      <c r="A142" s="147">
        <v>2012</v>
      </c>
      <c r="B142" s="147">
        <v>9</v>
      </c>
      <c r="C142" s="147" t="str">
        <f t="shared" si="18"/>
        <v>20129</v>
      </c>
      <c r="D142" s="147" t="str">
        <f t="shared" si="16"/>
        <v>Q3</v>
      </c>
      <c r="E142" s="360">
        <f t="shared" si="19"/>
        <v>131166.87299999999</v>
      </c>
      <c r="F142" s="360">
        <f t="shared" si="19"/>
        <v>40189.459532165798</v>
      </c>
      <c r="G142" s="360">
        <f t="shared" si="19"/>
        <v>4400.95</v>
      </c>
      <c r="H142" s="360">
        <f t="shared" si="19"/>
        <v>1745.2270000000001</v>
      </c>
      <c r="L142" s="147">
        <f t="shared" si="22"/>
        <v>2036</v>
      </c>
      <c r="M142" s="170" t="str">
        <f t="shared" si="23"/>
        <v>Q1</v>
      </c>
      <c r="N142" s="170" t="str">
        <f t="shared" si="17"/>
        <v>2036Q1</v>
      </c>
      <c r="O142" s="175">
        <v>227897.829</v>
      </c>
      <c r="P142" s="233">
        <v>2062.277</v>
      </c>
      <c r="Q142" s="233">
        <v>2062.277</v>
      </c>
      <c r="R142" s="180">
        <v>70857.293052576584</v>
      </c>
      <c r="S142" s="180"/>
      <c r="T142" s="235">
        <f t="shared" si="20"/>
        <v>5127.8339999999998</v>
      </c>
      <c r="U142" s="180">
        <v>614.08197123421837</v>
      </c>
      <c r="V142" s="180">
        <v>5127.8339999999998</v>
      </c>
      <c r="W142" s="170">
        <f t="shared" si="21"/>
        <v>0.29776890846099646</v>
      </c>
      <c r="X142" s="170">
        <f t="shared" si="21"/>
        <v>2.486491387917336</v>
      </c>
    </row>
    <row r="143" spans="1:24" x14ac:dyDescent="0.2">
      <c r="A143" s="147">
        <v>2012</v>
      </c>
      <c r="B143" s="147">
        <v>10</v>
      </c>
      <c r="C143" s="147" t="str">
        <f t="shared" si="18"/>
        <v>201210</v>
      </c>
      <c r="D143" s="147" t="str">
        <f t="shared" ref="D143:D206" si="24">D131</f>
        <v>Q4</v>
      </c>
      <c r="E143" s="360">
        <f t="shared" si="19"/>
        <v>132095.09099999999</v>
      </c>
      <c r="F143" s="360">
        <f t="shared" si="19"/>
        <v>40421.283791564252</v>
      </c>
      <c r="G143" s="360">
        <f t="shared" si="19"/>
        <v>4407.7280000000001</v>
      </c>
      <c r="H143" s="360">
        <f t="shared" si="19"/>
        <v>1748.2629999999999</v>
      </c>
      <c r="L143" s="147">
        <f t="shared" si="22"/>
        <v>2036</v>
      </c>
      <c r="M143" s="170" t="str">
        <f t="shared" si="23"/>
        <v>Q2</v>
      </c>
      <c r="N143" s="170" t="str">
        <f t="shared" si="17"/>
        <v>2036Q2</v>
      </c>
      <c r="O143" s="175">
        <v>228888.74400000001</v>
      </c>
      <c r="P143" s="233">
        <v>2065.558</v>
      </c>
      <c r="Q143" s="233">
        <v>2065.558</v>
      </c>
      <c r="R143" s="180">
        <v>71135.634899548866</v>
      </c>
      <c r="S143" s="180"/>
      <c r="T143" s="235">
        <f t="shared" si="20"/>
        <v>5134.5159999999996</v>
      </c>
      <c r="U143" s="180">
        <v>615.31963809007061</v>
      </c>
      <c r="V143" s="180">
        <v>5134.5159999999996</v>
      </c>
      <c r="W143" s="170">
        <f t="shared" si="21"/>
        <v>0.29789511506821431</v>
      </c>
      <c r="X143" s="170">
        <f t="shared" si="21"/>
        <v>2.4857767247397553</v>
      </c>
    </row>
    <row r="144" spans="1:24" x14ac:dyDescent="0.2">
      <c r="A144" s="147">
        <v>2012</v>
      </c>
      <c r="B144" s="147">
        <v>11</v>
      </c>
      <c r="C144" s="147" t="str">
        <f t="shared" si="18"/>
        <v>201211</v>
      </c>
      <c r="D144" s="147" t="str">
        <f t="shared" si="24"/>
        <v>Q4</v>
      </c>
      <c r="E144" s="360">
        <f t="shared" si="19"/>
        <v>132095.09099999999</v>
      </c>
      <c r="F144" s="360">
        <f t="shared" si="19"/>
        <v>40421.283791564252</v>
      </c>
      <c r="G144" s="360">
        <f t="shared" si="19"/>
        <v>4407.7280000000001</v>
      </c>
      <c r="H144" s="360">
        <f t="shared" si="19"/>
        <v>1748.2629999999999</v>
      </c>
      <c r="L144" s="147">
        <f t="shared" si="22"/>
        <v>2036</v>
      </c>
      <c r="M144" s="170" t="str">
        <f t="shared" si="23"/>
        <v>Q3</v>
      </c>
      <c r="N144" s="170" t="str">
        <f t="shared" si="17"/>
        <v>2036Q3</v>
      </c>
      <c r="O144" s="175">
        <v>229812.7</v>
      </c>
      <c r="P144" s="233">
        <v>2068.8319999999999</v>
      </c>
      <c r="Q144" s="233">
        <v>2068.8319999999999</v>
      </c>
      <c r="R144" s="180">
        <v>71458.151592626236</v>
      </c>
      <c r="S144" s="180"/>
      <c r="T144" s="235">
        <f t="shared" si="20"/>
        <v>5141.1930000000002</v>
      </c>
      <c r="U144" s="180">
        <v>616.55778084099461</v>
      </c>
      <c r="V144" s="180">
        <v>5141.1930000000002</v>
      </c>
      <c r="W144" s="170">
        <f t="shared" si="21"/>
        <v>0.29802215976985791</v>
      </c>
      <c r="X144" s="170">
        <f t="shared" si="21"/>
        <v>2.4850703198713093</v>
      </c>
    </row>
    <row r="145" spans="1:24" x14ac:dyDescent="0.2">
      <c r="A145" s="147">
        <v>2012</v>
      </c>
      <c r="B145" s="147">
        <v>12</v>
      </c>
      <c r="C145" s="147" t="str">
        <f t="shared" si="18"/>
        <v>201212</v>
      </c>
      <c r="D145" s="147" t="str">
        <f t="shared" si="24"/>
        <v>Q4</v>
      </c>
      <c r="E145" s="360">
        <f t="shared" si="19"/>
        <v>132095.09099999999</v>
      </c>
      <c r="F145" s="360">
        <f t="shared" si="19"/>
        <v>40421.283791564252</v>
      </c>
      <c r="G145" s="360">
        <f t="shared" si="19"/>
        <v>4407.7280000000001</v>
      </c>
      <c r="H145" s="360">
        <f t="shared" si="19"/>
        <v>1748.2629999999999</v>
      </c>
      <c r="L145" s="147">
        <f t="shared" si="22"/>
        <v>2036</v>
      </c>
      <c r="M145" s="170" t="str">
        <f t="shared" si="23"/>
        <v>Q4</v>
      </c>
      <c r="N145" s="170" t="str">
        <f t="shared" si="17"/>
        <v>2036Q4</v>
      </c>
      <c r="O145" s="175">
        <v>230688.69399999999</v>
      </c>
      <c r="P145" s="233">
        <v>2072.0839999999998</v>
      </c>
      <c r="Q145" s="233">
        <v>2072.0839999999998</v>
      </c>
      <c r="R145" s="180">
        <v>71824.680357699355</v>
      </c>
      <c r="S145" s="180"/>
      <c r="T145" s="235">
        <f t="shared" si="20"/>
        <v>5147.8509999999997</v>
      </c>
      <c r="U145" s="180">
        <v>617.79489039157602</v>
      </c>
      <c r="V145" s="180">
        <v>5147.8509999999997</v>
      </c>
      <c r="W145" s="170">
        <f t="shared" si="21"/>
        <v>0.29815146991703817</v>
      </c>
      <c r="X145" s="170">
        <f t="shared" si="21"/>
        <v>2.484383355114947</v>
      </c>
    </row>
    <row r="146" spans="1:24" x14ac:dyDescent="0.2">
      <c r="A146" s="147">
        <v>2013</v>
      </c>
      <c r="B146" s="147">
        <v>1</v>
      </c>
      <c r="C146" s="147" t="str">
        <f t="shared" si="18"/>
        <v>20131</v>
      </c>
      <c r="D146" s="147" t="str">
        <f t="shared" si="24"/>
        <v>Q1</v>
      </c>
      <c r="E146" s="360">
        <f t="shared" si="19"/>
        <v>132729.997</v>
      </c>
      <c r="F146" s="360">
        <f t="shared" si="19"/>
        <v>40466.045989246653</v>
      </c>
      <c r="G146" s="360">
        <f t="shared" si="19"/>
        <v>4414.6940000000004</v>
      </c>
      <c r="H146" s="360">
        <f t="shared" si="19"/>
        <v>1751.194</v>
      </c>
      <c r="L146" s="147">
        <f t="shared" si="22"/>
        <v>2037</v>
      </c>
      <c r="M146" s="170" t="str">
        <f t="shared" si="23"/>
        <v>Q1</v>
      </c>
      <c r="N146" s="170" t="str">
        <f t="shared" si="17"/>
        <v>2037Q1</v>
      </c>
      <c r="O146" s="175">
        <v>232435.19899999999</v>
      </c>
      <c r="P146" s="233">
        <v>2076.9920000000002</v>
      </c>
      <c r="Q146" s="233">
        <v>2076.9920000000002</v>
      </c>
      <c r="R146" s="180">
        <v>72447.763150773302</v>
      </c>
      <c r="S146" s="180"/>
      <c r="T146" s="235">
        <f t="shared" si="20"/>
        <v>5154.5029999999997</v>
      </c>
      <c r="U146" s="180">
        <v>619.09722489805438</v>
      </c>
      <c r="V146" s="180">
        <v>5154.5029999999997</v>
      </c>
      <c r="W146" s="170">
        <f t="shared" si="21"/>
        <v>0.2980739573855144</v>
      </c>
      <c r="X146" s="170">
        <f t="shared" si="21"/>
        <v>2.4817153845561268</v>
      </c>
    </row>
    <row r="147" spans="1:24" x14ac:dyDescent="0.2">
      <c r="A147" s="147">
        <v>2013</v>
      </c>
      <c r="B147" s="147">
        <v>2</v>
      </c>
      <c r="C147" s="147" t="str">
        <f t="shared" si="18"/>
        <v>20132</v>
      </c>
      <c r="D147" s="147" t="str">
        <f t="shared" si="24"/>
        <v>Q1</v>
      </c>
      <c r="E147" s="360">
        <f t="shared" si="19"/>
        <v>132729.997</v>
      </c>
      <c r="F147" s="360">
        <f t="shared" si="19"/>
        <v>40466.045989246653</v>
      </c>
      <c r="G147" s="360">
        <f t="shared" si="19"/>
        <v>4414.6940000000004</v>
      </c>
      <c r="H147" s="360">
        <f t="shared" si="19"/>
        <v>1751.194</v>
      </c>
      <c r="L147" s="147">
        <f t="shared" si="22"/>
        <v>2037</v>
      </c>
      <c r="M147" s="170" t="str">
        <f t="shared" si="23"/>
        <v>Q2</v>
      </c>
      <c r="N147" s="170" t="str">
        <f t="shared" si="17"/>
        <v>2037Q2</v>
      </c>
      <c r="O147" s="175">
        <v>233443.413</v>
      </c>
      <c r="P147" s="233">
        <v>2079.442</v>
      </c>
      <c r="Q147" s="233">
        <v>2079.442</v>
      </c>
      <c r="R147" s="180">
        <v>72741.245498345263</v>
      </c>
      <c r="S147" s="180"/>
      <c r="T147" s="235">
        <f t="shared" si="20"/>
        <v>5161.152</v>
      </c>
      <c r="U147" s="180">
        <v>620.33591978819868</v>
      </c>
      <c r="V147" s="180">
        <v>5161.152</v>
      </c>
      <c r="W147" s="170">
        <f t="shared" si="21"/>
        <v>0.2983184526369087</v>
      </c>
      <c r="X147" s="170">
        <f t="shared" si="21"/>
        <v>2.4819889181809351</v>
      </c>
    </row>
    <row r="148" spans="1:24" x14ac:dyDescent="0.2">
      <c r="A148" s="147">
        <v>2013</v>
      </c>
      <c r="B148" s="147">
        <v>3</v>
      </c>
      <c r="C148" s="147" t="str">
        <f t="shared" si="18"/>
        <v>20133</v>
      </c>
      <c r="D148" s="147" t="str">
        <f t="shared" si="24"/>
        <v>Q1</v>
      </c>
      <c r="E148" s="360">
        <f t="shared" si="19"/>
        <v>132729.997</v>
      </c>
      <c r="F148" s="360">
        <f t="shared" si="19"/>
        <v>40466.045989246653</v>
      </c>
      <c r="G148" s="360">
        <f t="shared" si="19"/>
        <v>4414.6940000000004</v>
      </c>
      <c r="H148" s="360">
        <f t="shared" si="19"/>
        <v>1751.194</v>
      </c>
      <c r="L148" s="147">
        <f t="shared" si="22"/>
        <v>2037</v>
      </c>
      <c r="M148" s="170" t="str">
        <f t="shared" si="23"/>
        <v>Q3</v>
      </c>
      <c r="N148" s="170" t="str">
        <f t="shared" si="17"/>
        <v>2037Q3</v>
      </c>
      <c r="O148" s="175">
        <v>234353.842</v>
      </c>
      <c r="P148" s="233">
        <v>2082.4160000000002</v>
      </c>
      <c r="Q148" s="233">
        <v>2082.4160000000002</v>
      </c>
      <c r="R148" s="180">
        <v>73102.722593319864</v>
      </c>
      <c r="S148" s="180"/>
      <c r="T148" s="235">
        <f t="shared" si="20"/>
        <v>5167.8109999999997</v>
      </c>
      <c r="U148" s="180">
        <v>621.57704803638842</v>
      </c>
      <c r="V148" s="180">
        <v>5167.8109999999997</v>
      </c>
      <c r="W148" s="170">
        <f t="shared" si="21"/>
        <v>0.29848841347568805</v>
      </c>
      <c r="X148" s="170">
        <f t="shared" si="21"/>
        <v>2.4816419966039445</v>
      </c>
    </row>
    <row r="149" spans="1:24" x14ac:dyDescent="0.2">
      <c r="A149" s="147">
        <v>2013</v>
      </c>
      <c r="B149" s="147">
        <v>4</v>
      </c>
      <c r="C149" s="147" t="str">
        <f t="shared" si="18"/>
        <v>20134</v>
      </c>
      <c r="D149" s="147" t="str">
        <f t="shared" si="24"/>
        <v>Q2</v>
      </c>
      <c r="E149" s="360">
        <f t="shared" si="19"/>
        <v>133712.25599999999</v>
      </c>
      <c r="F149" s="360">
        <f t="shared" si="19"/>
        <v>40674.221991986815</v>
      </c>
      <c r="G149" s="360">
        <f t="shared" si="19"/>
        <v>4421.8450000000003</v>
      </c>
      <c r="H149" s="360">
        <f t="shared" si="19"/>
        <v>1754.297</v>
      </c>
      <c r="L149" s="147">
        <f t="shared" si="22"/>
        <v>2037</v>
      </c>
      <c r="M149" s="170" t="str">
        <f t="shared" si="23"/>
        <v>Q4</v>
      </c>
      <c r="N149" s="170" t="str">
        <f t="shared" si="17"/>
        <v>2037Q4</v>
      </c>
      <c r="O149" s="175">
        <v>235229.45199999999</v>
      </c>
      <c r="P149" s="233">
        <v>2085.3620000000001</v>
      </c>
      <c r="Q149" s="233">
        <v>2085.3620000000001</v>
      </c>
      <c r="R149" s="180">
        <v>73402.360419798119</v>
      </c>
      <c r="S149" s="180"/>
      <c r="T149" s="235">
        <f t="shared" si="20"/>
        <v>5174.4539999999997</v>
      </c>
      <c r="U149" s="180">
        <v>622.81751671910899</v>
      </c>
      <c r="V149" s="180">
        <v>5174.4539999999997</v>
      </c>
      <c r="W149" s="170">
        <f t="shared" si="21"/>
        <v>0.29866158332179688</v>
      </c>
      <c r="X149" s="170">
        <f t="shared" si="21"/>
        <v>2.4813217081734487</v>
      </c>
    </row>
    <row r="150" spans="1:24" x14ac:dyDescent="0.2">
      <c r="A150" s="147">
        <v>2013</v>
      </c>
      <c r="B150" s="147">
        <v>5</v>
      </c>
      <c r="C150" s="147" t="str">
        <f t="shared" si="18"/>
        <v>20135</v>
      </c>
      <c r="D150" s="147" t="str">
        <f t="shared" si="24"/>
        <v>Q2</v>
      </c>
      <c r="E150" s="360">
        <f t="shared" si="19"/>
        <v>133712.25599999999</v>
      </c>
      <c r="F150" s="360">
        <f t="shared" si="19"/>
        <v>40674.221991986815</v>
      </c>
      <c r="G150" s="360">
        <f t="shared" si="19"/>
        <v>4421.8450000000003</v>
      </c>
      <c r="H150" s="360">
        <f t="shared" si="19"/>
        <v>1754.297</v>
      </c>
      <c r="L150" s="147">
        <f t="shared" si="22"/>
        <v>2038</v>
      </c>
      <c r="M150" s="170" t="str">
        <f t="shared" si="23"/>
        <v>Q1</v>
      </c>
      <c r="N150" s="170" t="str">
        <f t="shared" si="17"/>
        <v>2038Q1</v>
      </c>
      <c r="O150" s="175">
        <v>237001.329</v>
      </c>
      <c r="P150" s="233">
        <v>2088.3440000000001</v>
      </c>
      <c r="Q150" s="233">
        <v>2088.3440000000001</v>
      </c>
      <c r="R150" s="180">
        <v>74168.296997856392</v>
      </c>
      <c r="S150" s="180"/>
      <c r="T150" s="235">
        <f t="shared" si="20"/>
        <v>5181.1000000000004</v>
      </c>
      <c r="U150" s="180">
        <v>624.12307531534395</v>
      </c>
      <c r="V150" s="180">
        <v>5181.1000000000004</v>
      </c>
      <c r="W150" s="170">
        <f t="shared" si="21"/>
        <v>0.29886028131157699</v>
      </c>
      <c r="X150" s="170">
        <f t="shared" si="21"/>
        <v>2.480960991101083</v>
      </c>
    </row>
    <row r="151" spans="1:24" x14ac:dyDescent="0.2">
      <c r="A151" s="147">
        <v>2013</v>
      </c>
      <c r="B151" s="147">
        <v>6</v>
      </c>
      <c r="C151" s="147" t="str">
        <f t="shared" si="18"/>
        <v>20136</v>
      </c>
      <c r="D151" s="147" t="str">
        <f t="shared" si="24"/>
        <v>Q2</v>
      </c>
      <c r="E151" s="360">
        <f t="shared" si="19"/>
        <v>133712.25599999999</v>
      </c>
      <c r="F151" s="360">
        <f t="shared" si="19"/>
        <v>40674.221991986815</v>
      </c>
      <c r="G151" s="360">
        <f t="shared" si="19"/>
        <v>4421.8450000000003</v>
      </c>
      <c r="H151" s="360">
        <f t="shared" si="19"/>
        <v>1754.297</v>
      </c>
      <c r="L151" s="147">
        <f t="shared" si="22"/>
        <v>2038</v>
      </c>
      <c r="M151" s="170" t="str">
        <f t="shared" si="23"/>
        <v>Q2</v>
      </c>
      <c r="N151" s="170" t="str">
        <f t="shared" si="17"/>
        <v>2038Q2</v>
      </c>
      <c r="O151" s="175">
        <v>237918.01</v>
      </c>
      <c r="P151" s="233">
        <v>2091.375</v>
      </c>
      <c r="Q151" s="233">
        <v>2091.375</v>
      </c>
      <c r="R151" s="180">
        <v>74450.486243109015</v>
      </c>
      <c r="S151" s="180"/>
      <c r="T151" s="235">
        <f t="shared" si="20"/>
        <v>5187.7489999999998</v>
      </c>
      <c r="U151" s="180">
        <v>625.36688214467949</v>
      </c>
      <c r="V151" s="180">
        <v>5187.7489999999998</v>
      </c>
      <c r="W151" s="170">
        <f t="shared" si="21"/>
        <v>0.29902187897659649</v>
      </c>
      <c r="X151" s="170">
        <f t="shared" si="21"/>
        <v>2.4805446177753869</v>
      </c>
    </row>
    <row r="152" spans="1:24" x14ac:dyDescent="0.2">
      <c r="A152" s="147">
        <v>2013</v>
      </c>
      <c r="B152" s="147">
        <v>7</v>
      </c>
      <c r="C152" s="147" t="str">
        <f t="shared" si="18"/>
        <v>20137</v>
      </c>
      <c r="D152" s="147" t="str">
        <f t="shared" si="24"/>
        <v>Q3</v>
      </c>
      <c r="E152" s="360">
        <f t="shared" si="19"/>
        <v>134397.17499999999</v>
      </c>
      <c r="F152" s="360">
        <f t="shared" si="19"/>
        <v>40887.017192114734</v>
      </c>
      <c r="G152" s="360">
        <f t="shared" si="19"/>
        <v>4429.1769999999997</v>
      </c>
      <c r="H152" s="360">
        <f t="shared" si="19"/>
        <v>1757.2080000000001</v>
      </c>
      <c r="L152" s="147">
        <f t="shared" si="22"/>
        <v>2038</v>
      </c>
      <c r="M152" s="170" t="str">
        <f t="shared" si="23"/>
        <v>Q3</v>
      </c>
      <c r="N152" s="170" t="str">
        <f t="shared" si="17"/>
        <v>2038Q3</v>
      </c>
      <c r="O152" s="175">
        <v>238774.076</v>
      </c>
      <c r="P152" s="233">
        <v>2094.3809999999999</v>
      </c>
      <c r="Q152" s="233">
        <v>2094.3809999999999</v>
      </c>
      <c r="R152" s="180">
        <v>74816.632055130074</v>
      </c>
      <c r="S152" s="180"/>
      <c r="T152" s="235">
        <f t="shared" si="20"/>
        <v>5194.402</v>
      </c>
      <c r="U152" s="180">
        <v>626.6757622102748</v>
      </c>
      <c r="V152" s="180">
        <v>5194.402</v>
      </c>
      <c r="W152" s="170">
        <f t="shared" si="21"/>
        <v>0.29921765056609795</v>
      </c>
      <c r="X152" s="170">
        <f t="shared" si="21"/>
        <v>2.4801609640270801</v>
      </c>
    </row>
    <row r="153" spans="1:24" x14ac:dyDescent="0.2">
      <c r="A153" s="147">
        <v>2013</v>
      </c>
      <c r="B153" s="147">
        <v>8</v>
      </c>
      <c r="C153" s="147" t="str">
        <f t="shared" si="18"/>
        <v>20138</v>
      </c>
      <c r="D153" s="147" t="str">
        <f t="shared" si="24"/>
        <v>Q3</v>
      </c>
      <c r="E153" s="360">
        <f t="shared" si="19"/>
        <v>134397.17499999999</v>
      </c>
      <c r="F153" s="360">
        <f t="shared" si="19"/>
        <v>40887.017192114734</v>
      </c>
      <c r="G153" s="360">
        <f t="shared" si="19"/>
        <v>4429.1769999999997</v>
      </c>
      <c r="H153" s="360">
        <f t="shared" si="19"/>
        <v>1757.2080000000001</v>
      </c>
      <c r="L153" s="147">
        <f t="shared" si="22"/>
        <v>2038</v>
      </c>
      <c r="M153" s="170" t="str">
        <f t="shared" si="23"/>
        <v>Q4</v>
      </c>
      <c r="N153" s="170" t="str">
        <f t="shared" si="17"/>
        <v>2038Q4</v>
      </c>
      <c r="O153" s="175">
        <v>239533.158</v>
      </c>
      <c r="P153" s="233">
        <v>2097.3989999999999</v>
      </c>
      <c r="Q153" s="233">
        <v>2097.3989999999999</v>
      </c>
      <c r="R153" s="180">
        <v>75064.067244100908</v>
      </c>
      <c r="S153" s="180"/>
      <c r="T153" s="235">
        <f t="shared" si="20"/>
        <v>5201.0860000000002</v>
      </c>
      <c r="U153" s="180">
        <v>627.92641844128025</v>
      </c>
      <c r="V153" s="180">
        <v>5201.0860000000002</v>
      </c>
      <c r="W153" s="170">
        <f t="shared" si="21"/>
        <v>0.29938338792060082</v>
      </c>
      <c r="X153" s="170">
        <f t="shared" si="21"/>
        <v>2.479779002469249</v>
      </c>
    </row>
    <row r="154" spans="1:24" x14ac:dyDescent="0.2">
      <c r="A154" s="147">
        <v>2013</v>
      </c>
      <c r="B154" s="147">
        <v>9</v>
      </c>
      <c r="C154" s="147" t="str">
        <f t="shared" si="18"/>
        <v>20139</v>
      </c>
      <c r="D154" s="147" t="str">
        <f t="shared" si="24"/>
        <v>Q3</v>
      </c>
      <c r="E154" s="360">
        <f t="shared" si="19"/>
        <v>134397.17499999999</v>
      </c>
      <c r="F154" s="360">
        <f t="shared" si="19"/>
        <v>40887.017192114734</v>
      </c>
      <c r="G154" s="360">
        <f t="shared" si="19"/>
        <v>4429.1769999999997</v>
      </c>
      <c r="H154" s="360">
        <f t="shared" si="19"/>
        <v>1757.2080000000001</v>
      </c>
      <c r="L154" s="147">
        <f t="shared" si="22"/>
        <v>2039</v>
      </c>
      <c r="M154" s="170" t="str">
        <f t="shared" si="23"/>
        <v>Q1</v>
      </c>
      <c r="N154" s="170" t="str">
        <f t="shared" si="17"/>
        <v>2039Q1</v>
      </c>
      <c r="O154" s="175">
        <v>241255.864</v>
      </c>
      <c r="P154" s="233">
        <v>2100.3829999999998</v>
      </c>
      <c r="Q154" s="233">
        <v>2100.3829999999998</v>
      </c>
      <c r="R154" s="180">
        <v>75840.568404815305</v>
      </c>
      <c r="S154" s="180"/>
      <c r="T154" s="235">
        <f t="shared" si="20"/>
        <v>5207.7619999999997</v>
      </c>
      <c r="U154" s="180">
        <v>629.17800150538812</v>
      </c>
      <c r="V154" s="180">
        <v>5207.7619999999997</v>
      </c>
      <c r="W154" s="170">
        <f t="shared" si="21"/>
        <v>0.29955393921269985</v>
      </c>
      <c r="X154" s="170">
        <f t="shared" si="21"/>
        <v>2.4794344650475653</v>
      </c>
    </row>
    <row r="155" spans="1:24" x14ac:dyDescent="0.2">
      <c r="A155" s="147">
        <v>2013</v>
      </c>
      <c r="B155" s="147">
        <v>10</v>
      </c>
      <c r="C155" s="147" t="str">
        <f t="shared" si="18"/>
        <v>201310</v>
      </c>
      <c r="D155" s="147" t="str">
        <f t="shared" si="24"/>
        <v>Q4</v>
      </c>
      <c r="E155" s="360">
        <f t="shared" si="19"/>
        <v>135147.93599999999</v>
      </c>
      <c r="F155" s="360">
        <f t="shared" si="19"/>
        <v>41128.895775846191</v>
      </c>
      <c r="G155" s="360">
        <f t="shared" si="19"/>
        <v>4436.7079999999996</v>
      </c>
      <c r="H155" s="360">
        <f t="shared" si="19"/>
        <v>1760.5619999999999</v>
      </c>
      <c r="L155" s="147">
        <f t="shared" si="22"/>
        <v>2039</v>
      </c>
      <c r="M155" s="170" t="str">
        <f t="shared" si="23"/>
        <v>Q2</v>
      </c>
      <c r="N155" s="170" t="str">
        <f t="shared" si="17"/>
        <v>2039Q2</v>
      </c>
      <c r="O155" s="175">
        <v>242089.55</v>
      </c>
      <c r="P155" s="233">
        <v>2103.498</v>
      </c>
      <c r="Q155" s="233">
        <v>2103.498</v>
      </c>
      <c r="R155" s="180">
        <v>76141.322355622717</v>
      </c>
      <c r="S155" s="180"/>
      <c r="T155" s="235">
        <f t="shared" si="20"/>
        <v>5214.4319999999998</v>
      </c>
      <c r="U155" s="180">
        <v>630.42944147805736</v>
      </c>
      <c r="V155" s="180">
        <v>5214.4319999999998</v>
      </c>
      <c r="W155" s="170">
        <f t="shared" si="21"/>
        <v>0.29970527258787855</v>
      </c>
      <c r="X155" s="170">
        <f t="shared" si="21"/>
        <v>2.4789336619288442</v>
      </c>
    </row>
    <row r="156" spans="1:24" x14ac:dyDescent="0.2">
      <c r="A156" s="147">
        <v>2013</v>
      </c>
      <c r="B156" s="147">
        <v>11</v>
      </c>
      <c r="C156" s="147" t="str">
        <f t="shared" si="18"/>
        <v>201311</v>
      </c>
      <c r="D156" s="147" t="str">
        <f t="shared" si="24"/>
        <v>Q4</v>
      </c>
      <c r="E156" s="360">
        <f t="shared" si="19"/>
        <v>135147.93599999999</v>
      </c>
      <c r="F156" s="360">
        <f t="shared" si="19"/>
        <v>41128.895775846191</v>
      </c>
      <c r="G156" s="360">
        <f t="shared" si="19"/>
        <v>4436.7079999999996</v>
      </c>
      <c r="H156" s="360">
        <f t="shared" si="19"/>
        <v>1760.5619999999999</v>
      </c>
      <c r="L156" s="147">
        <f t="shared" si="22"/>
        <v>2039</v>
      </c>
      <c r="M156" s="170" t="str">
        <f t="shared" si="23"/>
        <v>Q3</v>
      </c>
      <c r="N156" s="170" t="str">
        <f t="shared" si="17"/>
        <v>2039Q3</v>
      </c>
      <c r="O156" s="175">
        <v>242952.587</v>
      </c>
      <c r="P156" s="233">
        <v>2106.587</v>
      </c>
      <c r="Q156" s="233">
        <v>2106.587</v>
      </c>
      <c r="R156" s="180">
        <v>76492.965770602008</v>
      </c>
      <c r="S156" s="180"/>
      <c r="T156" s="235">
        <f t="shared" si="20"/>
        <v>5221.0969999999998</v>
      </c>
      <c r="U156" s="180">
        <v>631.80927700202119</v>
      </c>
      <c r="V156" s="180">
        <v>5221.0969999999998</v>
      </c>
      <c r="W156" s="170">
        <f t="shared" si="21"/>
        <v>0.29992080887332029</v>
      </c>
      <c r="X156" s="170">
        <f t="shared" si="21"/>
        <v>2.4784625557833593</v>
      </c>
    </row>
    <row r="157" spans="1:24" x14ac:dyDescent="0.2">
      <c r="A157" s="147">
        <v>2013</v>
      </c>
      <c r="B157" s="147">
        <v>12</v>
      </c>
      <c r="C157" s="147" t="str">
        <f t="shared" si="18"/>
        <v>201312</v>
      </c>
      <c r="D157" s="147" t="str">
        <f t="shared" si="24"/>
        <v>Q4</v>
      </c>
      <c r="E157" s="360">
        <f t="shared" si="19"/>
        <v>135147.93599999999</v>
      </c>
      <c r="F157" s="360">
        <f t="shared" si="19"/>
        <v>41128.895775846191</v>
      </c>
      <c r="G157" s="360">
        <f t="shared" si="19"/>
        <v>4436.7079999999996</v>
      </c>
      <c r="H157" s="360">
        <f t="shared" si="19"/>
        <v>1760.5619999999999</v>
      </c>
      <c r="L157" s="147">
        <f t="shared" si="22"/>
        <v>2039</v>
      </c>
      <c r="M157" s="170" t="str">
        <f t="shared" si="23"/>
        <v>Q4</v>
      </c>
      <c r="N157" s="170" t="str">
        <f t="shared" si="17"/>
        <v>2039Q4</v>
      </c>
      <c r="O157" s="175">
        <v>243706.79399999999</v>
      </c>
      <c r="P157" s="233">
        <v>2109.66</v>
      </c>
      <c r="Q157" s="233">
        <v>2109.66</v>
      </c>
      <c r="R157" s="180">
        <v>76695.004703515413</v>
      </c>
      <c r="S157" s="180"/>
      <c r="T157" s="235">
        <f t="shared" si="20"/>
        <v>5227.7560000000003</v>
      </c>
      <c r="U157" s="180">
        <v>633.06216126926881</v>
      </c>
      <c r="V157" s="180">
        <v>5227.7560000000003</v>
      </c>
      <c r="W157" s="170">
        <f t="shared" si="21"/>
        <v>0.30007781408817952</v>
      </c>
      <c r="X157" s="170">
        <f t="shared" si="21"/>
        <v>2.4780087786657568</v>
      </c>
    </row>
    <row r="158" spans="1:24" x14ac:dyDescent="0.2">
      <c r="A158" s="147">
        <v>2014</v>
      </c>
      <c r="B158" s="147">
        <v>1</v>
      </c>
      <c r="C158" s="147" t="str">
        <f t="shared" si="18"/>
        <v>20141</v>
      </c>
      <c r="D158" s="147" t="str">
        <f t="shared" si="24"/>
        <v>Q1</v>
      </c>
      <c r="E158" s="360">
        <f t="shared" si="19"/>
        <v>136646.935</v>
      </c>
      <c r="F158" s="360">
        <f t="shared" si="19"/>
        <v>41502.915812465311</v>
      </c>
      <c r="G158" s="360">
        <f t="shared" si="19"/>
        <v>4444.3590000000004</v>
      </c>
      <c r="H158" s="360">
        <f t="shared" si="19"/>
        <v>1763.893</v>
      </c>
      <c r="L158" s="147">
        <f t="shared" si="22"/>
        <v>2040</v>
      </c>
      <c r="M158" s="170" t="str">
        <f t="shared" si="23"/>
        <v>Q1</v>
      </c>
      <c r="N158" s="170" t="str">
        <f t="shared" si="17"/>
        <v>2040Q1</v>
      </c>
      <c r="O158" s="175">
        <v>245424.038</v>
      </c>
      <c r="P158" s="233">
        <v>2112.6480000000001</v>
      </c>
      <c r="Q158" s="233">
        <v>2112.6480000000001</v>
      </c>
      <c r="R158" s="180">
        <v>77513.638711835636</v>
      </c>
      <c r="S158" s="180"/>
      <c r="T158" s="235">
        <f t="shared" si="20"/>
        <v>5234.41</v>
      </c>
      <c r="U158" s="180">
        <v>634.25135022203006</v>
      </c>
      <c r="V158" s="180">
        <v>5234.41</v>
      </c>
      <c r="W158" s="170">
        <f t="shared" si="21"/>
        <v>0.30021629264412719</v>
      </c>
      <c r="X158" s="170">
        <f t="shared" si="21"/>
        <v>2.4776536365736268</v>
      </c>
    </row>
    <row r="159" spans="1:24" x14ac:dyDescent="0.2">
      <c r="A159" s="147">
        <v>2014</v>
      </c>
      <c r="B159" s="147">
        <v>2</v>
      </c>
      <c r="C159" s="147" t="str">
        <f t="shared" si="18"/>
        <v>20142</v>
      </c>
      <c r="D159" s="147" t="str">
        <f t="shared" si="24"/>
        <v>Q1</v>
      </c>
      <c r="E159" s="360">
        <f t="shared" si="19"/>
        <v>136646.935</v>
      </c>
      <c r="F159" s="360">
        <f t="shared" si="19"/>
        <v>41502.915812465311</v>
      </c>
      <c r="G159" s="360">
        <f t="shared" si="19"/>
        <v>4444.3590000000004</v>
      </c>
      <c r="H159" s="360">
        <f t="shared" si="19"/>
        <v>1763.893</v>
      </c>
      <c r="L159" s="147">
        <f t="shared" si="22"/>
        <v>2040</v>
      </c>
      <c r="M159" s="170" t="str">
        <f t="shared" si="23"/>
        <v>Q2</v>
      </c>
      <c r="N159" s="170" t="str">
        <f t="shared" si="17"/>
        <v>2040Q2</v>
      </c>
      <c r="O159" s="175">
        <v>246375.226</v>
      </c>
      <c r="P159" s="233">
        <v>2115.703</v>
      </c>
      <c r="Q159" s="233">
        <v>2115.703</v>
      </c>
      <c r="R159" s="180">
        <v>77841.976074505961</v>
      </c>
      <c r="S159" s="180"/>
      <c r="T159" s="235">
        <f t="shared" si="20"/>
        <v>5241.0609999999997</v>
      </c>
      <c r="U159" s="180">
        <v>635.50431009664203</v>
      </c>
      <c r="V159" s="180">
        <v>5241.0609999999997</v>
      </c>
      <c r="W159" s="170">
        <f t="shared" si="21"/>
        <v>0.30037501014870333</v>
      </c>
      <c r="X159" s="170">
        <f t="shared" si="21"/>
        <v>2.477219628652982</v>
      </c>
    </row>
    <row r="160" spans="1:24" x14ac:dyDescent="0.2">
      <c r="A160" s="147">
        <v>2014</v>
      </c>
      <c r="B160" s="147">
        <v>3</v>
      </c>
      <c r="C160" s="147" t="str">
        <f t="shared" si="18"/>
        <v>20143</v>
      </c>
      <c r="D160" s="147" t="str">
        <f t="shared" si="24"/>
        <v>Q1</v>
      </c>
      <c r="E160" s="360">
        <f t="shared" si="19"/>
        <v>136646.935</v>
      </c>
      <c r="F160" s="360">
        <f t="shared" si="19"/>
        <v>41502.915812465311</v>
      </c>
      <c r="G160" s="360">
        <f t="shared" si="19"/>
        <v>4444.3590000000004</v>
      </c>
      <c r="H160" s="360">
        <f t="shared" si="19"/>
        <v>1763.893</v>
      </c>
      <c r="L160" s="147">
        <f t="shared" si="22"/>
        <v>2040</v>
      </c>
      <c r="M160" s="170" t="str">
        <f t="shared" si="23"/>
        <v>Q3</v>
      </c>
      <c r="N160" s="170" t="str">
        <f t="shared" si="17"/>
        <v>2040Q3</v>
      </c>
      <c r="O160" s="175">
        <v>247249.16699999999</v>
      </c>
      <c r="P160" s="233">
        <v>2118.7440000000001</v>
      </c>
      <c r="Q160" s="233">
        <v>2118.7440000000001</v>
      </c>
      <c r="R160" s="180">
        <v>78204.146715535113</v>
      </c>
      <c r="S160" s="180"/>
      <c r="T160" s="235">
        <f t="shared" si="20"/>
        <v>5247.7089999999998</v>
      </c>
      <c r="U160" s="180">
        <v>636.950438588221</v>
      </c>
      <c r="V160" s="180">
        <v>5247.7089999999998</v>
      </c>
      <c r="W160" s="170">
        <f t="shared" si="21"/>
        <v>0.30062642706632842</v>
      </c>
      <c r="X160" s="170">
        <f t="shared" si="21"/>
        <v>2.4768018222116495</v>
      </c>
    </row>
    <row r="161" spans="1:24" x14ac:dyDescent="0.2">
      <c r="A161" s="147">
        <v>2014</v>
      </c>
      <c r="B161" s="147">
        <v>4</v>
      </c>
      <c r="C161" s="147" t="str">
        <f t="shared" si="18"/>
        <v>20144</v>
      </c>
      <c r="D161" s="147" t="str">
        <f t="shared" si="24"/>
        <v>Q2</v>
      </c>
      <c r="E161" s="360">
        <f t="shared" si="19"/>
        <v>137566.70699999999</v>
      </c>
      <c r="F161" s="360">
        <f t="shared" si="19"/>
        <v>41808.34126836736</v>
      </c>
      <c r="G161" s="360">
        <f t="shared" si="19"/>
        <v>4452.1120000000001</v>
      </c>
      <c r="H161" s="360">
        <f t="shared" si="19"/>
        <v>1767.1759999999999</v>
      </c>
      <c r="L161" s="147">
        <f t="shared" si="22"/>
        <v>2040</v>
      </c>
      <c r="M161" s="170" t="str">
        <f t="shared" si="23"/>
        <v>Q4</v>
      </c>
      <c r="N161" s="170" t="str">
        <f t="shared" si="17"/>
        <v>2040Q4</v>
      </c>
      <c r="O161" s="175">
        <v>247944.00599999999</v>
      </c>
      <c r="P161" s="233">
        <v>2121.819</v>
      </c>
      <c r="Q161" s="233">
        <v>2121.819</v>
      </c>
      <c r="R161" s="180">
        <v>78353.210632927832</v>
      </c>
      <c r="S161" s="180"/>
      <c r="T161" s="235">
        <f t="shared" si="20"/>
        <v>5254.3540000000003</v>
      </c>
      <c r="U161" s="180">
        <v>638.20565882033202</v>
      </c>
      <c r="V161" s="180">
        <v>5254.3540000000003</v>
      </c>
      <c r="W161" s="170">
        <f t="shared" si="21"/>
        <v>0.30078232819120387</v>
      </c>
      <c r="X161" s="170">
        <f t="shared" si="21"/>
        <v>2.4763441179478551</v>
      </c>
    </row>
    <row r="162" spans="1:24" x14ac:dyDescent="0.2">
      <c r="A162" s="147">
        <v>2014</v>
      </c>
      <c r="B162" s="147">
        <v>5</v>
      </c>
      <c r="C162" s="147" t="str">
        <f t="shared" si="18"/>
        <v>20145</v>
      </c>
      <c r="D162" s="147" t="str">
        <f t="shared" si="24"/>
        <v>Q2</v>
      </c>
      <c r="E162" s="360">
        <f t="shared" si="19"/>
        <v>137566.70699999999</v>
      </c>
      <c r="F162" s="360">
        <f t="shared" si="19"/>
        <v>41808.34126836736</v>
      </c>
      <c r="G162" s="360">
        <f t="shared" si="19"/>
        <v>4452.1120000000001</v>
      </c>
      <c r="H162" s="360">
        <f t="shared" si="19"/>
        <v>1767.1759999999999</v>
      </c>
      <c r="L162" s="147">
        <f t="shared" si="22"/>
        <v>2041</v>
      </c>
      <c r="M162" s="170" t="str">
        <f t="shared" si="23"/>
        <v>Q1</v>
      </c>
      <c r="N162" s="170" t="str">
        <f t="shared" si="17"/>
        <v>2041Q1</v>
      </c>
      <c r="O162" s="179">
        <v>249612.27900000001</v>
      </c>
      <c r="P162" s="234">
        <v>2125.2959999999998</v>
      </c>
      <c r="Q162" s="234">
        <v>2125.2959999999998</v>
      </c>
      <c r="R162" s="180">
        <v>79359.287038077135</v>
      </c>
      <c r="S162" s="180"/>
      <c r="T162" s="235">
        <f t="shared" si="20"/>
        <v>5261</v>
      </c>
      <c r="U162" s="180">
        <v>639.33871660719103</v>
      </c>
      <c r="V162" s="180">
        <v>5261</v>
      </c>
      <c r="W162" s="170">
        <f t="shared" si="21"/>
        <v>0.30082337547672938</v>
      </c>
      <c r="X162" s="170">
        <f t="shared" si="21"/>
        <v>2.4754198944523496</v>
      </c>
    </row>
    <row r="163" spans="1:24" x14ac:dyDescent="0.2">
      <c r="A163" s="147">
        <v>2014</v>
      </c>
      <c r="B163" s="147">
        <v>6</v>
      </c>
      <c r="C163" s="147" t="str">
        <f t="shared" si="18"/>
        <v>20146</v>
      </c>
      <c r="D163" s="147" t="str">
        <f t="shared" si="24"/>
        <v>Q2</v>
      </c>
      <c r="E163" s="360">
        <f t="shared" si="19"/>
        <v>137566.70699999999</v>
      </c>
      <c r="F163" s="360">
        <f t="shared" si="19"/>
        <v>41808.34126836736</v>
      </c>
      <c r="G163" s="360">
        <f t="shared" si="19"/>
        <v>4452.1120000000001</v>
      </c>
      <c r="H163" s="360">
        <f t="shared" si="19"/>
        <v>1767.1759999999999</v>
      </c>
      <c r="L163" s="147">
        <f t="shared" si="22"/>
        <v>2041</v>
      </c>
      <c r="M163" s="170" t="str">
        <f t="shared" si="23"/>
        <v>Q2</v>
      </c>
      <c r="N163" s="170" t="str">
        <f t="shared" si="17"/>
        <v>2041Q2</v>
      </c>
      <c r="O163" s="179">
        <v>250429.492</v>
      </c>
      <c r="P163" s="234">
        <v>2128.549</v>
      </c>
      <c r="Q163" s="234">
        <v>2128.549</v>
      </c>
      <c r="R163" s="180">
        <v>79663.055240366433</v>
      </c>
      <c r="S163" s="180"/>
      <c r="T163" s="235">
        <f t="shared" si="20"/>
        <v>5267.6459999999997</v>
      </c>
      <c r="U163" s="180">
        <v>640.59501436949245</v>
      </c>
      <c r="V163" s="180">
        <v>5267.6459999999997</v>
      </c>
      <c r="W163" s="170">
        <f t="shared" si="21"/>
        <v>0.30095384901615724</v>
      </c>
      <c r="X163" s="170">
        <f t="shared" si="21"/>
        <v>2.4747590964549087</v>
      </c>
    </row>
    <row r="164" spans="1:24" x14ac:dyDescent="0.2">
      <c r="A164" s="147">
        <v>2014</v>
      </c>
      <c r="B164" s="147">
        <v>7</v>
      </c>
      <c r="C164" s="147" t="str">
        <f t="shared" si="18"/>
        <v>20147</v>
      </c>
      <c r="D164" s="147" t="str">
        <f t="shared" si="24"/>
        <v>Q3</v>
      </c>
      <c r="E164" s="360">
        <f t="shared" si="19"/>
        <v>138505.228</v>
      </c>
      <c r="F164" s="360">
        <f t="shared" si="19"/>
        <v>42112.64484379522</v>
      </c>
      <c r="G164" s="360">
        <f t="shared" si="19"/>
        <v>4459.9639999999999</v>
      </c>
      <c r="H164" s="360">
        <f t="shared" si="19"/>
        <v>1770.816</v>
      </c>
      <c r="L164" s="147">
        <f t="shared" si="22"/>
        <v>2041</v>
      </c>
      <c r="M164" s="170" t="str">
        <f t="shared" si="23"/>
        <v>Q3</v>
      </c>
      <c r="N164" s="170" t="str">
        <f t="shared" si="17"/>
        <v>2041Q3</v>
      </c>
      <c r="O164" s="179">
        <v>251394.72700000001</v>
      </c>
      <c r="P164" s="234">
        <v>2131.8040000000001</v>
      </c>
      <c r="Q164" s="234">
        <v>2131.8040000000001</v>
      </c>
      <c r="R164" s="180">
        <v>80091.173605845252</v>
      </c>
      <c r="S164" s="180"/>
      <c r="T164" s="235">
        <f t="shared" si="20"/>
        <v>5274.2950000000001</v>
      </c>
      <c r="U164" s="180">
        <v>642.11068526836198</v>
      </c>
      <c r="V164" s="180">
        <v>5274.2950000000001</v>
      </c>
      <c r="W164" s="170">
        <f t="shared" si="21"/>
        <v>0.301205310276349</v>
      </c>
      <c r="X164" s="170">
        <f t="shared" si="21"/>
        <v>2.4740994012582771</v>
      </c>
    </row>
    <row r="165" spans="1:24" x14ac:dyDescent="0.2">
      <c r="A165" s="147">
        <v>2014</v>
      </c>
      <c r="B165" s="147">
        <v>8</v>
      </c>
      <c r="C165" s="147" t="str">
        <f t="shared" si="18"/>
        <v>20148</v>
      </c>
      <c r="D165" s="147" t="str">
        <f t="shared" si="24"/>
        <v>Q3</v>
      </c>
      <c r="E165" s="360">
        <f t="shared" si="19"/>
        <v>138505.228</v>
      </c>
      <c r="F165" s="360">
        <f t="shared" si="19"/>
        <v>42112.64484379522</v>
      </c>
      <c r="G165" s="360">
        <f t="shared" si="19"/>
        <v>4459.9639999999999</v>
      </c>
      <c r="H165" s="360">
        <f t="shared" si="19"/>
        <v>1770.816</v>
      </c>
      <c r="L165" s="147">
        <f t="shared" si="22"/>
        <v>2041</v>
      </c>
      <c r="M165" s="170" t="str">
        <f t="shared" si="23"/>
        <v>Q4</v>
      </c>
      <c r="N165" s="170" t="str">
        <f t="shared" si="17"/>
        <v>2041Q4</v>
      </c>
      <c r="O165" s="179">
        <v>252359.43400000001</v>
      </c>
      <c r="P165" s="234">
        <v>2135.0920000000001</v>
      </c>
      <c r="Q165" s="234">
        <v>2135.0920000000001</v>
      </c>
      <c r="R165" s="180">
        <v>80240.833138693764</v>
      </c>
      <c r="S165" s="180"/>
      <c r="T165" s="235">
        <f t="shared" si="20"/>
        <v>5280.9449999999997</v>
      </c>
      <c r="U165" s="180">
        <v>643.37052213524282</v>
      </c>
      <c r="V165" s="180">
        <v>5280.9449999999997</v>
      </c>
      <c r="W165" s="170">
        <f t="shared" si="21"/>
        <v>0.30133152207738251</v>
      </c>
      <c r="X165" s="170">
        <f t="shared" si="21"/>
        <v>2.4734039563634727</v>
      </c>
    </row>
    <row r="166" spans="1:24" x14ac:dyDescent="0.2">
      <c r="A166" s="147">
        <v>2014</v>
      </c>
      <c r="B166" s="147">
        <v>9</v>
      </c>
      <c r="C166" s="147" t="str">
        <f t="shared" si="18"/>
        <v>20149</v>
      </c>
      <c r="D166" s="147" t="str">
        <f t="shared" si="24"/>
        <v>Q3</v>
      </c>
      <c r="E166" s="360">
        <f t="shared" si="19"/>
        <v>138505.228</v>
      </c>
      <c r="F166" s="360">
        <f t="shared" si="19"/>
        <v>42112.64484379522</v>
      </c>
      <c r="G166" s="360">
        <f t="shared" si="19"/>
        <v>4459.9639999999999</v>
      </c>
      <c r="H166" s="360">
        <f t="shared" si="19"/>
        <v>1770.816</v>
      </c>
      <c r="L166" s="147">
        <f t="shared" si="22"/>
        <v>2042</v>
      </c>
      <c r="M166" s="170" t="str">
        <f t="shared" si="23"/>
        <v>Q1</v>
      </c>
      <c r="N166" s="170" t="str">
        <f t="shared" si="17"/>
        <v>2042Q1</v>
      </c>
      <c r="O166" s="179">
        <f>O165+O179</f>
        <v>254274.40215799998</v>
      </c>
      <c r="P166" s="178">
        <f>P161*(1.0075)</f>
        <v>2137.7326425000001</v>
      </c>
      <c r="Q166" s="178"/>
      <c r="R166" s="178">
        <f>R162*(1.024)</f>
        <v>81263.909926990993</v>
      </c>
      <c r="S166" s="180"/>
      <c r="T166" s="178">
        <f>T162*(1.024)</f>
        <v>5387.2640000000001</v>
      </c>
    </row>
    <row r="167" spans="1:24" x14ac:dyDescent="0.2">
      <c r="A167" s="147">
        <v>2014</v>
      </c>
      <c r="B167" s="147">
        <v>10</v>
      </c>
      <c r="C167" s="147" t="str">
        <f t="shared" si="18"/>
        <v>201410</v>
      </c>
      <c r="D167" s="147" t="str">
        <f t="shared" si="24"/>
        <v>Q4</v>
      </c>
      <c r="E167" s="360">
        <f t="shared" si="19"/>
        <v>139445.223</v>
      </c>
      <c r="F167" s="360">
        <f t="shared" si="19"/>
        <v>42435.52573788313</v>
      </c>
      <c r="G167" s="360">
        <f t="shared" si="19"/>
        <v>4467.9120000000003</v>
      </c>
      <c r="H167" s="360">
        <f t="shared" si="19"/>
        <v>1774.326</v>
      </c>
      <c r="L167" s="147">
        <f t="shared" si="22"/>
        <v>2042</v>
      </c>
      <c r="M167" s="170" t="str">
        <f t="shared" si="23"/>
        <v>Q2</v>
      </c>
      <c r="N167" s="170" t="str">
        <f t="shared" si="17"/>
        <v>2042Q2</v>
      </c>
      <c r="O167" s="178">
        <f t="shared" ref="O167:O173" si="25">O163*(1.023)</f>
        <v>256189.37031599999</v>
      </c>
      <c r="P167" s="178">
        <f>P162*(1.0075)</f>
        <v>2141.2357200000001</v>
      </c>
      <c r="Q167" s="178"/>
      <c r="R167" s="178">
        <f t="shared" ref="R167:T173" si="26">R163*(1.024)</f>
        <v>81574.968566135227</v>
      </c>
      <c r="S167" s="180"/>
      <c r="T167" s="178">
        <f t="shared" si="26"/>
        <v>5394.0695040000001</v>
      </c>
    </row>
    <row r="168" spans="1:24" x14ac:dyDescent="0.2">
      <c r="A168" s="147">
        <v>2014</v>
      </c>
      <c r="B168" s="147">
        <v>11</v>
      </c>
      <c r="C168" s="147" t="str">
        <f t="shared" si="18"/>
        <v>201411</v>
      </c>
      <c r="D168" s="147" t="str">
        <f t="shared" si="24"/>
        <v>Q4</v>
      </c>
      <c r="E168" s="360">
        <f t="shared" si="19"/>
        <v>139445.223</v>
      </c>
      <c r="F168" s="360">
        <f t="shared" si="19"/>
        <v>42435.52573788313</v>
      </c>
      <c r="G168" s="360">
        <f t="shared" si="19"/>
        <v>4467.9120000000003</v>
      </c>
      <c r="H168" s="360">
        <f t="shared" si="19"/>
        <v>1774.326</v>
      </c>
      <c r="L168" s="147">
        <f t="shared" si="22"/>
        <v>2042</v>
      </c>
      <c r="M168" s="170" t="str">
        <f t="shared" si="23"/>
        <v>Q3</v>
      </c>
      <c r="N168" s="170" t="str">
        <f t="shared" si="17"/>
        <v>2042Q3</v>
      </c>
      <c r="O168" s="178">
        <f t="shared" si="25"/>
        <v>257176.80572099998</v>
      </c>
      <c r="P168" s="178">
        <f t="shared" ref="P168:P173" si="27">P163*(1.0075)</f>
        <v>2144.5131175000001</v>
      </c>
      <c r="Q168" s="178"/>
      <c r="R168" s="178">
        <f t="shared" si="26"/>
        <v>82013.361772385542</v>
      </c>
      <c r="S168" s="180"/>
      <c r="T168" s="178">
        <f t="shared" si="26"/>
        <v>5400.8780800000004</v>
      </c>
    </row>
    <row r="169" spans="1:24" x14ac:dyDescent="0.2">
      <c r="A169" s="147">
        <v>2014</v>
      </c>
      <c r="B169" s="147">
        <v>12</v>
      </c>
      <c r="C169" s="147" t="str">
        <f t="shared" si="18"/>
        <v>201412</v>
      </c>
      <c r="D169" s="147" t="str">
        <f t="shared" si="24"/>
        <v>Q4</v>
      </c>
      <c r="E169" s="360">
        <f t="shared" si="19"/>
        <v>139445.223</v>
      </c>
      <c r="F169" s="360">
        <f t="shared" si="19"/>
        <v>42435.52573788313</v>
      </c>
      <c r="G169" s="360">
        <f t="shared" si="19"/>
        <v>4467.9120000000003</v>
      </c>
      <c r="H169" s="360">
        <f t="shared" si="19"/>
        <v>1774.326</v>
      </c>
      <c r="L169" s="147">
        <f t="shared" si="22"/>
        <v>2042</v>
      </c>
      <c r="M169" s="170" t="str">
        <f t="shared" si="23"/>
        <v>Q4</v>
      </c>
      <c r="N169" s="170" t="str">
        <f t="shared" si="17"/>
        <v>2042Q4</v>
      </c>
      <c r="O169" s="178">
        <f t="shared" si="25"/>
        <v>258163.70098199998</v>
      </c>
      <c r="P169" s="178">
        <f t="shared" si="27"/>
        <v>2147.7925300000002</v>
      </c>
      <c r="Q169" s="178"/>
      <c r="R169" s="178">
        <f t="shared" si="26"/>
        <v>82166.613134022409</v>
      </c>
      <c r="S169" s="180"/>
      <c r="T169" s="178">
        <f t="shared" si="26"/>
        <v>5407.68768</v>
      </c>
    </row>
    <row r="170" spans="1:24" x14ac:dyDescent="0.2">
      <c r="A170" s="147">
        <v>2015</v>
      </c>
      <c r="B170" s="147">
        <v>1</v>
      </c>
      <c r="C170" s="147" t="str">
        <f t="shared" si="18"/>
        <v>20151</v>
      </c>
      <c r="D170" s="147" t="str">
        <f t="shared" si="24"/>
        <v>Q1</v>
      </c>
      <c r="E170" s="360">
        <f t="shared" si="19"/>
        <v>140510.76300000001</v>
      </c>
      <c r="F170" s="360">
        <f t="shared" si="19"/>
        <v>42650.097953529214</v>
      </c>
      <c r="G170" s="360">
        <f t="shared" si="19"/>
        <v>4475.9679999999998</v>
      </c>
      <c r="H170" s="360">
        <f t="shared" si="19"/>
        <v>1778.097</v>
      </c>
      <c r="L170" s="147">
        <f t="shared" si="22"/>
        <v>2043</v>
      </c>
      <c r="M170" s="170" t="str">
        <f t="shared" si="23"/>
        <v>Q1</v>
      </c>
      <c r="N170" s="170" t="str">
        <f t="shared" si="17"/>
        <v>2043Q1</v>
      </c>
      <c r="O170" s="178">
        <f t="shared" si="25"/>
        <v>260122.71340763397</v>
      </c>
      <c r="P170" s="178">
        <f t="shared" si="27"/>
        <v>2151.1051900000002</v>
      </c>
      <c r="Q170" s="178"/>
      <c r="R170" s="178">
        <f t="shared" si="26"/>
        <v>83214.243765238774</v>
      </c>
      <c r="S170" s="180"/>
      <c r="T170" s="178">
        <f t="shared" si="26"/>
        <v>5516.5583360000001</v>
      </c>
    </row>
    <row r="171" spans="1:24" x14ac:dyDescent="0.2">
      <c r="A171" s="147">
        <v>2015</v>
      </c>
      <c r="B171" s="147">
        <v>2</v>
      </c>
      <c r="C171" s="147" t="str">
        <f t="shared" si="18"/>
        <v>20152</v>
      </c>
      <c r="D171" s="147" t="str">
        <f t="shared" si="24"/>
        <v>Q1</v>
      </c>
      <c r="E171" s="360">
        <f t="shared" si="19"/>
        <v>140510.76300000001</v>
      </c>
      <c r="F171" s="360">
        <f t="shared" si="19"/>
        <v>42650.097953529214</v>
      </c>
      <c r="G171" s="360">
        <f t="shared" si="19"/>
        <v>4475.9679999999998</v>
      </c>
      <c r="H171" s="360">
        <f t="shared" si="19"/>
        <v>1778.097</v>
      </c>
      <c r="L171" s="147">
        <f t="shared" si="22"/>
        <v>2043</v>
      </c>
      <c r="M171" s="170" t="str">
        <f t="shared" si="23"/>
        <v>Q2</v>
      </c>
      <c r="N171" s="170" t="str">
        <f t="shared" si="17"/>
        <v>2043Q2</v>
      </c>
      <c r="O171" s="178">
        <f t="shared" si="25"/>
        <v>262081.72583326796</v>
      </c>
      <c r="P171" s="178">
        <f t="shared" si="27"/>
        <v>2153.7656373187501</v>
      </c>
      <c r="Q171" s="178"/>
      <c r="R171" s="178">
        <f t="shared" si="26"/>
        <v>83532.767811722471</v>
      </c>
      <c r="S171" s="361"/>
      <c r="T171" s="178">
        <f t="shared" si="26"/>
        <v>5523.527172096</v>
      </c>
    </row>
    <row r="172" spans="1:24" x14ac:dyDescent="0.2">
      <c r="A172" s="147">
        <v>2015</v>
      </c>
      <c r="B172" s="147">
        <v>3</v>
      </c>
      <c r="C172" s="147" t="str">
        <f t="shared" si="18"/>
        <v>20153</v>
      </c>
      <c r="D172" s="147" t="str">
        <f t="shared" si="24"/>
        <v>Q1</v>
      </c>
      <c r="E172" s="360">
        <f t="shared" si="19"/>
        <v>140510.76300000001</v>
      </c>
      <c r="F172" s="360">
        <f t="shared" si="19"/>
        <v>42650.097953529214</v>
      </c>
      <c r="G172" s="360">
        <f t="shared" si="19"/>
        <v>4475.9679999999998</v>
      </c>
      <c r="H172" s="360">
        <f t="shared" si="19"/>
        <v>1778.097</v>
      </c>
      <c r="L172" s="147">
        <f t="shared" si="22"/>
        <v>2043</v>
      </c>
      <c r="M172" s="170" t="str">
        <f t="shared" si="23"/>
        <v>Q3</v>
      </c>
      <c r="N172" s="170" t="str">
        <f t="shared" si="17"/>
        <v>2043Q3</v>
      </c>
      <c r="O172" s="178">
        <f t="shared" si="25"/>
        <v>263091.87225258298</v>
      </c>
      <c r="P172" s="178">
        <f t="shared" si="27"/>
        <v>2157.2949879000003</v>
      </c>
      <c r="Q172" s="178"/>
      <c r="R172" s="178">
        <f t="shared" si="26"/>
        <v>83981.682454922804</v>
      </c>
      <c r="S172" s="180"/>
      <c r="T172" s="178">
        <f t="shared" si="26"/>
        <v>5530.4991539200009</v>
      </c>
    </row>
    <row r="173" spans="1:24" x14ac:dyDescent="0.2">
      <c r="A173" s="147">
        <v>2015</v>
      </c>
      <c r="B173" s="147">
        <v>4</v>
      </c>
      <c r="C173" s="147" t="str">
        <f t="shared" si="18"/>
        <v>20154</v>
      </c>
      <c r="D173" s="147" t="str">
        <f t="shared" si="24"/>
        <v>Q2</v>
      </c>
      <c r="E173" s="360">
        <f t="shared" si="19"/>
        <v>141224.63399999999</v>
      </c>
      <c r="F173" s="360">
        <f t="shared" si="19"/>
        <v>42880.981284829548</v>
      </c>
      <c r="G173" s="360">
        <f t="shared" si="19"/>
        <v>4484.1310000000003</v>
      </c>
      <c r="H173" s="360">
        <f t="shared" si="19"/>
        <v>1782.097</v>
      </c>
      <c r="L173" s="147">
        <f t="shared" si="22"/>
        <v>2043</v>
      </c>
      <c r="M173" s="170" t="str">
        <f t="shared" si="23"/>
        <v>Q4</v>
      </c>
      <c r="N173" s="170" t="str">
        <f t="shared" si="17"/>
        <v>2043Q4</v>
      </c>
      <c r="O173" s="178">
        <f t="shared" si="25"/>
        <v>264101.46610458597</v>
      </c>
      <c r="P173" s="178">
        <f t="shared" si="27"/>
        <v>2160.5969658812501</v>
      </c>
      <c r="Q173" s="178"/>
      <c r="R173" s="178">
        <f t="shared" si="26"/>
        <v>84138.611849238951</v>
      </c>
      <c r="S173" s="180"/>
      <c r="T173" s="178">
        <f t="shared" si="26"/>
        <v>5537.4721843200005</v>
      </c>
    </row>
    <row r="174" spans="1:24" x14ac:dyDescent="0.2">
      <c r="A174" s="147">
        <v>2015</v>
      </c>
      <c r="B174" s="147">
        <v>5</v>
      </c>
      <c r="C174" s="147" t="str">
        <f t="shared" si="18"/>
        <v>20155</v>
      </c>
      <c r="D174" s="147" t="str">
        <f t="shared" si="24"/>
        <v>Q2</v>
      </c>
      <c r="E174" s="360">
        <f t="shared" si="19"/>
        <v>141224.63399999999</v>
      </c>
      <c r="F174" s="360">
        <f t="shared" si="19"/>
        <v>42880.981284829548</v>
      </c>
      <c r="G174" s="360">
        <f t="shared" si="19"/>
        <v>4484.1310000000003</v>
      </c>
      <c r="H174" s="360">
        <f t="shared" si="19"/>
        <v>1782.097</v>
      </c>
      <c r="P174" s="176"/>
      <c r="Q174" s="176"/>
      <c r="R174" s="174"/>
      <c r="S174" s="180"/>
    </row>
    <row r="175" spans="1:24" x14ac:dyDescent="0.2">
      <c r="A175" s="147">
        <v>2015</v>
      </c>
      <c r="B175" s="147">
        <v>6</v>
      </c>
      <c r="C175" s="147" t="str">
        <f t="shared" si="18"/>
        <v>20156</v>
      </c>
      <c r="D175" s="147" t="str">
        <f t="shared" si="24"/>
        <v>Q2</v>
      </c>
      <c r="E175" s="360">
        <f t="shared" si="19"/>
        <v>141224.63399999999</v>
      </c>
      <c r="F175" s="360">
        <f t="shared" si="19"/>
        <v>42880.981284829548</v>
      </c>
      <c r="G175" s="360">
        <f t="shared" si="19"/>
        <v>4484.1310000000003</v>
      </c>
      <c r="H175" s="360">
        <f t="shared" si="19"/>
        <v>1782.097</v>
      </c>
      <c r="O175" s="177"/>
      <c r="P175" s="177"/>
      <c r="Q175" s="177"/>
      <c r="R175" s="174"/>
      <c r="S175" s="180"/>
    </row>
    <row r="176" spans="1:24" x14ac:dyDescent="0.2">
      <c r="A176" s="147">
        <v>2015</v>
      </c>
      <c r="B176" s="147">
        <v>7</v>
      </c>
      <c r="C176" s="147" t="str">
        <f t="shared" si="18"/>
        <v>20157</v>
      </c>
      <c r="D176" s="147" t="str">
        <f t="shared" si="24"/>
        <v>Q3</v>
      </c>
      <c r="E176" s="360">
        <f t="shared" si="19"/>
        <v>141992.24600000001</v>
      </c>
      <c r="F176" s="360">
        <f t="shared" si="19"/>
        <v>43176.797187660617</v>
      </c>
      <c r="G176" s="360">
        <f t="shared" si="19"/>
        <v>4492.3999999999996</v>
      </c>
      <c r="H176" s="360">
        <f t="shared" si="19"/>
        <v>1785.9590000000001</v>
      </c>
      <c r="O176" s="177"/>
      <c r="P176" s="177"/>
      <c r="Q176" s="177"/>
      <c r="R176" s="174"/>
      <c r="S176" s="180"/>
    </row>
    <row r="177" spans="1:19" x14ac:dyDescent="0.2">
      <c r="A177" s="147">
        <v>2015</v>
      </c>
      <c r="B177" s="147">
        <v>8</v>
      </c>
      <c r="C177" s="147" t="str">
        <f t="shared" si="18"/>
        <v>20158</v>
      </c>
      <c r="D177" s="147" t="str">
        <f t="shared" si="24"/>
        <v>Q3</v>
      </c>
      <c r="E177" s="360">
        <f t="shared" si="19"/>
        <v>141992.24600000001</v>
      </c>
      <c r="F177" s="360">
        <f t="shared" si="19"/>
        <v>43176.797187660617</v>
      </c>
      <c r="G177" s="360">
        <f t="shared" si="19"/>
        <v>4492.3999999999996</v>
      </c>
      <c r="H177" s="360">
        <f t="shared" si="19"/>
        <v>1785.9590000000001</v>
      </c>
      <c r="O177" s="177"/>
      <c r="P177" s="177"/>
      <c r="Q177" s="177"/>
      <c r="R177" s="174"/>
      <c r="S177" s="180"/>
    </row>
    <row r="178" spans="1:19" x14ac:dyDescent="0.2">
      <c r="A178" s="147">
        <v>2015</v>
      </c>
      <c r="B178" s="147">
        <v>9</v>
      </c>
      <c r="C178" s="147" t="str">
        <f t="shared" si="18"/>
        <v>20159</v>
      </c>
      <c r="D178" s="147" t="str">
        <f t="shared" si="24"/>
        <v>Q3</v>
      </c>
      <c r="E178" s="360">
        <f t="shared" si="19"/>
        <v>141992.24600000001</v>
      </c>
      <c r="F178" s="360">
        <f t="shared" si="19"/>
        <v>43176.797187660617</v>
      </c>
      <c r="G178" s="360">
        <f t="shared" si="19"/>
        <v>4492.3999999999996</v>
      </c>
      <c r="H178" s="360">
        <f t="shared" si="19"/>
        <v>1785.9590000000001</v>
      </c>
      <c r="O178" s="149">
        <f>O167-O165</f>
        <v>3829.9363159999775</v>
      </c>
      <c r="P178" s="149"/>
      <c r="Q178" s="149"/>
      <c r="R178" s="174"/>
      <c r="S178" s="180"/>
    </row>
    <row r="179" spans="1:19" x14ac:dyDescent="0.2">
      <c r="A179" s="147">
        <v>2015</v>
      </c>
      <c r="B179" s="147">
        <v>10</v>
      </c>
      <c r="C179" s="147" t="str">
        <f t="shared" si="18"/>
        <v>201510</v>
      </c>
      <c r="D179" s="147" t="str">
        <f t="shared" si="24"/>
        <v>Q4</v>
      </c>
      <c r="E179" s="360">
        <f t="shared" si="19"/>
        <v>142772.34400000001</v>
      </c>
      <c r="F179" s="360">
        <f t="shared" si="19"/>
        <v>43428.863134860279</v>
      </c>
      <c r="G179" s="360">
        <f t="shared" si="19"/>
        <v>4500.777</v>
      </c>
      <c r="H179" s="360">
        <f t="shared" si="19"/>
        <v>1789.7339999999999</v>
      </c>
      <c r="O179" s="149">
        <f>O178/2</f>
        <v>1914.9681579999888</v>
      </c>
      <c r="P179" s="149"/>
      <c r="Q179" s="149"/>
      <c r="R179" s="174"/>
      <c r="S179" s="180"/>
    </row>
    <row r="180" spans="1:19" x14ac:dyDescent="0.2">
      <c r="A180" s="147">
        <v>2015</v>
      </c>
      <c r="B180" s="147">
        <v>11</v>
      </c>
      <c r="C180" s="147" t="str">
        <f t="shared" si="18"/>
        <v>201511</v>
      </c>
      <c r="D180" s="147" t="str">
        <f t="shared" si="24"/>
        <v>Q4</v>
      </c>
      <c r="E180" s="360">
        <f t="shared" si="19"/>
        <v>142772.34400000001</v>
      </c>
      <c r="F180" s="360">
        <f t="shared" si="19"/>
        <v>43428.863134860279</v>
      </c>
      <c r="G180" s="360">
        <f t="shared" si="19"/>
        <v>4500.777</v>
      </c>
      <c r="H180" s="360">
        <f t="shared" si="19"/>
        <v>1789.7339999999999</v>
      </c>
      <c r="O180" s="149"/>
      <c r="P180" s="149"/>
      <c r="Q180" s="149"/>
      <c r="R180" s="174"/>
      <c r="S180" s="180"/>
    </row>
    <row r="181" spans="1:19" x14ac:dyDescent="0.2">
      <c r="A181" s="147">
        <v>2015</v>
      </c>
      <c r="B181" s="147">
        <v>12</v>
      </c>
      <c r="C181" s="147" t="str">
        <f t="shared" si="18"/>
        <v>201512</v>
      </c>
      <c r="D181" s="147" t="str">
        <f t="shared" si="24"/>
        <v>Q4</v>
      </c>
      <c r="E181" s="360">
        <f t="shared" si="19"/>
        <v>142772.34400000001</v>
      </c>
      <c r="F181" s="360">
        <f t="shared" si="19"/>
        <v>43428.863134860279</v>
      </c>
      <c r="G181" s="360">
        <f t="shared" si="19"/>
        <v>4500.777</v>
      </c>
      <c r="H181" s="360">
        <f t="shared" si="19"/>
        <v>1789.7339999999999</v>
      </c>
      <c r="O181" s="149"/>
      <c r="P181" s="149"/>
      <c r="Q181" s="149"/>
      <c r="R181" s="174"/>
      <c r="S181" s="180"/>
    </row>
    <row r="182" spans="1:19" x14ac:dyDescent="0.2">
      <c r="A182" s="147">
        <v>2016</v>
      </c>
      <c r="B182" s="147">
        <v>1</v>
      </c>
      <c r="C182" s="147" t="str">
        <f t="shared" si="18"/>
        <v>20161</v>
      </c>
      <c r="D182" s="147" t="str">
        <f t="shared" si="24"/>
        <v>Q1</v>
      </c>
      <c r="E182" s="360">
        <f t="shared" si="19"/>
        <v>144227.636</v>
      </c>
      <c r="F182" s="360">
        <f t="shared" si="19"/>
        <v>43755.370741727726</v>
      </c>
      <c r="G182" s="360">
        <f t="shared" si="19"/>
        <v>4509.174</v>
      </c>
      <c r="H182" s="360">
        <f t="shared" si="19"/>
        <v>1793.4010000000001</v>
      </c>
      <c r="O182" s="149"/>
      <c r="P182" s="149"/>
      <c r="Q182" s="149"/>
      <c r="R182" s="174"/>
      <c r="S182" s="180"/>
    </row>
    <row r="183" spans="1:19" x14ac:dyDescent="0.2">
      <c r="A183" s="147">
        <v>2016</v>
      </c>
      <c r="B183" s="147">
        <v>2</v>
      </c>
      <c r="C183" s="147" t="str">
        <f t="shared" si="18"/>
        <v>20162</v>
      </c>
      <c r="D183" s="147" t="str">
        <f t="shared" si="24"/>
        <v>Q1</v>
      </c>
      <c r="E183" s="360">
        <f t="shared" si="19"/>
        <v>144227.636</v>
      </c>
      <c r="F183" s="360">
        <f t="shared" si="19"/>
        <v>43755.370741727726</v>
      </c>
      <c r="G183" s="360">
        <f t="shared" si="19"/>
        <v>4509.174</v>
      </c>
      <c r="H183" s="360">
        <f t="shared" si="19"/>
        <v>1793.4010000000001</v>
      </c>
      <c r="O183" s="149"/>
      <c r="P183" s="149"/>
      <c r="Q183" s="149"/>
      <c r="R183" s="174"/>
      <c r="S183" s="180"/>
    </row>
    <row r="184" spans="1:19" x14ac:dyDescent="0.2">
      <c r="A184" s="147">
        <v>2016</v>
      </c>
      <c r="B184" s="147">
        <v>3</v>
      </c>
      <c r="C184" s="147" t="str">
        <f t="shared" si="18"/>
        <v>20163</v>
      </c>
      <c r="D184" s="147" t="str">
        <f t="shared" si="24"/>
        <v>Q1</v>
      </c>
      <c r="E184" s="360">
        <f t="shared" si="19"/>
        <v>144227.636</v>
      </c>
      <c r="F184" s="360">
        <f t="shared" si="19"/>
        <v>43755.370741727726</v>
      </c>
      <c r="G184" s="360">
        <f t="shared" si="19"/>
        <v>4509.174</v>
      </c>
      <c r="H184" s="360">
        <f t="shared" si="19"/>
        <v>1793.4010000000001</v>
      </c>
      <c r="O184" s="149"/>
      <c r="P184" s="149"/>
      <c r="Q184" s="149"/>
      <c r="R184" s="174"/>
      <c r="S184" s="180"/>
    </row>
    <row r="185" spans="1:19" x14ac:dyDescent="0.2">
      <c r="A185" s="147">
        <v>2016</v>
      </c>
      <c r="B185" s="147">
        <v>4</v>
      </c>
      <c r="C185" s="147" t="str">
        <f t="shared" si="18"/>
        <v>20164</v>
      </c>
      <c r="D185" s="147" t="str">
        <f t="shared" si="24"/>
        <v>Q2</v>
      </c>
      <c r="E185" s="360">
        <f t="shared" si="19"/>
        <v>145000.861</v>
      </c>
      <c r="F185" s="360">
        <f t="shared" si="19"/>
        <v>43979.682119470162</v>
      </c>
      <c r="G185" s="360">
        <f t="shared" si="19"/>
        <v>4517.5919999999996</v>
      </c>
      <c r="H185" s="360">
        <f t="shared" si="19"/>
        <v>1797.0340000000001</v>
      </c>
      <c r="O185" s="149"/>
      <c r="P185" s="149"/>
      <c r="Q185" s="149"/>
      <c r="R185" s="174"/>
      <c r="S185" s="180"/>
    </row>
    <row r="186" spans="1:19" x14ac:dyDescent="0.2">
      <c r="A186" s="147">
        <v>2016</v>
      </c>
      <c r="B186" s="147">
        <v>5</v>
      </c>
      <c r="C186" s="147" t="str">
        <f t="shared" si="18"/>
        <v>20165</v>
      </c>
      <c r="D186" s="147" t="str">
        <f t="shared" si="24"/>
        <v>Q2</v>
      </c>
      <c r="E186" s="360">
        <f t="shared" si="19"/>
        <v>145000.861</v>
      </c>
      <c r="F186" s="360">
        <f t="shared" si="19"/>
        <v>43979.682119470162</v>
      </c>
      <c r="G186" s="360">
        <f t="shared" si="19"/>
        <v>4517.5919999999996</v>
      </c>
      <c r="H186" s="360">
        <f t="shared" si="19"/>
        <v>1797.0340000000001</v>
      </c>
      <c r="O186" s="149"/>
      <c r="P186" s="149"/>
      <c r="Q186" s="149"/>
      <c r="R186" s="174"/>
      <c r="S186" s="180"/>
    </row>
    <row r="187" spans="1:19" x14ac:dyDescent="0.2">
      <c r="A187" s="147">
        <v>2016</v>
      </c>
      <c r="B187" s="147">
        <v>6</v>
      </c>
      <c r="C187" s="147" t="str">
        <f t="shared" si="18"/>
        <v>20166</v>
      </c>
      <c r="D187" s="147" t="str">
        <f t="shared" si="24"/>
        <v>Q2</v>
      </c>
      <c r="E187" s="360">
        <f t="shared" si="19"/>
        <v>145000.861</v>
      </c>
      <c r="F187" s="360">
        <f t="shared" si="19"/>
        <v>43979.682119470162</v>
      </c>
      <c r="G187" s="360">
        <f t="shared" si="19"/>
        <v>4517.5919999999996</v>
      </c>
      <c r="H187" s="360">
        <f t="shared" si="19"/>
        <v>1797.0340000000001</v>
      </c>
      <c r="O187" s="149"/>
      <c r="P187" s="149"/>
      <c r="Q187" s="149"/>
      <c r="R187" s="174"/>
      <c r="S187" s="180"/>
    </row>
    <row r="188" spans="1:19" x14ac:dyDescent="0.2">
      <c r="A188" s="147">
        <v>2016</v>
      </c>
      <c r="B188" s="147">
        <v>7</v>
      </c>
      <c r="C188" s="147" t="str">
        <f t="shared" si="18"/>
        <v>20167</v>
      </c>
      <c r="D188" s="147" t="str">
        <f t="shared" si="24"/>
        <v>Q3</v>
      </c>
      <c r="E188" s="360">
        <f t="shared" si="19"/>
        <v>145740.07199999999</v>
      </c>
      <c r="F188" s="360">
        <f t="shared" si="19"/>
        <v>44190.115651236883</v>
      </c>
      <c r="G188" s="360">
        <f t="shared" si="19"/>
        <v>4526.0309999999999</v>
      </c>
      <c r="H188" s="360">
        <f t="shared" si="19"/>
        <v>1800.662</v>
      </c>
      <c r="O188" s="149"/>
      <c r="P188" s="149"/>
      <c r="Q188" s="149"/>
      <c r="R188" s="174"/>
      <c r="S188" s="180"/>
    </row>
    <row r="189" spans="1:19" x14ac:dyDescent="0.2">
      <c r="A189" s="147">
        <v>2016</v>
      </c>
      <c r="B189" s="147">
        <v>8</v>
      </c>
      <c r="C189" s="147" t="str">
        <f t="shared" si="18"/>
        <v>20168</v>
      </c>
      <c r="D189" s="147" t="str">
        <f t="shared" si="24"/>
        <v>Q3</v>
      </c>
      <c r="E189" s="360">
        <f t="shared" si="19"/>
        <v>145740.07199999999</v>
      </c>
      <c r="F189" s="360">
        <f t="shared" si="19"/>
        <v>44190.115651236883</v>
      </c>
      <c r="G189" s="360">
        <f t="shared" si="19"/>
        <v>4526.0309999999999</v>
      </c>
      <c r="H189" s="360">
        <f t="shared" si="19"/>
        <v>1800.662</v>
      </c>
      <c r="O189" s="149"/>
      <c r="P189" s="149"/>
      <c r="Q189" s="149"/>
      <c r="R189" s="174"/>
      <c r="S189" s="180"/>
    </row>
    <row r="190" spans="1:19" x14ac:dyDescent="0.2">
      <c r="A190" s="147">
        <v>2016</v>
      </c>
      <c r="B190" s="147">
        <v>9</v>
      </c>
      <c r="C190" s="147" t="str">
        <f t="shared" si="18"/>
        <v>20169</v>
      </c>
      <c r="D190" s="147" t="str">
        <f t="shared" si="24"/>
        <v>Q3</v>
      </c>
      <c r="E190" s="360">
        <f t="shared" si="19"/>
        <v>145740.07199999999</v>
      </c>
      <c r="F190" s="360">
        <f t="shared" si="19"/>
        <v>44190.115651236883</v>
      </c>
      <c r="G190" s="360">
        <f t="shared" si="19"/>
        <v>4526.0309999999999</v>
      </c>
      <c r="H190" s="360">
        <f t="shared" si="19"/>
        <v>1800.662</v>
      </c>
      <c r="O190" s="149"/>
      <c r="P190" s="149"/>
      <c r="Q190" s="149"/>
      <c r="R190" s="174"/>
      <c r="S190" s="180"/>
    </row>
    <row r="191" spans="1:19" x14ac:dyDescent="0.2">
      <c r="A191" s="147">
        <v>2016</v>
      </c>
      <c r="B191" s="147">
        <v>10</v>
      </c>
      <c r="C191" s="147" t="str">
        <f t="shared" si="18"/>
        <v>201610</v>
      </c>
      <c r="D191" s="147" t="str">
        <f t="shared" si="24"/>
        <v>Q4</v>
      </c>
      <c r="E191" s="360">
        <f t="shared" si="19"/>
        <v>146638.23699999999</v>
      </c>
      <c r="F191" s="360">
        <f t="shared" si="19"/>
        <v>44479.131361056192</v>
      </c>
      <c r="G191" s="360">
        <f t="shared" si="19"/>
        <v>4534.4889999999996</v>
      </c>
      <c r="H191" s="360">
        <f t="shared" si="19"/>
        <v>1804.307</v>
      </c>
      <c r="O191" s="149"/>
      <c r="P191" s="149"/>
      <c r="Q191" s="149"/>
      <c r="R191" s="174"/>
      <c r="S191" s="180"/>
    </row>
    <row r="192" spans="1:19" x14ac:dyDescent="0.2">
      <c r="A192" s="147">
        <v>2016</v>
      </c>
      <c r="B192" s="147">
        <v>11</v>
      </c>
      <c r="C192" s="147" t="str">
        <f t="shared" si="18"/>
        <v>201611</v>
      </c>
      <c r="D192" s="147" t="str">
        <f t="shared" si="24"/>
        <v>Q4</v>
      </c>
      <c r="E192" s="360">
        <f t="shared" si="19"/>
        <v>146638.23699999999</v>
      </c>
      <c r="F192" s="360">
        <f t="shared" si="19"/>
        <v>44479.131361056192</v>
      </c>
      <c r="G192" s="360">
        <f t="shared" si="19"/>
        <v>4534.4889999999996</v>
      </c>
      <c r="H192" s="360">
        <f t="shared" si="19"/>
        <v>1804.307</v>
      </c>
      <c r="O192" s="149"/>
      <c r="P192" s="149"/>
      <c r="Q192" s="149"/>
      <c r="R192" s="174"/>
      <c r="S192" s="180"/>
    </row>
    <row r="193" spans="1:19" x14ac:dyDescent="0.2">
      <c r="A193" s="147">
        <v>2016</v>
      </c>
      <c r="B193" s="147">
        <v>12</v>
      </c>
      <c r="C193" s="147" t="str">
        <f t="shared" si="18"/>
        <v>201612</v>
      </c>
      <c r="D193" s="147" t="str">
        <f t="shared" si="24"/>
        <v>Q4</v>
      </c>
      <c r="E193" s="360">
        <f t="shared" si="19"/>
        <v>146638.23699999999</v>
      </c>
      <c r="F193" s="360">
        <f t="shared" si="19"/>
        <v>44479.131361056192</v>
      </c>
      <c r="G193" s="360">
        <f t="shared" si="19"/>
        <v>4534.4889999999996</v>
      </c>
      <c r="H193" s="360">
        <f t="shared" si="19"/>
        <v>1804.307</v>
      </c>
      <c r="O193" s="149"/>
      <c r="P193" s="149"/>
      <c r="Q193" s="149"/>
      <c r="R193" s="174"/>
      <c r="S193" s="180"/>
    </row>
    <row r="194" spans="1:19" x14ac:dyDescent="0.2">
      <c r="A194" s="147">
        <v>2017</v>
      </c>
      <c r="B194" s="147">
        <v>1</v>
      </c>
      <c r="C194" s="147" t="str">
        <f t="shared" si="18"/>
        <v>20171</v>
      </c>
      <c r="D194" s="147" t="str">
        <f t="shared" si="24"/>
        <v>Q1</v>
      </c>
      <c r="E194" s="360">
        <f t="shared" si="19"/>
        <v>147397.973</v>
      </c>
      <c r="F194" s="360">
        <f t="shared" si="19"/>
        <v>44591.826055215206</v>
      </c>
      <c r="G194" s="360">
        <f t="shared" si="19"/>
        <v>4542.9390000000003</v>
      </c>
      <c r="H194" s="360">
        <f t="shared" ref="H194:H257" si="28">VLOOKUP($A194&amp;$D194,$N$1:$T$173,MATCH(H$1,$N$1:$T$1,0),0)</f>
        <v>1806.8440000000001</v>
      </c>
      <c r="O194" s="149"/>
      <c r="P194" s="149"/>
      <c r="Q194" s="149"/>
      <c r="R194" s="174"/>
      <c r="S194" s="180"/>
    </row>
    <row r="195" spans="1:19" x14ac:dyDescent="0.2">
      <c r="A195" s="147">
        <v>2017</v>
      </c>
      <c r="B195" s="147">
        <v>2</v>
      </c>
      <c r="C195" s="147" t="str">
        <f t="shared" ref="C195:C258" si="29">A195&amp;B195</f>
        <v>20172</v>
      </c>
      <c r="D195" s="147" t="str">
        <f t="shared" si="24"/>
        <v>Q1</v>
      </c>
      <c r="E195" s="360">
        <f t="shared" ref="E195:H258" si="30">VLOOKUP($A195&amp;$D195,$N$1:$T$173,MATCH(E$1,$N$1:$T$1,0),0)</f>
        <v>147397.973</v>
      </c>
      <c r="F195" s="360">
        <f t="shared" si="30"/>
        <v>44591.826055215206</v>
      </c>
      <c r="G195" s="360">
        <f t="shared" si="30"/>
        <v>4542.9390000000003</v>
      </c>
      <c r="H195" s="360">
        <f t="shared" si="28"/>
        <v>1806.8440000000001</v>
      </c>
      <c r="O195" s="149"/>
      <c r="P195" s="149"/>
      <c r="Q195" s="149"/>
      <c r="R195" s="174"/>
      <c r="S195" s="180"/>
    </row>
    <row r="196" spans="1:19" x14ac:dyDescent="0.2">
      <c r="A196" s="147">
        <v>2017</v>
      </c>
      <c r="B196" s="147">
        <v>3</v>
      </c>
      <c r="C196" s="147" t="str">
        <f t="shared" si="29"/>
        <v>20173</v>
      </c>
      <c r="D196" s="147" t="str">
        <f t="shared" si="24"/>
        <v>Q1</v>
      </c>
      <c r="E196" s="360">
        <f t="shared" si="30"/>
        <v>147397.973</v>
      </c>
      <c r="F196" s="360">
        <f t="shared" si="30"/>
        <v>44591.826055215206</v>
      </c>
      <c r="G196" s="360">
        <f t="shared" si="30"/>
        <v>4542.9390000000003</v>
      </c>
      <c r="H196" s="360">
        <f t="shared" si="28"/>
        <v>1806.8440000000001</v>
      </c>
      <c r="O196" s="149"/>
      <c r="P196" s="149"/>
      <c r="Q196" s="149"/>
      <c r="R196" s="174"/>
      <c r="S196" s="180"/>
    </row>
    <row r="197" spans="1:19" x14ac:dyDescent="0.2">
      <c r="A197" s="147">
        <v>2017</v>
      </c>
      <c r="B197" s="147">
        <v>4</v>
      </c>
      <c r="C197" s="147" t="str">
        <f t="shared" si="29"/>
        <v>20174</v>
      </c>
      <c r="D197" s="147" t="str">
        <f t="shared" si="24"/>
        <v>Q2</v>
      </c>
      <c r="E197" s="360">
        <f t="shared" si="30"/>
        <v>148169.18</v>
      </c>
      <c r="F197" s="360">
        <f t="shared" si="30"/>
        <v>44904.574224823955</v>
      </c>
      <c r="G197" s="360">
        <f t="shared" si="30"/>
        <v>4551.38</v>
      </c>
      <c r="H197" s="360">
        <f t="shared" si="28"/>
        <v>1809.4</v>
      </c>
      <c r="O197" s="149"/>
      <c r="P197" s="149"/>
      <c r="Q197" s="149"/>
      <c r="R197" s="174"/>
      <c r="S197" s="180"/>
    </row>
    <row r="198" spans="1:19" x14ac:dyDescent="0.2">
      <c r="A198" s="147">
        <v>2017</v>
      </c>
      <c r="B198" s="147">
        <v>5</v>
      </c>
      <c r="C198" s="147" t="str">
        <f t="shared" si="29"/>
        <v>20175</v>
      </c>
      <c r="D198" s="147" t="str">
        <f t="shared" si="24"/>
        <v>Q2</v>
      </c>
      <c r="E198" s="360">
        <f t="shared" si="30"/>
        <v>148169.18</v>
      </c>
      <c r="F198" s="360">
        <f t="shared" si="30"/>
        <v>44904.574224823955</v>
      </c>
      <c r="G198" s="360">
        <f t="shared" si="30"/>
        <v>4551.38</v>
      </c>
      <c r="H198" s="360">
        <f t="shared" si="28"/>
        <v>1809.4</v>
      </c>
      <c r="O198" s="149"/>
      <c r="P198" s="149"/>
      <c r="Q198" s="149"/>
      <c r="R198" s="174"/>
      <c r="S198" s="180"/>
    </row>
    <row r="199" spans="1:19" x14ac:dyDescent="0.2">
      <c r="A199" s="147">
        <v>2017</v>
      </c>
      <c r="B199" s="147">
        <v>6</v>
      </c>
      <c r="C199" s="147" t="str">
        <f t="shared" si="29"/>
        <v>20176</v>
      </c>
      <c r="D199" s="147" t="str">
        <f t="shared" si="24"/>
        <v>Q2</v>
      </c>
      <c r="E199" s="360">
        <f t="shared" si="30"/>
        <v>148169.18</v>
      </c>
      <c r="F199" s="360">
        <f t="shared" si="30"/>
        <v>44904.574224823955</v>
      </c>
      <c r="G199" s="360">
        <f t="shared" si="30"/>
        <v>4551.38</v>
      </c>
      <c r="H199" s="360">
        <f t="shared" si="28"/>
        <v>1809.4</v>
      </c>
      <c r="O199" s="149"/>
      <c r="P199" s="149"/>
      <c r="Q199" s="149"/>
      <c r="R199" s="174"/>
      <c r="S199" s="180"/>
    </row>
    <row r="200" spans="1:19" x14ac:dyDescent="0.2">
      <c r="A200" s="147">
        <v>2017</v>
      </c>
      <c r="B200" s="147">
        <v>7</v>
      </c>
      <c r="C200" s="147" t="str">
        <f t="shared" si="29"/>
        <v>20177</v>
      </c>
      <c r="D200" s="147" t="str">
        <f t="shared" si="24"/>
        <v>Q3</v>
      </c>
      <c r="E200" s="360">
        <f t="shared" si="30"/>
        <v>149003.10200000001</v>
      </c>
      <c r="F200" s="360">
        <f t="shared" si="30"/>
        <v>45194.496478629822</v>
      </c>
      <c r="G200" s="360">
        <f t="shared" si="30"/>
        <v>4559.8130000000001</v>
      </c>
      <c r="H200" s="360">
        <f t="shared" si="28"/>
        <v>1811.9380000000001</v>
      </c>
      <c r="O200" s="149"/>
      <c r="P200" s="149"/>
      <c r="Q200" s="149"/>
      <c r="R200" s="174"/>
      <c r="S200" s="180"/>
    </row>
    <row r="201" spans="1:19" x14ac:dyDescent="0.2">
      <c r="A201" s="147">
        <v>2017</v>
      </c>
      <c r="B201" s="147">
        <v>8</v>
      </c>
      <c r="C201" s="147" t="str">
        <f t="shared" si="29"/>
        <v>20178</v>
      </c>
      <c r="D201" s="147" t="str">
        <f t="shared" si="24"/>
        <v>Q3</v>
      </c>
      <c r="E201" s="360">
        <f t="shared" si="30"/>
        <v>149003.10200000001</v>
      </c>
      <c r="F201" s="360">
        <f t="shared" si="30"/>
        <v>45194.496478629822</v>
      </c>
      <c r="G201" s="360">
        <f t="shared" si="30"/>
        <v>4559.8130000000001</v>
      </c>
      <c r="H201" s="360">
        <f t="shared" si="28"/>
        <v>1811.9380000000001</v>
      </c>
      <c r="O201" s="149"/>
      <c r="P201" s="149"/>
      <c r="Q201" s="149"/>
      <c r="R201" s="174"/>
      <c r="S201" s="180"/>
    </row>
    <row r="202" spans="1:19" x14ac:dyDescent="0.2">
      <c r="A202" s="147">
        <v>2017</v>
      </c>
      <c r="B202" s="147">
        <v>9</v>
      </c>
      <c r="C202" s="147" t="str">
        <f t="shared" si="29"/>
        <v>20179</v>
      </c>
      <c r="D202" s="147" t="str">
        <f t="shared" si="24"/>
        <v>Q3</v>
      </c>
      <c r="E202" s="360">
        <f t="shared" si="30"/>
        <v>149003.10200000001</v>
      </c>
      <c r="F202" s="360">
        <f t="shared" si="30"/>
        <v>45194.496478629822</v>
      </c>
      <c r="G202" s="360">
        <f t="shared" si="30"/>
        <v>4559.8130000000001</v>
      </c>
      <c r="H202" s="360">
        <f t="shared" si="28"/>
        <v>1811.9380000000001</v>
      </c>
      <c r="O202" s="149"/>
      <c r="P202" s="149"/>
      <c r="Q202" s="149"/>
      <c r="R202" s="174"/>
      <c r="S202" s="180"/>
    </row>
    <row r="203" spans="1:19" x14ac:dyDescent="0.2">
      <c r="A203" s="147">
        <v>2017</v>
      </c>
      <c r="B203" s="147">
        <v>10</v>
      </c>
      <c r="C203" s="147" t="str">
        <f t="shared" si="29"/>
        <v>201710</v>
      </c>
      <c r="D203" s="147" t="str">
        <f t="shared" si="24"/>
        <v>Q4</v>
      </c>
      <c r="E203" s="360">
        <f t="shared" si="30"/>
        <v>149821.88399999999</v>
      </c>
      <c r="F203" s="360">
        <f t="shared" si="30"/>
        <v>45448.674552537363</v>
      </c>
      <c r="G203" s="360">
        <f t="shared" si="30"/>
        <v>4568.2250000000004</v>
      </c>
      <c r="H203" s="360">
        <f t="shared" si="28"/>
        <v>1814.3879999999999</v>
      </c>
      <c r="O203" s="149"/>
      <c r="P203" s="149"/>
      <c r="Q203" s="149"/>
      <c r="R203" s="174"/>
      <c r="S203" s="180"/>
    </row>
    <row r="204" spans="1:19" x14ac:dyDescent="0.2">
      <c r="A204" s="147">
        <v>2017</v>
      </c>
      <c r="B204" s="147">
        <v>11</v>
      </c>
      <c r="C204" s="147" t="str">
        <f t="shared" si="29"/>
        <v>201711</v>
      </c>
      <c r="D204" s="147" t="str">
        <f t="shared" si="24"/>
        <v>Q4</v>
      </c>
      <c r="E204" s="360">
        <f t="shared" si="30"/>
        <v>149821.88399999999</v>
      </c>
      <c r="F204" s="360">
        <f t="shared" si="30"/>
        <v>45448.674552537363</v>
      </c>
      <c r="G204" s="360">
        <f t="shared" si="30"/>
        <v>4568.2250000000004</v>
      </c>
      <c r="H204" s="360">
        <f t="shared" si="28"/>
        <v>1814.3879999999999</v>
      </c>
      <c r="O204" s="149"/>
      <c r="P204" s="149"/>
      <c r="Q204" s="149"/>
      <c r="R204" s="174"/>
      <c r="S204" s="180"/>
    </row>
    <row r="205" spans="1:19" x14ac:dyDescent="0.2">
      <c r="A205" s="147">
        <v>2017</v>
      </c>
      <c r="B205" s="147">
        <v>12</v>
      </c>
      <c r="C205" s="147" t="str">
        <f t="shared" si="29"/>
        <v>201712</v>
      </c>
      <c r="D205" s="147" t="str">
        <f t="shared" si="24"/>
        <v>Q4</v>
      </c>
      <c r="E205" s="360">
        <f t="shared" si="30"/>
        <v>149821.88399999999</v>
      </c>
      <c r="F205" s="360">
        <f t="shared" si="30"/>
        <v>45448.674552537363</v>
      </c>
      <c r="G205" s="360">
        <f t="shared" si="30"/>
        <v>4568.2250000000004</v>
      </c>
      <c r="H205" s="360">
        <f t="shared" si="28"/>
        <v>1814.3879999999999</v>
      </c>
      <c r="O205" s="149"/>
      <c r="P205" s="149"/>
      <c r="Q205" s="149"/>
      <c r="R205" s="174"/>
      <c r="S205" s="180"/>
    </row>
    <row r="206" spans="1:19" x14ac:dyDescent="0.2">
      <c r="A206" s="147">
        <v>2018</v>
      </c>
      <c r="B206" s="147">
        <v>1</v>
      </c>
      <c r="C206" s="147" t="str">
        <f t="shared" si="29"/>
        <v>20181</v>
      </c>
      <c r="D206" s="147" t="str">
        <f t="shared" si="24"/>
        <v>Q1</v>
      </c>
      <c r="E206" s="360">
        <f t="shared" si="30"/>
        <v>151159.774</v>
      </c>
      <c r="F206" s="360">
        <f t="shared" si="30"/>
        <v>45721.18203228699</v>
      </c>
      <c r="G206" s="360">
        <f t="shared" si="30"/>
        <v>4576.63</v>
      </c>
      <c r="H206" s="360">
        <f t="shared" si="28"/>
        <v>1817.81</v>
      </c>
      <c r="O206" s="149"/>
      <c r="P206" s="149"/>
      <c r="Q206" s="149"/>
      <c r="R206" s="174"/>
      <c r="S206" s="180"/>
    </row>
    <row r="207" spans="1:19" x14ac:dyDescent="0.2">
      <c r="A207" s="147">
        <v>2018</v>
      </c>
      <c r="B207" s="147">
        <v>2</v>
      </c>
      <c r="C207" s="147" t="str">
        <f t="shared" si="29"/>
        <v>20182</v>
      </c>
      <c r="D207" s="147" t="str">
        <f t="shared" ref="D207:D270" si="31">D195</f>
        <v>Q1</v>
      </c>
      <c r="E207" s="360">
        <f t="shared" si="30"/>
        <v>151159.774</v>
      </c>
      <c r="F207" s="360">
        <f t="shared" si="30"/>
        <v>45721.18203228699</v>
      </c>
      <c r="G207" s="360">
        <f t="shared" si="30"/>
        <v>4576.63</v>
      </c>
      <c r="H207" s="360">
        <f t="shared" si="28"/>
        <v>1817.81</v>
      </c>
      <c r="O207" s="149"/>
      <c r="P207" s="149"/>
      <c r="Q207" s="149"/>
      <c r="R207" s="174"/>
      <c r="S207" s="180"/>
    </row>
    <row r="208" spans="1:19" x14ac:dyDescent="0.2">
      <c r="A208" s="147">
        <v>2018</v>
      </c>
      <c r="B208" s="147">
        <v>3</v>
      </c>
      <c r="C208" s="147" t="str">
        <f t="shared" si="29"/>
        <v>20183</v>
      </c>
      <c r="D208" s="147" t="str">
        <f t="shared" si="31"/>
        <v>Q1</v>
      </c>
      <c r="E208" s="360">
        <f t="shared" si="30"/>
        <v>151159.774</v>
      </c>
      <c r="F208" s="360">
        <f t="shared" si="30"/>
        <v>45721.18203228699</v>
      </c>
      <c r="G208" s="360">
        <f t="shared" si="30"/>
        <v>4576.63</v>
      </c>
      <c r="H208" s="360">
        <f t="shared" si="28"/>
        <v>1817.81</v>
      </c>
      <c r="O208" s="149"/>
      <c r="P208" s="149"/>
      <c r="Q208" s="149"/>
      <c r="R208" s="174"/>
      <c r="S208" s="180"/>
    </row>
    <row r="209" spans="1:17" x14ac:dyDescent="0.2">
      <c r="A209" s="147">
        <v>2018</v>
      </c>
      <c r="B209" s="147">
        <v>4</v>
      </c>
      <c r="C209" s="147" t="str">
        <f t="shared" si="29"/>
        <v>20184</v>
      </c>
      <c r="D209" s="147" t="str">
        <f t="shared" si="31"/>
        <v>Q2</v>
      </c>
      <c r="E209" s="360">
        <f t="shared" si="30"/>
        <v>152014.81099999999</v>
      </c>
      <c r="F209" s="360">
        <f t="shared" si="30"/>
        <v>45952.240193290287</v>
      </c>
      <c r="G209" s="360">
        <f t="shared" si="30"/>
        <v>4585.03</v>
      </c>
      <c r="H209" s="360">
        <f t="shared" si="28"/>
        <v>1821.1880000000001</v>
      </c>
      <c r="O209" s="153"/>
      <c r="P209" s="153"/>
      <c r="Q209" s="153"/>
    </row>
    <row r="210" spans="1:17" x14ac:dyDescent="0.2">
      <c r="A210" s="147">
        <v>2018</v>
      </c>
      <c r="B210" s="147">
        <v>5</v>
      </c>
      <c r="C210" s="147" t="str">
        <f t="shared" si="29"/>
        <v>20185</v>
      </c>
      <c r="D210" s="147" t="str">
        <f t="shared" si="31"/>
        <v>Q2</v>
      </c>
      <c r="E210" s="360">
        <f t="shared" si="30"/>
        <v>152014.81099999999</v>
      </c>
      <c r="F210" s="360">
        <f t="shared" si="30"/>
        <v>45952.240193290287</v>
      </c>
      <c r="G210" s="360">
        <f t="shared" si="30"/>
        <v>4585.03</v>
      </c>
      <c r="H210" s="360">
        <f t="shared" si="28"/>
        <v>1821.1880000000001</v>
      </c>
      <c r="O210" s="153"/>
      <c r="P210" s="153"/>
      <c r="Q210" s="153"/>
    </row>
    <row r="211" spans="1:17" x14ac:dyDescent="0.2">
      <c r="A211" s="147">
        <v>2018</v>
      </c>
      <c r="B211" s="147">
        <v>6</v>
      </c>
      <c r="C211" s="147" t="str">
        <f t="shared" si="29"/>
        <v>20186</v>
      </c>
      <c r="D211" s="147" t="str">
        <f t="shared" si="31"/>
        <v>Q2</v>
      </c>
      <c r="E211" s="360">
        <f t="shared" si="30"/>
        <v>152014.81099999999</v>
      </c>
      <c r="F211" s="360">
        <f t="shared" si="30"/>
        <v>45952.240193290287</v>
      </c>
      <c r="G211" s="360">
        <f t="shared" si="30"/>
        <v>4585.03</v>
      </c>
      <c r="H211" s="360">
        <f t="shared" si="28"/>
        <v>1821.1880000000001</v>
      </c>
      <c r="O211" s="153"/>
      <c r="P211" s="153"/>
      <c r="Q211" s="153"/>
    </row>
    <row r="212" spans="1:17" x14ac:dyDescent="0.2">
      <c r="A212" s="147">
        <v>2018</v>
      </c>
      <c r="B212" s="147">
        <v>7</v>
      </c>
      <c r="C212" s="147" t="str">
        <f t="shared" si="29"/>
        <v>20187</v>
      </c>
      <c r="D212" s="147" t="str">
        <f t="shared" si="31"/>
        <v>Q3</v>
      </c>
      <c r="E212" s="360">
        <f t="shared" si="30"/>
        <v>152840.09</v>
      </c>
      <c r="F212" s="360">
        <f t="shared" si="30"/>
        <v>46269.534926018147</v>
      </c>
      <c r="G212" s="360">
        <f t="shared" si="30"/>
        <v>4593.4229999999998</v>
      </c>
      <c r="H212" s="360">
        <f t="shared" si="28"/>
        <v>1824.57</v>
      </c>
      <c r="O212" s="153"/>
      <c r="P212" s="153"/>
      <c r="Q212" s="153"/>
    </row>
    <row r="213" spans="1:17" x14ac:dyDescent="0.2">
      <c r="A213" s="147">
        <v>2018</v>
      </c>
      <c r="B213" s="147">
        <v>8</v>
      </c>
      <c r="C213" s="147" t="str">
        <f t="shared" si="29"/>
        <v>20188</v>
      </c>
      <c r="D213" s="147" t="str">
        <f t="shared" si="31"/>
        <v>Q3</v>
      </c>
      <c r="E213" s="360">
        <f t="shared" si="30"/>
        <v>152840.09</v>
      </c>
      <c r="F213" s="360">
        <f t="shared" si="30"/>
        <v>46269.534926018147</v>
      </c>
      <c r="G213" s="360">
        <f t="shared" si="30"/>
        <v>4593.4229999999998</v>
      </c>
      <c r="H213" s="360">
        <f t="shared" si="28"/>
        <v>1824.57</v>
      </c>
      <c r="O213" s="153"/>
      <c r="P213" s="153"/>
      <c r="Q213" s="153"/>
    </row>
    <row r="214" spans="1:17" x14ac:dyDescent="0.2">
      <c r="A214" s="147">
        <v>2018</v>
      </c>
      <c r="B214" s="147">
        <v>9</v>
      </c>
      <c r="C214" s="147" t="str">
        <f t="shared" si="29"/>
        <v>20189</v>
      </c>
      <c r="D214" s="147" t="str">
        <f t="shared" si="31"/>
        <v>Q3</v>
      </c>
      <c r="E214" s="360">
        <f t="shared" si="30"/>
        <v>152840.09</v>
      </c>
      <c r="F214" s="360">
        <f t="shared" si="30"/>
        <v>46269.534926018147</v>
      </c>
      <c r="G214" s="360">
        <f t="shared" si="30"/>
        <v>4593.4229999999998</v>
      </c>
      <c r="H214" s="360">
        <f t="shared" si="28"/>
        <v>1824.57</v>
      </c>
      <c r="O214" s="153"/>
      <c r="P214" s="153"/>
      <c r="Q214" s="153"/>
    </row>
    <row r="215" spans="1:17" x14ac:dyDescent="0.2">
      <c r="A215" s="147">
        <v>2018</v>
      </c>
      <c r="B215" s="147">
        <v>10</v>
      </c>
      <c r="C215" s="147" t="str">
        <f t="shared" si="29"/>
        <v>201810</v>
      </c>
      <c r="D215" s="147" t="str">
        <f t="shared" si="31"/>
        <v>Q4</v>
      </c>
      <c r="E215" s="360">
        <f t="shared" si="30"/>
        <v>153691.45300000001</v>
      </c>
      <c r="F215" s="360">
        <f t="shared" si="30"/>
        <v>46499.695892915195</v>
      </c>
      <c r="G215" s="360">
        <f t="shared" si="30"/>
        <v>4601.8090000000002</v>
      </c>
      <c r="H215" s="360">
        <f t="shared" si="28"/>
        <v>1827.9390000000001</v>
      </c>
      <c r="O215" s="153"/>
      <c r="P215" s="153"/>
      <c r="Q215" s="153"/>
    </row>
    <row r="216" spans="1:17" x14ac:dyDescent="0.2">
      <c r="A216" s="147">
        <v>2018</v>
      </c>
      <c r="B216" s="147">
        <v>11</v>
      </c>
      <c r="C216" s="147" t="str">
        <f t="shared" si="29"/>
        <v>201811</v>
      </c>
      <c r="D216" s="147" t="str">
        <f t="shared" si="31"/>
        <v>Q4</v>
      </c>
      <c r="E216" s="360">
        <f t="shared" si="30"/>
        <v>153691.45300000001</v>
      </c>
      <c r="F216" s="360">
        <f t="shared" si="30"/>
        <v>46499.695892915195</v>
      </c>
      <c r="G216" s="360">
        <f t="shared" si="30"/>
        <v>4601.8090000000002</v>
      </c>
      <c r="H216" s="360">
        <f t="shared" si="28"/>
        <v>1827.9390000000001</v>
      </c>
      <c r="O216" s="153"/>
      <c r="P216" s="153"/>
      <c r="Q216" s="153"/>
    </row>
    <row r="217" spans="1:17" x14ac:dyDescent="0.2">
      <c r="A217" s="147">
        <v>2018</v>
      </c>
      <c r="B217" s="147">
        <v>12</v>
      </c>
      <c r="C217" s="147" t="str">
        <f t="shared" si="29"/>
        <v>201812</v>
      </c>
      <c r="D217" s="147" t="str">
        <f t="shared" si="31"/>
        <v>Q4</v>
      </c>
      <c r="E217" s="360">
        <f t="shared" si="30"/>
        <v>153691.45300000001</v>
      </c>
      <c r="F217" s="360">
        <f t="shared" si="30"/>
        <v>46499.695892915195</v>
      </c>
      <c r="G217" s="360">
        <f t="shared" si="30"/>
        <v>4601.8090000000002</v>
      </c>
      <c r="H217" s="360">
        <f t="shared" si="28"/>
        <v>1827.9390000000001</v>
      </c>
      <c r="O217" s="153"/>
      <c r="P217" s="153"/>
      <c r="Q217" s="153"/>
    </row>
    <row r="218" spans="1:17" x14ac:dyDescent="0.2">
      <c r="A218" s="147">
        <v>2019</v>
      </c>
      <c r="B218" s="147">
        <v>1</v>
      </c>
      <c r="C218" s="147" t="str">
        <f t="shared" si="29"/>
        <v>20191</v>
      </c>
      <c r="D218" s="147" t="str">
        <f t="shared" si="31"/>
        <v>Q1</v>
      </c>
      <c r="E218" s="360">
        <f t="shared" si="30"/>
        <v>155062.20000000001</v>
      </c>
      <c r="F218" s="360">
        <f t="shared" si="30"/>
        <v>46951.95820849367</v>
      </c>
      <c r="G218" s="360">
        <f t="shared" si="30"/>
        <v>4610.1880000000001</v>
      </c>
      <c r="H218" s="360">
        <f t="shared" si="28"/>
        <v>1831.317</v>
      </c>
    </row>
    <row r="219" spans="1:17" x14ac:dyDescent="0.2">
      <c r="A219" s="147">
        <v>2019</v>
      </c>
      <c r="B219" s="147">
        <v>2</v>
      </c>
      <c r="C219" s="147" t="str">
        <f t="shared" si="29"/>
        <v>20192</v>
      </c>
      <c r="D219" s="147" t="str">
        <f t="shared" si="31"/>
        <v>Q1</v>
      </c>
      <c r="E219" s="360">
        <f t="shared" si="30"/>
        <v>155062.20000000001</v>
      </c>
      <c r="F219" s="360">
        <f t="shared" si="30"/>
        <v>46951.95820849367</v>
      </c>
      <c r="G219" s="360">
        <f t="shared" si="30"/>
        <v>4610.1880000000001</v>
      </c>
      <c r="H219" s="360">
        <f t="shared" si="28"/>
        <v>1831.317</v>
      </c>
      <c r="O219" s="149"/>
      <c r="P219" s="149"/>
      <c r="Q219" s="149"/>
    </row>
    <row r="220" spans="1:17" x14ac:dyDescent="0.2">
      <c r="A220" s="147">
        <v>2019</v>
      </c>
      <c r="B220" s="147">
        <v>3</v>
      </c>
      <c r="C220" s="147" t="str">
        <f t="shared" si="29"/>
        <v>20193</v>
      </c>
      <c r="D220" s="147" t="str">
        <f t="shared" si="31"/>
        <v>Q1</v>
      </c>
      <c r="E220" s="360">
        <f t="shared" si="30"/>
        <v>155062.20000000001</v>
      </c>
      <c r="F220" s="360">
        <f t="shared" si="30"/>
        <v>46951.95820849367</v>
      </c>
      <c r="G220" s="360">
        <f t="shared" si="30"/>
        <v>4610.1880000000001</v>
      </c>
      <c r="H220" s="360">
        <f t="shared" si="28"/>
        <v>1831.317</v>
      </c>
      <c r="O220" s="149"/>
      <c r="P220" s="149"/>
      <c r="Q220" s="149"/>
    </row>
    <row r="221" spans="1:17" x14ac:dyDescent="0.2">
      <c r="A221" s="147">
        <v>2019</v>
      </c>
      <c r="B221" s="147">
        <v>4</v>
      </c>
      <c r="C221" s="147" t="str">
        <f t="shared" si="29"/>
        <v>20194</v>
      </c>
      <c r="D221" s="147" t="str">
        <f t="shared" si="31"/>
        <v>Q2</v>
      </c>
      <c r="E221" s="360">
        <f t="shared" si="30"/>
        <v>155893.33300000001</v>
      </c>
      <c r="F221" s="360">
        <f t="shared" si="30"/>
        <v>47295.046546996404</v>
      </c>
      <c r="G221" s="360">
        <f t="shared" si="30"/>
        <v>4618.558</v>
      </c>
      <c r="H221" s="360">
        <f t="shared" si="28"/>
        <v>1834.68</v>
      </c>
      <c r="O221" s="149"/>
      <c r="P221" s="149"/>
      <c r="Q221" s="149"/>
    </row>
    <row r="222" spans="1:17" x14ac:dyDescent="0.2">
      <c r="A222" s="147">
        <v>2019</v>
      </c>
      <c r="B222" s="147">
        <v>5</v>
      </c>
      <c r="C222" s="147" t="str">
        <f t="shared" si="29"/>
        <v>20195</v>
      </c>
      <c r="D222" s="147" t="str">
        <f t="shared" si="31"/>
        <v>Q2</v>
      </c>
      <c r="E222" s="360">
        <f t="shared" si="30"/>
        <v>155893.33300000001</v>
      </c>
      <c r="F222" s="360">
        <f t="shared" si="30"/>
        <v>47295.046546996404</v>
      </c>
      <c r="G222" s="360">
        <f t="shared" si="30"/>
        <v>4618.558</v>
      </c>
      <c r="H222" s="360">
        <f t="shared" si="28"/>
        <v>1834.68</v>
      </c>
      <c r="O222" s="149"/>
      <c r="P222" s="149"/>
      <c r="Q222" s="149"/>
    </row>
    <row r="223" spans="1:17" x14ac:dyDescent="0.2">
      <c r="A223" s="147">
        <v>2019</v>
      </c>
      <c r="B223" s="147">
        <v>6</v>
      </c>
      <c r="C223" s="147" t="str">
        <f t="shared" si="29"/>
        <v>20196</v>
      </c>
      <c r="D223" s="147" t="str">
        <f t="shared" si="31"/>
        <v>Q2</v>
      </c>
      <c r="E223" s="360">
        <f t="shared" si="30"/>
        <v>155893.33300000001</v>
      </c>
      <c r="F223" s="360">
        <f t="shared" si="30"/>
        <v>47295.046546996404</v>
      </c>
      <c r="G223" s="360">
        <f t="shared" si="30"/>
        <v>4618.558</v>
      </c>
      <c r="H223" s="360">
        <f t="shared" si="28"/>
        <v>1834.68</v>
      </c>
      <c r="O223" s="149"/>
      <c r="P223" s="149"/>
      <c r="Q223" s="149"/>
    </row>
    <row r="224" spans="1:17" x14ac:dyDescent="0.2">
      <c r="A224" s="147">
        <v>2019</v>
      </c>
      <c r="B224" s="147">
        <v>7</v>
      </c>
      <c r="C224" s="147" t="str">
        <f t="shared" si="29"/>
        <v>20197</v>
      </c>
      <c r="D224" s="147" t="str">
        <f t="shared" si="31"/>
        <v>Q3</v>
      </c>
      <c r="E224" s="360">
        <f t="shared" si="30"/>
        <v>156697.22099999999</v>
      </c>
      <c r="F224" s="360">
        <f t="shared" si="30"/>
        <v>47474.511791947109</v>
      </c>
      <c r="G224" s="360">
        <f t="shared" si="30"/>
        <v>4626.9070000000002</v>
      </c>
      <c r="H224" s="360">
        <f t="shared" si="28"/>
        <v>1838.0340000000001</v>
      </c>
      <c r="O224" s="149"/>
      <c r="P224" s="149"/>
      <c r="Q224" s="149"/>
    </row>
    <row r="225" spans="1:19" x14ac:dyDescent="0.2">
      <c r="A225" s="147">
        <v>2019</v>
      </c>
      <c r="B225" s="147">
        <v>8</v>
      </c>
      <c r="C225" s="147" t="str">
        <f t="shared" si="29"/>
        <v>20198</v>
      </c>
      <c r="D225" s="147" t="str">
        <f t="shared" si="31"/>
        <v>Q3</v>
      </c>
      <c r="E225" s="360">
        <f t="shared" si="30"/>
        <v>156697.22099999999</v>
      </c>
      <c r="F225" s="360">
        <f t="shared" si="30"/>
        <v>47474.511791947109</v>
      </c>
      <c r="G225" s="360">
        <f t="shared" si="30"/>
        <v>4626.9070000000002</v>
      </c>
      <c r="H225" s="360">
        <f t="shared" si="28"/>
        <v>1838.0340000000001</v>
      </c>
      <c r="O225" s="149"/>
      <c r="P225" s="149"/>
      <c r="Q225" s="149"/>
    </row>
    <row r="226" spans="1:19" x14ac:dyDescent="0.2">
      <c r="A226" s="147">
        <v>2019</v>
      </c>
      <c r="B226" s="147">
        <v>9</v>
      </c>
      <c r="C226" s="147" t="str">
        <f t="shared" si="29"/>
        <v>20199</v>
      </c>
      <c r="D226" s="147" t="str">
        <f t="shared" si="31"/>
        <v>Q3</v>
      </c>
      <c r="E226" s="360">
        <f t="shared" si="30"/>
        <v>156697.22099999999</v>
      </c>
      <c r="F226" s="360">
        <f t="shared" si="30"/>
        <v>47474.511791947109</v>
      </c>
      <c r="G226" s="360">
        <f t="shared" si="30"/>
        <v>4626.9070000000002</v>
      </c>
      <c r="H226" s="360">
        <f t="shared" si="28"/>
        <v>1838.0340000000001</v>
      </c>
      <c r="O226" s="149"/>
      <c r="P226" s="149"/>
      <c r="Q226" s="149"/>
    </row>
    <row r="227" spans="1:19" x14ac:dyDescent="0.2">
      <c r="A227" s="147">
        <v>2019</v>
      </c>
      <c r="B227" s="147">
        <v>10</v>
      </c>
      <c r="C227" s="147" t="str">
        <f t="shared" si="29"/>
        <v>201910</v>
      </c>
      <c r="D227" s="147" t="str">
        <f t="shared" si="31"/>
        <v>Q4</v>
      </c>
      <c r="E227" s="360">
        <f t="shared" si="30"/>
        <v>157503.777</v>
      </c>
      <c r="F227" s="360">
        <f t="shared" si="30"/>
        <v>47726.545621421916</v>
      </c>
      <c r="G227" s="360">
        <f t="shared" si="30"/>
        <v>4635.2470000000003</v>
      </c>
      <c r="H227" s="360">
        <f t="shared" si="28"/>
        <v>1841.366</v>
      </c>
      <c r="O227" s="149"/>
      <c r="P227" s="149"/>
      <c r="Q227" s="149"/>
    </row>
    <row r="228" spans="1:19" x14ac:dyDescent="0.2">
      <c r="A228" s="147">
        <v>2019</v>
      </c>
      <c r="B228" s="147">
        <v>11</v>
      </c>
      <c r="C228" s="147" t="str">
        <f t="shared" si="29"/>
        <v>201911</v>
      </c>
      <c r="D228" s="147" t="str">
        <f t="shared" si="31"/>
        <v>Q4</v>
      </c>
      <c r="E228" s="360">
        <f t="shared" si="30"/>
        <v>157503.777</v>
      </c>
      <c r="F228" s="360">
        <f t="shared" si="30"/>
        <v>47726.545621421916</v>
      </c>
      <c r="G228" s="360">
        <f t="shared" si="30"/>
        <v>4635.2470000000003</v>
      </c>
      <c r="H228" s="360">
        <f t="shared" si="28"/>
        <v>1841.366</v>
      </c>
      <c r="O228" s="149"/>
      <c r="P228" s="149"/>
      <c r="Q228" s="149"/>
    </row>
    <row r="229" spans="1:19" x14ac:dyDescent="0.2">
      <c r="A229" s="147">
        <v>2019</v>
      </c>
      <c r="B229" s="147">
        <v>12</v>
      </c>
      <c r="C229" s="147" t="str">
        <f t="shared" si="29"/>
        <v>201912</v>
      </c>
      <c r="D229" s="147" t="str">
        <f t="shared" si="31"/>
        <v>Q4</v>
      </c>
      <c r="E229" s="360">
        <f t="shared" si="30"/>
        <v>157503.777</v>
      </c>
      <c r="F229" s="360">
        <f t="shared" si="30"/>
        <v>47726.545621421916</v>
      </c>
      <c r="G229" s="360">
        <f t="shared" si="30"/>
        <v>4635.2470000000003</v>
      </c>
      <c r="H229" s="360">
        <f t="shared" si="28"/>
        <v>1841.366</v>
      </c>
      <c r="O229" s="149"/>
      <c r="P229" s="149"/>
      <c r="Q229" s="149"/>
    </row>
    <row r="230" spans="1:19" x14ac:dyDescent="0.2">
      <c r="A230" s="147">
        <v>2020</v>
      </c>
      <c r="B230" s="147">
        <v>1</v>
      </c>
      <c r="C230" s="147" t="str">
        <f t="shared" si="29"/>
        <v>20201</v>
      </c>
      <c r="D230" s="147" t="str">
        <f t="shared" si="31"/>
        <v>Q1</v>
      </c>
      <c r="E230" s="360">
        <f t="shared" si="30"/>
        <v>158898.726</v>
      </c>
      <c r="F230" s="360">
        <f t="shared" si="30"/>
        <v>48243.78300199988</v>
      </c>
      <c r="G230" s="360">
        <f t="shared" si="30"/>
        <v>4643.5770000000002</v>
      </c>
      <c r="H230" s="360">
        <f t="shared" si="28"/>
        <v>1844.713</v>
      </c>
      <c r="O230" s="149"/>
      <c r="P230" s="149"/>
      <c r="Q230" s="149"/>
    </row>
    <row r="231" spans="1:19" x14ac:dyDescent="0.2">
      <c r="A231" s="147">
        <v>2020</v>
      </c>
      <c r="B231" s="147">
        <v>2</v>
      </c>
      <c r="C231" s="147" t="str">
        <f t="shared" si="29"/>
        <v>20202</v>
      </c>
      <c r="D231" s="147" t="str">
        <f t="shared" si="31"/>
        <v>Q1</v>
      </c>
      <c r="E231" s="360">
        <f t="shared" si="30"/>
        <v>158898.726</v>
      </c>
      <c r="F231" s="360">
        <f t="shared" si="30"/>
        <v>48243.78300199988</v>
      </c>
      <c r="G231" s="360">
        <f t="shared" si="30"/>
        <v>4643.5770000000002</v>
      </c>
      <c r="H231" s="360">
        <f t="shared" si="28"/>
        <v>1844.713</v>
      </c>
      <c r="O231" s="149"/>
      <c r="P231" s="149"/>
      <c r="Q231" s="149"/>
    </row>
    <row r="232" spans="1:19" x14ac:dyDescent="0.2">
      <c r="A232" s="147">
        <v>2020</v>
      </c>
      <c r="B232" s="147">
        <v>3</v>
      </c>
      <c r="C232" s="147" t="str">
        <f t="shared" si="29"/>
        <v>20203</v>
      </c>
      <c r="D232" s="147" t="str">
        <f t="shared" si="31"/>
        <v>Q1</v>
      </c>
      <c r="E232" s="360">
        <f t="shared" si="30"/>
        <v>158898.726</v>
      </c>
      <c r="F232" s="360">
        <f t="shared" si="30"/>
        <v>48243.78300199988</v>
      </c>
      <c r="G232" s="360">
        <f t="shared" si="30"/>
        <v>4643.5770000000002</v>
      </c>
      <c r="H232" s="360">
        <f t="shared" si="28"/>
        <v>1844.713</v>
      </c>
      <c r="O232" s="149"/>
      <c r="P232" s="149"/>
      <c r="Q232" s="149"/>
    </row>
    <row r="233" spans="1:19" x14ac:dyDescent="0.2">
      <c r="A233" s="147">
        <v>2020</v>
      </c>
      <c r="B233" s="147">
        <v>4</v>
      </c>
      <c r="C233" s="147" t="str">
        <f t="shared" si="29"/>
        <v>20204</v>
      </c>
      <c r="D233" s="147" t="str">
        <f t="shared" si="31"/>
        <v>Q2</v>
      </c>
      <c r="E233" s="360">
        <f t="shared" si="30"/>
        <v>159849.41</v>
      </c>
      <c r="F233" s="360">
        <f t="shared" si="30"/>
        <v>48481.970690693073</v>
      </c>
      <c r="G233" s="360">
        <f t="shared" si="30"/>
        <v>4651.8969999999999</v>
      </c>
      <c r="H233" s="360">
        <f t="shared" si="28"/>
        <v>1847.818</v>
      </c>
      <c r="O233" s="149"/>
      <c r="P233" s="149"/>
      <c r="Q233" s="149"/>
      <c r="R233" s="173"/>
      <c r="S233" s="173"/>
    </row>
    <row r="234" spans="1:19" x14ac:dyDescent="0.2">
      <c r="A234" s="147">
        <v>2020</v>
      </c>
      <c r="B234" s="147">
        <v>5</v>
      </c>
      <c r="C234" s="147" t="str">
        <f t="shared" si="29"/>
        <v>20205</v>
      </c>
      <c r="D234" s="147" t="str">
        <f t="shared" si="31"/>
        <v>Q2</v>
      </c>
      <c r="E234" s="360">
        <f t="shared" si="30"/>
        <v>159849.41</v>
      </c>
      <c r="F234" s="360">
        <f t="shared" si="30"/>
        <v>48481.970690693073</v>
      </c>
      <c r="G234" s="360">
        <f t="shared" si="30"/>
        <v>4651.8969999999999</v>
      </c>
      <c r="H234" s="360">
        <f t="shared" si="28"/>
        <v>1847.818</v>
      </c>
      <c r="O234" s="149"/>
      <c r="P234" s="149"/>
      <c r="Q234" s="149"/>
      <c r="R234" s="173"/>
      <c r="S234" s="173"/>
    </row>
    <row r="235" spans="1:19" x14ac:dyDescent="0.2">
      <c r="A235" s="147">
        <v>2020</v>
      </c>
      <c r="B235" s="147">
        <v>6</v>
      </c>
      <c r="C235" s="147" t="str">
        <f t="shared" si="29"/>
        <v>20206</v>
      </c>
      <c r="D235" s="147" t="str">
        <f t="shared" si="31"/>
        <v>Q2</v>
      </c>
      <c r="E235" s="360">
        <f t="shared" si="30"/>
        <v>159849.41</v>
      </c>
      <c r="F235" s="360">
        <f t="shared" si="30"/>
        <v>48481.970690693073</v>
      </c>
      <c r="G235" s="360">
        <f t="shared" si="30"/>
        <v>4651.8969999999999</v>
      </c>
      <c r="H235" s="360">
        <f t="shared" si="28"/>
        <v>1847.818</v>
      </c>
      <c r="O235" s="149"/>
      <c r="P235" s="149"/>
      <c r="Q235" s="149"/>
      <c r="R235" s="173"/>
      <c r="S235" s="173"/>
    </row>
    <row r="236" spans="1:19" x14ac:dyDescent="0.2">
      <c r="A236" s="147">
        <v>2020</v>
      </c>
      <c r="B236" s="147">
        <v>7</v>
      </c>
      <c r="C236" s="147" t="str">
        <f t="shared" si="29"/>
        <v>20207</v>
      </c>
      <c r="D236" s="147" t="str">
        <f t="shared" si="31"/>
        <v>Q3</v>
      </c>
      <c r="E236" s="360">
        <f t="shared" si="30"/>
        <v>160644.163</v>
      </c>
      <c r="F236" s="360">
        <f t="shared" si="30"/>
        <v>48705.682421467725</v>
      </c>
      <c r="G236" s="360">
        <f t="shared" si="30"/>
        <v>4660.2060000000001</v>
      </c>
      <c r="H236" s="360">
        <f t="shared" si="28"/>
        <v>1850.903</v>
      </c>
      <c r="O236" s="149"/>
      <c r="P236" s="149"/>
      <c r="Q236" s="149"/>
      <c r="R236" s="173"/>
      <c r="S236" s="173"/>
    </row>
    <row r="237" spans="1:19" x14ac:dyDescent="0.2">
      <c r="A237" s="147">
        <v>2020</v>
      </c>
      <c r="B237" s="147">
        <v>8</v>
      </c>
      <c r="C237" s="147" t="str">
        <f t="shared" si="29"/>
        <v>20208</v>
      </c>
      <c r="D237" s="147" t="str">
        <f t="shared" si="31"/>
        <v>Q3</v>
      </c>
      <c r="E237" s="360">
        <f t="shared" si="30"/>
        <v>160644.163</v>
      </c>
      <c r="F237" s="360">
        <f t="shared" si="30"/>
        <v>48705.682421467725</v>
      </c>
      <c r="G237" s="360">
        <f t="shared" si="30"/>
        <v>4660.2060000000001</v>
      </c>
      <c r="H237" s="360">
        <f t="shared" si="28"/>
        <v>1850.903</v>
      </c>
      <c r="O237" s="149"/>
      <c r="P237" s="149"/>
      <c r="Q237" s="149"/>
      <c r="R237" s="173"/>
      <c r="S237" s="173"/>
    </row>
    <row r="238" spans="1:19" x14ac:dyDescent="0.2">
      <c r="A238" s="147">
        <v>2020</v>
      </c>
      <c r="B238" s="147">
        <v>9</v>
      </c>
      <c r="C238" s="147" t="str">
        <f t="shared" si="29"/>
        <v>20209</v>
      </c>
      <c r="D238" s="147" t="str">
        <f t="shared" si="31"/>
        <v>Q3</v>
      </c>
      <c r="E238" s="360">
        <f t="shared" si="30"/>
        <v>160644.163</v>
      </c>
      <c r="F238" s="360">
        <f t="shared" si="30"/>
        <v>48705.682421467725</v>
      </c>
      <c r="G238" s="360">
        <f t="shared" si="30"/>
        <v>4660.2060000000001</v>
      </c>
      <c r="H238" s="360">
        <f t="shared" si="28"/>
        <v>1850.903</v>
      </c>
      <c r="O238" s="149"/>
      <c r="P238" s="149"/>
      <c r="Q238" s="149"/>
      <c r="R238" s="173"/>
      <c r="S238" s="173"/>
    </row>
    <row r="239" spans="1:19" x14ac:dyDescent="0.2">
      <c r="A239" s="147">
        <v>2020</v>
      </c>
      <c r="B239" s="147">
        <v>10</v>
      </c>
      <c r="C239" s="147" t="str">
        <f t="shared" si="29"/>
        <v>202010</v>
      </c>
      <c r="D239" s="147" t="str">
        <f t="shared" si="31"/>
        <v>Q4</v>
      </c>
      <c r="E239" s="360">
        <f t="shared" si="30"/>
        <v>161348.13399999999</v>
      </c>
      <c r="F239" s="360">
        <f t="shared" si="30"/>
        <v>48829.591308895542</v>
      </c>
      <c r="G239" s="360">
        <f t="shared" si="30"/>
        <v>4668.5039999999999</v>
      </c>
      <c r="H239" s="360">
        <f t="shared" si="28"/>
        <v>1853.9760000000001</v>
      </c>
      <c r="O239" s="149"/>
      <c r="P239" s="149"/>
      <c r="Q239" s="149"/>
      <c r="R239" s="173"/>
      <c r="S239" s="173"/>
    </row>
    <row r="240" spans="1:19" x14ac:dyDescent="0.2">
      <c r="A240" s="147">
        <v>2020</v>
      </c>
      <c r="B240" s="147">
        <v>11</v>
      </c>
      <c r="C240" s="147" t="str">
        <f t="shared" si="29"/>
        <v>202011</v>
      </c>
      <c r="D240" s="147" t="str">
        <f t="shared" si="31"/>
        <v>Q4</v>
      </c>
      <c r="E240" s="360">
        <f t="shared" si="30"/>
        <v>161348.13399999999</v>
      </c>
      <c r="F240" s="360">
        <f t="shared" si="30"/>
        <v>48829.591308895542</v>
      </c>
      <c r="G240" s="360">
        <f t="shared" si="30"/>
        <v>4668.5039999999999</v>
      </c>
      <c r="H240" s="360">
        <f t="shared" si="28"/>
        <v>1853.9760000000001</v>
      </c>
      <c r="O240" s="149"/>
      <c r="P240" s="149"/>
      <c r="Q240" s="149"/>
      <c r="R240" s="173"/>
      <c r="S240" s="173"/>
    </row>
    <row r="241" spans="1:17" x14ac:dyDescent="0.2">
      <c r="A241" s="147">
        <v>2020</v>
      </c>
      <c r="B241" s="147">
        <v>12</v>
      </c>
      <c r="C241" s="147" t="str">
        <f t="shared" si="29"/>
        <v>202012</v>
      </c>
      <c r="D241" s="147" t="str">
        <f t="shared" si="31"/>
        <v>Q4</v>
      </c>
      <c r="E241" s="360">
        <f t="shared" si="30"/>
        <v>161348.13399999999</v>
      </c>
      <c r="F241" s="360">
        <f t="shared" si="30"/>
        <v>48829.591308895542</v>
      </c>
      <c r="G241" s="360">
        <f t="shared" si="30"/>
        <v>4668.5039999999999</v>
      </c>
      <c r="H241" s="360">
        <f t="shared" si="28"/>
        <v>1853.9760000000001</v>
      </c>
      <c r="O241" s="153"/>
      <c r="P241" s="153"/>
      <c r="Q241" s="153"/>
    </row>
    <row r="242" spans="1:17" x14ac:dyDescent="0.2">
      <c r="A242" s="147">
        <v>2021</v>
      </c>
      <c r="B242" s="147">
        <v>1</v>
      </c>
      <c r="C242" s="147" t="str">
        <f t="shared" si="29"/>
        <v>20211</v>
      </c>
      <c r="D242" s="147" t="str">
        <f t="shared" si="31"/>
        <v>Q1</v>
      </c>
      <c r="E242" s="360">
        <f t="shared" si="30"/>
        <v>162475.66899999999</v>
      </c>
      <c r="F242" s="360">
        <f t="shared" si="30"/>
        <v>49203.757964168057</v>
      </c>
      <c r="G242" s="360">
        <f t="shared" si="30"/>
        <v>4676.79</v>
      </c>
      <c r="H242" s="360">
        <f t="shared" si="28"/>
        <v>1856.8409999999999</v>
      </c>
      <c r="O242" s="153"/>
      <c r="P242" s="153"/>
      <c r="Q242" s="153"/>
    </row>
    <row r="243" spans="1:17" x14ac:dyDescent="0.2">
      <c r="A243" s="147">
        <v>2021</v>
      </c>
      <c r="B243" s="147">
        <v>2</v>
      </c>
      <c r="C243" s="147" t="str">
        <f t="shared" si="29"/>
        <v>20212</v>
      </c>
      <c r="D243" s="147" t="str">
        <f t="shared" si="31"/>
        <v>Q1</v>
      </c>
      <c r="E243" s="360">
        <f t="shared" si="30"/>
        <v>162475.66899999999</v>
      </c>
      <c r="F243" s="360">
        <f t="shared" si="30"/>
        <v>49203.757964168057</v>
      </c>
      <c r="G243" s="360">
        <f t="shared" si="30"/>
        <v>4676.79</v>
      </c>
      <c r="H243" s="360">
        <f t="shared" si="28"/>
        <v>1856.8409999999999</v>
      </c>
      <c r="O243" s="153"/>
      <c r="P243" s="153"/>
      <c r="Q243" s="153"/>
    </row>
    <row r="244" spans="1:17" x14ac:dyDescent="0.2">
      <c r="A244" s="147">
        <v>2021</v>
      </c>
      <c r="B244" s="147">
        <v>3</v>
      </c>
      <c r="C244" s="147" t="str">
        <f t="shared" si="29"/>
        <v>20213</v>
      </c>
      <c r="D244" s="147" t="str">
        <f t="shared" si="31"/>
        <v>Q1</v>
      </c>
      <c r="E244" s="360">
        <f t="shared" si="30"/>
        <v>162475.66899999999</v>
      </c>
      <c r="F244" s="360">
        <f t="shared" si="30"/>
        <v>49203.757964168057</v>
      </c>
      <c r="G244" s="360">
        <f t="shared" si="30"/>
        <v>4676.79</v>
      </c>
      <c r="H244" s="360">
        <f t="shared" si="28"/>
        <v>1856.8409999999999</v>
      </c>
      <c r="O244" s="153"/>
      <c r="P244" s="153"/>
      <c r="Q244" s="153"/>
    </row>
    <row r="245" spans="1:17" x14ac:dyDescent="0.2">
      <c r="A245" s="147">
        <v>2021</v>
      </c>
      <c r="B245" s="147">
        <v>4</v>
      </c>
      <c r="C245" s="147" t="str">
        <f t="shared" si="29"/>
        <v>20214</v>
      </c>
      <c r="D245" s="147" t="str">
        <f t="shared" si="31"/>
        <v>Q2</v>
      </c>
      <c r="E245" s="360">
        <f t="shared" si="30"/>
        <v>163161.704</v>
      </c>
      <c r="F245" s="360">
        <f t="shared" si="30"/>
        <v>49409.045195684346</v>
      </c>
      <c r="G245" s="360">
        <f t="shared" si="30"/>
        <v>4685.0510000000004</v>
      </c>
      <c r="H245" s="360">
        <f t="shared" si="28"/>
        <v>1859.7909999999999</v>
      </c>
      <c r="O245" s="153"/>
      <c r="P245" s="153"/>
      <c r="Q245" s="153"/>
    </row>
    <row r="246" spans="1:17" x14ac:dyDescent="0.2">
      <c r="A246" s="147">
        <v>2021</v>
      </c>
      <c r="B246" s="147">
        <v>5</v>
      </c>
      <c r="C246" s="147" t="str">
        <f t="shared" si="29"/>
        <v>20215</v>
      </c>
      <c r="D246" s="147" t="str">
        <f t="shared" si="31"/>
        <v>Q2</v>
      </c>
      <c r="E246" s="360">
        <f t="shared" si="30"/>
        <v>163161.704</v>
      </c>
      <c r="F246" s="360">
        <f t="shared" si="30"/>
        <v>49409.045195684346</v>
      </c>
      <c r="G246" s="360">
        <f t="shared" si="30"/>
        <v>4685.0510000000004</v>
      </c>
      <c r="H246" s="360">
        <f t="shared" si="28"/>
        <v>1859.7909999999999</v>
      </c>
      <c r="O246" s="153"/>
      <c r="P246" s="153"/>
      <c r="Q246" s="153"/>
    </row>
    <row r="247" spans="1:17" x14ac:dyDescent="0.2">
      <c r="A247" s="147">
        <v>2021</v>
      </c>
      <c r="B247" s="147">
        <v>6</v>
      </c>
      <c r="C247" s="147" t="str">
        <f t="shared" si="29"/>
        <v>20216</v>
      </c>
      <c r="D247" s="147" t="str">
        <f t="shared" si="31"/>
        <v>Q2</v>
      </c>
      <c r="E247" s="360">
        <f t="shared" si="30"/>
        <v>163161.704</v>
      </c>
      <c r="F247" s="360">
        <f t="shared" si="30"/>
        <v>49409.045195684346</v>
      </c>
      <c r="G247" s="360">
        <f t="shared" si="30"/>
        <v>4685.0510000000004</v>
      </c>
      <c r="H247" s="360">
        <f t="shared" si="28"/>
        <v>1859.7909999999999</v>
      </c>
      <c r="O247" s="153"/>
      <c r="P247" s="153"/>
      <c r="Q247" s="153"/>
    </row>
    <row r="248" spans="1:17" x14ac:dyDescent="0.2">
      <c r="A248" s="147">
        <v>2021</v>
      </c>
      <c r="B248" s="147">
        <v>7</v>
      </c>
      <c r="C248" s="147" t="str">
        <f t="shared" si="29"/>
        <v>20217</v>
      </c>
      <c r="D248" s="147" t="str">
        <f t="shared" si="31"/>
        <v>Q3</v>
      </c>
      <c r="E248" s="360">
        <f t="shared" si="30"/>
        <v>163854.01199999999</v>
      </c>
      <c r="F248" s="360">
        <f t="shared" si="30"/>
        <v>49571.67892035051</v>
      </c>
      <c r="G248" s="360">
        <f t="shared" si="30"/>
        <v>4693.299</v>
      </c>
      <c r="H248" s="360">
        <f t="shared" si="28"/>
        <v>1862.693</v>
      </c>
      <c r="O248" s="153"/>
      <c r="P248" s="153"/>
      <c r="Q248" s="153"/>
    </row>
    <row r="249" spans="1:17" x14ac:dyDescent="0.2">
      <c r="A249" s="147">
        <v>2021</v>
      </c>
      <c r="B249" s="147">
        <v>8</v>
      </c>
      <c r="C249" s="147" t="str">
        <f t="shared" si="29"/>
        <v>20218</v>
      </c>
      <c r="D249" s="147" t="str">
        <f t="shared" si="31"/>
        <v>Q3</v>
      </c>
      <c r="E249" s="360">
        <f t="shared" si="30"/>
        <v>163854.01199999999</v>
      </c>
      <c r="F249" s="360">
        <f t="shared" si="30"/>
        <v>49571.67892035051</v>
      </c>
      <c r="G249" s="360">
        <f t="shared" si="30"/>
        <v>4693.299</v>
      </c>
      <c r="H249" s="360">
        <f t="shared" si="28"/>
        <v>1862.693</v>
      </c>
      <c r="O249" s="153"/>
      <c r="P249" s="153"/>
      <c r="Q249" s="153"/>
    </row>
    <row r="250" spans="1:17" x14ac:dyDescent="0.2">
      <c r="A250" s="147">
        <v>2021</v>
      </c>
      <c r="B250" s="147">
        <v>9</v>
      </c>
      <c r="C250" s="147" t="str">
        <f t="shared" si="29"/>
        <v>20219</v>
      </c>
      <c r="D250" s="147" t="str">
        <f t="shared" si="31"/>
        <v>Q3</v>
      </c>
      <c r="E250" s="360">
        <f t="shared" si="30"/>
        <v>163854.01199999999</v>
      </c>
      <c r="F250" s="360">
        <f t="shared" si="30"/>
        <v>49571.67892035051</v>
      </c>
      <c r="G250" s="360">
        <f t="shared" si="30"/>
        <v>4693.299</v>
      </c>
      <c r="H250" s="360">
        <f t="shared" si="28"/>
        <v>1862.693</v>
      </c>
      <c r="L250" s="170"/>
    </row>
    <row r="251" spans="1:17" x14ac:dyDescent="0.2">
      <c r="A251" s="147">
        <v>2021</v>
      </c>
      <c r="B251" s="147">
        <v>10</v>
      </c>
      <c r="C251" s="147" t="str">
        <f t="shared" si="29"/>
        <v>202110</v>
      </c>
      <c r="D251" s="147" t="str">
        <f t="shared" si="31"/>
        <v>Q4</v>
      </c>
      <c r="E251" s="360">
        <f t="shared" si="30"/>
        <v>164597.87899999999</v>
      </c>
      <c r="F251" s="360">
        <f t="shared" si="30"/>
        <v>49908.568796165404</v>
      </c>
      <c r="G251" s="360">
        <f t="shared" si="30"/>
        <v>4701.5330000000004</v>
      </c>
      <c r="H251" s="360">
        <f t="shared" si="28"/>
        <v>1866.915</v>
      </c>
      <c r="L251" s="170"/>
    </row>
    <row r="252" spans="1:17" x14ac:dyDescent="0.2">
      <c r="A252" s="147">
        <v>2021</v>
      </c>
      <c r="B252" s="147">
        <v>11</v>
      </c>
      <c r="C252" s="147" t="str">
        <f t="shared" si="29"/>
        <v>202111</v>
      </c>
      <c r="D252" s="147" t="str">
        <f t="shared" si="31"/>
        <v>Q4</v>
      </c>
      <c r="E252" s="360">
        <f t="shared" si="30"/>
        <v>164597.87899999999</v>
      </c>
      <c r="F252" s="360">
        <f t="shared" si="30"/>
        <v>49908.568796165404</v>
      </c>
      <c r="G252" s="360">
        <f t="shared" si="30"/>
        <v>4701.5330000000004</v>
      </c>
      <c r="H252" s="360">
        <f t="shared" si="28"/>
        <v>1866.915</v>
      </c>
      <c r="L252" s="170"/>
    </row>
    <row r="253" spans="1:17" x14ac:dyDescent="0.2">
      <c r="A253" s="147">
        <v>2021</v>
      </c>
      <c r="B253" s="147">
        <v>12</v>
      </c>
      <c r="C253" s="147" t="str">
        <f t="shared" si="29"/>
        <v>202112</v>
      </c>
      <c r="D253" s="147" t="str">
        <f t="shared" si="31"/>
        <v>Q4</v>
      </c>
      <c r="E253" s="360">
        <f t="shared" si="30"/>
        <v>164597.87899999999</v>
      </c>
      <c r="F253" s="360">
        <f t="shared" si="30"/>
        <v>49908.568796165404</v>
      </c>
      <c r="G253" s="360">
        <f t="shared" si="30"/>
        <v>4701.5330000000004</v>
      </c>
      <c r="H253" s="360">
        <f t="shared" si="28"/>
        <v>1866.915</v>
      </c>
      <c r="L253" s="170"/>
    </row>
    <row r="254" spans="1:17" x14ac:dyDescent="0.2">
      <c r="A254" s="147">
        <v>2022</v>
      </c>
      <c r="B254" s="147">
        <v>1</v>
      </c>
      <c r="C254" s="147" t="str">
        <f t="shared" si="29"/>
        <v>20221</v>
      </c>
      <c r="D254" s="147" t="str">
        <f t="shared" si="31"/>
        <v>Q1</v>
      </c>
      <c r="E254" s="360">
        <f t="shared" si="30"/>
        <v>165857.508</v>
      </c>
      <c r="F254" s="360">
        <f t="shared" si="30"/>
        <v>50229.384400300703</v>
      </c>
      <c r="G254" s="360">
        <f t="shared" si="30"/>
        <v>4709.7529999999997</v>
      </c>
      <c r="H254" s="360">
        <f t="shared" si="28"/>
        <v>1869.009</v>
      </c>
      <c r="L254" s="170"/>
    </row>
    <row r="255" spans="1:17" x14ac:dyDescent="0.2">
      <c r="A255" s="147">
        <v>2022</v>
      </c>
      <c r="B255" s="147">
        <v>2</v>
      </c>
      <c r="C255" s="147" t="str">
        <f t="shared" si="29"/>
        <v>20222</v>
      </c>
      <c r="D255" s="147" t="str">
        <f t="shared" si="31"/>
        <v>Q1</v>
      </c>
      <c r="E255" s="360">
        <f t="shared" si="30"/>
        <v>165857.508</v>
      </c>
      <c r="F255" s="360">
        <f t="shared" si="30"/>
        <v>50229.384400300703</v>
      </c>
      <c r="G255" s="360">
        <f t="shared" si="30"/>
        <v>4709.7529999999997</v>
      </c>
      <c r="H255" s="360">
        <f t="shared" si="28"/>
        <v>1869.009</v>
      </c>
      <c r="L255" s="170"/>
    </row>
    <row r="256" spans="1:17" x14ac:dyDescent="0.2">
      <c r="A256" s="147">
        <v>2022</v>
      </c>
      <c r="B256" s="147">
        <v>3</v>
      </c>
      <c r="C256" s="147" t="str">
        <f t="shared" si="29"/>
        <v>20223</v>
      </c>
      <c r="D256" s="147" t="str">
        <f t="shared" si="31"/>
        <v>Q1</v>
      </c>
      <c r="E256" s="360">
        <f t="shared" si="30"/>
        <v>165857.508</v>
      </c>
      <c r="F256" s="360">
        <f t="shared" si="30"/>
        <v>50229.384400300703</v>
      </c>
      <c r="G256" s="360">
        <f t="shared" si="30"/>
        <v>4709.7529999999997</v>
      </c>
      <c r="H256" s="360">
        <f t="shared" si="28"/>
        <v>1869.009</v>
      </c>
      <c r="L256" s="170"/>
    </row>
    <row r="257" spans="1:12" x14ac:dyDescent="0.2">
      <c r="A257" s="147">
        <v>2022</v>
      </c>
      <c r="B257" s="147">
        <v>4</v>
      </c>
      <c r="C257" s="147" t="str">
        <f t="shared" si="29"/>
        <v>20224</v>
      </c>
      <c r="D257" s="147" t="str">
        <f t="shared" si="31"/>
        <v>Q2</v>
      </c>
      <c r="E257" s="360">
        <f t="shared" si="30"/>
        <v>166796.47399999999</v>
      </c>
      <c r="F257" s="360">
        <f t="shared" si="30"/>
        <v>50462.244962799821</v>
      </c>
      <c r="G257" s="360">
        <f t="shared" si="30"/>
        <v>4717.9579999999996</v>
      </c>
      <c r="H257" s="360">
        <f t="shared" si="28"/>
        <v>1872.117</v>
      </c>
      <c r="L257" s="170"/>
    </row>
    <row r="258" spans="1:12" x14ac:dyDescent="0.2">
      <c r="A258" s="147">
        <v>2022</v>
      </c>
      <c r="B258" s="147">
        <v>5</v>
      </c>
      <c r="C258" s="147" t="str">
        <f t="shared" si="29"/>
        <v>20225</v>
      </c>
      <c r="D258" s="147" t="str">
        <f t="shared" si="31"/>
        <v>Q2</v>
      </c>
      <c r="E258" s="360">
        <f t="shared" si="30"/>
        <v>166796.47399999999</v>
      </c>
      <c r="F258" s="360">
        <f t="shared" si="30"/>
        <v>50462.244962799821</v>
      </c>
      <c r="G258" s="360">
        <f t="shared" si="30"/>
        <v>4717.9579999999996</v>
      </c>
      <c r="H258" s="360">
        <f t="shared" si="30"/>
        <v>1872.117</v>
      </c>
      <c r="L258" s="170"/>
    </row>
    <row r="259" spans="1:12" x14ac:dyDescent="0.2">
      <c r="A259" s="147">
        <v>2022</v>
      </c>
      <c r="B259" s="147">
        <v>6</v>
      </c>
      <c r="C259" s="147" t="str">
        <f t="shared" ref="C259:C322" si="32">A259&amp;B259</f>
        <v>20226</v>
      </c>
      <c r="D259" s="147" t="str">
        <f t="shared" si="31"/>
        <v>Q2</v>
      </c>
      <c r="E259" s="360">
        <f t="shared" ref="E259:H322" si="33">VLOOKUP($A259&amp;$D259,$N$1:$T$173,MATCH(E$1,$N$1:$T$1,0),0)</f>
        <v>166796.47399999999</v>
      </c>
      <c r="F259" s="360">
        <f t="shared" si="33"/>
        <v>50462.244962799821</v>
      </c>
      <c r="G259" s="360">
        <f t="shared" si="33"/>
        <v>4717.9579999999996</v>
      </c>
      <c r="H259" s="360">
        <f t="shared" si="33"/>
        <v>1872.117</v>
      </c>
      <c r="L259" s="170"/>
    </row>
    <row r="260" spans="1:12" x14ac:dyDescent="0.2">
      <c r="A260" s="147">
        <v>2022</v>
      </c>
      <c r="B260" s="147">
        <v>7</v>
      </c>
      <c r="C260" s="147" t="str">
        <f t="shared" si="32"/>
        <v>20227</v>
      </c>
      <c r="D260" s="147" t="str">
        <f t="shared" si="31"/>
        <v>Q3</v>
      </c>
      <c r="E260" s="360">
        <f t="shared" si="33"/>
        <v>167787.24299999999</v>
      </c>
      <c r="F260" s="360">
        <f t="shared" si="33"/>
        <v>50848.241817321788</v>
      </c>
      <c r="G260" s="360">
        <f t="shared" si="33"/>
        <v>4726.1329999999998</v>
      </c>
      <c r="H260" s="360">
        <f t="shared" si="33"/>
        <v>1875.1959999999999</v>
      </c>
      <c r="L260" s="170"/>
    </row>
    <row r="261" spans="1:12" x14ac:dyDescent="0.2">
      <c r="A261" s="147">
        <v>2022</v>
      </c>
      <c r="B261" s="147">
        <v>8</v>
      </c>
      <c r="C261" s="147" t="str">
        <f t="shared" si="32"/>
        <v>20228</v>
      </c>
      <c r="D261" s="147" t="str">
        <f t="shared" si="31"/>
        <v>Q3</v>
      </c>
      <c r="E261" s="360">
        <f t="shared" si="33"/>
        <v>167787.24299999999</v>
      </c>
      <c r="F261" s="360">
        <f t="shared" si="33"/>
        <v>50848.241817321788</v>
      </c>
      <c r="G261" s="360">
        <f t="shared" si="33"/>
        <v>4726.1329999999998</v>
      </c>
      <c r="H261" s="360">
        <f t="shared" si="33"/>
        <v>1875.1959999999999</v>
      </c>
      <c r="L261" s="170"/>
    </row>
    <row r="262" spans="1:12" x14ac:dyDescent="0.2">
      <c r="A262" s="147">
        <v>2022</v>
      </c>
      <c r="B262" s="147">
        <v>9</v>
      </c>
      <c r="C262" s="147" t="str">
        <f t="shared" si="32"/>
        <v>20229</v>
      </c>
      <c r="D262" s="147" t="str">
        <f t="shared" si="31"/>
        <v>Q3</v>
      </c>
      <c r="E262" s="360">
        <f t="shared" si="33"/>
        <v>167787.24299999999</v>
      </c>
      <c r="F262" s="360">
        <f t="shared" si="33"/>
        <v>50848.241817321788</v>
      </c>
      <c r="G262" s="360">
        <f t="shared" si="33"/>
        <v>4726.1329999999998</v>
      </c>
      <c r="H262" s="360">
        <f t="shared" si="33"/>
        <v>1875.1959999999999</v>
      </c>
      <c r="L262" s="170"/>
    </row>
    <row r="263" spans="1:12" x14ac:dyDescent="0.2">
      <c r="A263" s="147">
        <v>2022</v>
      </c>
      <c r="B263" s="147">
        <v>10</v>
      </c>
      <c r="C263" s="147" t="str">
        <f t="shared" si="32"/>
        <v>202210</v>
      </c>
      <c r="D263" s="147" t="str">
        <f t="shared" si="31"/>
        <v>Q4</v>
      </c>
      <c r="E263" s="360">
        <f t="shared" si="33"/>
        <v>168781.15</v>
      </c>
      <c r="F263" s="360">
        <f t="shared" si="33"/>
        <v>51088.93854491684</v>
      </c>
      <c r="G263" s="360">
        <f t="shared" si="33"/>
        <v>4734.2920000000004</v>
      </c>
      <c r="H263" s="360">
        <f t="shared" si="33"/>
        <v>1878.357</v>
      </c>
      <c r="L263" s="170"/>
    </row>
    <row r="264" spans="1:12" x14ac:dyDescent="0.2">
      <c r="A264" s="147">
        <v>2022</v>
      </c>
      <c r="B264" s="147">
        <v>11</v>
      </c>
      <c r="C264" s="147" t="str">
        <f t="shared" si="32"/>
        <v>202211</v>
      </c>
      <c r="D264" s="147" t="str">
        <f t="shared" si="31"/>
        <v>Q4</v>
      </c>
      <c r="E264" s="360">
        <f t="shared" si="33"/>
        <v>168781.15</v>
      </c>
      <c r="F264" s="360">
        <f t="shared" si="33"/>
        <v>51088.93854491684</v>
      </c>
      <c r="G264" s="360">
        <f t="shared" si="33"/>
        <v>4734.2920000000004</v>
      </c>
      <c r="H264" s="360">
        <f t="shared" si="33"/>
        <v>1878.357</v>
      </c>
      <c r="L264" s="170"/>
    </row>
    <row r="265" spans="1:12" x14ac:dyDescent="0.2">
      <c r="A265" s="147">
        <v>2022</v>
      </c>
      <c r="B265" s="147">
        <v>12</v>
      </c>
      <c r="C265" s="147" t="str">
        <f t="shared" si="32"/>
        <v>202212</v>
      </c>
      <c r="D265" s="147" t="str">
        <f t="shared" si="31"/>
        <v>Q4</v>
      </c>
      <c r="E265" s="360">
        <f t="shared" si="33"/>
        <v>168781.15</v>
      </c>
      <c r="F265" s="360">
        <f t="shared" si="33"/>
        <v>51088.93854491684</v>
      </c>
      <c r="G265" s="360">
        <f t="shared" si="33"/>
        <v>4734.2920000000004</v>
      </c>
      <c r="H265" s="360">
        <f t="shared" si="33"/>
        <v>1878.357</v>
      </c>
      <c r="L265" s="170"/>
    </row>
    <row r="266" spans="1:12" x14ac:dyDescent="0.2">
      <c r="A266" s="147">
        <v>2023</v>
      </c>
      <c r="B266" s="147">
        <v>1</v>
      </c>
      <c r="C266" s="147" t="str">
        <f t="shared" si="32"/>
        <v>20231</v>
      </c>
      <c r="D266" s="147" t="str">
        <f t="shared" si="31"/>
        <v>Q1</v>
      </c>
      <c r="E266" s="360">
        <f t="shared" si="33"/>
        <v>170138.21400000001</v>
      </c>
      <c r="F266" s="360">
        <f t="shared" si="33"/>
        <v>51474.30535634797</v>
      </c>
      <c r="G266" s="360">
        <f t="shared" si="33"/>
        <v>4742.4340000000002</v>
      </c>
      <c r="H266" s="360">
        <f t="shared" si="33"/>
        <v>1881.624</v>
      </c>
      <c r="L266" s="170"/>
    </row>
    <row r="267" spans="1:12" x14ac:dyDescent="0.2">
      <c r="A267" s="147">
        <v>2023</v>
      </c>
      <c r="B267" s="147">
        <v>2</v>
      </c>
      <c r="C267" s="147" t="str">
        <f t="shared" si="32"/>
        <v>20232</v>
      </c>
      <c r="D267" s="147" t="str">
        <f t="shared" si="31"/>
        <v>Q1</v>
      </c>
      <c r="E267" s="360">
        <f t="shared" si="33"/>
        <v>170138.21400000001</v>
      </c>
      <c r="F267" s="360">
        <f t="shared" si="33"/>
        <v>51474.30535634797</v>
      </c>
      <c r="G267" s="360">
        <f t="shared" si="33"/>
        <v>4742.4340000000002</v>
      </c>
      <c r="H267" s="360">
        <f t="shared" si="33"/>
        <v>1881.624</v>
      </c>
      <c r="L267" s="170"/>
    </row>
    <row r="268" spans="1:12" x14ac:dyDescent="0.2">
      <c r="A268" s="147">
        <v>2023</v>
      </c>
      <c r="B268" s="147">
        <v>3</v>
      </c>
      <c r="C268" s="147" t="str">
        <f t="shared" si="32"/>
        <v>20233</v>
      </c>
      <c r="D268" s="147" t="str">
        <f t="shared" si="31"/>
        <v>Q1</v>
      </c>
      <c r="E268" s="360">
        <f t="shared" si="33"/>
        <v>170138.21400000001</v>
      </c>
      <c r="F268" s="360">
        <f t="shared" si="33"/>
        <v>51474.30535634797</v>
      </c>
      <c r="G268" s="360">
        <f t="shared" si="33"/>
        <v>4742.4340000000002</v>
      </c>
      <c r="H268" s="360">
        <f t="shared" si="33"/>
        <v>1881.624</v>
      </c>
      <c r="L268" s="170"/>
    </row>
    <row r="269" spans="1:12" x14ac:dyDescent="0.2">
      <c r="A269" s="147">
        <v>2023</v>
      </c>
      <c r="B269" s="147">
        <v>4</v>
      </c>
      <c r="C269" s="147" t="str">
        <f t="shared" si="32"/>
        <v>20234</v>
      </c>
      <c r="D269" s="147" t="str">
        <f t="shared" si="31"/>
        <v>Q2</v>
      </c>
      <c r="E269" s="360">
        <f t="shared" si="33"/>
        <v>171101.02100000001</v>
      </c>
      <c r="F269" s="360">
        <f t="shared" si="33"/>
        <v>51828.21608039493</v>
      </c>
      <c r="G269" s="360">
        <f t="shared" si="33"/>
        <v>4750.558</v>
      </c>
      <c r="H269" s="360">
        <f t="shared" si="33"/>
        <v>1884.9670000000001</v>
      </c>
      <c r="L269" s="170"/>
    </row>
    <row r="270" spans="1:12" x14ac:dyDescent="0.2">
      <c r="A270" s="147">
        <v>2023</v>
      </c>
      <c r="B270" s="147">
        <v>5</v>
      </c>
      <c r="C270" s="147" t="str">
        <f t="shared" si="32"/>
        <v>20235</v>
      </c>
      <c r="D270" s="147" t="str">
        <f t="shared" si="31"/>
        <v>Q2</v>
      </c>
      <c r="E270" s="360">
        <f t="shared" si="33"/>
        <v>171101.02100000001</v>
      </c>
      <c r="F270" s="360">
        <f t="shared" si="33"/>
        <v>51828.21608039493</v>
      </c>
      <c r="G270" s="360">
        <f t="shared" si="33"/>
        <v>4750.558</v>
      </c>
      <c r="H270" s="360">
        <f t="shared" si="33"/>
        <v>1884.9670000000001</v>
      </c>
      <c r="L270" s="170"/>
    </row>
    <row r="271" spans="1:12" x14ac:dyDescent="0.2">
      <c r="A271" s="147">
        <v>2023</v>
      </c>
      <c r="B271" s="147">
        <v>6</v>
      </c>
      <c r="C271" s="147" t="str">
        <f t="shared" si="32"/>
        <v>20236</v>
      </c>
      <c r="D271" s="147" t="str">
        <f t="shared" ref="D271:D334" si="34">D259</f>
        <v>Q2</v>
      </c>
      <c r="E271" s="360">
        <f t="shared" si="33"/>
        <v>171101.02100000001</v>
      </c>
      <c r="F271" s="360">
        <f t="shared" si="33"/>
        <v>51828.21608039493</v>
      </c>
      <c r="G271" s="360">
        <f t="shared" si="33"/>
        <v>4750.558</v>
      </c>
      <c r="H271" s="360">
        <f t="shared" si="33"/>
        <v>1884.9670000000001</v>
      </c>
      <c r="L271" s="170"/>
    </row>
    <row r="272" spans="1:12" x14ac:dyDescent="0.2">
      <c r="A272" s="147">
        <v>2023</v>
      </c>
      <c r="B272" s="147">
        <v>7</v>
      </c>
      <c r="C272" s="147" t="str">
        <f t="shared" si="32"/>
        <v>20237</v>
      </c>
      <c r="D272" s="147" t="str">
        <f t="shared" si="34"/>
        <v>Q3</v>
      </c>
      <c r="E272" s="360">
        <f t="shared" si="33"/>
        <v>172007.791</v>
      </c>
      <c r="F272" s="360">
        <f t="shared" si="33"/>
        <v>52161.614922601206</v>
      </c>
      <c r="G272" s="360">
        <f t="shared" si="33"/>
        <v>4758.6490000000003</v>
      </c>
      <c r="H272" s="360">
        <f t="shared" si="33"/>
        <v>1888.2650000000001</v>
      </c>
      <c r="L272" s="170"/>
    </row>
    <row r="273" spans="1:12" x14ac:dyDescent="0.2">
      <c r="A273" s="147">
        <v>2023</v>
      </c>
      <c r="B273" s="147">
        <v>8</v>
      </c>
      <c r="C273" s="147" t="str">
        <f t="shared" si="32"/>
        <v>20238</v>
      </c>
      <c r="D273" s="147" t="str">
        <f t="shared" si="34"/>
        <v>Q3</v>
      </c>
      <c r="E273" s="360">
        <f t="shared" si="33"/>
        <v>172007.791</v>
      </c>
      <c r="F273" s="360">
        <f t="shared" si="33"/>
        <v>52161.614922601206</v>
      </c>
      <c r="G273" s="360">
        <f t="shared" si="33"/>
        <v>4758.6490000000003</v>
      </c>
      <c r="H273" s="360">
        <f t="shared" si="33"/>
        <v>1888.2650000000001</v>
      </c>
      <c r="L273" s="170"/>
    </row>
    <row r="274" spans="1:12" x14ac:dyDescent="0.2">
      <c r="A274" s="147">
        <v>2023</v>
      </c>
      <c r="B274" s="147">
        <v>9</v>
      </c>
      <c r="C274" s="147" t="str">
        <f t="shared" si="32"/>
        <v>20239</v>
      </c>
      <c r="D274" s="147" t="str">
        <f t="shared" si="34"/>
        <v>Q3</v>
      </c>
      <c r="E274" s="360">
        <f t="shared" si="33"/>
        <v>172007.791</v>
      </c>
      <c r="F274" s="360">
        <f t="shared" si="33"/>
        <v>52161.614922601206</v>
      </c>
      <c r="G274" s="360">
        <f t="shared" si="33"/>
        <v>4758.6490000000003</v>
      </c>
      <c r="H274" s="360">
        <f t="shared" si="33"/>
        <v>1888.2650000000001</v>
      </c>
      <c r="L274" s="170"/>
    </row>
    <row r="275" spans="1:12" x14ac:dyDescent="0.2">
      <c r="A275" s="147">
        <v>2023</v>
      </c>
      <c r="B275" s="147">
        <v>10</v>
      </c>
      <c r="C275" s="147" t="str">
        <f t="shared" si="32"/>
        <v>202310</v>
      </c>
      <c r="D275" s="147" t="str">
        <f t="shared" si="34"/>
        <v>Q4</v>
      </c>
      <c r="E275" s="360">
        <f t="shared" si="33"/>
        <v>172918.79399999999</v>
      </c>
      <c r="F275" s="360">
        <f t="shared" si="33"/>
        <v>52372.236748881944</v>
      </c>
      <c r="G275" s="360">
        <f t="shared" si="33"/>
        <v>4766.7089999999998</v>
      </c>
      <c r="H275" s="360">
        <f t="shared" si="33"/>
        <v>1893.3720000000001</v>
      </c>
      <c r="L275" s="170"/>
    </row>
    <row r="276" spans="1:12" x14ac:dyDescent="0.2">
      <c r="A276" s="147">
        <v>2023</v>
      </c>
      <c r="B276" s="147">
        <v>11</v>
      </c>
      <c r="C276" s="147" t="str">
        <f t="shared" si="32"/>
        <v>202311</v>
      </c>
      <c r="D276" s="147" t="str">
        <f t="shared" si="34"/>
        <v>Q4</v>
      </c>
      <c r="E276" s="360">
        <f t="shared" si="33"/>
        <v>172918.79399999999</v>
      </c>
      <c r="F276" s="360">
        <f t="shared" si="33"/>
        <v>52372.236748881944</v>
      </c>
      <c r="G276" s="360">
        <f t="shared" si="33"/>
        <v>4766.7089999999998</v>
      </c>
      <c r="H276" s="360">
        <f t="shared" si="33"/>
        <v>1893.3720000000001</v>
      </c>
      <c r="L276" s="170"/>
    </row>
    <row r="277" spans="1:12" x14ac:dyDescent="0.2">
      <c r="A277" s="147">
        <v>2023</v>
      </c>
      <c r="B277" s="147">
        <v>12</v>
      </c>
      <c r="C277" s="147" t="str">
        <f t="shared" si="32"/>
        <v>202312</v>
      </c>
      <c r="D277" s="147" t="str">
        <f t="shared" si="34"/>
        <v>Q4</v>
      </c>
      <c r="E277" s="360">
        <f t="shared" si="33"/>
        <v>172918.79399999999</v>
      </c>
      <c r="F277" s="360">
        <f t="shared" si="33"/>
        <v>52372.236748881944</v>
      </c>
      <c r="G277" s="360">
        <f t="shared" si="33"/>
        <v>4766.7089999999998</v>
      </c>
      <c r="H277" s="360">
        <f t="shared" si="33"/>
        <v>1893.3720000000001</v>
      </c>
      <c r="L277" s="170"/>
    </row>
    <row r="278" spans="1:12" x14ac:dyDescent="0.2">
      <c r="A278" s="147">
        <v>2024</v>
      </c>
      <c r="B278" s="147">
        <v>1</v>
      </c>
      <c r="C278" s="147" t="str">
        <f t="shared" si="32"/>
        <v>20241</v>
      </c>
      <c r="D278" s="147" t="str">
        <f t="shared" si="34"/>
        <v>Q1</v>
      </c>
      <c r="E278" s="360">
        <f t="shared" si="33"/>
        <v>174458.15100000001</v>
      </c>
      <c r="F278" s="360">
        <f t="shared" si="33"/>
        <v>52955.358119127079</v>
      </c>
      <c r="G278" s="360">
        <f t="shared" si="33"/>
        <v>4774.7489999999998</v>
      </c>
      <c r="H278" s="360">
        <f t="shared" si="33"/>
        <v>1895.836</v>
      </c>
      <c r="L278" s="170"/>
    </row>
    <row r="279" spans="1:12" x14ac:dyDescent="0.2">
      <c r="A279" s="147">
        <v>2024</v>
      </c>
      <c r="B279" s="147">
        <v>2</v>
      </c>
      <c r="C279" s="147" t="str">
        <f t="shared" si="32"/>
        <v>20242</v>
      </c>
      <c r="D279" s="147" t="str">
        <f t="shared" si="34"/>
        <v>Q1</v>
      </c>
      <c r="E279" s="360">
        <f t="shared" si="33"/>
        <v>174458.15100000001</v>
      </c>
      <c r="F279" s="360">
        <f t="shared" si="33"/>
        <v>52955.358119127079</v>
      </c>
      <c r="G279" s="360">
        <f t="shared" si="33"/>
        <v>4774.7489999999998</v>
      </c>
      <c r="H279" s="360">
        <f t="shared" si="33"/>
        <v>1895.836</v>
      </c>
      <c r="L279" s="170"/>
    </row>
    <row r="280" spans="1:12" x14ac:dyDescent="0.2">
      <c r="A280" s="147">
        <v>2024</v>
      </c>
      <c r="B280" s="147">
        <v>3</v>
      </c>
      <c r="C280" s="147" t="str">
        <f t="shared" si="32"/>
        <v>20243</v>
      </c>
      <c r="D280" s="147" t="str">
        <f t="shared" si="34"/>
        <v>Q1</v>
      </c>
      <c r="E280" s="360">
        <f t="shared" si="33"/>
        <v>174458.15100000001</v>
      </c>
      <c r="F280" s="360">
        <f t="shared" si="33"/>
        <v>52955.358119127079</v>
      </c>
      <c r="G280" s="360">
        <f t="shared" si="33"/>
        <v>4774.7489999999998</v>
      </c>
      <c r="H280" s="360">
        <f t="shared" si="33"/>
        <v>1895.836</v>
      </c>
      <c r="L280" s="170"/>
    </row>
    <row r="281" spans="1:12" x14ac:dyDescent="0.2">
      <c r="A281" s="147">
        <v>2024</v>
      </c>
      <c r="B281" s="147">
        <v>4</v>
      </c>
      <c r="C281" s="147" t="str">
        <f t="shared" si="32"/>
        <v>20244</v>
      </c>
      <c r="D281" s="147" t="str">
        <f t="shared" si="34"/>
        <v>Q2</v>
      </c>
      <c r="E281" s="360">
        <f t="shared" si="33"/>
        <v>175426.49799999999</v>
      </c>
      <c r="F281" s="360">
        <f t="shared" si="33"/>
        <v>53167.209134536846</v>
      </c>
      <c r="G281" s="360">
        <f t="shared" si="33"/>
        <v>4782.7700000000004</v>
      </c>
      <c r="H281" s="360">
        <f t="shared" si="33"/>
        <v>1898.4659999999999</v>
      </c>
      <c r="L281" s="170"/>
    </row>
    <row r="282" spans="1:12" x14ac:dyDescent="0.2">
      <c r="A282" s="147">
        <v>2024</v>
      </c>
      <c r="B282" s="147">
        <v>5</v>
      </c>
      <c r="C282" s="147" t="str">
        <f t="shared" si="32"/>
        <v>20245</v>
      </c>
      <c r="D282" s="147" t="str">
        <f t="shared" si="34"/>
        <v>Q2</v>
      </c>
      <c r="E282" s="360">
        <f t="shared" si="33"/>
        <v>175426.49799999999</v>
      </c>
      <c r="F282" s="360">
        <f t="shared" si="33"/>
        <v>53167.209134536846</v>
      </c>
      <c r="G282" s="360">
        <f t="shared" si="33"/>
        <v>4782.7700000000004</v>
      </c>
      <c r="H282" s="360">
        <f t="shared" si="33"/>
        <v>1898.4659999999999</v>
      </c>
      <c r="L282" s="170"/>
    </row>
    <row r="283" spans="1:12" x14ac:dyDescent="0.2">
      <c r="A283" s="147">
        <v>2024</v>
      </c>
      <c r="B283" s="147">
        <v>6</v>
      </c>
      <c r="C283" s="147" t="str">
        <f t="shared" si="32"/>
        <v>20246</v>
      </c>
      <c r="D283" s="147" t="str">
        <f t="shared" si="34"/>
        <v>Q2</v>
      </c>
      <c r="E283" s="360">
        <f t="shared" si="33"/>
        <v>175426.49799999999</v>
      </c>
      <c r="F283" s="360">
        <f t="shared" si="33"/>
        <v>53167.209134536846</v>
      </c>
      <c r="G283" s="360">
        <f t="shared" si="33"/>
        <v>4782.7700000000004</v>
      </c>
      <c r="H283" s="360">
        <f t="shared" si="33"/>
        <v>1898.4659999999999</v>
      </c>
      <c r="L283" s="170"/>
    </row>
    <row r="284" spans="1:12" x14ac:dyDescent="0.2">
      <c r="A284" s="147">
        <v>2024</v>
      </c>
      <c r="B284" s="147">
        <v>7</v>
      </c>
      <c r="C284" s="147" t="str">
        <f t="shared" si="32"/>
        <v>20247</v>
      </c>
      <c r="D284" s="147" t="str">
        <f t="shared" si="34"/>
        <v>Q3</v>
      </c>
      <c r="E284" s="360">
        <f t="shared" si="33"/>
        <v>176369.43100000001</v>
      </c>
      <c r="F284" s="360">
        <f t="shared" si="33"/>
        <v>53462.846369802268</v>
      </c>
      <c r="G284" s="360">
        <f t="shared" si="33"/>
        <v>4790.7579999999998</v>
      </c>
      <c r="H284" s="360">
        <f t="shared" si="33"/>
        <v>1901.0250000000001</v>
      </c>
      <c r="L284" s="170"/>
    </row>
    <row r="285" spans="1:12" x14ac:dyDescent="0.2">
      <c r="A285" s="147">
        <v>2024</v>
      </c>
      <c r="B285" s="147">
        <v>8</v>
      </c>
      <c r="C285" s="147" t="str">
        <f t="shared" si="32"/>
        <v>20248</v>
      </c>
      <c r="D285" s="147" t="str">
        <f t="shared" si="34"/>
        <v>Q3</v>
      </c>
      <c r="E285" s="360">
        <f t="shared" si="33"/>
        <v>176369.43100000001</v>
      </c>
      <c r="F285" s="360">
        <f t="shared" si="33"/>
        <v>53462.846369802268</v>
      </c>
      <c r="G285" s="360">
        <f t="shared" si="33"/>
        <v>4790.7579999999998</v>
      </c>
      <c r="H285" s="360">
        <f t="shared" si="33"/>
        <v>1901.0250000000001</v>
      </c>
      <c r="L285" s="170"/>
    </row>
    <row r="286" spans="1:12" x14ac:dyDescent="0.2">
      <c r="A286" s="147">
        <v>2024</v>
      </c>
      <c r="B286" s="147">
        <v>9</v>
      </c>
      <c r="C286" s="147" t="str">
        <f t="shared" si="32"/>
        <v>20249</v>
      </c>
      <c r="D286" s="147" t="str">
        <f t="shared" si="34"/>
        <v>Q3</v>
      </c>
      <c r="E286" s="360">
        <f t="shared" si="33"/>
        <v>176369.43100000001</v>
      </c>
      <c r="F286" s="360">
        <f t="shared" si="33"/>
        <v>53462.846369802268</v>
      </c>
      <c r="G286" s="360">
        <f t="shared" si="33"/>
        <v>4790.7579999999998</v>
      </c>
      <c r="H286" s="360">
        <f t="shared" si="33"/>
        <v>1901.0250000000001</v>
      </c>
      <c r="L286" s="170"/>
    </row>
    <row r="287" spans="1:12" x14ac:dyDescent="0.2">
      <c r="A287" s="147">
        <v>2024</v>
      </c>
      <c r="B287" s="147">
        <v>10</v>
      </c>
      <c r="C287" s="147" t="str">
        <f t="shared" si="32"/>
        <v>202410</v>
      </c>
      <c r="D287" s="147" t="str">
        <f t="shared" si="34"/>
        <v>Q4</v>
      </c>
      <c r="E287" s="360">
        <f t="shared" si="33"/>
        <v>177331.9</v>
      </c>
      <c r="F287" s="360">
        <f t="shared" si="33"/>
        <v>53789.882915045469</v>
      </c>
      <c r="G287" s="360">
        <f t="shared" si="33"/>
        <v>4798.7250000000004</v>
      </c>
      <c r="H287" s="360">
        <f t="shared" si="33"/>
        <v>1903.5609999999999</v>
      </c>
      <c r="L287" s="170"/>
    </row>
    <row r="288" spans="1:12" x14ac:dyDescent="0.2">
      <c r="A288" s="147">
        <v>2024</v>
      </c>
      <c r="B288" s="147">
        <v>11</v>
      </c>
      <c r="C288" s="147" t="str">
        <f t="shared" si="32"/>
        <v>202411</v>
      </c>
      <c r="D288" s="147" t="str">
        <f t="shared" si="34"/>
        <v>Q4</v>
      </c>
      <c r="E288" s="360">
        <f t="shared" si="33"/>
        <v>177331.9</v>
      </c>
      <c r="F288" s="360">
        <f t="shared" si="33"/>
        <v>53789.882915045469</v>
      </c>
      <c r="G288" s="360">
        <f t="shared" si="33"/>
        <v>4798.7250000000004</v>
      </c>
      <c r="H288" s="360">
        <f t="shared" si="33"/>
        <v>1903.5609999999999</v>
      </c>
      <c r="L288" s="170"/>
    </row>
    <row r="289" spans="1:12" x14ac:dyDescent="0.2">
      <c r="A289" s="147">
        <v>2024</v>
      </c>
      <c r="B289" s="147">
        <v>12</v>
      </c>
      <c r="C289" s="147" t="str">
        <f t="shared" si="32"/>
        <v>202412</v>
      </c>
      <c r="D289" s="147" t="str">
        <f t="shared" si="34"/>
        <v>Q4</v>
      </c>
      <c r="E289" s="360">
        <f t="shared" si="33"/>
        <v>177331.9</v>
      </c>
      <c r="F289" s="360">
        <f t="shared" si="33"/>
        <v>53789.882915045469</v>
      </c>
      <c r="G289" s="360">
        <f t="shared" si="33"/>
        <v>4798.7250000000004</v>
      </c>
      <c r="H289" s="360">
        <f t="shared" si="33"/>
        <v>1903.5609999999999</v>
      </c>
      <c r="L289" s="170"/>
    </row>
    <row r="290" spans="1:12" x14ac:dyDescent="0.2">
      <c r="A290" s="147">
        <v>2025</v>
      </c>
      <c r="B290" s="147">
        <v>1</v>
      </c>
      <c r="C290" s="147" t="str">
        <f t="shared" si="32"/>
        <v>20251</v>
      </c>
      <c r="D290" s="147" t="str">
        <f t="shared" si="34"/>
        <v>Q1</v>
      </c>
      <c r="E290" s="360">
        <f t="shared" si="33"/>
        <v>178892.09099999999</v>
      </c>
      <c r="F290" s="360">
        <f t="shared" si="33"/>
        <v>54223.677742674183</v>
      </c>
      <c r="G290" s="360">
        <f t="shared" si="33"/>
        <v>4806.6729999999998</v>
      </c>
      <c r="H290" s="360">
        <f t="shared" si="33"/>
        <v>1907.3309999999999</v>
      </c>
      <c r="L290" s="170"/>
    </row>
    <row r="291" spans="1:12" x14ac:dyDescent="0.2">
      <c r="A291" s="147">
        <v>2025</v>
      </c>
      <c r="B291" s="147">
        <v>2</v>
      </c>
      <c r="C291" s="147" t="str">
        <f t="shared" si="32"/>
        <v>20252</v>
      </c>
      <c r="D291" s="147" t="str">
        <f t="shared" si="34"/>
        <v>Q1</v>
      </c>
      <c r="E291" s="360">
        <f t="shared" si="33"/>
        <v>178892.09099999999</v>
      </c>
      <c r="F291" s="360">
        <f t="shared" si="33"/>
        <v>54223.677742674183</v>
      </c>
      <c r="G291" s="360">
        <f t="shared" si="33"/>
        <v>4806.6729999999998</v>
      </c>
      <c r="H291" s="360">
        <f t="shared" si="33"/>
        <v>1907.3309999999999</v>
      </c>
      <c r="L291" s="170"/>
    </row>
    <row r="292" spans="1:12" x14ac:dyDescent="0.2">
      <c r="A292" s="147">
        <v>2025</v>
      </c>
      <c r="B292" s="147">
        <v>3</v>
      </c>
      <c r="C292" s="147" t="str">
        <f t="shared" si="32"/>
        <v>20253</v>
      </c>
      <c r="D292" s="147" t="str">
        <f t="shared" si="34"/>
        <v>Q1</v>
      </c>
      <c r="E292" s="360">
        <f t="shared" si="33"/>
        <v>178892.09099999999</v>
      </c>
      <c r="F292" s="360">
        <f t="shared" si="33"/>
        <v>54223.677742674183</v>
      </c>
      <c r="G292" s="360">
        <f t="shared" si="33"/>
        <v>4806.6729999999998</v>
      </c>
      <c r="H292" s="360">
        <f t="shared" si="33"/>
        <v>1907.3309999999999</v>
      </c>
      <c r="L292" s="170"/>
    </row>
    <row r="293" spans="1:12" x14ac:dyDescent="0.2">
      <c r="A293" s="147">
        <v>2025</v>
      </c>
      <c r="B293" s="147">
        <v>4</v>
      </c>
      <c r="C293" s="147" t="str">
        <f t="shared" si="32"/>
        <v>20254</v>
      </c>
      <c r="D293" s="147" t="str">
        <f t="shared" si="34"/>
        <v>Q2</v>
      </c>
      <c r="E293" s="360">
        <f t="shared" si="33"/>
        <v>179884.057</v>
      </c>
      <c r="F293" s="360">
        <f t="shared" si="33"/>
        <v>54510.190519624688</v>
      </c>
      <c r="G293" s="360">
        <f t="shared" si="33"/>
        <v>4814.6009999999997</v>
      </c>
      <c r="H293" s="360">
        <f t="shared" si="33"/>
        <v>1911.173</v>
      </c>
      <c r="L293" s="170"/>
    </row>
    <row r="294" spans="1:12" x14ac:dyDescent="0.2">
      <c r="A294" s="147">
        <v>2025</v>
      </c>
      <c r="B294" s="147">
        <v>5</v>
      </c>
      <c r="C294" s="147" t="str">
        <f t="shared" si="32"/>
        <v>20255</v>
      </c>
      <c r="D294" s="147" t="str">
        <f t="shared" si="34"/>
        <v>Q2</v>
      </c>
      <c r="E294" s="360">
        <f t="shared" si="33"/>
        <v>179884.057</v>
      </c>
      <c r="F294" s="360">
        <f t="shared" si="33"/>
        <v>54510.190519624688</v>
      </c>
      <c r="G294" s="360">
        <f t="shared" si="33"/>
        <v>4814.6009999999997</v>
      </c>
      <c r="H294" s="360">
        <f t="shared" si="33"/>
        <v>1911.173</v>
      </c>
      <c r="L294" s="170"/>
    </row>
    <row r="295" spans="1:12" x14ac:dyDescent="0.2">
      <c r="A295" s="147">
        <v>2025</v>
      </c>
      <c r="B295" s="147">
        <v>6</v>
      </c>
      <c r="C295" s="147" t="str">
        <f t="shared" si="32"/>
        <v>20256</v>
      </c>
      <c r="D295" s="147" t="str">
        <f t="shared" si="34"/>
        <v>Q2</v>
      </c>
      <c r="E295" s="360">
        <f t="shared" si="33"/>
        <v>179884.057</v>
      </c>
      <c r="F295" s="360">
        <f t="shared" si="33"/>
        <v>54510.190519624688</v>
      </c>
      <c r="G295" s="360">
        <f t="shared" si="33"/>
        <v>4814.6009999999997</v>
      </c>
      <c r="H295" s="360">
        <f t="shared" si="33"/>
        <v>1911.173</v>
      </c>
      <c r="L295" s="170"/>
    </row>
    <row r="296" spans="1:12" x14ac:dyDescent="0.2">
      <c r="A296" s="147">
        <v>2025</v>
      </c>
      <c r="B296" s="147">
        <v>7</v>
      </c>
      <c r="C296" s="147" t="str">
        <f t="shared" si="32"/>
        <v>20257</v>
      </c>
      <c r="D296" s="147" t="str">
        <f t="shared" si="34"/>
        <v>Q3</v>
      </c>
      <c r="E296" s="360">
        <f t="shared" si="33"/>
        <v>180786.26300000001</v>
      </c>
      <c r="F296" s="360">
        <f t="shared" si="33"/>
        <v>54815.658019537463</v>
      </c>
      <c r="G296" s="360">
        <f t="shared" si="33"/>
        <v>4822.4949999999999</v>
      </c>
      <c r="H296" s="360">
        <f t="shared" si="33"/>
        <v>1914.9459999999999</v>
      </c>
      <c r="L296" s="170"/>
    </row>
    <row r="297" spans="1:12" x14ac:dyDescent="0.2">
      <c r="A297" s="147">
        <v>2025</v>
      </c>
      <c r="B297" s="147">
        <v>8</v>
      </c>
      <c r="C297" s="147" t="str">
        <f t="shared" si="32"/>
        <v>20258</v>
      </c>
      <c r="D297" s="147" t="str">
        <f t="shared" si="34"/>
        <v>Q3</v>
      </c>
      <c r="E297" s="360">
        <f t="shared" si="33"/>
        <v>180786.26300000001</v>
      </c>
      <c r="F297" s="360">
        <f t="shared" si="33"/>
        <v>54815.658019537463</v>
      </c>
      <c r="G297" s="360">
        <f t="shared" si="33"/>
        <v>4822.4949999999999</v>
      </c>
      <c r="H297" s="360">
        <f t="shared" si="33"/>
        <v>1914.9459999999999</v>
      </c>
      <c r="L297" s="170"/>
    </row>
    <row r="298" spans="1:12" x14ac:dyDescent="0.2">
      <c r="A298" s="147">
        <v>2025</v>
      </c>
      <c r="B298" s="147">
        <v>9</v>
      </c>
      <c r="C298" s="147" t="str">
        <f t="shared" si="32"/>
        <v>20259</v>
      </c>
      <c r="D298" s="147" t="str">
        <f t="shared" si="34"/>
        <v>Q3</v>
      </c>
      <c r="E298" s="360">
        <f t="shared" si="33"/>
        <v>180786.26300000001</v>
      </c>
      <c r="F298" s="360">
        <f t="shared" si="33"/>
        <v>54815.658019537463</v>
      </c>
      <c r="G298" s="360">
        <f t="shared" si="33"/>
        <v>4822.4949999999999</v>
      </c>
      <c r="H298" s="360">
        <f t="shared" si="33"/>
        <v>1914.9459999999999</v>
      </c>
      <c r="L298" s="170"/>
    </row>
    <row r="299" spans="1:12" x14ac:dyDescent="0.2">
      <c r="A299" s="147">
        <v>2025</v>
      </c>
      <c r="B299" s="147">
        <v>10</v>
      </c>
      <c r="C299" s="147" t="str">
        <f t="shared" si="32"/>
        <v>202510</v>
      </c>
      <c r="D299" s="147" t="str">
        <f t="shared" si="34"/>
        <v>Q4</v>
      </c>
      <c r="E299" s="360">
        <f t="shared" si="33"/>
        <v>181695.31</v>
      </c>
      <c r="F299" s="360">
        <f t="shared" si="33"/>
        <v>55097.083363484009</v>
      </c>
      <c r="G299" s="360">
        <f t="shared" si="33"/>
        <v>4830.3680000000004</v>
      </c>
      <c r="H299" s="360">
        <f t="shared" si="33"/>
        <v>1918.75</v>
      </c>
      <c r="L299" s="170"/>
    </row>
    <row r="300" spans="1:12" x14ac:dyDescent="0.2">
      <c r="A300" s="147">
        <v>2025</v>
      </c>
      <c r="B300" s="147">
        <v>11</v>
      </c>
      <c r="C300" s="147" t="str">
        <f t="shared" si="32"/>
        <v>202511</v>
      </c>
      <c r="D300" s="147" t="str">
        <f t="shared" si="34"/>
        <v>Q4</v>
      </c>
      <c r="E300" s="360">
        <f t="shared" si="33"/>
        <v>181695.31</v>
      </c>
      <c r="F300" s="360">
        <f t="shared" si="33"/>
        <v>55097.083363484009</v>
      </c>
      <c r="G300" s="360">
        <f t="shared" si="33"/>
        <v>4830.3680000000004</v>
      </c>
      <c r="H300" s="360">
        <f t="shared" si="33"/>
        <v>1918.75</v>
      </c>
      <c r="L300" s="170"/>
    </row>
    <row r="301" spans="1:12" x14ac:dyDescent="0.2">
      <c r="A301" s="147">
        <v>2025</v>
      </c>
      <c r="B301" s="147">
        <v>12</v>
      </c>
      <c r="C301" s="147" t="str">
        <f t="shared" si="32"/>
        <v>202512</v>
      </c>
      <c r="D301" s="147" t="str">
        <f t="shared" si="34"/>
        <v>Q4</v>
      </c>
      <c r="E301" s="360">
        <f t="shared" si="33"/>
        <v>181695.31</v>
      </c>
      <c r="F301" s="360">
        <f t="shared" si="33"/>
        <v>55097.083363484009</v>
      </c>
      <c r="G301" s="360">
        <f t="shared" si="33"/>
        <v>4830.3680000000004</v>
      </c>
      <c r="H301" s="360">
        <f t="shared" si="33"/>
        <v>1918.75</v>
      </c>
      <c r="L301" s="170"/>
    </row>
    <row r="302" spans="1:12" x14ac:dyDescent="0.2">
      <c r="A302" s="147">
        <v>2026</v>
      </c>
      <c r="B302" s="147">
        <v>1</v>
      </c>
      <c r="C302" s="147" t="str">
        <f t="shared" si="32"/>
        <v>20261</v>
      </c>
      <c r="D302" s="147" t="str">
        <f t="shared" si="34"/>
        <v>Q1</v>
      </c>
      <c r="E302" s="360">
        <f t="shared" si="33"/>
        <v>183193.88699999999</v>
      </c>
      <c r="F302" s="360">
        <f t="shared" si="33"/>
        <v>55569.291010852481</v>
      </c>
      <c r="G302" s="360">
        <f t="shared" si="33"/>
        <v>4838.2219999999998</v>
      </c>
      <c r="H302" s="360">
        <f t="shared" si="33"/>
        <v>1922.499</v>
      </c>
      <c r="L302" s="170"/>
    </row>
    <row r="303" spans="1:12" x14ac:dyDescent="0.2">
      <c r="A303" s="147">
        <v>2026</v>
      </c>
      <c r="B303" s="147">
        <v>2</v>
      </c>
      <c r="C303" s="147" t="str">
        <f t="shared" si="32"/>
        <v>20262</v>
      </c>
      <c r="D303" s="147" t="str">
        <f t="shared" si="34"/>
        <v>Q1</v>
      </c>
      <c r="E303" s="360">
        <f t="shared" si="33"/>
        <v>183193.88699999999</v>
      </c>
      <c r="F303" s="360">
        <f t="shared" si="33"/>
        <v>55569.291010852481</v>
      </c>
      <c r="G303" s="360">
        <f t="shared" si="33"/>
        <v>4838.2219999999998</v>
      </c>
      <c r="H303" s="360">
        <f t="shared" si="33"/>
        <v>1922.499</v>
      </c>
      <c r="L303" s="170"/>
    </row>
    <row r="304" spans="1:12" x14ac:dyDescent="0.2">
      <c r="A304" s="147">
        <v>2026</v>
      </c>
      <c r="B304" s="147">
        <v>3</v>
      </c>
      <c r="C304" s="147" t="str">
        <f t="shared" si="32"/>
        <v>20263</v>
      </c>
      <c r="D304" s="147" t="str">
        <f t="shared" si="34"/>
        <v>Q1</v>
      </c>
      <c r="E304" s="360">
        <f t="shared" si="33"/>
        <v>183193.88699999999</v>
      </c>
      <c r="F304" s="360">
        <f t="shared" si="33"/>
        <v>55569.291010852481</v>
      </c>
      <c r="G304" s="360">
        <f t="shared" si="33"/>
        <v>4838.2219999999998</v>
      </c>
      <c r="H304" s="360">
        <f t="shared" si="33"/>
        <v>1922.499</v>
      </c>
      <c r="L304" s="170"/>
    </row>
    <row r="305" spans="1:12" x14ac:dyDescent="0.2">
      <c r="A305" s="147">
        <v>2026</v>
      </c>
      <c r="B305" s="147">
        <v>4</v>
      </c>
      <c r="C305" s="147" t="str">
        <f t="shared" si="32"/>
        <v>20264</v>
      </c>
      <c r="D305" s="147" t="str">
        <f t="shared" si="34"/>
        <v>Q2</v>
      </c>
      <c r="E305" s="360">
        <f t="shared" si="33"/>
        <v>184162.48300000001</v>
      </c>
      <c r="F305" s="360">
        <f t="shared" si="33"/>
        <v>55793.331632268848</v>
      </c>
      <c r="G305" s="360">
        <f t="shared" si="33"/>
        <v>4846.0540000000001</v>
      </c>
      <c r="H305" s="360">
        <f t="shared" si="33"/>
        <v>1926.31</v>
      </c>
      <c r="L305" s="170"/>
    </row>
    <row r="306" spans="1:12" x14ac:dyDescent="0.2">
      <c r="A306" s="147">
        <v>2026</v>
      </c>
      <c r="B306" s="147">
        <v>5</v>
      </c>
      <c r="C306" s="147" t="str">
        <f t="shared" si="32"/>
        <v>20265</v>
      </c>
      <c r="D306" s="147" t="str">
        <f t="shared" si="34"/>
        <v>Q2</v>
      </c>
      <c r="E306" s="360">
        <f t="shared" si="33"/>
        <v>184162.48300000001</v>
      </c>
      <c r="F306" s="360">
        <f t="shared" si="33"/>
        <v>55793.331632268848</v>
      </c>
      <c r="G306" s="360">
        <f t="shared" si="33"/>
        <v>4846.0540000000001</v>
      </c>
      <c r="H306" s="360">
        <f t="shared" si="33"/>
        <v>1926.31</v>
      </c>
      <c r="L306" s="170"/>
    </row>
    <row r="307" spans="1:12" x14ac:dyDescent="0.2">
      <c r="A307" s="147">
        <v>2026</v>
      </c>
      <c r="B307" s="147">
        <v>6</v>
      </c>
      <c r="C307" s="147" t="str">
        <f t="shared" si="32"/>
        <v>20266</v>
      </c>
      <c r="D307" s="147" t="str">
        <f t="shared" si="34"/>
        <v>Q2</v>
      </c>
      <c r="E307" s="360">
        <f t="shared" si="33"/>
        <v>184162.48300000001</v>
      </c>
      <c r="F307" s="360">
        <f t="shared" si="33"/>
        <v>55793.331632268848</v>
      </c>
      <c r="G307" s="360">
        <f t="shared" si="33"/>
        <v>4846.0540000000001</v>
      </c>
      <c r="H307" s="360">
        <f t="shared" si="33"/>
        <v>1926.31</v>
      </c>
      <c r="L307" s="170"/>
    </row>
    <row r="308" spans="1:12" x14ac:dyDescent="0.2">
      <c r="A308" s="147">
        <v>2026</v>
      </c>
      <c r="B308" s="147">
        <v>7</v>
      </c>
      <c r="C308" s="147" t="str">
        <f t="shared" si="32"/>
        <v>20267</v>
      </c>
      <c r="D308" s="147" t="str">
        <f t="shared" si="34"/>
        <v>Q3</v>
      </c>
      <c r="E308" s="360">
        <f t="shared" si="33"/>
        <v>185034.74600000001</v>
      </c>
      <c r="F308" s="360">
        <f t="shared" si="33"/>
        <v>56112.35191472694</v>
      </c>
      <c r="G308" s="360">
        <f t="shared" si="33"/>
        <v>4853.84</v>
      </c>
      <c r="H308" s="360">
        <f t="shared" si="33"/>
        <v>1930.05</v>
      </c>
      <c r="L308" s="170"/>
    </row>
    <row r="309" spans="1:12" x14ac:dyDescent="0.2">
      <c r="A309" s="147">
        <v>2026</v>
      </c>
      <c r="B309" s="147">
        <v>8</v>
      </c>
      <c r="C309" s="147" t="str">
        <f t="shared" si="32"/>
        <v>20268</v>
      </c>
      <c r="D309" s="147" t="str">
        <f t="shared" si="34"/>
        <v>Q3</v>
      </c>
      <c r="E309" s="360">
        <f t="shared" si="33"/>
        <v>185034.74600000001</v>
      </c>
      <c r="F309" s="360">
        <f t="shared" si="33"/>
        <v>56112.35191472694</v>
      </c>
      <c r="G309" s="360">
        <f t="shared" si="33"/>
        <v>4853.84</v>
      </c>
      <c r="H309" s="360">
        <f t="shared" si="33"/>
        <v>1930.05</v>
      </c>
      <c r="L309" s="170"/>
    </row>
    <row r="310" spans="1:12" x14ac:dyDescent="0.2">
      <c r="A310" s="147">
        <v>2026</v>
      </c>
      <c r="B310" s="147">
        <v>9</v>
      </c>
      <c r="C310" s="147" t="str">
        <f t="shared" si="32"/>
        <v>20269</v>
      </c>
      <c r="D310" s="147" t="str">
        <f t="shared" si="34"/>
        <v>Q3</v>
      </c>
      <c r="E310" s="360">
        <f t="shared" si="33"/>
        <v>185034.74600000001</v>
      </c>
      <c r="F310" s="360">
        <f t="shared" si="33"/>
        <v>56112.35191472694</v>
      </c>
      <c r="G310" s="360">
        <f t="shared" si="33"/>
        <v>4853.84</v>
      </c>
      <c r="H310" s="360">
        <f t="shared" si="33"/>
        <v>1930.05</v>
      </c>
      <c r="L310" s="170"/>
    </row>
    <row r="311" spans="1:12" x14ac:dyDescent="0.2">
      <c r="A311" s="147">
        <v>2026</v>
      </c>
      <c r="B311" s="147">
        <v>10</v>
      </c>
      <c r="C311" s="147" t="str">
        <f t="shared" si="32"/>
        <v>202610</v>
      </c>
      <c r="D311" s="147" t="str">
        <f t="shared" si="34"/>
        <v>Q4</v>
      </c>
      <c r="E311" s="360">
        <f t="shared" si="33"/>
        <v>185915.33600000001</v>
      </c>
      <c r="F311" s="360">
        <f t="shared" si="33"/>
        <v>56458.331396926224</v>
      </c>
      <c r="G311" s="360">
        <f t="shared" si="33"/>
        <v>4861.6040000000003</v>
      </c>
      <c r="H311" s="360">
        <f t="shared" si="33"/>
        <v>1933.8019999999999</v>
      </c>
      <c r="L311" s="170"/>
    </row>
    <row r="312" spans="1:12" x14ac:dyDescent="0.2">
      <c r="A312" s="147">
        <v>2026</v>
      </c>
      <c r="B312" s="147">
        <v>11</v>
      </c>
      <c r="C312" s="147" t="str">
        <f t="shared" si="32"/>
        <v>202611</v>
      </c>
      <c r="D312" s="147" t="str">
        <f t="shared" si="34"/>
        <v>Q4</v>
      </c>
      <c r="E312" s="360">
        <f t="shared" si="33"/>
        <v>185915.33600000001</v>
      </c>
      <c r="F312" s="360">
        <f t="shared" si="33"/>
        <v>56458.331396926224</v>
      </c>
      <c r="G312" s="360">
        <f t="shared" si="33"/>
        <v>4861.6040000000003</v>
      </c>
      <c r="H312" s="360">
        <f t="shared" si="33"/>
        <v>1933.8019999999999</v>
      </c>
      <c r="L312" s="170"/>
    </row>
    <row r="313" spans="1:12" x14ac:dyDescent="0.2">
      <c r="A313" s="147">
        <v>2026</v>
      </c>
      <c r="B313" s="147">
        <v>12</v>
      </c>
      <c r="C313" s="147" t="str">
        <f t="shared" si="32"/>
        <v>202612</v>
      </c>
      <c r="D313" s="147" t="str">
        <f t="shared" si="34"/>
        <v>Q4</v>
      </c>
      <c r="E313" s="360">
        <f t="shared" si="33"/>
        <v>185915.33600000001</v>
      </c>
      <c r="F313" s="360">
        <f t="shared" si="33"/>
        <v>56458.331396926224</v>
      </c>
      <c r="G313" s="360">
        <f t="shared" si="33"/>
        <v>4861.6040000000003</v>
      </c>
      <c r="H313" s="360">
        <f t="shared" si="33"/>
        <v>1933.8019999999999</v>
      </c>
      <c r="L313" s="170"/>
    </row>
    <row r="314" spans="1:12" x14ac:dyDescent="0.2">
      <c r="A314" s="147">
        <v>2027</v>
      </c>
      <c r="B314" s="147">
        <v>1</v>
      </c>
      <c r="C314" s="147" t="str">
        <f t="shared" si="32"/>
        <v>20271</v>
      </c>
      <c r="D314" s="147" t="str">
        <f t="shared" si="34"/>
        <v>Q1</v>
      </c>
      <c r="E314" s="360">
        <f t="shared" si="33"/>
        <v>187484.08600000001</v>
      </c>
      <c r="F314" s="360">
        <f t="shared" si="33"/>
        <v>56964.713161103646</v>
      </c>
      <c r="G314" s="360">
        <f t="shared" si="33"/>
        <v>4869.3490000000002</v>
      </c>
      <c r="H314" s="360">
        <f t="shared" si="33"/>
        <v>1937.5239999999999</v>
      </c>
      <c r="L314" s="170"/>
    </row>
    <row r="315" spans="1:12" x14ac:dyDescent="0.2">
      <c r="A315" s="147">
        <v>2027</v>
      </c>
      <c r="B315" s="147">
        <v>2</v>
      </c>
      <c r="C315" s="147" t="str">
        <f t="shared" si="32"/>
        <v>20272</v>
      </c>
      <c r="D315" s="147" t="str">
        <f t="shared" si="34"/>
        <v>Q1</v>
      </c>
      <c r="E315" s="360">
        <f t="shared" si="33"/>
        <v>187484.08600000001</v>
      </c>
      <c r="F315" s="360">
        <f t="shared" si="33"/>
        <v>56964.713161103646</v>
      </c>
      <c r="G315" s="360">
        <f t="shared" si="33"/>
        <v>4869.3490000000002</v>
      </c>
      <c r="H315" s="360">
        <f t="shared" si="33"/>
        <v>1937.5239999999999</v>
      </c>
      <c r="L315" s="170"/>
    </row>
    <row r="316" spans="1:12" x14ac:dyDescent="0.2">
      <c r="A316" s="147">
        <v>2027</v>
      </c>
      <c r="B316" s="147">
        <v>3</v>
      </c>
      <c r="C316" s="147" t="str">
        <f t="shared" si="32"/>
        <v>20273</v>
      </c>
      <c r="D316" s="147" t="str">
        <f t="shared" si="34"/>
        <v>Q1</v>
      </c>
      <c r="E316" s="360">
        <f t="shared" si="33"/>
        <v>187484.08600000001</v>
      </c>
      <c r="F316" s="360">
        <f t="shared" si="33"/>
        <v>56964.713161103646</v>
      </c>
      <c r="G316" s="360">
        <f t="shared" si="33"/>
        <v>4869.3490000000002</v>
      </c>
      <c r="H316" s="360">
        <f t="shared" si="33"/>
        <v>1937.5239999999999</v>
      </c>
      <c r="L316" s="170"/>
    </row>
    <row r="317" spans="1:12" x14ac:dyDescent="0.2">
      <c r="A317" s="147">
        <v>2027</v>
      </c>
      <c r="B317" s="147">
        <v>4</v>
      </c>
      <c r="C317" s="147" t="str">
        <f t="shared" si="32"/>
        <v>20274</v>
      </c>
      <c r="D317" s="147" t="str">
        <f t="shared" si="34"/>
        <v>Q2</v>
      </c>
      <c r="E317" s="360">
        <f t="shared" si="33"/>
        <v>188450.351</v>
      </c>
      <c r="F317" s="360">
        <f t="shared" si="33"/>
        <v>57254.533685953822</v>
      </c>
      <c r="G317" s="360">
        <f t="shared" si="33"/>
        <v>4877.0720000000001</v>
      </c>
      <c r="H317" s="360">
        <f t="shared" si="33"/>
        <v>1941.306</v>
      </c>
      <c r="L317" s="170"/>
    </row>
    <row r="318" spans="1:12" x14ac:dyDescent="0.2">
      <c r="A318" s="147">
        <v>2027</v>
      </c>
      <c r="B318" s="147">
        <v>5</v>
      </c>
      <c r="C318" s="147" t="str">
        <f t="shared" si="32"/>
        <v>20275</v>
      </c>
      <c r="D318" s="147" t="str">
        <f t="shared" si="34"/>
        <v>Q2</v>
      </c>
      <c r="E318" s="360">
        <f t="shared" si="33"/>
        <v>188450.351</v>
      </c>
      <c r="F318" s="360">
        <f t="shared" si="33"/>
        <v>57254.533685953822</v>
      </c>
      <c r="G318" s="360">
        <f t="shared" si="33"/>
        <v>4877.0720000000001</v>
      </c>
      <c r="H318" s="360">
        <f t="shared" si="33"/>
        <v>1941.306</v>
      </c>
      <c r="L318" s="170"/>
    </row>
    <row r="319" spans="1:12" x14ac:dyDescent="0.2">
      <c r="A319" s="147">
        <v>2027</v>
      </c>
      <c r="B319" s="147">
        <v>6</v>
      </c>
      <c r="C319" s="147" t="str">
        <f t="shared" si="32"/>
        <v>20276</v>
      </c>
      <c r="D319" s="147" t="str">
        <f t="shared" si="34"/>
        <v>Q2</v>
      </c>
      <c r="E319" s="360">
        <f t="shared" si="33"/>
        <v>188450.351</v>
      </c>
      <c r="F319" s="360">
        <f t="shared" si="33"/>
        <v>57254.533685953822</v>
      </c>
      <c r="G319" s="360">
        <f t="shared" si="33"/>
        <v>4877.0720000000001</v>
      </c>
      <c r="H319" s="360">
        <f t="shared" si="33"/>
        <v>1941.306</v>
      </c>
      <c r="L319" s="170"/>
    </row>
    <row r="320" spans="1:12" x14ac:dyDescent="0.2">
      <c r="A320" s="147">
        <v>2027</v>
      </c>
      <c r="B320" s="147">
        <v>7</v>
      </c>
      <c r="C320" s="147" t="str">
        <f t="shared" si="32"/>
        <v>20277</v>
      </c>
      <c r="D320" s="147" t="str">
        <f t="shared" si="34"/>
        <v>Q3</v>
      </c>
      <c r="E320" s="360">
        <f t="shared" si="33"/>
        <v>189344.48499999999</v>
      </c>
      <c r="F320" s="360">
        <f t="shared" si="33"/>
        <v>57588.191423894845</v>
      </c>
      <c r="G320" s="360">
        <f t="shared" si="33"/>
        <v>4884.7619999999997</v>
      </c>
      <c r="H320" s="360">
        <f t="shared" si="33"/>
        <v>1947.4949999999999</v>
      </c>
      <c r="L320" s="170"/>
    </row>
    <row r="321" spans="1:12" x14ac:dyDescent="0.2">
      <c r="A321" s="147">
        <v>2027</v>
      </c>
      <c r="B321" s="147">
        <v>8</v>
      </c>
      <c r="C321" s="147" t="str">
        <f t="shared" si="32"/>
        <v>20278</v>
      </c>
      <c r="D321" s="147" t="str">
        <f t="shared" si="34"/>
        <v>Q3</v>
      </c>
      <c r="E321" s="360">
        <f t="shared" si="33"/>
        <v>189344.48499999999</v>
      </c>
      <c r="F321" s="360">
        <f t="shared" si="33"/>
        <v>57588.191423894845</v>
      </c>
      <c r="G321" s="360">
        <f t="shared" si="33"/>
        <v>4884.7619999999997</v>
      </c>
      <c r="H321" s="360">
        <f t="shared" si="33"/>
        <v>1947.4949999999999</v>
      </c>
      <c r="L321" s="170"/>
    </row>
    <row r="322" spans="1:12" x14ac:dyDescent="0.2">
      <c r="A322" s="147">
        <v>2027</v>
      </c>
      <c r="B322" s="147">
        <v>9</v>
      </c>
      <c r="C322" s="147" t="str">
        <f t="shared" si="32"/>
        <v>20279</v>
      </c>
      <c r="D322" s="147" t="str">
        <f t="shared" si="34"/>
        <v>Q3</v>
      </c>
      <c r="E322" s="360">
        <f t="shared" si="33"/>
        <v>189344.48499999999</v>
      </c>
      <c r="F322" s="360">
        <f t="shared" si="33"/>
        <v>57588.191423894845</v>
      </c>
      <c r="G322" s="360">
        <f t="shared" si="33"/>
        <v>4884.7619999999997</v>
      </c>
      <c r="H322" s="360">
        <f t="shared" ref="H322:H385" si="35">VLOOKUP($A322&amp;$D322,$N$1:$T$173,MATCH(H$1,$N$1:$T$1,0),0)</f>
        <v>1947.4949999999999</v>
      </c>
      <c r="L322" s="170"/>
    </row>
    <row r="323" spans="1:12" x14ac:dyDescent="0.2">
      <c r="A323" s="147">
        <v>2027</v>
      </c>
      <c r="B323" s="147">
        <v>10</v>
      </c>
      <c r="C323" s="147" t="str">
        <f t="shared" ref="C323:C386" si="36">A323&amp;B323</f>
        <v>202710</v>
      </c>
      <c r="D323" s="147" t="str">
        <f t="shared" si="34"/>
        <v>Q4</v>
      </c>
      <c r="E323" s="360">
        <f t="shared" ref="E323:G354" si="37">VLOOKUP($A323&amp;$D323,$N$1:$T$173,MATCH(E$1,$N$1:$T$1,0),0)</f>
        <v>190254.26500000001</v>
      </c>
      <c r="F323" s="360">
        <f t="shared" si="37"/>
        <v>57876.059941927051</v>
      </c>
      <c r="G323" s="360">
        <f t="shared" si="37"/>
        <v>4892.43</v>
      </c>
      <c r="H323" s="360">
        <f t="shared" si="35"/>
        <v>1950.02</v>
      </c>
      <c r="L323" s="170"/>
    </row>
    <row r="324" spans="1:12" x14ac:dyDescent="0.2">
      <c r="A324" s="147">
        <v>2027</v>
      </c>
      <c r="B324" s="147">
        <v>11</v>
      </c>
      <c r="C324" s="147" t="str">
        <f t="shared" si="36"/>
        <v>202711</v>
      </c>
      <c r="D324" s="147" t="str">
        <f t="shared" si="34"/>
        <v>Q4</v>
      </c>
      <c r="E324" s="360">
        <f t="shared" si="37"/>
        <v>190254.26500000001</v>
      </c>
      <c r="F324" s="360">
        <f t="shared" si="37"/>
        <v>57876.059941927051</v>
      </c>
      <c r="G324" s="360">
        <f t="shared" si="37"/>
        <v>4892.43</v>
      </c>
      <c r="H324" s="360">
        <f t="shared" si="35"/>
        <v>1950.02</v>
      </c>
      <c r="L324" s="170"/>
    </row>
    <row r="325" spans="1:12" x14ac:dyDescent="0.2">
      <c r="A325" s="147">
        <v>2027</v>
      </c>
      <c r="B325" s="147">
        <v>12</v>
      </c>
      <c r="C325" s="147" t="str">
        <f t="shared" si="36"/>
        <v>202712</v>
      </c>
      <c r="D325" s="147" t="str">
        <f t="shared" si="34"/>
        <v>Q4</v>
      </c>
      <c r="E325" s="360">
        <f t="shared" si="37"/>
        <v>190254.26500000001</v>
      </c>
      <c r="F325" s="360">
        <f t="shared" si="37"/>
        <v>57876.059941927051</v>
      </c>
      <c r="G325" s="360">
        <f t="shared" si="37"/>
        <v>4892.43</v>
      </c>
      <c r="H325" s="360">
        <f t="shared" si="35"/>
        <v>1950.02</v>
      </c>
      <c r="L325" s="170"/>
    </row>
    <row r="326" spans="1:12" x14ac:dyDescent="0.2">
      <c r="A326" s="147">
        <v>2028</v>
      </c>
      <c r="B326" s="147">
        <v>1</v>
      </c>
      <c r="C326" s="147" t="str">
        <f t="shared" si="36"/>
        <v>20281</v>
      </c>
      <c r="D326" s="147" t="str">
        <f t="shared" si="34"/>
        <v>Q1</v>
      </c>
      <c r="E326" s="360">
        <f t="shared" si="37"/>
        <v>191884.976</v>
      </c>
      <c r="F326" s="360">
        <f t="shared" si="37"/>
        <v>58418.654423987813</v>
      </c>
      <c r="G326" s="360">
        <f t="shared" si="37"/>
        <v>4900.0990000000002</v>
      </c>
      <c r="H326" s="360">
        <f t="shared" si="35"/>
        <v>1952.6130000000001</v>
      </c>
      <c r="L326" s="170"/>
    </row>
    <row r="327" spans="1:12" x14ac:dyDescent="0.2">
      <c r="A327" s="147">
        <v>2028</v>
      </c>
      <c r="B327" s="147">
        <v>2</v>
      </c>
      <c r="C327" s="147" t="str">
        <f t="shared" si="36"/>
        <v>20282</v>
      </c>
      <c r="D327" s="147" t="str">
        <f t="shared" si="34"/>
        <v>Q1</v>
      </c>
      <c r="E327" s="360">
        <f t="shared" si="37"/>
        <v>191884.976</v>
      </c>
      <c r="F327" s="360">
        <f t="shared" si="37"/>
        <v>58418.654423987813</v>
      </c>
      <c r="G327" s="360">
        <f t="shared" si="37"/>
        <v>4900.0990000000002</v>
      </c>
      <c r="H327" s="360">
        <f t="shared" si="35"/>
        <v>1952.6130000000001</v>
      </c>
      <c r="L327" s="170"/>
    </row>
    <row r="328" spans="1:12" x14ac:dyDescent="0.2">
      <c r="A328" s="147">
        <v>2028</v>
      </c>
      <c r="B328" s="147">
        <v>3</v>
      </c>
      <c r="C328" s="147" t="str">
        <f t="shared" si="36"/>
        <v>20283</v>
      </c>
      <c r="D328" s="147" t="str">
        <f t="shared" si="34"/>
        <v>Q1</v>
      </c>
      <c r="E328" s="360">
        <f t="shared" si="37"/>
        <v>191884.976</v>
      </c>
      <c r="F328" s="360">
        <f t="shared" si="37"/>
        <v>58418.654423987813</v>
      </c>
      <c r="G328" s="360">
        <f t="shared" si="37"/>
        <v>4900.0990000000002</v>
      </c>
      <c r="H328" s="360">
        <f t="shared" si="35"/>
        <v>1952.6130000000001</v>
      </c>
      <c r="L328" s="170"/>
    </row>
    <row r="329" spans="1:12" x14ac:dyDescent="0.2">
      <c r="A329" s="147">
        <v>2028</v>
      </c>
      <c r="B329" s="147">
        <v>4</v>
      </c>
      <c r="C329" s="147" t="str">
        <f t="shared" si="36"/>
        <v>20284</v>
      </c>
      <c r="D329" s="147" t="str">
        <f t="shared" si="34"/>
        <v>Q2</v>
      </c>
      <c r="E329" s="360">
        <f t="shared" si="37"/>
        <v>192867.91899999999</v>
      </c>
      <c r="F329" s="360">
        <f t="shared" si="37"/>
        <v>58713.8376022312</v>
      </c>
      <c r="G329" s="360">
        <f t="shared" si="37"/>
        <v>4907.7340000000004</v>
      </c>
      <c r="H329" s="360">
        <f t="shared" si="35"/>
        <v>1955.2370000000001</v>
      </c>
      <c r="L329" s="170"/>
    </row>
    <row r="330" spans="1:12" x14ac:dyDescent="0.2">
      <c r="A330" s="147">
        <v>2028</v>
      </c>
      <c r="B330" s="147">
        <v>5</v>
      </c>
      <c r="C330" s="147" t="str">
        <f t="shared" si="36"/>
        <v>20285</v>
      </c>
      <c r="D330" s="147" t="str">
        <f t="shared" si="34"/>
        <v>Q2</v>
      </c>
      <c r="E330" s="360">
        <f t="shared" si="37"/>
        <v>192867.91899999999</v>
      </c>
      <c r="F330" s="360">
        <f t="shared" si="37"/>
        <v>58713.8376022312</v>
      </c>
      <c r="G330" s="360">
        <f t="shared" si="37"/>
        <v>4907.7340000000004</v>
      </c>
      <c r="H330" s="360">
        <f t="shared" si="35"/>
        <v>1955.2370000000001</v>
      </c>
      <c r="L330" s="170"/>
    </row>
    <row r="331" spans="1:12" x14ac:dyDescent="0.2">
      <c r="A331" s="147">
        <v>2028</v>
      </c>
      <c r="B331" s="147">
        <v>6</v>
      </c>
      <c r="C331" s="147" t="str">
        <f t="shared" si="36"/>
        <v>20286</v>
      </c>
      <c r="D331" s="147" t="str">
        <f t="shared" si="34"/>
        <v>Q2</v>
      </c>
      <c r="E331" s="360">
        <f t="shared" si="37"/>
        <v>192867.91899999999</v>
      </c>
      <c r="F331" s="360">
        <f t="shared" si="37"/>
        <v>58713.8376022312</v>
      </c>
      <c r="G331" s="360">
        <f t="shared" si="37"/>
        <v>4907.7340000000004</v>
      </c>
      <c r="H331" s="360">
        <f t="shared" si="35"/>
        <v>1955.2370000000001</v>
      </c>
      <c r="L331" s="170"/>
    </row>
    <row r="332" spans="1:12" x14ac:dyDescent="0.2">
      <c r="A332" s="147">
        <v>2028</v>
      </c>
      <c r="B332" s="147">
        <v>7</v>
      </c>
      <c r="C332" s="147" t="str">
        <f t="shared" si="36"/>
        <v>20287</v>
      </c>
      <c r="D332" s="147" t="str">
        <f t="shared" si="34"/>
        <v>Q3</v>
      </c>
      <c r="E332" s="360">
        <f t="shared" si="37"/>
        <v>193808.63</v>
      </c>
      <c r="F332" s="360">
        <f t="shared" si="37"/>
        <v>59006.505698010005</v>
      </c>
      <c r="G332" s="360">
        <f t="shared" si="37"/>
        <v>4915.3220000000001</v>
      </c>
      <c r="H332" s="360">
        <f t="shared" si="35"/>
        <v>1957.7329999999999</v>
      </c>
      <c r="L332" s="170"/>
    </row>
    <row r="333" spans="1:12" x14ac:dyDescent="0.2">
      <c r="A333" s="147">
        <v>2028</v>
      </c>
      <c r="B333" s="147">
        <v>8</v>
      </c>
      <c r="C333" s="147" t="str">
        <f t="shared" si="36"/>
        <v>20288</v>
      </c>
      <c r="D333" s="147" t="str">
        <f t="shared" si="34"/>
        <v>Q3</v>
      </c>
      <c r="E333" s="360">
        <f t="shared" si="37"/>
        <v>193808.63</v>
      </c>
      <c r="F333" s="360">
        <f t="shared" si="37"/>
        <v>59006.505698010005</v>
      </c>
      <c r="G333" s="360">
        <f t="shared" si="37"/>
        <v>4915.3220000000001</v>
      </c>
      <c r="H333" s="360">
        <f t="shared" si="35"/>
        <v>1957.7329999999999</v>
      </c>
      <c r="L333" s="170"/>
    </row>
    <row r="334" spans="1:12" x14ac:dyDescent="0.2">
      <c r="A334" s="147">
        <v>2028</v>
      </c>
      <c r="B334" s="147">
        <v>9</v>
      </c>
      <c r="C334" s="147" t="str">
        <f t="shared" si="36"/>
        <v>20289</v>
      </c>
      <c r="D334" s="147" t="str">
        <f t="shared" si="34"/>
        <v>Q3</v>
      </c>
      <c r="E334" s="360">
        <f t="shared" si="37"/>
        <v>193808.63</v>
      </c>
      <c r="F334" s="360">
        <f t="shared" si="37"/>
        <v>59006.505698010005</v>
      </c>
      <c r="G334" s="360">
        <f t="shared" si="37"/>
        <v>4915.3220000000001</v>
      </c>
      <c r="H334" s="360">
        <f t="shared" si="35"/>
        <v>1957.7329999999999</v>
      </c>
      <c r="L334" s="170"/>
    </row>
    <row r="335" spans="1:12" x14ac:dyDescent="0.2">
      <c r="A335" s="147">
        <v>2028</v>
      </c>
      <c r="B335" s="147">
        <v>10</v>
      </c>
      <c r="C335" s="147" t="str">
        <f t="shared" si="36"/>
        <v>202810</v>
      </c>
      <c r="D335" s="147" t="str">
        <f t="shared" ref="D335:D398" si="38">D323</f>
        <v>Q4</v>
      </c>
      <c r="E335" s="360">
        <f t="shared" si="37"/>
        <v>194786.40400000001</v>
      </c>
      <c r="F335" s="360">
        <f t="shared" si="37"/>
        <v>59266.994694104913</v>
      </c>
      <c r="G335" s="360">
        <f t="shared" si="37"/>
        <v>4922.8760000000002</v>
      </c>
      <c r="H335" s="360">
        <f t="shared" si="35"/>
        <v>1961.22</v>
      </c>
      <c r="L335" s="170"/>
    </row>
    <row r="336" spans="1:12" x14ac:dyDescent="0.2">
      <c r="A336" s="147">
        <v>2028</v>
      </c>
      <c r="B336" s="147">
        <v>11</v>
      </c>
      <c r="C336" s="147" t="str">
        <f t="shared" si="36"/>
        <v>202811</v>
      </c>
      <c r="D336" s="147" t="str">
        <f t="shared" si="38"/>
        <v>Q4</v>
      </c>
      <c r="E336" s="360">
        <f t="shared" si="37"/>
        <v>194786.40400000001</v>
      </c>
      <c r="F336" s="360">
        <f t="shared" si="37"/>
        <v>59266.994694104913</v>
      </c>
      <c r="G336" s="360">
        <f t="shared" si="37"/>
        <v>4922.8760000000002</v>
      </c>
      <c r="H336" s="360">
        <f t="shared" si="35"/>
        <v>1961.22</v>
      </c>
      <c r="L336" s="170"/>
    </row>
    <row r="337" spans="1:12" x14ac:dyDescent="0.2">
      <c r="A337" s="147">
        <v>2028</v>
      </c>
      <c r="B337" s="147">
        <v>12</v>
      </c>
      <c r="C337" s="147" t="str">
        <f t="shared" si="36"/>
        <v>202812</v>
      </c>
      <c r="D337" s="147" t="str">
        <f t="shared" si="38"/>
        <v>Q4</v>
      </c>
      <c r="E337" s="360">
        <f t="shared" si="37"/>
        <v>194786.40400000001</v>
      </c>
      <c r="F337" s="360">
        <f t="shared" si="37"/>
        <v>59266.994694104913</v>
      </c>
      <c r="G337" s="360">
        <f t="shared" si="37"/>
        <v>4922.8760000000002</v>
      </c>
      <c r="H337" s="360">
        <f t="shared" si="35"/>
        <v>1961.22</v>
      </c>
      <c r="L337" s="170"/>
    </row>
    <row r="338" spans="1:12" x14ac:dyDescent="0.2">
      <c r="A338" s="147">
        <v>2029</v>
      </c>
      <c r="B338" s="147">
        <v>1</v>
      </c>
      <c r="C338" s="147" t="str">
        <f t="shared" si="36"/>
        <v>20291</v>
      </c>
      <c r="D338" s="147" t="str">
        <f t="shared" si="38"/>
        <v>Q1</v>
      </c>
      <c r="E338" s="360">
        <f t="shared" si="37"/>
        <v>196497.82699999999</v>
      </c>
      <c r="F338" s="360">
        <f t="shared" si="37"/>
        <v>59877.087698330462</v>
      </c>
      <c r="G338" s="360">
        <f t="shared" si="37"/>
        <v>4930.3969999999999</v>
      </c>
      <c r="H338" s="360">
        <f t="shared" si="35"/>
        <v>1964.691</v>
      </c>
      <c r="L338" s="170"/>
    </row>
    <row r="339" spans="1:12" x14ac:dyDescent="0.2">
      <c r="A339" s="147">
        <v>2029</v>
      </c>
      <c r="B339" s="147">
        <v>2</v>
      </c>
      <c r="C339" s="147" t="str">
        <f t="shared" si="36"/>
        <v>20292</v>
      </c>
      <c r="D339" s="147" t="str">
        <f t="shared" si="38"/>
        <v>Q1</v>
      </c>
      <c r="E339" s="360">
        <f t="shared" si="37"/>
        <v>196497.82699999999</v>
      </c>
      <c r="F339" s="360">
        <f t="shared" si="37"/>
        <v>59877.087698330462</v>
      </c>
      <c r="G339" s="360">
        <f t="shared" si="37"/>
        <v>4930.3969999999999</v>
      </c>
      <c r="H339" s="360">
        <f t="shared" si="35"/>
        <v>1964.691</v>
      </c>
      <c r="L339" s="170"/>
    </row>
    <row r="340" spans="1:12" x14ac:dyDescent="0.2">
      <c r="A340" s="147">
        <v>2029</v>
      </c>
      <c r="B340" s="147">
        <v>3</v>
      </c>
      <c r="C340" s="147" t="str">
        <f t="shared" si="36"/>
        <v>20293</v>
      </c>
      <c r="D340" s="147" t="str">
        <f t="shared" si="38"/>
        <v>Q1</v>
      </c>
      <c r="E340" s="360">
        <f t="shared" si="37"/>
        <v>196497.82699999999</v>
      </c>
      <c r="F340" s="360">
        <f t="shared" si="37"/>
        <v>59877.087698330462</v>
      </c>
      <c r="G340" s="360">
        <f t="shared" si="37"/>
        <v>4930.3969999999999</v>
      </c>
      <c r="H340" s="360">
        <f t="shared" si="35"/>
        <v>1964.691</v>
      </c>
      <c r="L340" s="170"/>
    </row>
    <row r="341" spans="1:12" x14ac:dyDescent="0.2">
      <c r="A341" s="147">
        <v>2029</v>
      </c>
      <c r="B341" s="147">
        <v>4</v>
      </c>
      <c r="C341" s="147" t="str">
        <f t="shared" si="36"/>
        <v>20294</v>
      </c>
      <c r="D341" s="147" t="str">
        <f t="shared" si="38"/>
        <v>Q2</v>
      </c>
      <c r="E341" s="360">
        <f t="shared" si="37"/>
        <v>197549.33600000001</v>
      </c>
      <c r="F341" s="360">
        <f t="shared" si="37"/>
        <v>60277.737576157888</v>
      </c>
      <c r="G341" s="360">
        <f t="shared" si="37"/>
        <v>4937.8850000000002</v>
      </c>
      <c r="H341" s="360">
        <f t="shared" si="35"/>
        <v>1968.1590000000001</v>
      </c>
      <c r="L341" s="170"/>
    </row>
    <row r="342" spans="1:12" x14ac:dyDescent="0.2">
      <c r="A342" s="147">
        <v>2029</v>
      </c>
      <c r="B342" s="147">
        <v>5</v>
      </c>
      <c r="C342" s="147" t="str">
        <f t="shared" si="36"/>
        <v>20295</v>
      </c>
      <c r="D342" s="147" t="str">
        <f t="shared" si="38"/>
        <v>Q2</v>
      </c>
      <c r="E342" s="360">
        <f t="shared" si="37"/>
        <v>197549.33600000001</v>
      </c>
      <c r="F342" s="360">
        <f t="shared" si="37"/>
        <v>60277.737576157888</v>
      </c>
      <c r="G342" s="360">
        <f t="shared" si="37"/>
        <v>4937.8850000000002</v>
      </c>
      <c r="H342" s="360">
        <f t="shared" si="35"/>
        <v>1968.1590000000001</v>
      </c>
      <c r="L342" s="170"/>
    </row>
    <row r="343" spans="1:12" x14ac:dyDescent="0.2">
      <c r="A343" s="147">
        <v>2029</v>
      </c>
      <c r="B343" s="147">
        <v>6</v>
      </c>
      <c r="C343" s="147" t="str">
        <f t="shared" si="36"/>
        <v>20296</v>
      </c>
      <c r="D343" s="147" t="str">
        <f t="shared" si="38"/>
        <v>Q2</v>
      </c>
      <c r="E343" s="360">
        <f t="shared" si="37"/>
        <v>197549.33600000001</v>
      </c>
      <c r="F343" s="360">
        <f t="shared" si="37"/>
        <v>60277.737576157888</v>
      </c>
      <c r="G343" s="360">
        <f t="shared" si="37"/>
        <v>4937.8850000000002</v>
      </c>
      <c r="H343" s="360">
        <f t="shared" si="35"/>
        <v>1968.1590000000001</v>
      </c>
      <c r="L343" s="170"/>
    </row>
    <row r="344" spans="1:12" x14ac:dyDescent="0.2">
      <c r="A344" s="147">
        <v>2029</v>
      </c>
      <c r="B344" s="147">
        <v>7</v>
      </c>
      <c r="C344" s="147" t="str">
        <f t="shared" si="36"/>
        <v>20297</v>
      </c>
      <c r="D344" s="147" t="str">
        <f t="shared" si="38"/>
        <v>Q3</v>
      </c>
      <c r="E344" s="360">
        <f t="shared" si="37"/>
        <v>198516.981</v>
      </c>
      <c r="F344" s="360">
        <f t="shared" si="37"/>
        <v>60511.781745148182</v>
      </c>
      <c r="G344" s="360">
        <f t="shared" si="37"/>
        <v>4945.34</v>
      </c>
      <c r="H344" s="360">
        <f t="shared" si="35"/>
        <v>1971.586</v>
      </c>
      <c r="L344" s="170"/>
    </row>
    <row r="345" spans="1:12" x14ac:dyDescent="0.2">
      <c r="A345" s="147">
        <v>2029</v>
      </c>
      <c r="B345" s="147">
        <v>8</v>
      </c>
      <c r="C345" s="147" t="str">
        <f t="shared" si="36"/>
        <v>20298</v>
      </c>
      <c r="D345" s="147" t="str">
        <f t="shared" si="38"/>
        <v>Q3</v>
      </c>
      <c r="E345" s="360">
        <f t="shared" si="37"/>
        <v>198516.981</v>
      </c>
      <c r="F345" s="360">
        <f t="shared" si="37"/>
        <v>60511.781745148182</v>
      </c>
      <c r="G345" s="360">
        <f t="shared" si="37"/>
        <v>4945.34</v>
      </c>
      <c r="H345" s="360">
        <f t="shared" si="35"/>
        <v>1971.586</v>
      </c>
      <c r="L345" s="170"/>
    </row>
    <row r="346" spans="1:12" x14ac:dyDescent="0.2">
      <c r="A346" s="147">
        <v>2029</v>
      </c>
      <c r="B346" s="147">
        <v>9</v>
      </c>
      <c r="C346" s="147" t="str">
        <f t="shared" si="36"/>
        <v>20299</v>
      </c>
      <c r="D346" s="147" t="str">
        <f t="shared" si="38"/>
        <v>Q3</v>
      </c>
      <c r="E346" s="360">
        <f t="shared" si="37"/>
        <v>198516.981</v>
      </c>
      <c r="F346" s="360">
        <f t="shared" si="37"/>
        <v>60511.781745148182</v>
      </c>
      <c r="G346" s="360">
        <f t="shared" si="37"/>
        <v>4945.34</v>
      </c>
      <c r="H346" s="360">
        <f t="shared" si="35"/>
        <v>1971.586</v>
      </c>
      <c r="L346" s="170"/>
    </row>
    <row r="347" spans="1:12" x14ac:dyDescent="0.2">
      <c r="A347" s="147">
        <v>2029</v>
      </c>
      <c r="B347" s="147">
        <v>10</v>
      </c>
      <c r="C347" s="147" t="str">
        <f t="shared" si="36"/>
        <v>202910</v>
      </c>
      <c r="D347" s="147" t="str">
        <f t="shared" si="38"/>
        <v>Q4</v>
      </c>
      <c r="E347" s="360">
        <f t="shared" si="37"/>
        <v>199480.13399999999</v>
      </c>
      <c r="F347" s="360">
        <f t="shared" si="37"/>
        <v>60805.872480766535</v>
      </c>
      <c r="G347" s="360">
        <f t="shared" si="37"/>
        <v>4952.7489999999998</v>
      </c>
      <c r="H347" s="360">
        <f t="shared" si="35"/>
        <v>1975.02</v>
      </c>
      <c r="L347" s="170"/>
    </row>
    <row r="348" spans="1:12" x14ac:dyDescent="0.2">
      <c r="A348" s="147">
        <v>2029</v>
      </c>
      <c r="B348" s="147">
        <v>11</v>
      </c>
      <c r="C348" s="147" t="str">
        <f t="shared" si="36"/>
        <v>202911</v>
      </c>
      <c r="D348" s="147" t="str">
        <f t="shared" si="38"/>
        <v>Q4</v>
      </c>
      <c r="E348" s="360">
        <f t="shared" si="37"/>
        <v>199480.13399999999</v>
      </c>
      <c r="F348" s="360">
        <f t="shared" si="37"/>
        <v>60805.872480766535</v>
      </c>
      <c r="G348" s="360">
        <f t="shared" si="37"/>
        <v>4952.7489999999998</v>
      </c>
      <c r="H348" s="360">
        <f t="shared" si="35"/>
        <v>1975.02</v>
      </c>
      <c r="L348" s="170"/>
    </row>
    <row r="349" spans="1:12" x14ac:dyDescent="0.2">
      <c r="A349" s="147">
        <v>2029</v>
      </c>
      <c r="B349" s="147">
        <v>12</v>
      </c>
      <c r="C349" s="147" t="str">
        <f t="shared" si="36"/>
        <v>202912</v>
      </c>
      <c r="D349" s="147" t="str">
        <f t="shared" si="38"/>
        <v>Q4</v>
      </c>
      <c r="E349" s="360">
        <f t="shared" si="37"/>
        <v>199480.13399999999</v>
      </c>
      <c r="F349" s="360">
        <f t="shared" si="37"/>
        <v>60805.872480766535</v>
      </c>
      <c r="G349" s="360">
        <f t="shared" si="37"/>
        <v>4952.7489999999998</v>
      </c>
      <c r="H349" s="360">
        <f t="shared" si="35"/>
        <v>1975.02</v>
      </c>
      <c r="L349" s="170"/>
    </row>
    <row r="350" spans="1:12" x14ac:dyDescent="0.2">
      <c r="A350" s="147">
        <v>2030</v>
      </c>
      <c r="B350" s="147">
        <v>1</v>
      </c>
      <c r="C350" s="147" t="str">
        <f t="shared" si="36"/>
        <v>20301</v>
      </c>
      <c r="D350" s="147" t="str">
        <f t="shared" si="38"/>
        <v>Q1</v>
      </c>
      <c r="E350" s="360">
        <f t="shared" si="37"/>
        <v>201210.11900000001</v>
      </c>
      <c r="F350" s="360">
        <f t="shared" si="37"/>
        <v>61466.666126746961</v>
      </c>
      <c r="G350" s="360">
        <f t="shared" si="37"/>
        <v>4960.1260000000002</v>
      </c>
      <c r="H350" s="360">
        <f t="shared" si="35"/>
        <v>1978.5</v>
      </c>
      <c r="L350" s="170"/>
    </row>
    <row r="351" spans="1:12" x14ac:dyDescent="0.2">
      <c r="A351" s="147">
        <v>2030</v>
      </c>
      <c r="B351" s="147">
        <v>2</v>
      </c>
      <c r="C351" s="147" t="str">
        <f t="shared" si="36"/>
        <v>20302</v>
      </c>
      <c r="D351" s="147" t="str">
        <f t="shared" si="38"/>
        <v>Q1</v>
      </c>
      <c r="E351" s="360">
        <f t="shared" si="37"/>
        <v>201210.11900000001</v>
      </c>
      <c r="F351" s="360">
        <f t="shared" si="37"/>
        <v>61466.666126746961</v>
      </c>
      <c r="G351" s="360">
        <f t="shared" si="37"/>
        <v>4960.1260000000002</v>
      </c>
      <c r="H351" s="360">
        <f t="shared" si="35"/>
        <v>1978.5</v>
      </c>
      <c r="L351" s="170"/>
    </row>
    <row r="352" spans="1:12" x14ac:dyDescent="0.2">
      <c r="A352" s="147">
        <v>2030</v>
      </c>
      <c r="B352" s="147">
        <v>3</v>
      </c>
      <c r="C352" s="147" t="str">
        <f t="shared" si="36"/>
        <v>20303</v>
      </c>
      <c r="D352" s="147" t="str">
        <f t="shared" si="38"/>
        <v>Q1</v>
      </c>
      <c r="E352" s="360">
        <f t="shared" si="37"/>
        <v>201210.11900000001</v>
      </c>
      <c r="F352" s="360">
        <f t="shared" si="37"/>
        <v>61466.666126746961</v>
      </c>
      <c r="G352" s="360">
        <f t="shared" si="37"/>
        <v>4960.1260000000002</v>
      </c>
      <c r="H352" s="360">
        <f t="shared" si="35"/>
        <v>1978.5</v>
      </c>
      <c r="L352" s="170"/>
    </row>
    <row r="353" spans="1:12" x14ac:dyDescent="0.2">
      <c r="A353" s="147">
        <v>2030</v>
      </c>
      <c r="B353" s="147">
        <v>4</v>
      </c>
      <c r="C353" s="147" t="str">
        <f t="shared" si="36"/>
        <v>20304</v>
      </c>
      <c r="D353" s="147" t="str">
        <f t="shared" si="38"/>
        <v>Q2</v>
      </c>
      <c r="E353" s="360">
        <f t="shared" si="37"/>
        <v>202357.96400000001</v>
      </c>
      <c r="F353" s="360">
        <f t="shared" si="37"/>
        <v>61814.830377760452</v>
      </c>
      <c r="G353" s="360">
        <f t="shared" si="37"/>
        <v>4967.4709999999995</v>
      </c>
      <c r="H353" s="360">
        <f t="shared" si="35"/>
        <v>1982.0429999999999</v>
      </c>
      <c r="L353" s="170"/>
    </row>
    <row r="354" spans="1:12" x14ac:dyDescent="0.2">
      <c r="A354" s="147">
        <v>2030</v>
      </c>
      <c r="B354" s="147">
        <v>5</v>
      </c>
      <c r="C354" s="147" t="str">
        <f t="shared" si="36"/>
        <v>20305</v>
      </c>
      <c r="D354" s="147" t="str">
        <f t="shared" si="38"/>
        <v>Q2</v>
      </c>
      <c r="E354" s="360">
        <f t="shared" si="37"/>
        <v>202357.96400000001</v>
      </c>
      <c r="F354" s="360">
        <f t="shared" si="37"/>
        <v>61814.830377760452</v>
      </c>
      <c r="G354" s="360">
        <f t="shared" si="37"/>
        <v>4967.4709999999995</v>
      </c>
      <c r="H354" s="360">
        <f t="shared" si="35"/>
        <v>1982.0429999999999</v>
      </c>
      <c r="L354" s="170"/>
    </row>
    <row r="355" spans="1:12" x14ac:dyDescent="0.2">
      <c r="A355" s="147">
        <v>2030</v>
      </c>
      <c r="B355" s="147">
        <v>6</v>
      </c>
      <c r="C355" s="147" t="str">
        <f t="shared" si="36"/>
        <v>20306</v>
      </c>
      <c r="D355" s="147" t="str">
        <f t="shared" si="38"/>
        <v>Q2</v>
      </c>
      <c r="E355" s="360">
        <f t="shared" ref="E355:H386" si="39">VLOOKUP($A355&amp;$D355,$N$1:$T$173,MATCH(E$1,$N$1:$T$1,0),0)</f>
        <v>202357.96400000001</v>
      </c>
      <c r="F355" s="360">
        <f t="shared" si="39"/>
        <v>61814.830377760452</v>
      </c>
      <c r="G355" s="360">
        <f t="shared" si="39"/>
        <v>4967.4709999999995</v>
      </c>
      <c r="H355" s="360">
        <f t="shared" si="35"/>
        <v>1982.0429999999999</v>
      </c>
      <c r="L355" s="170"/>
    </row>
    <row r="356" spans="1:12" x14ac:dyDescent="0.2">
      <c r="A356" s="147">
        <v>2030</v>
      </c>
      <c r="B356" s="147">
        <v>7</v>
      </c>
      <c r="C356" s="147" t="str">
        <f t="shared" si="36"/>
        <v>20307</v>
      </c>
      <c r="D356" s="147" t="str">
        <f t="shared" si="38"/>
        <v>Q3</v>
      </c>
      <c r="E356" s="360">
        <f t="shared" si="39"/>
        <v>203321.337</v>
      </c>
      <c r="F356" s="360">
        <f t="shared" si="39"/>
        <v>62118.659604022723</v>
      </c>
      <c r="G356" s="360">
        <f t="shared" si="39"/>
        <v>4974.7839999999997</v>
      </c>
      <c r="H356" s="360">
        <f t="shared" si="35"/>
        <v>1985.5609999999999</v>
      </c>
      <c r="L356" s="170"/>
    </row>
    <row r="357" spans="1:12" x14ac:dyDescent="0.2">
      <c r="A357" s="147">
        <v>2030</v>
      </c>
      <c r="B357" s="147">
        <v>8</v>
      </c>
      <c r="C357" s="147" t="str">
        <f t="shared" si="36"/>
        <v>20308</v>
      </c>
      <c r="D357" s="147" t="str">
        <f t="shared" si="38"/>
        <v>Q3</v>
      </c>
      <c r="E357" s="360">
        <f t="shared" si="39"/>
        <v>203321.337</v>
      </c>
      <c r="F357" s="360">
        <f t="shared" si="39"/>
        <v>62118.659604022723</v>
      </c>
      <c r="G357" s="360">
        <f t="shared" si="39"/>
        <v>4974.7839999999997</v>
      </c>
      <c r="H357" s="360">
        <f t="shared" si="35"/>
        <v>1985.5609999999999</v>
      </c>
      <c r="L357" s="170"/>
    </row>
    <row r="358" spans="1:12" x14ac:dyDescent="0.2">
      <c r="A358" s="147">
        <v>2030</v>
      </c>
      <c r="B358" s="147">
        <v>9</v>
      </c>
      <c r="C358" s="147" t="str">
        <f t="shared" si="36"/>
        <v>20309</v>
      </c>
      <c r="D358" s="147" t="str">
        <f t="shared" si="38"/>
        <v>Q3</v>
      </c>
      <c r="E358" s="360">
        <f t="shared" si="39"/>
        <v>203321.337</v>
      </c>
      <c r="F358" s="360">
        <f t="shared" si="39"/>
        <v>62118.659604022723</v>
      </c>
      <c r="G358" s="360">
        <f t="shared" si="39"/>
        <v>4974.7839999999997</v>
      </c>
      <c r="H358" s="360">
        <f t="shared" si="35"/>
        <v>1985.5609999999999</v>
      </c>
      <c r="L358" s="170"/>
    </row>
    <row r="359" spans="1:12" x14ac:dyDescent="0.2">
      <c r="A359" s="147">
        <v>2030</v>
      </c>
      <c r="B359" s="147">
        <v>10</v>
      </c>
      <c r="C359" s="147" t="str">
        <f t="shared" si="36"/>
        <v>203010</v>
      </c>
      <c r="D359" s="147" t="str">
        <f t="shared" si="38"/>
        <v>Q4</v>
      </c>
      <c r="E359" s="360">
        <f t="shared" si="39"/>
        <v>204205.139</v>
      </c>
      <c r="F359" s="360">
        <f t="shared" si="39"/>
        <v>62422.456993532964</v>
      </c>
      <c r="G359" s="360">
        <f t="shared" si="39"/>
        <v>4982.0529999999999</v>
      </c>
      <c r="H359" s="360">
        <f t="shared" si="35"/>
        <v>1989.038</v>
      </c>
      <c r="L359" s="170"/>
    </row>
    <row r="360" spans="1:12" x14ac:dyDescent="0.2">
      <c r="A360" s="147">
        <v>2030</v>
      </c>
      <c r="B360" s="147">
        <v>11</v>
      </c>
      <c r="C360" s="147" t="str">
        <f t="shared" si="36"/>
        <v>203011</v>
      </c>
      <c r="D360" s="147" t="str">
        <f t="shared" si="38"/>
        <v>Q4</v>
      </c>
      <c r="E360" s="360">
        <f t="shared" si="39"/>
        <v>204205.139</v>
      </c>
      <c r="F360" s="360">
        <f t="shared" si="39"/>
        <v>62422.456993532964</v>
      </c>
      <c r="G360" s="360">
        <f t="shared" si="39"/>
        <v>4982.0529999999999</v>
      </c>
      <c r="H360" s="360">
        <f t="shared" si="35"/>
        <v>1989.038</v>
      </c>
      <c r="L360" s="170"/>
    </row>
    <row r="361" spans="1:12" x14ac:dyDescent="0.2">
      <c r="A361" s="147">
        <v>2030</v>
      </c>
      <c r="B361" s="147">
        <v>12</v>
      </c>
      <c r="C361" s="147" t="str">
        <f t="shared" si="36"/>
        <v>203012</v>
      </c>
      <c r="D361" s="147" t="str">
        <f t="shared" si="38"/>
        <v>Q4</v>
      </c>
      <c r="E361" s="360">
        <f t="shared" si="39"/>
        <v>204205.139</v>
      </c>
      <c r="F361" s="360">
        <f t="shared" si="39"/>
        <v>62422.456993532964</v>
      </c>
      <c r="G361" s="360">
        <f t="shared" si="39"/>
        <v>4982.0529999999999</v>
      </c>
      <c r="H361" s="360">
        <f t="shared" si="35"/>
        <v>1989.038</v>
      </c>
      <c r="L361" s="170"/>
    </row>
    <row r="362" spans="1:12" x14ac:dyDescent="0.2">
      <c r="A362" s="147">
        <v>2031</v>
      </c>
      <c r="B362" s="147">
        <v>1</v>
      </c>
      <c r="C362" s="147" t="str">
        <f t="shared" si="36"/>
        <v>20311</v>
      </c>
      <c r="D362" s="147" t="str">
        <f t="shared" si="38"/>
        <v>Q1</v>
      </c>
      <c r="E362" s="360">
        <f t="shared" si="39"/>
        <v>205835.74900000001</v>
      </c>
      <c r="F362" s="360">
        <f t="shared" si="39"/>
        <v>63011.686044511735</v>
      </c>
      <c r="G362" s="360">
        <f t="shared" si="39"/>
        <v>4989.29</v>
      </c>
      <c r="H362" s="360">
        <f t="shared" si="35"/>
        <v>1992.472</v>
      </c>
      <c r="L362" s="170"/>
    </row>
    <row r="363" spans="1:12" x14ac:dyDescent="0.2">
      <c r="A363" s="147">
        <v>2031</v>
      </c>
      <c r="B363" s="147">
        <v>2</v>
      </c>
      <c r="C363" s="147" t="str">
        <f t="shared" si="36"/>
        <v>20312</v>
      </c>
      <c r="D363" s="147" t="str">
        <f t="shared" si="38"/>
        <v>Q1</v>
      </c>
      <c r="E363" s="360">
        <f t="shared" si="39"/>
        <v>205835.74900000001</v>
      </c>
      <c r="F363" s="360">
        <f t="shared" si="39"/>
        <v>63011.686044511735</v>
      </c>
      <c r="G363" s="360">
        <f t="shared" si="39"/>
        <v>4989.29</v>
      </c>
      <c r="H363" s="360">
        <f t="shared" si="35"/>
        <v>1992.472</v>
      </c>
      <c r="L363" s="170"/>
    </row>
    <row r="364" spans="1:12" x14ac:dyDescent="0.2">
      <c r="A364" s="147">
        <v>2031</v>
      </c>
      <c r="B364" s="147">
        <v>3</v>
      </c>
      <c r="C364" s="147" t="str">
        <f t="shared" si="36"/>
        <v>20313</v>
      </c>
      <c r="D364" s="147" t="str">
        <f t="shared" si="38"/>
        <v>Q1</v>
      </c>
      <c r="E364" s="360">
        <f t="shared" si="39"/>
        <v>205835.74900000001</v>
      </c>
      <c r="F364" s="360">
        <f t="shared" si="39"/>
        <v>63011.686044511735</v>
      </c>
      <c r="G364" s="360">
        <f t="shared" si="39"/>
        <v>4989.29</v>
      </c>
      <c r="H364" s="360">
        <f t="shared" si="35"/>
        <v>1992.472</v>
      </c>
      <c r="L364" s="170"/>
    </row>
    <row r="365" spans="1:12" x14ac:dyDescent="0.2">
      <c r="A365" s="147">
        <v>2031</v>
      </c>
      <c r="B365" s="147">
        <v>4</v>
      </c>
      <c r="C365" s="147" t="str">
        <f t="shared" si="36"/>
        <v>20314</v>
      </c>
      <c r="D365" s="147" t="str">
        <f t="shared" si="38"/>
        <v>Q2</v>
      </c>
      <c r="E365" s="360">
        <f t="shared" si="39"/>
        <v>206821.26699999999</v>
      </c>
      <c r="F365" s="360">
        <f t="shared" si="39"/>
        <v>63354.072173494787</v>
      </c>
      <c r="G365" s="360">
        <f t="shared" si="39"/>
        <v>4996.4970000000003</v>
      </c>
      <c r="H365" s="360">
        <f t="shared" si="35"/>
        <v>1995.8920000000001</v>
      </c>
      <c r="L365" s="170"/>
    </row>
    <row r="366" spans="1:12" x14ac:dyDescent="0.2">
      <c r="A366" s="147">
        <v>2031</v>
      </c>
      <c r="B366" s="147">
        <v>5</v>
      </c>
      <c r="C366" s="147" t="str">
        <f t="shared" si="36"/>
        <v>20315</v>
      </c>
      <c r="D366" s="147" t="str">
        <f t="shared" si="38"/>
        <v>Q2</v>
      </c>
      <c r="E366" s="360">
        <f t="shared" si="39"/>
        <v>206821.26699999999</v>
      </c>
      <c r="F366" s="360">
        <f t="shared" si="39"/>
        <v>63354.072173494787</v>
      </c>
      <c r="G366" s="360">
        <f t="shared" si="39"/>
        <v>4996.4970000000003</v>
      </c>
      <c r="H366" s="360">
        <f t="shared" si="35"/>
        <v>1995.8920000000001</v>
      </c>
      <c r="L366" s="170"/>
    </row>
    <row r="367" spans="1:12" x14ac:dyDescent="0.2">
      <c r="A367" s="147">
        <v>2031</v>
      </c>
      <c r="B367" s="147">
        <v>6</v>
      </c>
      <c r="C367" s="147" t="str">
        <f t="shared" si="36"/>
        <v>20316</v>
      </c>
      <c r="D367" s="147" t="str">
        <f t="shared" si="38"/>
        <v>Q2</v>
      </c>
      <c r="E367" s="360">
        <f t="shared" si="39"/>
        <v>206821.26699999999</v>
      </c>
      <c r="F367" s="360">
        <f t="shared" si="39"/>
        <v>63354.072173494787</v>
      </c>
      <c r="G367" s="360">
        <f t="shared" si="39"/>
        <v>4996.4970000000003</v>
      </c>
      <c r="H367" s="360">
        <f t="shared" si="35"/>
        <v>1995.8920000000001</v>
      </c>
      <c r="L367" s="170"/>
    </row>
    <row r="368" spans="1:12" x14ac:dyDescent="0.2">
      <c r="A368" s="147">
        <v>2031</v>
      </c>
      <c r="B368" s="147">
        <v>7</v>
      </c>
      <c r="C368" s="147" t="str">
        <f t="shared" si="36"/>
        <v>20317</v>
      </c>
      <c r="D368" s="147" t="str">
        <f t="shared" si="38"/>
        <v>Q3</v>
      </c>
      <c r="E368" s="360">
        <f t="shared" si="39"/>
        <v>207691.48499999999</v>
      </c>
      <c r="F368" s="360">
        <f t="shared" si="39"/>
        <v>63686.068810866331</v>
      </c>
      <c r="G368" s="360">
        <f t="shared" si="39"/>
        <v>5003.6859999999997</v>
      </c>
      <c r="H368" s="360">
        <f t="shared" si="35"/>
        <v>1999.29</v>
      </c>
      <c r="L368" s="170"/>
    </row>
    <row r="369" spans="1:12" x14ac:dyDescent="0.2">
      <c r="A369" s="147">
        <v>2031</v>
      </c>
      <c r="B369" s="147">
        <v>8</v>
      </c>
      <c r="C369" s="147" t="str">
        <f t="shared" si="36"/>
        <v>20318</v>
      </c>
      <c r="D369" s="147" t="str">
        <f t="shared" si="38"/>
        <v>Q3</v>
      </c>
      <c r="E369" s="360">
        <f t="shared" si="39"/>
        <v>207691.48499999999</v>
      </c>
      <c r="F369" s="360">
        <f t="shared" si="39"/>
        <v>63686.068810866331</v>
      </c>
      <c r="G369" s="360">
        <f t="shared" si="39"/>
        <v>5003.6859999999997</v>
      </c>
      <c r="H369" s="360">
        <f t="shared" si="35"/>
        <v>1999.29</v>
      </c>
      <c r="L369" s="170"/>
    </row>
    <row r="370" spans="1:12" x14ac:dyDescent="0.2">
      <c r="A370" s="147">
        <v>2031</v>
      </c>
      <c r="B370" s="147">
        <v>9</v>
      </c>
      <c r="C370" s="147" t="str">
        <f t="shared" si="36"/>
        <v>20319</v>
      </c>
      <c r="D370" s="147" t="str">
        <f t="shared" si="38"/>
        <v>Q3</v>
      </c>
      <c r="E370" s="360">
        <f t="shared" si="39"/>
        <v>207691.48499999999</v>
      </c>
      <c r="F370" s="360">
        <f t="shared" si="39"/>
        <v>63686.068810866331</v>
      </c>
      <c r="G370" s="360">
        <f t="shared" si="39"/>
        <v>5003.6859999999997</v>
      </c>
      <c r="H370" s="360">
        <f t="shared" si="35"/>
        <v>1999.29</v>
      </c>
      <c r="L370" s="170"/>
    </row>
    <row r="371" spans="1:12" x14ac:dyDescent="0.2">
      <c r="A371" s="147">
        <v>2031</v>
      </c>
      <c r="B371" s="147">
        <v>10</v>
      </c>
      <c r="C371" s="147" t="str">
        <f t="shared" si="36"/>
        <v>203110</v>
      </c>
      <c r="D371" s="147" t="str">
        <f t="shared" si="38"/>
        <v>Q4</v>
      </c>
      <c r="E371" s="360">
        <f t="shared" si="39"/>
        <v>208506.54</v>
      </c>
      <c r="F371" s="360">
        <f t="shared" si="39"/>
        <v>63983.702106726494</v>
      </c>
      <c r="G371" s="360">
        <f t="shared" si="39"/>
        <v>5010.8329999999996</v>
      </c>
      <c r="H371" s="360">
        <f t="shared" si="35"/>
        <v>2002.6890000000001</v>
      </c>
      <c r="L371" s="170"/>
    </row>
    <row r="372" spans="1:12" x14ac:dyDescent="0.2">
      <c r="A372" s="147">
        <v>2031</v>
      </c>
      <c r="B372" s="147">
        <v>11</v>
      </c>
      <c r="C372" s="147" t="str">
        <f t="shared" si="36"/>
        <v>203111</v>
      </c>
      <c r="D372" s="147" t="str">
        <f t="shared" si="38"/>
        <v>Q4</v>
      </c>
      <c r="E372" s="360">
        <f t="shared" si="39"/>
        <v>208506.54</v>
      </c>
      <c r="F372" s="360">
        <f t="shared" si="39"/>
        <v>63983.702106726494</v>
      </c>
      <c r="G372" s="360">
        <f t="shared" si="39"/>
        <v>5010.8329999999996</v>
      </c>
      <c r="H372" s="360">
        <f t="shared" si="35"/>
        <v>2002.6890000000001</v>
      </c>
      <c r="L372" s="170"/>
    </row>
    <row r="373" spans="1:12" x14ac:dyDescent="0.2">
      <c r="A373" s="147">
        <v>2031</v>
      </c>
      <c r="B373" s="147">
        <v>12</v>
      </c>
      <c r="C373" s="147" t="str">
        <f t="shared" si="36"/>
        <v>203112</v>
      </c>
      <c r="D373" s="147" t="str">
        <f t="shared" si="38"/>
        <v>Q4</v>
      </c>
      <c r="E373" s="360">
        <f t="shared" si="39"/>
        <v>208506.54</v>
      </c>
      <c r="F373" s="360">
        <f t="shared" si="39"/>
        <v>63983.702106726494</v>
      </c>
      <c r="G373" s="360">
        <f t="shared" si="39"/>
        <v>5010.8329999999996</v>
      </c>
      <c r="H373" s="360">
        <f t="shared" si="35"/>
        <v>2002.6890000000001</v>
      </c>
      <c r="L373" s="170"/>
    </row>
    <row r="374" spans="1:12" x14ac:dyDescent="0.2">
      <c r="A374" s="147">
        <v>2032</v>
      </c>
      <c r="B374" s="147">
        <v>1</v>
      </c>
      <c r="C374" s="147" t="str">
        <f t="shared" si="36"/>
        <v>20321</v>
      </c>
      <c r="D374" s="147" t="str">
        <f t="shared" si="38"/>
        <v>Q1</v>
      </c>
      <c r="E374" s="360">
        <f t="shared" si="39"/>
        <v>210181.51699999999</v>
      </c>
      <c r="F374" s="360">
        <f t="shared" si="39"/>
        <v>64517.895684862429</v>
      </c>
      <c r="G374" s="360">
        <f t="shared" si="39"/>
        <v>5017.95</v>
      </c>
      <c r="H374" s="360">
        <f t="shared" si="35"/>
        <v>2006.07</v>
      </c>
      <c r="L374" s="170"/>
    </row>
    <row r="375" spans="1:12" x14ac:dyDescent="0.2">
      <c r="A375" s="147">
        <v>2032</v>
      </c>
      <c r="B375" s="147">
        <v>2</v>
      </c>
      <c r="C375" s="147" t="str">
        <f t="shared" si="36"/>
        <v>20322</v>
      </c>
      <c r="D375" s="147" t="str">
        <f t="shared" si="38"/>
        <v>Q1</v>
      </c>
      <c r="E375" s="360">
        <f t="shared" si="39"/>
        <v>210181.51699999999</v>
      </c>
      <c r="F375" s="360">
        <f t="shared" si="39"/>
        <v>64517.895684862429</v>
      </c>
      <c r="G375" s="360">
        <f t="shared" si="39"/>
        <v>5017.95</v>
      </c>
      <c r="H375" s="360">
        <f t="shared" si="35"/>
        <v>2006.07</v>
      </c>
      <c r="L375" s="170"/>
    </row>
    <row r="376" spans="1:12" x14ac:dyDescent="0.2">
      <c r="A376" s="147">
        <v>2032</v>
      </c>
      <c r="B376" s="147">
        <v>3</v>
      </c>
      <c r="C376" s="147" t="str">
        <f t="shared" si="36"/>
        <v>20323</v>
      </c>
      <c r="D376" s="147" t="str">
        <f t="shared" si="38"/>
        <v>Q1</v>
      </c>
      <c r="E376" s="360">
        <f t="shared" si="39"/>
        <v>210181.51699999999</v>
      </c>
      <c r="F376" s="360">
        <f t="shared" si="39"/>
        <v>64517.895684862429</v>
      </c>
      <c r="G376" s="360">
        <f t="shared" si="39"/>
        <v>5017.95</v>
      </c>
      <c r="H376" s="360">
        <f t="shared" si="35"/>
        <v>2006.07</v>
      </c>
      <c r="L376" s="170"/>
    </row>
    <row r="377" spans="1:12" x14ac:dyDescent="0.2">
      <c r="A377" s="147">
        <v>2032</v>
      </c>
      <c r="B377" s="147">
        <v>4</v>
      </c>
      <c r="C377" s="147" t="str">
        <f t="shared" si="36"/>
        <v>20324</v>
      </c>
      <c r="D377" s="147" t="str">
        <f t="shared" si="38"/>
        <v>Q2</v>
      </c>
      <c r="E377" s="360">
        <f t="shared" si="39"/>
        <v>211132.98300000001</v>
      </c>
      <c r="F377" s="360">
        <f t="shared" si="39"/>
        <v>64852.902436758101</v>
      </c>
      <c r="G377" s="360">
        <f t="shared" si="39"/>
        <v>5025.0370000000003</v>
      </c>
      <c r="H377" s="360">
        <f t="shared" si="35"/>
        <v>2009.4970000000001</v>
      </c>
      <c r="L377" s="170"/>
    </row>
    <row r="378" spans="1:12" x14ac:dyDescent="0.2">
      <c r="A378" s="147">
        <v>2032</v>
      </c>
      <c r="B378" s="147">
        <v>5</v>
      </c>
      <c r="C378" s="147" t="str">
        <f t="shared" si="36"/>
        <v>20325</v>
      </c>
      <c r="D378" s="147" t="str">
        <f t="shared" si="38"/>
        <v>Q2</v>
      </c>
      <c r="E378" s="360">
        <f t="shared" si="39"/>
        <v>211132.98300000001</v>
      </c>
      <c r="F378" s="360">
        <f t="shared" si="39"/>
        <v>64852.902436758101</v>
      </c>
      <c r="G378" s="360">
        <f t="shared" si="39"/>
        <v>5025.0370000000003</v>
      </c>
      <c r="H378" s="360">
        <f t="shared" si="35"/>
        <v>2009.4970000000001</v>
      </c>
      <c r="L378" s="170"/>
    </row>
    <row r="379" spans="1:12" x14ac:dyDescent="0.2">
      <c r="A379" s="147">
        <v>2032</v>
      </c>
      <c r="B379" s="147">
        <v>6</v>
      </c>
      <c r="C379" s="147" t="str">
        <f t="shared" si="36"/>
        <v>20326</v>
      </c>
      <c r="D379" s="147" t="str">
        <f t="shared" si="38"/>
        <v>Q2</v>
      </c>
      <c r="E379" s="360">
        <f t="shared" si="39"/>
        <v>211132.98300000001</v>
      </c>
      <c r="F379" s="360">
        <f t="shared" si="39"/>
        <v>64852.902436758101</v>
      </c>
      <c r="G379" s="360">
        <f t="shared" si="39"/>
        <v>5025.0370000000003</v>
      </c>
      <c r="H379" s="360">
        <f t="shared" si="35"/>
        <v>2009.4970000000001</v>
      </c>
      <c r="L379" s="170"/>
    </row>
    <row r="380" spans="1:12" x14ac:dyDescent="0.2">
      <c r="A380" s="147">
        <v>2032</v>
      </c>
      <c r="B380" s="147">
        <v>7</v>
      </c>
      <c r="C380" s="147" t="str">
        <f t="shared" si="36"/>
        <v>20327</v>
      </c>
      <c r="D380" s="147" t="str">
        <f t="shared" si="38"/>
        <v>Q3</v>
      </c>
      <c r="E380" s="360">
        <f t="shared" si="39"/>
        <v>211990.587</v>
      </c>
      <c r="F380" s="360">
        <f t="shared" si="39"/>
        <v>65092.663837385568</v>
      </c>
      <c r="G380" s="360">
        <f t="shared" si="39"/>
        <v>5032.0959999999995</v>
      </c>
      <c r="H380" s="360">
        <f t="shared" si="35"/>
        <v>2014.751</v>
      </c>
      <c r="L380" s="170"/>
    </row>
    <row r="381" spans="1:12" x14ac:dyDescent="0.2">
      <c r="A381" s="147">
        <v>2032</v>
      </c>
      <c r="B381" s="147">
        <v>8</v>
      </c>
      <c r="C381" s="147" t="str">
        <f t="shared" si="36"/>
        <v>20328</v>
      </c>
      <c r="D381" s="147" t="str">
        <f t="shared" si="38"/>
        <v>Q3</v>
      </c>
      <c r="E381" s="360">
        <f t="shared" si="39"/>
        <v>211990.587</v>
      </c>
      <c r="F381" s="360">
        <f t="shared" si="39"/>
        <v>65092.663837385568</v>
      </c>
      <c r="G381" s="360">
        <f t="shared" si="39"/>
        <v>5032.0959999999995</v>
      </c>
      <c r="H381" s="360">
        <f t="shared" si="35"/>
        <v>2014.751</v>
      </c>
      <c r="L381" s="170"/>
    </row>
    <row r="382" spans="1:12" x14ac:dyDescent="0.2">
      <c r="A382" s="147">
        <v>2032</v>
      </c>
      <c r="B382" s="147">
        <v>9</v>
      </c>
      <c r="C382" s="147" t="str">
        <f t="shared" si="36"/>
        <v>20329</v>
      </c>
      <c r="D382" s="147" t="str">
        <f t="shared" si="38"/>
        <v>Q3</v>
      </c>
      <c r="E382" s="360">
        <f t="shared" si="39"/>
        <v>211990.587</v>
      </c>
      <c r="F382" s="360">
        <f t="shared" si="39"/>
        <v>65092.663837385568</v>
      </c>
      <c r="G382" s="360">
        <f t="shared" si="39"/>
        <v>5032.0959999999995</v>
      </c>
      <c r="H382" s="360">
        <f t="shared" si="35"/>
        <v>2014.751</v>
      </c>
      <c r="L382" s="170"/>
    </row>
    <row r="383" spans="1:12" x14ac:dyDescent="0.2">
      <c r="A383" s="147">
        <v>2032</v>
      </c>
      <c r="B383" s="147">
        <v>10</v>
      </c>
      <c r="C383" s="147" t="str">
        <f t="shared" si="36"/>
        <v>203210</v>
      </c>
      <c r="D383" s="147" t="str">
        <f t="shared" si="38"/>
        <v>Q4</v>
      </c>
      <c r="E383" s="360">
        <f t="shared" si="39"/>
        <v>212819.59099999999</v>
      </c>
      <c r="F383" s="360">
        <f t="shared" si="39"/>
        <v>65379.712563198897</v>
      </c>
      <c r="G383" s="360">
        <f t="shared" si="39"/>
        <v>5039.1130000000003</v>
      </c>
      <c r="H383" s="360">
        <f t="shared" si="35"/>
        <v>2017.2260000000001</v>
      </c>
      <c r="L383" s="170"/>
    </row>
    <row r="384" spans="1:12" x14ac:dyDescent="0.2">
      <c r="A384" s="147">
        <v>2032</v>
      </c>
      <c r="B384" s="147">
        <v>11</v>
      </c>
      <c r="C384" s="147" t="str">
        <f t="shared" si="36"/>
        <v>203211</v>
      </c>
      <c r="D384" s="147" t="str">
        <f t="shared" si="38"/>
        <v>Q4</v>
      </c>
      <c r="E384" s="360">
        <f t="shared" si="39"/>
        <v>212819.59099999999</v>
      </c>
      <c r="F384" s="360">
        <f t="shared" si="39"/>
        <v>65379.712563198897</v>
      </c>
      <c r="G384" s="360">
        <f t="shared" si="39"/>
        <v>5039.1130000000003</v>
      </c>
      <c r="H384" s="360">
        <f t="shared" si="35"/>
        <v>2017.2260000000001</v>
      </c>
      <c r="L384" s="170"/>
    </row>
    <row r="385" spans="1:12" x14ac:dyDescent="0.2">
      <c r="A385" s="147">
        <v>2032</v>
      </c>
      <c r="B385" s="147">
        <v>12</v>
      </c>
      <c r="C385" s="147" t="str">
        <f t="shared" si="36"/>
        <v>203212</v>
      </c>
      <c r="D385" s="147" t="str">
        <f t="shared" si="38"/>
        <v>Q4</v>
      </c>
      <c r="E385" s="360">
        <f t="shared" si="39"/>
        <v>212819.59099999999</v>
      </c>
      <c r="F385" s="360">
        <f t="shared" si="39"/>
        <v>65379.712563198897</v>
      </c>
      <c r="G385" s="360">
        <f t="shared" si="39"/>
        <v>5039.1130000000003</v>
      </c>
      <c r="H385" s="360">
        <f t="shared" si="35"/>
        <v>2017.2260000000001</v>
      </c>
      <c r="L385" s="170"/>
    </row>
    <row r="386" spans="1:12" x14ac:dyDescent="0.2">
      <c r="A386" s="147">
        <v>2033</v>
      </c>
      <c r="B386" s="147">
        <v>1</v>
      </c>
      <c r="C386" s="147" t="str">
        <f t="shared" si="36"/>
        <v>20331</v>
      </c>
      <c r="D386" s="147" t="str">
        <f t="shared" si="38"/>
        <v>Q1</v>
      </c>
      <c r="E386" s="360">
        <f t="shared" si="39"/>
        <v>214486.36799999999</v>
      </c>
      <c r="F386" s="360">
        <f t="shared" si="39"/>
        <v>65915.343848067831</v>
      </c>
      <c r="G386" s="360">
        <f t="shared" si="39"/>
        <v>5046.1030000000001</v>
      </c>
      <c r="H386" s="360">
        <f t="shared" si="39"/>
        <v>2020.7070000000001</v>
      </c>
      <c r="L386" s="170"/>
    </row>
    <row r="387" spans="1:12" x14ac:dyDescent="0.2">
      <c r="A387" s="147">
        <v>2033</v>
      </c>
      <c r="B387" s="147">
        <v>2</v>
      </c>
      <c r="C387" s="147" t="str">
        <f t="shared" ref="C387:C450" si="40">A387&amp;B387</f>
        <v>20332</v>
      </c>
      <c r="D387" s="147" t="str">
        <f t="shared" si="38"/>
        <v>Q1</v>
      </c>
      <c r="E387" s="360">
        <f t="shared" ref="E387:H418" si="41">VLOOKUP($A387&amp;$D387,$N$1:$T$173,MATCH(E$1,$N$1:$T$1,0),0)</f>
        <v>214486.36799999999</v>
      </c>
      <c r="F387" s="360">
        <f t="shared" si="41"/>
        <v>65915.343848067831</v>
      </c>
      <c r="G387" s="360">
        <f t="shared" si="41"/>
        <v>5046.1030000000001</v>
      </c>
      <c r="H387" s="360">
        <f t="shared" si="41"/>
        <v>2020.7070000000001</v>
      </c>
      <c r="L387" s="170"/>
    </row>
    <row r="388" spans="1:12" x14ac:dyDescent="0.2">
      <c r="A388" s="147">
        <v>2033</v>
      </c>
      <c r="B388" s="147">
        <v>3</v>
      </c>
      <c r="C388" s="147" t="str">
        <f t="shared" si="40"/>
        <v>20333</v>
      </c>
      <c r="D388" s="147" t="str">
        <f t="shared" si="38"/>
        <v>Q1</v>
      </c>
      <c r="E388" s="360">
        <f t="shared" si="41"/>
        <v>214486.36799999999</v>
      </c>
      <c r="F388" s="360">
        <f t="shared" si="41"/>
        <v>65915.343848067831</v>
      </c>
      <c r="G388" s="360">
        <f t="shared" si="41"/>
        <v>5046.1030000000001</v>
      </c>
      <c r="H388" s="360">
        <f t="shared" si="41"/>
        <v>2020.7070000000001</v>
      </c>
      <c r="L388" s="170"/>
    </row>
    <row r="389" spans="1:12" x14ac:dyDescent="0.2">
      <c r="A389" s="147">
        <v>2033</v>
      </c>
      <c r="B389" s="147">
        <v>4</v>
      </c>
      <c r="C389" s="147" t="str">
        <f t="shared" si="40"/>
        <v>20334</v>
      </c>
      <c r="D389" s="147" t="str">
        <f t="shared" si="38"/>
        <v>Q2</v>
      </c>
      <c r="E389" s="360">
        <f t="shared" si="41"/>
        <v>215382.42600000001</v>
      </c>
      <c r="F389" s="360">
        <f t="shared" si="41"/>
        <v>66272.860998632343</v>
      </c>
      <c r="G389" s="360">
        <f t="shared" si="41"/>
        <v>5053.0649999999996</v>
      </c>
      <c r="H389" s="360">
        <f t="shared" si="41"/>
        <v>2024.18</v>
      </c>
      <c r="L389" s="170"/>
    </row>
    <row r="390" spans="1:12" x14ac:dyDescent="0.2">
      <c r="A390" s="147">
        <v>2033</v>
      </c>
      <c r="B390" s="147">
        <v>5</v>
      </c>
      <c r="C390" s="147" t="str">
        <f t="shared" si="40"/>
        <v>20335</v>
      </c>
      <c r="D390" s="147" t="str">
        <f t="shared" si="38"/>
        <v>Q2</v>
      </c>
      <c r="E390" s="360">
        <f t="shared" si="41"/>
        <v>215382.42600000001</v>
      </c>
      <c r="F390" s="360">
        <f t="shared" si="41"/>
        <v>66272.860998632343</v>
      </c>
      <c r="G390" s="360">
        <f t="shared" si="41"/>
        <v>5053.0649999999996</v>
      </c>
      <c r="H390" s="360">
        <f t="shared" si="41"/>
        <v>2024.18</v>
      </c>
      <c r="L390" s="170"/>
    </row>
    <row r="391" spans="1:12" x14ac:dyDescent="0.2">
      <c r="A391" s="147">
        <v>2033</v>
      </c>
      <c r="B391" s="147">
        <v>6</v>
      </c>
      <c r="C391" s="147" t="str">
        <f t="shared" si="40"/>
        <v>20336</v>
      </c>
      <c r="D391" s="147" t="str">
        <f t="shared" si="38"/>
        <v>Q2</v>
      </c>
      <c r="E391" s="360">
        <f t="shared" si="41"/>
        <v>215382.42600000001</v>
      </c>
      <c r="F391" s="360">
        <f t="shared" si="41"/>
        <v>66272.860998632343</v>
      </c>
      <c r="G391" s="360">
        <f t="shared" si="41"/>
        <v>5053.0649999999996</v>
      </c>
      <c r="H391" s="360">
        <f t="shared" si="41"/>
        <v>2024.18</v>
      </c>
      <c r="L391" s="170"/>
    </row>
    <row r="392" spans="1:12" x14ac:dyDescent="0.2">
      <c r="A392" s="147">
        <v>2033</v>
      </c>
      <c r="B392" s="147">
        <v>7</v>
      </c>
      <c r="C392" s="147" t="str">
        <f t="shared" si="40"/>
        <v>20337</v>
      </c>
      <c r="D392" s="147" t="str">
        <f t="shared" si="38"/>
        <v>Q3</v>
      </c>
      <c r="E392" s="360">
        <f t="shared" si="41"/>
        <v>216207.60200000001</v>
      </c>
      <c r="F392" s="360">
        <f t="shared" si="41"/>
        <v>66575.69117880259</v>
      </c>
      <c r="G392" s="360">
        <f t="shared" si="41"/>
        <v>5060</v>
      </c>
      <c r="H392" s="360">
        <f t="shared" si="41"/>
        <v>2027.626</v>
      </c>
      <c r="L392" s="170"/>
    </row>
    <row r="393" spans="1:12" x14ac:dyDescent="0.2">
      <c r="A393" s="147">
        <v>2033</v>
      </c>
      <c r="B393" s="147">
        <v>8</v>
      </c>
      <c r="C393" s="147" t="str">
        <f t="shared" si="40"/>
        <v>20338</v>
      </c>
      <c r="D393" s="147" t="str">
        <f t="shared" si="38"/>
        <v>Q3</v>
      </c>
      <c r="E393" s="360">
        <f t="shared" si="41"/>
        <v>216207.60200000001</v>
      </c>
      <c r="F393" s="360">
        <f t="shared" si="41"/>
        <v>66575.69117880259</v>
      </c>
      <c r="G393" s="360">
        <f t="shared" si="41"/>
        <v>5060</v>
      </c>
      <c r="H393" s="360">
        <f t="shared" si="41"/>
        <v>2027.626</v>
      </c>
      <c r="L393" s="170"/>
    </row>
    <row r="394" spans="1:12" x14ac:dyDescent="0.2">
      <c r="A394" s="147">
        <v>2033</v>
      </c>
      <c r="B394" s="147">
        <v>9</v>
      </c>
      <c r="C394" s="147" t="str">
        <f t="shared" si="40"/>
        <v>20339</v>
      </c>
      <c r="D394" s="147" t="str">
        <f t="shared" si="38"/>
        <v>Q3</v>
      </c>
      <c r="E394" s="360">
        <f t="shared" si="41"/>
        <v>216207.60200000001</v>
      </c>
      <c r="F394" s="360">
        <f t="shared" si="41"/>
        <v>66575.69117880259</v>
      </c>
      <c r="G394" s="360">
        <f t="shared" si="41"/>
        <v>5060</v>
      </c>
      <c r="H394" s="360">
        <f t="shared" si="41"/>
        <v>2027.626</v>
      </c>
      <c r="L394" s="170"/>
    </row>
    <row r="395" spans="1:12" x14ac:dyDescent="0.2">
      <c r="A395" s="147">
        <v>2033</v>
      </c>
      <c r="B395" s="147">
        <v>10</v>
      </c>
      <c r="C395" s="147" t="str">
        <f t="shared" si="40"/>
        <v>203310</v>
      </c>
      <c r="D395" s="147" t="str">
        <f t="shared" si="38"/>
        <v>Q4</v>
      </c>
      <c r="E395" s="360">
        <f t="shared" si="41"/>
        <v>217023.29399999999</v>
      </c>
      <c r="F395" s="360">
        <f t="shared" si="41"/>
        <v>66846.031778371878</v>
      </c>
      <c r="G395" s="360">
        <f t="shared" si="41"/>
        <v>5066.8959999999997</v>
      </c>
      <c r="H395" s="360">
        <f t="shared" si="41"/>
        <v>2031.1179999999999</v>
      </c>
      <c r="L395" s="170"/>
    </row>
    <row r="396" spans="1:12" x14ac:dyDescent="0.2">
      <c r="A396" s="147">
        <v>2033</v>
      </c>
      <c r="B396" s="147">
        <v>11</v>
      </c>
      <c r="C396" s="147" t="str">
        <f t="shared" si="40"/>
        <v>203311</v>
      </c>
      <c r="D396" s="147" t="str">
        <f t="shared" si="38"/>
        <v>Q4</v>
      </c>
      <c r="E396" s="360">
        <f t="shared" si="41"/>
        <v>217023.29399999999</v>
      </c>
      <c r="F396" s="360">
        <f t="shared" si="41"/>
        <v>66846.031778371878</v>
      </c>
      <c r="G396" s="360">
        <f t="shared" si="41"/>
        <v>5066.8959999999997</v>
      </c>
      <c r="H396" s="360">
        <f t="shared" si="41"/>
        <v>2031.1179999999999</v>
      </c>
      <c r="L396" s="170"/>
    </row>
    <row r="397" spans="1:12" x14ac:dyDescent="0.2">
      <c r="A397" s="147">
        <v>2033</v>
      </c>
      <c r="B397" s="147">
        <v>12</v>
      </c>
      <c r="C397" s="147" t="str">
        <f t="shared" si="40"/>
        <v>203312</v>
      </c>
      <c r="D397" s="147" t="str">
        <f t="shared" si="38"/>
        <v>Q4</v>
      </c>
      <c r="E397" s="360">
        <f t="shared" si="41"/>
        <v>217023.29399999999</v>
      </c>
      <c r="F397" s="360">
        <f t="shared" si="41"/>
        <v>66846.031778371878</v>
      </c>
      <c r="G397" s="360">
        <f t="shared" si="41"/>
        <v>5066.8959999999997</v>
      </c>
      <c r="H397" s="360">
        <f t="shared" si="41"/>
        <v>2031.1179999999999</v>
      </c>
      <c r="L397" s="170"/>
    </row>
    <row r="398" spans="1:12" x14ac:dyDescent="0.2">
      <c r="A398" s="147">
        <v>2034</v>
      </c>
      <c r="B398" s="147">
        <v>1</v>
      </c>
      <c r="C398" s="147" t="str">
        <f t="shared" si="40"/>
        <v>20341</v>
      </c>
      <c r="D398" s="147" t="str">
        <f t="shared" si="38"/>
        <v>Q1</v>
      </c>
      <c r="E398" s="360">
        <f t="shared" si="41"/>
        <v>218712.25599999999</v>
      </c>
      <c r="F398" s="360">
        <f t="shared" si="41"/>
        <v>67408.698459790423</v>
      </c>
      <c r="G398" s="360">
        <f t="shared" si="41"/>
        <v>5073.7650000000003</v>
      </c>
      <c r="H398" s="360">
        <f t="shared" si="41"/>
        <v>2034.5630000000001</v>
      </c>
      <c r="L398" s="170"/>
    </row>
    <row r="399" spans="1:12" x14ac:dyDescent="0.2">
      <c r="A399" s="147">
        <v>2034</v>
      </c>
      <c r="B399" s="147">
        <v>2</v>
      </c>
      <c r="C399" s="147" t="str">
        <f t="shared" si="40"/>
        <v>20342</v>
      </c>
      <c r="D399" s="147" t="str">
        <f t="shared" ref="D399:D462" si="42">D387</f>
        <v>Q1</v>
      </c>
      <c r="E399" s="360">
        <f t="shared" si="41"/>
        <v>218712.25599999999</v>
      </c>
      <c r="F399" s="360">
        <f t="shared" si="41"/>
        <v>67408.698459790423</v>
      </c>
      <c r="G399" s="360">
        <f t="shared" si="41"/>
        <v>5073.7650000000003</v>
      </c>
      <c r="H399" s="360">
        <f t="shared" si="41"/>
        <v>2034.5630000000001</v>
      </c>
      <c r="L399" s="170"/>
    </row>
    <row r="400" spans="1:12" x14ac:dyDescent="0.2">
      <c r="A400" s="147">
        <v>2034</v>
      </c>
      <c r="B400" s="147">
        <v>3</v>
      </c>
      <c r="C400" s="147" t="str">
        <f t="shared" si="40"/>
        <v>20343</v>
      </c>
      <c r="D400" s="147" t="str">
        <f t="shared" si="42"/>
        <v>Q1</v>
      </c>
      <c r="E400" s="360">
        <f t="shared" si="41"/>
        <v>218712.25599999999</v>
      </c>
      <c r="F400" s="360">
        <f t="shared" si="41"/>
        <v>67408.698459790423</v>
      </c>
      <c r="G400" s="360">
        <f t="shared" si="41"/>
        <v>5073.7650000000003</v>
      </c>
      <c r="H400" s="360">
        <f t="shared" si="41"/>
        <v>2034.5630000000001</v>
      </c>
      <c r="L400" s="170"/>
    </row>
    <row r="401" spans="1:12" x14ac:dyDescent="0.2">
      <c r="A401" s="147">
        <v>2034</v>
      </c>
      <c r="B401" s="147">
        <v>4</v>
      </c>
      <c r="C401" s="147" t="str">
        <f t="shared" si="40"/>
        <v>20344</v>
      </c>
      <c r="D401" s="147" t="str">
        <f t="shared" si="42"/>
        <v>Q2</v>
      </c>
      <c r="E401" s="360">
        <f t="shared" si="41"/>
        <v>219678.68900000001</v>
      </c>
      <c r="F401" s="360">
        <f t="shared" si="41"/>
        <v>67784.731090709829</v>
      </c>
      <c r="G401" s="360">
        <f t="shared" si="41"/>
        <v>5080.6090000000004</v>
      </c>
      <c r="H401" s="360">
        <f t="shared" si="41"/>
        <v>2038.0329999999999</v>
      </c>
      <c r="L401" s="170"/>
    </row>
    <row r="402" spans="1:12" x14ac:dyDescent="0.2">
      <c r="A402" s="147">
        <v>2034</v>
      </c>
      <c r="B402" s="147">
        <v>5</v>
      </c>
      <c r="C402" s="147" t="str">
        <f t="shared" si="40"/>
        <v>20345</v>
      </c>
      <c r="D402" s="147" t="str">
        <f t="shared" si="42"/>
        <v>Q2</v>
      </c>
      <c r="E402" s="360">
        <f t="shared" si="41"/>
        <v>219678.68900000001</v>
      </c>
      <c r="F402" s="360">
        <f t="shared" si="41"/>
        <v>67784.731090709829</v>
      </c>
      <c r="G402" s="360">
        <f t="shared" si="41"/>
        <v>5080.6090000000004</v>
      </c>
      <c r="H402" s="360">
        <f t="shared" si="41"/>
        <v>2038.0329999999999</v>
      </c>
      <c r="L402" s="170"/>
    </row>
    <row r="403" spans="1:12" x14ac:dyDescent="0.2">
      <c r="A403" s="147">
        <v>2034</v>
      </c>
      <c r="B403" s="147">
        <v>6</v>
      </c>
      <c r="C403" s="147" t="str">
        <f t="shared" si="40"/>
        <v>20346</v>
      </c>
      <c r="D403" s="147" t="str">
        <f t="shared" si="42"/>
        <v>Q2</v>
      </c>
      <c r="E403" s="360">
        <f t="shared" si="41"/>
        <v>219678.68900000001</v>
      </c>
      <c r="F403" s="360">
        <f t="shared" si="41"/>
        <v>67784.731090709829</v>
      </c>
      <c r="G403" s="360">
        <f t="shared" si="41"/>
        <v>5080.6090000000004</v>
      </c>
      <c r="H403" s="360">
        <f t="shared" si="41"/>
        <v>2038.0329999999999</v>
      </c>
      <c r="L403" s="170"/>
    </row>
    <row r="404" spans="1:12" x14ac:dyDescent="0.2">
      <c r="A404" s="147">
        <v>2034</v>
      </c>
      <c r="B404" s="147">
        <v>7</v>
      </c>
      <c r="C404" s="147" t="str">
        <f t="shared" si="40"/>
        <v>20347</v>
      </c>
      <c r="D404" s="147" t="str">
        <f t="shared" si="42"/>
        <v>Q3</v>
      </c>
      <c r="E404" s="360">
        <f t="shared" si="41"/>
        <v>220588.57</v>
      </c>
      <c r="F404" s="360">
        <f t="shared" si="41"/>
        <v>68112.672404732177</v>
      </c>
      <c r="G404" s="360">
        <f t="shared" si="41"/>
        <v>5087.4409999999998</v>
      </c>
      <c r="H404" s="360">
        <f t="shared" si="41"/>
        <v>2043.357</v>
      </c>
      <c r="L404" s="170"/>
    </row>
    <row r="405" spans="1:12" x14ac:dyDescent="0.2">
      <c r="A405" s="147">
        <v>2034</v>
      </c>
      <c r="B405" s="147">
        <v>8</v>
      </c>
      <c r="C405" s="147" t="str">
        <f t="shared" si="40"/>
        <v>20348</v>
      </c>
      <c r="D405" s="147" t="str">
        <f t="shared" si="42"/>
        <v>Q3</v>
      </c>
      <c r="E405" s="360">
        <f t="shared" si="41"/>
        <v>220588.57</v>
      </c>
      <c r="F405" s="360">
        <f t="shared" si="41"/>
        <v>68112.672404732177</v>
      </c>
      <c r="G405" s="360">
        <f t="shared" si="41"/>
        <v>5087.4409999999998</v>
      </c>
      <c r="H405" s="360">
        <f t="shared" si="41"/>
        <v>2043.357</v>
      </c>
      <c r="L405" s="170"/>
    </row>
    <row r="406" spans="1:12" x14ac:dyDescent="0.2">
      <c r="A406" s="147">
        <v>2034</v>
      </c>
      <c r="B406" s="147">
        <v>9</v>
      </c>
      <c r="C406" s="147" t="str">
        <f t="shared" si="40"/>
        <v>20349</v>
      </c>
      <c r="D406" s="147" t="str">
        <f t="shared" si="42"/>
        <v>Q3</v>
      </c>
      <c r="E406" s="360">
        <f t="shared" si="41"/>
        <v>220588.57</v>
      </c>
      <c r="F406" s="360">
        <f t="shared" si="41"/>
        <v>68112.672404732177</v>
      </c>
      <c r="G406" s="360">
        <f t="shared" si="41"/>
        <v>5087.4409999999998</v>
      </c>
      <c r="H406" s="360">
        <f t="shared" si="41"/>
        <v>2043.357</v>
      </c>
      <c r="L406" s="170"/>
    </row>
    <row r="407" spans="1:12" x14ac:dyDescent="0.2">
      <c r="A407" s="147">
        <v>2034</v>
      </c>
      <c r="B407" s="147">
        <v>10</v>
      </c>
      <c r="C407" s="147" t="str">
        <f t="shared" si="40"/>
        <v>203410</v>
      </c>
      <c r="D407" s="147" t="str">
        <f t="shared" si="42"/>
        <v>Q4</v>
      </c>
      <c r="E407" s="360">
        <f t="shared" si="41"/>
        <v>221480.42499999999</v>
      </c>
      <c r="F407" s="360">
        <f t="shared" si="41"/>
        <v>68426.110254572006</v>
      </c>
      <c r="G407" s="360">
        <f t="shared" si="41"/>
        <v>5094.2359999999999</v>
      </c>
      <c r="H407" s="360">
        <f t="shared" si="41"/>
        <v>2045.7919999999999</v>
      </c>
      <c r="L407" s="170"/>
    </row>
    <row r="408" spans="1:12" x14ac:dyDescent="0.2">
      <c r="A408" s="147">
        <v>2034</v>
      </c>
      <c r="B408" s="147">
        <v>11</v>
      </c>
      <c r="C408" s="147" t="str">
        <f t="shared" si="40"/>
        <v>203411</v>
      </c>
      <c r="D408" s="147" t="str">
        <f t="shared" si="42"/>
        <v>Q4</v>
      </c>
      <c r="E408" s="360">
        <f t="shared" si="41"/>
        <v>221480.42499999999</v>
      </c>
      <c r="F408" s="360">
        <f t="shared" si="41"/>
        <v>68426.110254572006</v>
      </c>
      <c r="G408" s="360">
        <f t="shared" si="41"/>
        <v>5094.2359999999999</v>
      </c>
      <c r="H408" s="360">
        <f t="shared" si="41"/>
        <v>2045.7919999999999</v>
      </c>
      <c r="L408" s="170"/>
    </row>
    <row r="409" spans="1:12" x14ac:dyDescent="0.2">
      <c r="A409" s="147">
        <v>2034</v>
      </c>
      <c r="B409" s="147">
        <v>12</v>
      </c>
      <c r="C409" s="147" t="str">
        <f t="shared" si="40"/>
        <v>203412</v>
      </c>
      <c r="D409" s="147" t="str">
        <f t="shared" si="42"/>
        <v>Q4</v>
      </c>
      <c r="E409" s="360">
        <f t="shared" si="41"/>
        <v>221480.42499999999</v>
      </c>
      <c r="F409" s="360">
        <f t="shared" si="41"/>
        <v>68426.110254572006</v>
      </c>
      <c r="G409" s="360">
        <f t="shared" si="41"/>
        <v>5094.2359999999999</v>
      </c>
      <c r="H409" s="360">
        <f t="shared" si="41"/>
        <v>2045.7919999999999</v>
      </c>
      <c r="L409" s="170"/>
    </row>
    <row r="410" spans="1:12" x14ac:dyDescent="0.2">
      <c r="A410" s="147">
        <v>2035</v>
      </c>
      <c r="B410" s="147">
        <v>1</v>
      </c>
      <c r="C410" s="147" t="str">
        <f t="shared" si="40"/>
        <v>20351</v>
      </c>
      <c r="D410" s="147" t="str">
        <f t="shared" si="42"/>
        <v>Q1</v>
      </c>
      <c r="E410" s="360">
        <f t="shared" si="41"/>
        <v>223274.90299999999</v>
      </c>
      <c r="F410" s="360">
        <f t="shared" si="41"/>
        <v>69089.969321900251</v>
      </c>
      <c r="G410" s="360">
        <f t="shared" si="41"/>
        <v>5101.0060000000003</v>
      </c>
      <c r="H410" s="360">
        <f t="shared" si="41"/>
        <v>2049.09</v>
      </c>
      <c r="L410" s="170"/>
    </row>
    <row r="411" spans="1:12" x14ac:dyDescent="0.2">
      <c r="A411" s="147">
        <v>2035</v>
      </c>
      <c r="B411" s="147">
        <v>2</v>
      </c>
      <c r="C411" s="147" t="str">
        <f t="shared" si="40"/>
        <v>20352</v>
      </c>
      <c r="D411" s="147" t="str">
        <f t="shared" si="42"/>
        <v>Q1</v>
      </c>
      <c r="E411" s="360">
        <f t="shared" si="41"/>
        <v>223274.90299999999</v>
      </c>
      <c r="F411" s="360">
        <f t="shared" si="41"/>
        <v>69089.969321900251</v>
      </c>
      <c r="G411" s="360">
        <f t="shared" si="41"/>
        <v>5101.0060000000003</v>
      </c>
      <c r="H411" s="360">
        <f t="shared" si="41"/>
        <v>2049.09</v>
      </c>
      <c r="L411" s="170"/>
    </row>
    <row r="412" spans="1:12" x14ac:dyDescent="0.2">
      <c r="A412" s="147">
        <v>2035</v>
      </c>
      <c r="B412" s="147">
        <v>3</v>
      </c>
      <c r="C412" s="147" t="str">
        <f t="shared" si="40"/>
        <v>20353</v>
      </c>
      <c r="D412" s="147" t="str">
        <f t="shared" si="42"/>
        <v>Q1</v>
      </c>
      <c r="E412" s="360">
        <f t="shared" si="41"/>
        <v>223274.90299999999</v>
      </c>
      <c r="F412" s="360">
        <f t="shared" si="41"/>
        <v>69089.969321900251</v>
      </c>
      <c r="G412" s="360">
        <f t="shared" si="41"/>
        <v>5101.0060000000003</v>
      </c>
      <c r="H412" s="360">
        <f t="shared" si="41"/>
        <v>2049.09</v>
      </c>
      <c r="L412" s="170"/>
    </row>
    <row r="413" spans="1:12" x14ac:dyDescent="0.2">
      <c r="A413" s="147">
        <v>2035</v>
      </c>
      <c r="B413" s="147">
        <v>4</v>
      </c>
      <c r="C413" s="147" t="str">
        <f t="shared" si="40"/>
        <v>20354</v>
      </c>
      <c r="D413" s="147" t="str">
        <f t="shared" si="42"/>
        <v>Q2</v>
      </c>
      <c r="E413" s="360">
        <f t="shared" si="41"/>
        <v>224274.87700000001</v>
      </c>
      <c r="F413" s="360">
        <f t="shared" si="41"/>
        <v>69470.238709459431</v>
      </c>
      <c r="G413" s="360">
        <f t="shared" si="41"/>
        <v>5107.7510000000002</v>
      </c>
      <c r="H413" s="360">
        <f t="shared" si="41"/>
        <v>2052.3820000000001</v>
      </c>
      <c r="L413" s="170"/>
    </row>
    <row r="414" spans="1:12" x14ac:dyDescent="0.2">
      <c r="A414" s="147">
        <v>2035</v>
      </c>
      <c r="B414" s="147">
        <v>5</v>
      </c>
      <c r="C414" s="147" t="str">
        <f t="shared" si="40"/>
        <v>20355</v>
      </c>
      <c r="D414" s="147" t="str">
        <f t="shared" si="42"/>
        <v>Q2</v>
      </c>
      <c r="E414" s="360">
        <f t="shared" si="41"/>
        <v>224274.87700000001</v>
      </c>
      <c r="F414" s="360">
        <f t="shared" si="41"/>
        <v>69470.238709459431</v>
      </c>
      <c r="G414" s="360">
        <f t="shared" si="41"/>
        <v>5107.7510000000002</v>
      </c>
      <c r="H414" s="360">
        <f t="shared" si="41"/>
        <v>2052.3820000000001</v>
      </c>
      <c r="L414" s="170"/>
    </row>
    <row r="415" spans="1:12" x14ac:dyDescent="0.2">
      <c r="A415" s="147">
        <v>2035</v>
      </c>
      <c r="B415" s="147">
        <v>6</v>
      </c>
      <c r="C415" s="147" t="str">
        <f t="shared" si="40"/>
        <v>20356</v>
      </c>
      <c r="D415" s="147" t="str">
        <f t="shared" si="42"/>
        <v>Q2</v>
      </c>
      <c r="E415" s="360">
        <f t="shared" si="41"/>
        <v>224274.87700000001</v>
      </c>
      <c r="F415" s="360">
        <f t="shared" si="41"/>
        <v>69470.238709459431</v>
      </c>
      <c r="G415" s="360">
        <f t="shared" si="41"/>
        <v>5107.7510000000002</v>
      </c>
      <c r="H415" s="360">
        <f t="shared" si="41"/>
        <v>2052.3820000000001</v>
      </c>
      <c r="L415" s="170"/>
    </row>
    <row r="416" spans="1:12" x14ac:dyDescent="0.2">
      <c r="A416" s="147">
        <v>2035</v>
      </c>
      <c r="B416" s="147">
        <v>7</v>
      </c>
      <c r="C416" s="147" t="str">
        <f t="shared" si="40"/>
        <v>20357</v>
      </c>
      <c r="D416" s="147" t="str">
        <f t="shared" si="42"/>
        <v>Q3</v>
      </c>
      <c r="E416" s="360">
        <f t="shared" si="41"/>
        <v>225199.902</v>
      </c>
      <c r="F416" s="360">
        <f t="shared" si="41"/>
        <v>69817.684773173722</v>
      </c>
      <c r="G416" s="360">
        <f t="shared" si="41"/>
        <v>5114.4719999999998</v>
      </c>
      <c r="H416" s="360">
        <f t="shared" si="41"/>
        <v>2055.6619999999998</v>
      </c>
      <c r="L416" s="170"/>
    </row>
    <row r="417" spans="1:12" x14ac:dyDescent="0.2">
      <c r="A417" s="147">
        <v>2035</v>
      </c>
      <c r="B417" s="147">
        <v>8</v>
      </c>
      <c r="C417" s="147" t="str">
        <f t="shared" si="40"/>
        <v>20358</v>
      </c>
      <c r="D417" s="147" t="str">
        <f t="shared" si="42"/>
        <v>Q3</v>
      </c>
      <c r="E417" s="360">
        <f t="shared" si="41"/>
        <v>225199.902</v>
      </c>
      <c r="F417" s="360">
        <f t="shared" si="41"/>
        <v>69817.684773173722</v>
      </c>
      <c r="G417" s="360">
        <f t="shared" si="41"/>
        <v>5114.4719999999998</v>
      </c>
      <c r="H417" s="360">
        <f t="shared" si="41"/>
        <v>2055.6619999999998</v>
      </c>
      <c r="L417" s="170"/>
    </row>
    <row r="418" spans="1:12" x14ac:dyDescent="0.2">
      <c r="A418" s="147">
        <v>2035</v>
      </c>
      <c r="B418" s="147">
        <v>9</v>
      </c>
      <c r="C418" s="147" t="str">
        <f t="shared" si="40"/>
        <v>20359</v>
      </c>
      <c r="D418" s="147" t="str">
        <f t="shared" si="42"/>
        <v>Q3</v>
      </c>
      <c r="E418" s="360">
        <f t="shared" si="41"/>
        <v>225199.902</v>
      </c>
      <c r="F418" s="360">
        <f t="shared" si="41"/>
        <v>69817.684773173722</v>
      </c>
      <c r="G418" s="360">
        <f t="shared" si="41"/>
        <v>5114.4719999999998</v>
      </c>
      <c r="H418" s="360">
        <f t="shared" si="41"/>
        <v>2055.6619999999998</v>
      </c>
      <c r="L418" s="170"/>
    </row>
    <row r="419" spans="1:12" x14ac:dyDescent="0.2">
      <c r="A419" s="147">
        <v>2035</v>
      </c>
      <c r="B419" s="147">
        <v>10</v>
      </c>
      <c r="C419" s="147" t="str">
        <f t="shared" si="40"/>
        <v>203510</v>
      </c>
      <c r="D419" s="147" t="str">
        <f t="shared" si="42"/>
        <v>Q4</v>
      </c>
      <c r="E419" s="360">
        <f t="shared" ref="E419:H450" si="43">VLOOKUP($A419&amp;$D419,$N$1:$T$173,MATCH(E$1,$N$1:$T$1,0),0)</f>
        <v>226081.57399999999</v>
      </c>
      <c r="F419" s="360">
        <f t="shared" si="43"/>
        <v>70167.400418664678</v>
      </c>
      <c r="G419" s="360">
        <f t="shared" si="43"/>
        <v>5121.1570000000002</v>
      </c>
      <c r="H419" s="360">
        <f t="shared" si="43"/>
        <v>2058.951</v>
      </c>
      <c r="L419" s="170"/>
    </row>
    <row r="420" spans="1:12" x14ac:dyDescent="0.2">
      <c r="A420" s="147">
        <v>2035</v>
      </c>
      <c r="B420" s="147">
        <v>11</v>
      </c>
      <c r="C420" s="147" t="str">
        <f t="shared" si="40"/>
        <v>203511</v>
      </c>
      <c r="D420" s="147" t="str">
        <f t="shared" si="42"/>
        <v>Q4</v>
      </c>
      <c r="E420" s="360">
        <f t="shared" si="43"/>
        <v>226081.57399999999</v>
      </c>
      <c r="F420" s="360">
        <f t="shared" si="43"/>
        <v>70167.400418664678</v>
      </c>
      <c r="G420" s="360">
        <f t="shared" si="43"/>
        <v>5121.1570000000002</v>
      </c>
      <c r="H420" s="360">
        <f t="shared" si="43"/>
        <v>2058.951</v>
      </c>
      <c r="L420" s="170"/>
    </row>
    <row r="421" spans="1:12" x14ac:dyDescent="0.2">
      <c r="A421" s="147">
        <v>2035</v>
      </c>
      <c r="B421" s="147">
        <v>12</v>
      </c>
      <c r="C421" s="147" t="str">
        <f t="shared" si="40"/>
        <v>203512</v>
      </c>
      <c r="D421" s="147" t="str">
        <f t="shared" si="42"/>
        <v>Q4</v>
      </c>
      <c r="E421" s="360">
        <f t="shared" si="43"/>
        <v>226081.57399999999</v>
      </c>
      <c r="F421" s="360">
        <f t="shared" si="43"/>
        <v>70167.400418664678</v>
      </c>
      <c r="G421" s="360">
        <f t="shared" si="43"/>
        <v>5121.1570000000002</v>
      </c>
      <c r="H421" s="360">
        <f t="shared" si="43"/>
        <v>2058.951</v>
      </c>
      <c r="L421" s="170"/>
    </row>
    <row r="422" spans="1:12" x14ac:dyDescent="0.2">
      <c r="A422" s="147">
        <v>2036</v>
      </c>
      <c r="B422" s="147">
        <v>1</v>
      </c>
      <c r="C422" s="147" t="str">
        <f t="shared" si="40"/>
        <v>20361</v>
      </c>
      <c r="D422" s="147" t="str">
        <f t="shared" si="42"/>
        <v>Q1</v>
      </c>
      <c r="E422" s="360">
        <f t="shared" si="43"/>
        <v>227897.829</v>
      </c>
      <c r="F422" s="360">
        <f t="shared" si="43"/>
        <v>70857.293052576584</v>
      </c>
      <c r="G422" s="360">
        <f t="shared" si="43"/>
        <v>5127.8339999999998</v>
      </c>
      <c r="H422" s="360">
        <f t="shared" si="43"/>
        <v>2062.277</v>
      </c>
      <c r="L422" s="170"/>
    </row>
    <row r="423" spans="1:12" x14ac:dyDescent="0.2">
      <c r="A423" s="147">
        <v>2036</v>
      </c>
      <c r="B423" s="147">
        <v>2</v>
      </c>
      <c r="C423" s="147" t="str">
        <f t="shared" si="40"/>
        <v>20362</v>
      </c>
      <c r="D423" s="147" t="str">
        <f t="shared" si="42"/>
        <v>Q1</v>
      </c>
      <c r="E423" s="360">
        <f t="shared" si="43"/>
        <v>227897.829</v>
      </c>
      <c r="F423" s="360">
        <f t="shared" si="43"/>
        <v>70857.293052576584</v>
      </c>
      <c r="G423" s="360">
        <f t="shared" si="43"/>
        <v>5127.8339999999998</v>
      </c>
      <c r="H423" s="360">
        <f t="shared" si="43"/>
        <v>2062.277</v>
      </c>
      <c r="L423" s="170"/>
    </row>
    <row r="424" spans="1:12" x14ac:dyDescent="0.2">
      <c r="A424" s="147">
        <v>2036</v>
      </c>
      <c r="B424" s="147">
        <v>3</v>
      </c>
      <c r="C424" s="147" t="str">
        <f t="shared" si="40"/>
        <v>20363</v>
      </c>
      <c r="D424" s="147" t="str">
        <f t="shared" si="42"/>
        <v>Q1</v>
      </c>
      <c r="E424" s="360">
        <f t="shared" si="43"/>
        <v>227897.829</v>
      </c>
      <c r="F424" s="360">
        <f t="shared" si="43"/>
        <v>70857.293052576584</v>
      </c>
      <c r="G424" s="360">
        <f t="shared" si="43"/>
        <v>5127.8339999999998</v>
      </c>
      <c r="H424" s="360">
        <f t="shared" si="43"/>
        <v>2062.277</v>
      </c>
      <c r="L424" s="170"/>
    </row>
    <row r="425" spans="1:12" x14ac:dyDescent="0.2">
      <c r="A425" s="147">
        <v>2036</v>
      </c>
      <c r="B425" s="147">
        <v>4</v>
      </c>
      <c r="C425" s="147" t="str">
        <f t="shared" si="40"/>
        <v>20364</v>
      </c>
      <c r="D425" s="147" t="str">
        <f t="shared" si="42"/>
        <v>Q2</v>
      </c>
      <c r="E425" s="360">
        <f t="shared" si="43"/>
        <v>228888.74400000001</v>
      </c>
      <c r="F425" s="360">
        <f t="shared" si="43"/>
        <v>71135.634899548866</v>
      </c>
      <c r="G425" s="360">
        <f t="shared" si="43"/>
        <v>5134.5159999999996</v>
      </c>
      <c r="H425" s="360">
        <f t="shared" si="43"/>
        <v>2065.558</v>
      </c>
      <c r="L425" s="170"/>
    </row>
    <row r="426" spans="1:12" x14ac:dyDescent="0.2">
      <c r="A426" s="147">
        <v>2036</v>
      </c>
      <c r="B426" s="147">
        <v>5</v>
      </c>
      <c r="C426" s="147" t="str">
        <f t="shared" si="40"/>
        <v>20365</v>
      </c>
      <c r="D426" s="147" t="str">
        <f t="shared" si="42"/>
        <v>Q2</v>
      </c>
      <c r="E426" s="360">
        <f t="shared" si="43"/>
        <v>228888.74400000001</v>
      </c>
      <c r="F426" s="360">
        <f t="shared" si="43"/>
        <v>71135.634899548866</v>
      </c>
      <c r="G426" s="360">
        <f t="shared" si="43"/>
        <v>5134.5159999999996</v>
      </c>
      <c r="H426" s="360">
        <f t="shared" si="43"/>
        <v>2065.558</v>
      </c>
      <c r="L426" s="170"/>
    </row>
    <row r="427" spans="1:12" x14ac:dyDescent="0.2">
      <c r="A427" s="147">
        <v>2036</v>
      </c>
      <c r="B427" s="147">
        <v>6</v>
      </c>
      <c r="C427" s="147" t="str">
        <f t="shared" si="40"/>
        <v>20366</v>
      </c>
      <c r="D427" s="147" t="str">
        <f t="shared" si="42"/>
        <v>Q2</v>
      </c>
      <c r="E427" s="360">
        <f t="shared" si="43"/>
        <v>228888.74400000001</v>
      </c>
      <c r="F427" s="360">
        <f t="shared" si="43"/>
        <v>71135.634899548866</v>
      </c>
      <c r="G427" s="360">
        <f t="shared" si="43"/>
        <v>5134.5159999999996</v>
      </c>
      <c r="H427" s="360">
        <f t="shared" si="43"/>
        <v>2065.558</v>
      </c>
      <c r="L427" s="170"/>
    </row>
    <row r="428" spans="1:12" x14ac:dyDescent="0.2">
      <c r="A428" s="147">
        <v>2036</v>
      </c>
      <c r="B428" s="147">
        <v>7</v>
      </c>
      <c r="C428" s="147" t="str">
        <f t="shared" si="40"/>
        <v>20367</v>
      </c>
      <c r="D428" s="147" t="str">
        <f t="shared" si="42"/>
        <v>Q3</v>
      </c>
      <c r="E428" s="360">
        <f t="shared" si="43"/>
        <v>229812.7</v>
      </c>
      <c r="F428" s="360">
        <f t="shared" si="43"/>
        <v>71458.151592626236</v>
      </c>
      <c r="G428" s="360">
        <f t="shared" si="43"/>
        <v>5141.1930000000002</v>
      </c>
      <c r="H428" s="360">
        <f t="shared" si="43"/>
        <v>2068.8319999999999</v>
      </c>
      <c r="L428" s="170"/>
    </row>
    <row r="429" spans="1:12" x14ac:dyDescent="0.2">
      <c r="A429" s="147">
        <v>2036</v>
      </c>
      <c r="B429" s="147">
        <v>8</v>
      </c>
      <c r="C429" s="147" t="str">
        <f t="shared" si="40"/>
        <v>20368</v>
      </c>
      <c r="D429" s="147" t="str">
        <f t="shared" si="42"/>
        <v>Q3</v>
      </c>
      <c r="E429" s="360">
        <f t="shared" si="43"/>
        <v>229812.7</v>
      </c>
      <c r="F429" s="360">
        <f t="shared" si="43"/>
        <v>71458.151592626236</v>
      </c>
      <c r="G429" s="360">
        <f t="shared" si="43"/>
        <v>5141.1930000000002</v>
      </c>
      <c r="H429" s="360">
        <f t="shared" si="43"/>
        <v>2068.8319999999999</v>
      </c>
      <c r="L429" s="170"/>
    </row>
    <row r="430" spans="1:12" x14ac:dyDescent="0.2">
      <c r="A430" s="147">
        <v>2036</v>
      </c>
      <c r="B430" s="147">
        <v>9</v>
      </c>
      <c r="C430" s="147" t="str">
        <f t="shared" si="40"/>
        <v>20369</v>
      </c>
      <c r="D430" s="147" t="str">
        <f t="shared" si="42"/>
        <v>Q3</v>
      </c>
      <c r="E430" s="360">
        <f t="shared" si="43"/>
        <v>229812.7</v>
      </c>
      <c r="F430" s="360">
        <f t="shared" si="43"/>
        <v>71458.151592626236</v>
      </c>
      <c r="G430" s="360">
        <f t="shared" si="43"/>
        <v>5141.1930000000002</v>
      </c>
      <c r="H430" s="360">
        <f t="shared" si="43"/>
        <v>2068.8319999999999</v>
      </c>
      <c r="L430" s="170"/>
    </row>
    <row r="431" spans="1:12" x14ac:dyDescent="0.2">
      <c r="A431" s="147">
        <v>2036</v>
      </c>
      <c r="B431" s="147">
        <v>10</v>
      </c>
      <c r="C431" s="147" t="str">
        <f t="shared" si="40"/>
        <v>203610</v>
      </c>
      <c r="D431" s="147" t="str">
        <f t="shared" si="42"/>
        <v>Q4</v>
      </c>
      <c r="E431" s="360">
        <f t="shared" si="43"/>
        <v>230688.69399999999</v>
      </c>
      <c r="F431" s="360">
        <f t="shared" si="43"/>
        <v>71824.680357699355</v>
      </c>
      <c r="G431" s="360">
        <f t="shared" si="43"/>
        <v>5147.8509999999997</v>
      </c>
      <c r="H431" s="360">
        <f t="shared" si="43"/>
        <v>2072.0839999999998</v>
      </c>
      <c r="L431" s="170"/>
    </row>
    <row r="432" spans="1:12" x14ac:dyDescent="0.2">
      <c r="A432" s="147">
        <v>2036</v>
      </c>
      <c r="B432" s="147">
        <v>11</v>
      </c>
      <c r="C432" s="147" t="str">
        <f t="shared" si="40"/>
        <v>203611</v>
      </c>
      <c r="D432" s="147" t="str">
        <f t="shared" si="42"/>
        <v>Q4</v>
      </c>
      <c r="E432" s="360">
        <f t="shared" si="43"/>
        <v>230688.69399999999</v>
      </c>
      <c r="F432" s="360">
        <f t="shared" si="43"/>
        <v>71824.680357699355</v>
      </c>
      <c r="G432" s="360">
        <f t="shared" si="43"/>
        <v>5147.8509999999997</v>
      </c>
      <c r="H432" s="360">
        <f t="shared" si="43"/>
        <v>2072.0839999999998</v>
      </c>
      <c r="L432" s="170"/>
    </row>
    <row r="433" spans="1:12" x14ac:dyDescent="0.2">
      <c r="A433" s="147">
        <v>2036</v>
      </c>
      <c r="B433" s="147">
        <v>12</v>
      </c>
      <c r="C433" s="147" t="str">
        <f t="shared" si="40"/>
        <v>203612</v>
      </c>
      <c r="D433" s="147" t="str">
        <f t="shared" si="42"/>
        <v>Q4</v>
      </c>
      <c r="E433" s="360">
        <f t="shared" si="43"/>
        <v>230688.69399999999</v>
      </c>
      <c r="F433" s="360">
        <f t="shared" si="43"/>
        <v>71824.680357699355</v>
      </c>
      <c r="G433" s="360">
        <f t="shared" si="43"/>
        <v>5147.8509999999997</v>
      </c>
      <c r="H433" s="360">
        <f t="shared" si="43"/>
        <v>2072.0839999999998</v>
      </c>
      <c r="L433" s="170"/>
    </row>
    <row r="434" spans="1:12" x14ac:dyDescent="0.2">
      <c r="A434" s="147">
        <v>2037</v>
      </c>
      <c r="B434" s="147">
        <v>1</v>
      </c>
      <c r="C434" s="147" t="str">
        <f t="shared" si="40"/>
        <v>20371</v>
      </c>
      <c r="D434" s="147" t="str">
        <f t="shared" si="42"/>
        <v>Q1</v>
      </c>
      <c r="E434" s="360">
        <f t="shared" si="43"/>
        <v>232435.19899999999</v>
      </c>
      <c r="F434" s="360">
        <f t="shared" si="43"/>
        <v>72447.763150773302</v>
      </c>
      <c r="G434" s="360">
        <f t="shared" si="43"/>
        <v>5154.5029999999997</v>
      </c>
      <c r="H434" s="360">
        <f t="shared" si="43"/>
        <v>2076.9920000000002</v>
      </c>
      <c r="L434" s="170"/>
    </row>
    <row r="435" spans="1:12" x14ac:dyDescent="0.2">
      <c r="A435" s="147">
        <v>2037</v>
      </c>
      <c r="B435" s="147">
        <v>2</v>
      </c>
      <c r="C435" s="147" t="str">
        <f t="shared" si="40"/>
        <v>20372</v>
      </c>
      <c r="D435" s="147" t="str">
        <f t="shared" si="42"/>
        <v>Q1</v>
      </c>
      <c r="E435" s="360">
        <f t="shared" si="43"/>
        <v>232435.19899999999</v>
      </c>
      <c r="F435" s="360">
        <f t="shared" si="43"/>
        <v>72447.763150773302</v>
      </c>
      <c r="G435" s="360">
        <f t="shared" si="43"/>
        <v>5154.5029999999997</v>
      </c>
      <c r="H435" s="360">
        <f t="shared" si="43"/>
        <v>2076.9920000000002</v>
      </c>
      <c r="L435" s="170"/>
    </row>
    <row r="436" spans="1:12" x14ac:dyDescent="0.2">
      <c r="A436" s="147">
        <v>2037</v>
      </c>
      <c r="B436" s="147">
        <v>3</v>
      </c>
      <c r="C436" s="147" t="str">
        <f t="shared" si="40"/>
        <v>20373</v>
      </c>
      <c r="D436" s="147" t="str">
        <f t="shared" si="42"/>
        <v>Q1</v>
      </c>
      <c r="E436" s="360">
        <f t="shared" si="43"/>
        <v>232435.19899999999</v>
      </c>
      <c r="F436" s="360">
        <f t="shared" si="43"/>
        <v>72447.763150773302</v>
      </c>
      <c r="G436" s="360">
        <f t="shared" si="43"/>
        <v>5154.5029999999997</v>
      </c>
      <c r="H436" s="360">
        <f t="shared" si="43"/>
        <v>2076.9920000000002</v>
      </c>
      <c r="L436" s="170"/>
    </row>
    <row r="437" spans="1:12" x14ac:dyDescent="0.2">
      <c r="A437" s="147">
        <v>2037</v>
      </c>
      <c r="B437" s="147">
        <v>4</v>
      </c>
      <c r="C437" s="147" t="str">
        <f t="shared" si="40"/>
        <v>20374</v>
      </c>
      <c r="D437" s="147" t="str">
        <f t="shared" si="42"/>
        <v>Q2</v>
      </c>
      <c r="E437" s="360">
        <f t="shared" si="43"/>
        <v>233443.413</v>
      </c>
      <c r="F437" s="360">
        <f t="shared" si="43"/>
        <v>72741.245498345263</v>
      </c>
      <c r="G437" s="360">
        <f t="shared" si="43"/>
        <v>5161.152</v>
      </c>
      <c r="H437" s="360">
        <f t="shared" si="43"/>
        <v>2079.442</v>
      </c>
      <c r="L437" s="170"/>
    </row>
    <row r="438" spans="1:12" x14ac:dyDescent="0.2">
      <c r="A438" s="147">
        <v>2037</v>
      </c>
      <c r="B438" s="147">
        <v>5</v>
      </c>
      <c r="C438" s="147" t="str">
        <f t="shared" si="40"/>
        <v>20375</v>
      </c>
      <c r="D438" s="147" t="str">
        <f t="shared" si="42"/>
        <v>Q2</v>
      </c>
      <c r="E438" s="360">
        <f t="shared" si="43"/>
        <v>233443.413</v>
      </c>
      <c r="F438" s="360">
        <f t="shared" si="43"/>
        <v>72741.245498345263</v>
      </c>
      <c r="G438" s="360">
        <f t="shared" si="43"/>
        <v>5161.152</v>
      </c>
      <c r="H438" s="360">
        <f t="shared" si="43"/>
        <v>2079.442</v>
      </c>
      <c r="L438" s="170"/>
    </row>
    <row r="439" spans="1:12" x14ac:dyDescent="0.2">
      <c r="A439" s="147">
        <v>2037</v>
      </c>
      <c r="B439" s="147">
        <v>6</v>
      </c>
      <c r="C439" s="147" t="str">
        <f t="shared" si="40"/>
        <v>20376</v>
      </c>
      <c r="D439" s="147" t="str">
        <f t="shared" si="42"/>
        <v>Q2</v>
      </c>
      <c r="E439" s="360">
        <f t="shared" si="43"/>
        <v>233443.413</v>
      </c>
      <c r="F439" s="360">
        <f t="shared" si="43"/>
        <v>72741.245498345263</v>
      </c>
      <c r="G439" s="360">
        <f t="shared" si="43"/>
        <v>5161.152</v>
      </c>
      <c r="H439" s="360">
        <f t="shared" si="43"/>
        <v>2079.442</v>
      </c>
      <c r="L439" s="170"/>
    </row>
    <row r="440" spans="1:12" x14ac:dyDescent="0.2">
      <c r="A440" s="147">
        <v>2037</v>
      </c>
      <c r="B440" s="147">
        <v>7</v>
      </c>
      <c r="C440" s="147" t="str">
        <f t="shared" si="40"/>
        <v>20377</v>
      </c>
      <c r="D440" s="147" t="str">
        <f t="shared" si="42"/>
        <v>Q3</v>
      </c>
      <c r="E440" s="360">
        <f t="shared" si="43"/>
        <v>234353.842</v>
      </c>
      <c r="F440" s="360">
        <f t="shared" si="43"/>
        <v>73102.722593319864</v>
      </c>
      <c r="G440" s="360">
        <f t="shared" si="43"/>
        <v>5167.8109999999997</v>
      </c>
      <c r="H440" s="360">
        <f t="shared" si="43"/>
        <v>2082.4160000000002</v>
      </c>
      <c r="L440" s="170"/>
    </row>
    <row r="441" spans="1:12" x14ac:dyDescent="0.2">
      <c r="A441" s="147">
        <v>2037</v>
      </c>
      <c r="B441" s="147">
        <v>8</v>
      </c>
      <c r="C441" s="147" t="str">
        <f t="shared" si="40"/>
        <v>20378</v>
      </c>
      <c r="D441" s="147" t="str">
        <f t="shared" si="42"/>
        <v>Q3</v>
      </c>
      <c r="E441" s="360">
        <f t="shared" si="43"/>
        <v>234353.842</v>
      </c>
      <c r="F441" s="360">
        <f t="shared" si="43"/>
        <v>73102.722593319864</v>
      </c>
      <c r="G441" s="360">
        <f t="shared" si="43"/>
        <v>5167.8109999999997</v>
      </c>
      <c r="H441" s="360">
        <f t="shared" si="43"/>
        <v>2082.4160000000002</v>
      </c>
      <c r="L441" s="170"/>
    </row>
    <row r="442" spans="1:12" x14ac:dyDescent="0.2">
      <c r="A442" s="147">
        <v>2037</v>
      </c>
      <c r="B442" s="147">
        <v>9</v>
      </c>
      <c r="C442" s="147" t="str">
        <f t="shared" si="40"/>
        <v>20379</v>
      </c>
      <c r="D442" s="147" t="str">
        <f t="shared" si="42"/>
        <v>Q3</v>
      </c>
      <c r="E442" s="360">
        <f t="shared" si="43"/>
        <v>234353.842</v>
      </c>
      <c r="F442" s="360">
        <f t="shared" si="43"/>
        <v>73102.722593319864</v>
      </c>
      <c r="G442" s="360">
        <f t="shared" si="43"/>
        <v>5167.8109999999997</v>
      </c>
      <c r="H442" s="360">
        <f t="shared" si="43"/>
        <v>2082.4160000000002</v>
      </c>
      <c r="L442" s="170"/>
    </row>
    <row r="443" spans="1:12" x14ac:dyDescent="0.2">
      <c r="A443" s="147">
        <v>2037</v>
      </c>
      <c r="B443" s="147">
        <v>10</v>
      </c>
      <c r="C443" s="147" t="str">
        <f t="shared" si="40"/>
        <v>203710</v>
      </c>
      <c r="D443" s="147" t="str">
        <f t="shared" si="42"/>
        <v>Q4</v>
      </c>
      <c r="E443" s="360">
        <f t="shared" si="43"/>
        <v>235229.45199999999</v>
      </c>
      <c r="F443" s="360">
        <f t="shared" si="43"/>
        <v>73402.360419798119</v>
      </c>
      <c r="G443" s="360">
        <f t="shared" si="43"/>
        <v>5174.4539999999997</v>
      </c>
      <c r="H443" s="360">
        <f t="shared" si="43"/>
        <v>2085.3620000000001</v>
      </c>
      <c r="L443" s="170"/>
    </row>
    <row r="444" spans="1:12" x14ac:dyDescent="0.2">
      <c r="A444" s="147">
        <v>2037</v>
      </c>
      <c r="B444" s="147">
        <v>11</v>
      </c>
      <c r="C444" s="147" t="str">
        <f t="shared" si="40"/>
        <v>203711</v>
      </c>
      <c r="D444" s="147" t="str">
        <f t="shared" si="42"/>
        <v>Q4</v>
      </c>
      <c r="E444" s="360">
        <f t="shared" si="43"/>
        <v>235229.45199999999</v>
      </c>
      <c r="F444" s="360">
        <f t="shared" si="43"/>
        <v>73402.360419798119</v>
      </c>
      <c r="G444" s="360">
        <f t="shared" si="43"/>
        <v>5174.4539999999997</v>
      </c>
      <c r="H444" s="360">
        <f t="shared" si="43"/>
        <v>2085.3620000000001</v>
      </c>
      <c r="L444" s="170"/>
    </row>
    <row r="445" spans="1:12" x14ac:dyDescent="0.2">
      <c r="A445" s="147">
        <v>2037</v>
      </c>
      <c r="B445" s="147">
        <v>12</v>
      </c>
      <c r="C445" s="147" t="str">
        <f t="shared" si="40"/>
        <v>203712</v>
      </c>
      <c r="D445" s="147" t="str">
        <f t="shared" si="42"/>
        <v>Q4</v>
      </c>
      <c r="E445" s="360">
        <f t="shared" si="43"/>
        <v>235229.45199999999</v>
      </c>
      <c r="F445" s="360">
        <f t="shared" si="43"/>
        <v>73402.360419798119</v>
      </c>
      <c r="G445" s="360">
        <f t="shared" si="43"/>
        <v>5174.4539999999997</v>
      </c>
      <c r="H445" s="360">
        <f t="shared" si="43"/>
        <v>2085.3620000000001</v>
      </c>
      <c r="L445" s="170"/>
    </row>
    <row r="446" spans="1:12" x14ac:dyDescent="0.2">
      <c r="A446" s="147">
        <v>2038</v>
      </c>
      <c r="B446" s="147">
        <v>1</v>
      </c>
      <c r="C446" s="147" t="str">
        <f t="shared" si="40"/>
        <v>20381</v>
      </c>
      <c r="D446" s="147" t="str">
        <f t="shared" si="42"/>
        <v>Q1</v>
      </c>
      <c r="E446" s="360">
        <f t="shared" si="43"/>
        <v>237001.329</v>
      </c>
      <c r="F446" s="360">
        <f t="shared" si="43"/>
        <v>74168.296997856392</v>
      </c>
      <c r="G446" s="360">
        <f t="shared" si="43"/>
        <v>5181.1000000000004</v>
      </c>
      <c r="H446" s="360">
        <f t="shared" si="43"/>
        <v>2088.3440000000001</v>
      </c>
      <c r="L446" s="170"/>
    </row>
    <row r="447" spans="1:12" x14ac:dyDescent="0.2">
      <c r="A447" s="147">
        <v>2038</v>
      </c>
      <c r="B447" s="147">
        <v>2</v>
      </c>
      <c r="C447" s="147" t="str">
        <f t="shared" si="40"/>
        <v>20382</v>
      </c>
      <c r="D447" s="147" t="str">
        <f t="shared" si="42"/>
        <v>Q1</v>
      </c>
      <c r="E447" s="360">
        <f t="shared" si="43"/>
        <v>237001.329</v>
      </c>
      <c r="F447" s="360">
        <f t="shared" si="43"/>
        <v>74168.296997856392</v>
      </c>
      <c r="G447" s="360">
        <f t="shared" si="43"/>
        <v>5181.1000000000004</v>
      </c>
      <c r="H447" s="360">
        <f t="shared" si="43"/>
        <v>2088.3440000000001</v>
      </c>
      <c r="L447" s="170"/>
    </row>
    <row r="448" spans="1:12" x14ac:dyDescent="0.2">
      <c r="A448" s="147">
        <v>2038</v>
      </c>
      <c r="B448" s="147">
        <v>3</v>
      </c>
      <c r="C448" s="147" t="str">
        <f t="shared" si="40"/>
        <v>20383</v>
      </c>
      <c r="D448" s="147" t="str">
        <f t="shared" si="42"/>
        <v>Q1</v>
      </c>
      <c r="E448" s="360">
        <f t="shared" si="43"/>
        <v>237001.329</v>
      </c>
      <c r="F448" s="360">
        <f t="shared" si="43"/>
        <v>74168.296997856392</v>
      </c>
      <c r="G448" s="360">
        <f t="shared" si="43"/>
        <v>5181.1000000000004</v>
      </c>
      <c r="H448" s="360">
        <f t="shared" si="43"/>
        <v>2088.3440000000001</v>
      </c>
      <c r="L448" s="170"/>
    </row>
    <row r="449" spans="1:17" x14ac:dyDescent="0.2">
      <c r="A449" s="147">
        <v>2038</v>
      </c>
      <c r="B449" s="147">
        <v>4</v>
      </c>
      <c r="C449" s="147" t="str">
        <f t="shared" si="40"/>
        <v>20384</v>
      </c>
      <c r="D449" s="147" t="str">
        <f t="shared" si="42"/>
        <v>Q2</v>
      </c>
      <c r="E449" s="360">
        <f t="shared" si="43"/>
        <v>237918.01</v>
      </c>
      <c r="F449" s="360">
        <f t="shared" si="43"/>
        <v>74450.486243109015</v>
      </c>
      <c r="G449" s="360">
        <f t="shared" si="43"/>
        <v>5187.7489999999998</v>
      </c>
      <c r="H449" s="360">
        <f t="shared" si="43"/>
        <v>2091.375</v>
      </c>
      <c r="L449" s="170"/>
    </row>
    <row r="450" spans="1:17" x14ac:dyDescent="0.2">
      <c r="A450" s="147">
        <v>2038</v>
      </c>
      <c r="B450" s="147">
        <v>5</v>
      </c>
      <c r="C450" s="147" t="str">
        <f t="shared" si="40"/>
        <v>20385</v>
      </c>
      <c r="D450" s="147" t="str">
        <f t="shared" si="42"/>
        <v>Q2</v>
      </c>
      <c r="E450" s="360">
        <f t="shared" si="43"/>
        <v>237918.01</v>
      </c>
      <c r="F450" s="360">
        <f t="shared" si="43"/>
        <v>74450.486243109015</v>
      </c>
      <c r="G450" s="360">
        <f t="shared" si="43"/>
        <v>5187.7489999999998</v>
      </c>
      <c r="H450" s="360">
        <f t="shared" si="43"/>
        <v>2091.375</v>
      </c>
      <c r="L450" s="170"/>
    </row>
    <row r="451" spans="1:17" x14ac:dyDescent="0.2">
      <c r="A451" s="147">
        <v>2038</v>
      </c>
      <c r="B451" s="147">
        <v>6</v>
      </c>
      <c r="C451" s="147" t="str">
        <f t="shared" ref="C451:C514" si="44">A451&amp;B451</f>
        <v>20386</v>
      </c>
      <c r="D451" s="147" t="str">
        <f t="shared" si="42"/>
        <v>Q2</v>
      </c>
      <c r="E451" s="360">
        <f t="shared" ref="E451:H482" si="45">VLOOKUP($A451&amp;$D451,$N$1:$T$173,MATCH(E$1,$N$1:$T$1,0),0)</f>
        <v>237918.01</v>
      </c>
      <c r="F451" s="360">
        <f t="shared" si="45"/>
        <v>74450.486243109015</v>
      </c>
      <c r="G451" s="360">
        <f t="shared" si="45"/>
        <v>5187.7489999999998</v>
      </c>
      <c r="H451" s="360">
        <f t="shared" si="45"/>
        <v>2091.375</v>
      </c>
      <c r="L451" s="170"/>
    </row>
    <row r="452" spans="1:17" x14ac:dyDescent="0.2">
      <c r="A452" s="147">
        <v>2038</v>
      </c>
      <c r="B452" s="147">
        <v>7</v>
      </c>
      <c r="C452" s="147" t="str">
        <f t="shared" si="44"/>
        <v>20387</v>
      </c>
      <c r="D452" s="147" t="str">
        <f t="shared" si="42"/>
        <v>Q3</v>
      </c>
      <c r="E452" s="360">
        <f t="shared" si="45"/>
        <v>238774.076</v>
      </c>
      <c r="F452" s="360">
        <f t="shared" si="45"/>
        <v>74816.632055130074</v>
      </c>
      <c r="G452" s="360">
        <f t="shared" si="45"/>
        <v>5194.402</v>
      </c>
      <c r="H452" s="360">
        <f t="shared" si="45"/>
        <v>2094.3809999999999</v>
      </c>
      <c r="L452" s="170"/>
    </row>
    <row r="453" spans="1:17" x14ac:dyDescent="0.2">
      <c r="A453" s="147">
        <v>2038</v>
      </c>
      <c r="B453" s="147">
        <v>8</v>
      </c>
      <c r="C453" s="147" t="str">
        <f t="shared" si="44"/>
        <v>20388</v>
      </c>
      <c r="D453" s="147" t="str">
        <f t="shared" si="42"/>
        <v>Q3</v>
      </c>
      <c r="E453" s="360">
        <f t="shared" si="45"/>
        <v>238774.076</v>
      </c>
      <c r="F453" s="360">
        <f t="shared" si="45"/>
        <v>74816.632055130074</v>
      </c>
      <c r="G453" s="360">
        <f t="shared" si="45"/>
        <v>5194.402</v>
      </c>
      <c r="H453" s="360">
        <f t="shared" si="45"/>
        <v>2094.3809999999999</v>
      </c>
      <c r="L453" s="170"/>
    </row>
    <row r="454" spans="1:17" x14ac:dyDescent="0.2">
      <c r="A454" s="147">
        <v>2038</v>
      </c>
      <c r="B454" s="147">
        <v>9</v>
      </c>
      <c r="C454" s="147" t="str">
        <f t="shared" si="44"/>
        <v>20389</v>
      </c>
      <c r="D454" s="147" t="str">
        <f t="shared" si="42"/>
        <v>Q3</v>
      </c>
      <c r="E454" s="360">
        <f t="shared" si="45"/>
        <v>238774.076</v>
      </c>
      <c r="F454" s="360">
        <f t="shared" si="45"/>
        <v>74816.632055130074</v>
      </c>
      <c r="G454" s="360">
        <f t="shared" si="45"/>
        <v>5194.402</v>
      </c>
      <c r="H454" s="360">
        <f t="shared" si="45"/>
        <v>2094.3809999999999</v>
      </c>
      <c r="L454" s="170"/>
    </row>
    <row r="455" spans="1:17" x14ac:dyDescent="0.2">
      <c r="A455" s="147">
        <v>2038</v>
      </c>
      <c r="B455" s="147">
        <v>10</v>
      </c>
      <c r="C455" s="147" t="str">
        <f t="shared" si="44"/>
        <v>203810</v>
      </c>
      <c r="D455" s="147" t="str">
        <f t="shared" si="42"/>
        <v>Q4</v>
      </c>
      <c r="E455" s="360">
        <f t="shared" si="45"/>
        <v>239533.158</v>
      </c>
      <c r="F455" s="360">
        <f t="shared" si="45"/>
        <v>75064.067244100908</v>
      </c>
      <c r="G455" s="360">
        <f t="shared" si="45"/>
        <v>5201.0860000000002</v>
      </c>
      <c r="H455" s="360">
        <f t="shared" si="45"/>
        <v>2097.3989999999999</v>
      </c>
      <c r="L455" s="170"/>
    </row>
    <row r="456" spans="1:17" x14ac:dyDescent="0.2">
      <c r="A456" s="147">
        <v>2038</v>
      </c>
      <c r="B456" s="147">
        <v>11</v>
      </c>
      <c r="C456" s="147" t="str">
        <f t="shared" si="44"/>
        <v>203811</v>
      </c>
      <c r="D456" s="147" t="str">
        <f t="shared" si="42"/>
        <v>Q4</v>
      </c>
      <c r="E456" s="360">
        <f t="shared" si="45"/>
        <v>239533.158</v>
      </c>
      <c r="F456" s="360">
        <f t="shared" si="45"/>
        <v>75064.067244100908</v>
      </c>
      <c r="G456" s="360">
        <f t="shared" si="45"/>
        <v>5201.0860000000002</v>
      </c>
      <c r="H456" s="360">
        <f t="shared" si="45"/>
        <v>2097.3989999999999</v>
      </c>
      <c r="L456" s="170"/>
    </row>
    <row r="457" spans="1:17" x14ac:dyDescent="0.2">
      <c r="A457" s="147">
        <v>2038</v>
      </c>
      <c r="B457" s="147">
        <v>12</v>
      </c>
      <c r="C457" s="147" t="str">
        <f t="shared" si="44"/>
        <v>203812</v>
      </c>
      <c r="D457" s="147" t="str">
        <f t="shared" si="42"/>
        <v>Q4</v>
      </c>
      <c r="E457" s="360">
        <f t="shared" si="45"/>
        <v>239533.158</v>
      </c>
      <c r="F457" s="360">
        <f t="shared" si="45"/>
        <v>75064.067244100908</v>
      </c>
      <c r="G457" s="360">
        <f t="shared" si="45"/>
        <v>5201.0860000000002</v>
      </c>
      <c r="H457" s="360">
        <f t="shared" si="45"/>
        <v>2097.3989999999999</v>
      </c>
      <c r="L457" s="170"/>
    </row>
    <row r="458" spans="1:17" x14ac:dyDescent="0.2">
      <c r="A458" s="147">
        <v>2039</v>
      </c>
      <c r="B458" s="147">
        <v>1</v>
      </c>
      <c r="C458" s="147" t="str">
        <f t="shared" si="44"/>
        <v>20391</v>
      </c>
      <c r="D458" s="147" t="str">
        <f t="shared" si="42"/>
        <v>Q1</v>
      </c>
      <c r="E458" s="360">
        <f t="shared" si="45"/>
        <v>241255.864</v>
      </c>
      <c r="F458" s="360">
        <f t="shared" si="45"/>
        <v>75840.568404815305</v>
      </c>
      <c r="G458" s="360">
        <f t="shared" si="45"/>
        <v>5207.7619999999997</v>
      </c>
      <c r="H458" s="360">
        <f t="shared" si="45"/>
        <v>2100.3829999999998</v>
      </c>
      <c r="L458" s="170"/>
      <c r="O458" s="155"/>
      <c r="P458" s="155"/>
      <c r="Q458" s="155"/>
    </row>
    <row r="459" spans="1:17" x14ac:dyDescent="0.2">
      <c r="A459" s="147">
        <v>2039</v>
      </c>
      <c r="B459" s="147">
        <v>2</v>
      </c>
      <c r="C459" s="147" t="str">
        <f t="shared" si="44"/>
        <v>20392</v>
      </c>
      <c r="D459" s="147" t="str">
        <f t="shared" si="42"/>
        <v>Q1</v>
      </c>
      <c r="E459" s="360">
        <f t="shared" si="45"/>
        <v>241255.864</v>
      </c>
      <c r="F459" s="360">
        <f t="shared" si="45"/>
        <v>75840.568404815305</v>
      </c>
      <c r="G459" s="360">
        <f t="shared" si="45"/>
        <v>5207.7619999999997</v>
      </c>
      <c r="H459" s="360">
        <f t="shared" si="45"/>
        <v>2100.3829999999998</v>
      </c>
      <c r="L459" s="170"/>
      <c r="O459" s="155"/>
      <c r="P459" s="155"/>
      <c r="Q459" s="155"/>
    </row>
    <row r="460" spans="1:17" x14ac:dyDescent="0.2">
      <c r="A460" s="147">
        <v>2039</v>
      </c>
      <c r="B460" s="147">
        <v>3</v>
      </c>
      <c r="C460" s="147" t="str">
        <f t="shared" si="44"/>
        <v>20393</v>
      </c>
      <c r="D460" s="147" t="str">
        <f t="shared" si="42"/>
        <v>Q1</v>
      </c>
      <c r="E460" s="360">
        <f t="shared" si="45"/>
        <v>241255.864</v>
      </c>
      <c r="F460" s="360">
        <f t="shared" si="45"/>
        <v>75840.568404815305</v>
      </c>
      <c r="G460" s="360">
        <f t="shared" si="45"/>
        <v>5207.7619999999997</v>
      </c>
      <c r="H460" s="360">
        <f t="shared" si="45"/>
        <v>2100.3829999999998</v>
      </c>
      <c r="L460" s="170"/>
      <c r="O460" s="155"/>
      <c r="P460" s="155"/>
      <c r="Q460" s="155"/>
    </row>
    <row r="461" spans="1:17" x14ac:dyDescent="0.2">
      <c r="A461" s="147">
        <v>2039</v>
      </c>
      <c r="B461" s="147">
        <v>4</v>
      </c>
      <c r="C461" s="147" t="str">
        <f t="shared" si="44"/>
        <v>20394</v>
      </c>
      <c r="D461" s="147" t="str">
        <f t="shared" si="42"/>
        <v>Q2</v>
      </c>
      <c r="E461" s="360">
        <f t="shared" si="45"/>
        <v>242089.55</v>
      </c>
      <c r="F461" s="360">
        <f t="shared" si="45"/>
        <v>76141.322355622717</v>
      </c>
      <c r="G461" s="360">
        <f t="shared" si="45"/>
        <v>5214.4319999999998</v>
      </c>
      <c r="H461" s="360">
        <f t="shared" si="45"/>
        <v>2103.498</v>
      </c>
      <c r="L461" s="170"/>
      <c r="O461" s="155"/>
      <c r="P461" s="155"/>
      <c r="Q461" s="155"/>
    </row>
    <row r="462" spans="1:17" x14ac:dyDescent="0.2">
      <c r="A462" s="147">
        <v>2039</v>
      </c>
      <c r="B462" s="147">
        <v>5</v>
      </c>
      <c r="C462" s="147" t="str">
        <f t="shared" si="44"/>
        <v>20395</v>
      </c>
      <c r="D462" s="147" t="str">
        <f t="shared" si="42"/>
        <v>Q2</v>
      </c>
      <c r="E462" s="360">
        <f t="shared" si="45"/>
        <v>242089.55</v>
      </c>
      <c r="F462" s="360">
        <f t="shared" si="45"/>
        <v>76141.322355622717</v>
      </c>
      <c r="G462" s="360">
        <f t="shared" si="45"/>
        <v>5214.4319999999998</v>
      </c>
      <c r="H462" s="360">
        <f t="shared" si="45"/>
        <v>2103.498</v>
      </c>
      <c r="L462" s="170"/>
      <c r="O462" s="155"/>
      <c r="P462" s="155"/>
      <c r="Q462" s="155"/>
    </row>
    <row r="463" spans="1:17" x14ac:dyDescent="0.2">
      <c r="A463" s="147">
        <v>2039</v>
      </c>
      <c r="B463" s="147">
        <v>6</v>
      </c>
      <c r="C463" s="147" t="str">
        <f t="shared" si="44"/>
        <v>20396</v>
      </c>
      <c r="D463" s="147" t="str">
        <f t="shared" ref="D463:D517" si="46">D451</f>
        <v>Q2</v>
      </c>
      <c r="E463" s="360">
        <f t="shared" si="45"/>
        <v>242089.55</v>
      </c>
      <c r="F463" s="360">
        <f t="shared" si="45"/>
        <v>76141.322355622717</v>
      </c>
      <c r="G463" s="360">
        <f t="shared" si="45"/>
        <v>5214.4319999999998</v>
      </c>
      <c r="H463" s="360">
        <f t="shared" si="45"/>
        <v>2103.498</v>
      </c>
      <c r="L463" s="170"/>
      <c r="O463" s="155"/>
      <c r="P463" s="155"/>
      <c r="Q463" s="155"/>
    </row>
    <row r="464" spans="1:17" x14ac:dyDescent="0.2">
      <c r="A464" s="147">
        <v>2039</v>
      </c>
      <c r="B464" s="147">
        <v>7</v>
      </c>
      <c r="C464" s="147" t="str">
        <f t="shared" si="44"/>
        <v>20397</v>
      </c>
      <c r="D464" s="147" t="str">
        <f t="shared" si="46"/>
        <v>Q3</v>
      </c>
      <c r="E464" s="360">
        <f t="shared" si="45"/>
        <v>242952.587</v>
      </c>
      <c r="F464" s="360">
        <f t="shared" si="45"/>
        <v>76492.965770602008</v>
      </c>
      <c r="G464" s="360">
        <f t="shared" si="45"/>
        <v>5221.0969999999998</v>
      </c>
      <c r="H464" s="360">
        <f t="shared" si="45"/>
        <v>2106.587</v>
      </c>
      <c r="L464" s="170"/>
      <c r="O464" s="155"/>
      <c r="P464" s="155"/>
      <c r="Q464" s="155"/>
    </row>
    <row r="465" spans="1:17" x14ac:dyDescent="0.2">
      <c r="A465" s="147">
        <v>2039</v>
      </c>
      <c r="B465" s="147">
        <v>8</v>
      </c>
      <c r="C465" s="147" t="str">
        <f t="shared" si="44"/>
        <v>20398</v>
      </c>
      <c r="D465" s="147" t="str">
        <f t="shared" si="46"/>
        <v>Q3</v>
      </c>
      <c r="E465" s="360">
        <f t="shared" si="45"/>
        <v>242952.587</v>
      </c>
      <c r="F465" s="360">
        <f t="shared" si="45"/>
        <v>76492.965770602008</v>
      </c>
      <c r="G465" s="360">
        <f t="shared" si="45"/>
        <v>5221.0969999999998</v>
      </c>
      <c r="H465" s="360">
        <f t="shared" si="45"/>
        <v>2106.587</v>
      </c>
      <c r="L465" s="170"/>
      <c r="O465" s="155"/>
      <c r="P465" s="155"/>
      <c r="Q465" s="155"/>
    </row>
    <row r="466" spans="1:17" x14ac:dyDescent="0.2">
      <c r="A466" s="147">
        <v>2039</v>
      </c>
      <c r="B466" s="147">
        <v>9</v>
      </c>
      <c r="C466" s="147" t="str">
        <f t="shared" si="44"/>
        <v>20399</v>
      </c>
      <c r="D466" s="147" t="str">
        <f t="shared" si="46"/>
        <v>Q3</v>
      </c>
      <c r="E466" s="360">
        <f t="shared" si="45"/>
        <v>242952.587</v>
      </c>
      <c r="F466" s="360">
        <f t="shared" si="45"/>
        <v>76492.965770602008</v>
      </c>
      <c r="G466" s="360">
        <f t="shared" si="45"/>
        <v>5221.0969999999998</v>
      </c>
      <c r="H466" s="360">
        <f t="shared" si="45"/>
        <v>2106.587</v>
      </c>
      <c r="L466" s="170"/>
      <c r="O466" s="155"/>
      <c r="P466" s="155"/>
      <c r="Q466" s="155"/>
    </row>
    <row r="467" spans="1:17" x14ac:dyDescent="0.2">
      <c r="A467" s="147">
        <v>2039</v>
      </c>
      <c r="B467" s="147">
        <v>10</v>
      </c>
      <c r="C467" s="147" t="str">
        <f t="shared" si="44"/>
        <v>203910</v>
      </c>
      <c r="D467" s="147" t="str">
        <f t="shared" si="46"/>
        <v>Q4</v>
      </c>
      <c r="E467" s="360">
        <f t="shared" si="45"/>
        <v>243706.79399999999</v>
      </c>
      <c r="F467" s="360">
        <f t="shared" si="45"/>
        <v>76695.004703515413</v>
      </c>
      <c r="G467" s="360">
        <f t="shared" si="45"/>
        <v>5227.7560000000003</v>
      </c>
      <c r="H467" s="360">
        <f t="shared" si="45"/>
        <v>2109.66</v>
      </c>
      <c r="L467" s="170"/>
      <c r="O467" s="155"/>
      <c r="P467" s="155"/>
      <c r="Q467" s="155"/>
    </row>
    <row r="468" spans="1:17" x14ac:dyDescent="0.2">
      <c r="A468" s="147">
        <v>2039</v>
      </c>
      <c r="B468" s="147">
        <v>11</v>
      </c>
      <c r="C468" s="147" t="str">
        <f t="shared" si="44"/>
        <v>203911</v>
      </c>
      <c r="D468" s="147" t="str">
        <f t="shared" si="46"/>
        <v>Q4</v>
      </c>
      <c r="E468" s="360">
        <f t="shared" si="45"/>
        <v>243706.79399999999</v>
      </c>
      <c r="F468" s="360">
        <f t="shared" si="45"/>
        <v>76695.004703515413</v>
      </c>
      <c r="G468" s="360">
        <f t="shared" si="45"/>
        <v>5227.7560000000003</v>
      </c>
      <c r="H468" s="360">
        <f t="shared" si="45"/>
        <v>2109.66</v>
      </c>
      <c r="L468" s="170"/>
      <c r="O468" s="155"/>
      <c r="P468" s="155"/>
      <c r="Q468" s="155"/>
    </row>
    <row r="469" spans="1:17" x14ac:dyDescent="0.2">
      <c r="A469" s="147">
        <v>2039</v>
      </c>
      <c r="B469" s="147">
        <v>12</v>
      </c>
      <c r="C469" s="147" t="str">
        <f t="shared" si="44"/>
        <v>203912</v>
      </c>
      <c r="D469" s="147" t="str">
        <f t="shared" si="46"/>
        <v>Q4</v>
      </c>
      <c r="E469" s="360">
        <f t="shared" si="45"/>
        <v>243706.79399999999</v>
      </c>
      <c r="F469" s="360">
        <f t="shared" si="45"/>
        <v>76695.004703515413</v>
      </c>
      <c r="G469" s="360">
        <f t="shared" si="45"/>
        <v>5227.7560000000003</v>
      </c>
      <c r="H469" s="360">
        <f t="shared" si="45"/>
        <v>2109.66</v>
      </c>
      <c r="L469" s="170"/>
      <c r="O469" s="155"/>
      <c r="P469" s="155"/>
      <c r="Q469" s="155"/>
    </row>
    <row r="470" spans="1:17" x14ac:dyDescent="0.2">
      <c r="A470" s="147">
        <v>2040</v>
      </c>
      <c r="B470" s="147">
        <v>1</v>
      </c>
      <c r="C470" s="147" t="str">
        <f t="shared" si="44"/>
        <v>20401</v>
      </c>
      <c r="D470" s="147" t="str">
        <f t="shared" si="46"/>
        <v>Q1</v>
      </c>
      <c r="E470" s="360">
        <f t="shared" si="45"/>
        <v>245424.038</v>
      </c>
      <c r="F470" s="360">
        <f t="shared" si="45"/>
        <v>77513.638711835636</v>
      </c>
      <c r="G470" s="360">
        <f t="shared" si="45"/>
        <v>5234.41</v>
      </c>
      <c r="H470" s="360">
        <f t="shared" si="45"/>
        <v>2112.6480000000001</v>
      </c>
      <c r="L470" s="170"/>
    </row>
    <row r="471" spans="1:17" x14ac:dyDescent="0.2">
      <c r="A471" s="147">
        <v>2040</v>
      </c>
      <c r="B471" s="147">
        <v>2</v>
      </c>
      <c r="C471" s="147" t="str">
        <f t="shared" si="44"/>
        <v>20402</v>
      </c>
      <c r="D471" s="147" t="str">
        <f t="shared" si="46"/>
        <v>Q1</v>
      </c>
      <c r="E471" s="360">
        <f t="shared" si="45"/>
        <v>245424.038</v>
      </c>
      <c r="F471" s="360">
        <f t="shared" si="45"/>
        <v>77513.638711835636</v>
      </c>
      <c r="G471" s="360">
        <f t="shared" si="45"/>
        <v>5234.41</v>
      </c>
      <c r="H471" s="360">
        <f t="shared" si="45"/>
        <v>2112.6480000000001</v>
      </c>
      <c r="L471" s="170"/>
    </row>
    <row r="472" spans="1:17" x14ac:dyDescent="0.2">
      <c r="A472" s="147">
        <v>2040</v>
      </c>
      <c r="B472" s="147">
        <v>3</v>
      </c>
      <c r="C472" s="147" t="str">
        <f t="shared" si="44"/>
        <v>20403</v>
      </c>
      <c r="D472" s="147" t="str">
        <f t="shared" si="46"/>
        <v>Q1</v>
      </c>
      <c r="E472" s="360">
        <f t="shared" si="45"/>
        <v>245424.038</v>
      </c>
      <c r="F472" s="360">
        <f t="shared" si="45"/>
        <v>77513.638711835636</v>
      </c>
      <c r="G472" s="360">
        <f t="shared" si="45"/>
        <v>5234.41</v>
      </c>
      <c r="H472" s="360">
        <f t="shared" si="45"/>
        <v>2112.6480000000001</v>
      </c>
      <c r="L472" s="170"/>
    </row>
    <row r="473" spans="1:17" x14ac:dyDescent="0.2">
      <c r="A473" s="147">
        <v>2040</v>
      </c>
      <c r="B473" s="147">
        <v>4</v>
      </c>
      <c r="C473" s="147" t="str">
        <f t="shared" si="44"/>
        <v>20404</v>
      </c>
      <c r="D473" s="147" t="str">
        <f t="shared" si="46"/>
        <v>Q2</v>
      </c>
      <c r="E473" s="360">
        <f t="shared" si="45"/>
        <v>246375.226</v>
      </c>
      <c r="F473" s="360">
        <f t="shared" si="45"/>
        <v>77841.976074505961</v>
      </c>
      <c r="G473" s="360">
        <f t="shared" si="45"/>
        <v>5241.0609999999997</v>
      </c>
      <c r="H473" s="360">
        <f t="shared" si="45"/>
        <v>2115.703</v>
      </c>
      <c r="L473" s="170"/>
    </row>
    <row r="474" spans="1:17" x14ac:dyDescent="0.2">
      <c r="A474" s="147">
        <v>2040</v>
      </c>
      <c r="B474" s="147">
        <v>5</v>
      </c>
      <c r="C474" s="147" t="str">
        <f t="shared" si="44"/>
        <v>20405</v>
      </c>
      <c r="D474" s="147" t="str">
        <f t="shared" si="46"/>
        <v>Q2</v>
      </c>
      <c r="E474" s="360">
        <f t="shared" si="45"/>
        <v>246375.226</v>
      </c>
      <c r="F474" s="360">
        <f t="shared" si="45"/>
        <v>77841.976074505961</v>
      </c>
      <c r="G474" s="360">
        <f t="shared" si="45"/>
        <v>5241.0609999999997</v>
      </c>
      <c r="H474" s="360">
        <f t="shared" si="45"/>
        <v>2115.703</v>
      </c>
      <c r="L474" s="170"/>
    </row>
    <row r="475" spans="1:17" x14ac:dyDescent="0.2">
      <c r="A475" s="147">
        <v>2040</v>
      </c>
      <c r="B475" s="147">
        <v>6</v>
      </c>
      <c r="C475" s="147" t="str">
        <f t="shared" si="44"/>
        <v>20406</v>
      </c>
      <c r="D475" s="147" t="str">
        <f t="shared" si="46"/>
        <v>Q2</v>
      </c>
      <c r="E475" s="360">
        <f t="shared" si="45"/>
        <v>246375.226</v>
      </c>
      <c r="F475" s="360">
        <f t="shared" si="45"/>
        <v>77841.976074505961</v>
      </c>
      <c r="G475" s="360">
        <f t="shared" si="45"/>
        <v>5241.0609999999997</v>
      </c>
      <c r="H475" s="360">
        <f t="shared" si="45"/>
        <v>2115.703</v>
      </c>
      <c r="L475" s="170"/>
    </row>
    <row r="476" spans="1:17" x14ac:dyDescent="0.2">
      <c r="A476" s="147">
        <v>2040</v>
      </c>
      <c r="B476" s="147">
        <v>7</v>
      </c>
      <c r="C476" s="147" t="str">
        <f t="shared" si="44"/>
        <v>20407</v>
      </c>
      <c r="D476" s="147" t="str">
        <f t="shared" si="46"/>
        <v>Q3</v>
      </c>
      <c r="E476" s="360">
        <f t="shared" si="45"/>
        <v>247249.16699999999</v>
      </c>
      <c r="F476" s="360">
        <f t="shared" si="45"/>
        <v>78204.146715535113</v>
      </c>
      <c r="G476" s="360">
        <f t="shared" si="45"/>
        <v>5247.7089999999998</v>
      </c>
      <c r="H476" s="360">
        <f t="shared" si="45"/>
        <v>2118.7440000000001</v>
      </c>
      <c r="L476" s="170"/>
    </row>
    <row r="477" spans="1:17" x14ac:dyDescent="0.2">
      <c r="A477" s="147">
        <v>2040</v>
      </c>
      <c r="B477" s="147">
        <v>8</v>
      </c>
      <c r="C477" s="147" t="str">
        <f t="shared" si="44"/>
        <v>20408</v>
      </c>
      <c r="D477" s="147" t="str">
        <f t="shared" si="46"/>
        <v>Q3</v>
      </c>
      <c r="E477" s="360">
        <f t="shared" si="45"/>
        <v>247249.16699999999</v>
      </c>
      <c r="F477" s="360">
        <f t="shared" si="45"/>
        <v>78204.146715535113</v>
      </c>
      <c r="G477" s="360">
        <f t="shared" si="45"/>
        <v>5247.7089999999998</v>
      </c>
      <c r="H477" s="360">
        <f t="shared" si="45"/>
        <v>2118.7440000000001</v>
      </c>
      <c r="L477" s="170"/>
    </row>
    <row r="478" spans="1:17" x14ac:dyDescent="0.2">
      <c r="A478" s="147">
        <v>2040</v>
      </c>
      <c r="B478" s="147">
        <v>9</v>
      </c>
      <c r="C478" s="147" t="str">
        <f t="shared" si="44"/>
        <v>20409</v>
      </c>
      <c r="D478" s="147" t="str">
        <f t="shared" si="46"/>
        <v>Q3</v>
      </c>
      <c r="E478" s="360">
        <f t="shared" si="45"/>
        <v>247249.16699999999</v>
      </c>
      <c r="F478" s="360">
        <f t="shared" si="45"/>
        <v>78204.146715535113</v>
      </c>
      <c r="G478" s="360">
        <f t="shared" si="45"/>
        <v>5247.7089999999998</v>
      </c>
      <c r="H478" s="360">
        <f t="shared" si="45"/>
        <v>2118.7440000000001</v>
      </c>
      <c r="L478" s="170"/>
    </row>
    <row r="479" spans="1:17" x14ac:dyDescent="0.2">
      <c r="A479" s="147">
        <v>2040</v>
      </c>
      <c r="B479" s="147">
        <v>10</v>
      </c>
      <c r="C479" s="147" t="str">
        <f t="shared" si="44"/>
        <v>204010</v>
      </c>
      <c r="D479" s="147" t="str">
        <f t="shared" si="46"/>
        <v>Q4</v>
      </c>
      <c r="E479" s="360">
        <f t="shared" si="45"/>
        <v>247944.00599999999</v>
      </c>
      <c r="F479" s="360">
        <f t="shared" si="45"/>
        <v>78353.210632927832</v>
      </c>
      <c r="G479" s="360">
        <f t="shared" si="45"/>
        <v>5254.3540000000003</v>
      </c>
      <c r="H479" s="360">
        <f t="shared" si="45"/>
        <v>2121.819</v>
      </c>
      <c r="L479" s="170"/>
    </row>
    <row r="480" spans="1:17" x14ac:dyDescent="0.2">
      <c r="A480" s="147">
        <v>2040</v>
      </c>
      <c r="B480" s="147">
        <v>11</v>
      </c>
      <c r="C480" s="147" t="str">
        <f t="shared" si="44"/>
        <v>204011</v>
      </c>
      <c r="D480" s="147" t="str">
        <f t="shared" si="46"/>
        <v>Q4</v>
      </c>
      <c r="E480" s="360">
        <f t="shared" si="45"/>
        <v>247944.00599999999</v>
      </c>
      <c r="F480" s="360">
        <f t="shared" si="45"/>
        <v>78353.210632927832</v>
      </c>
      <c r="G480" s="360">
        <f t="shared" si="45"/>
        <v>5254.3540000000003</v>
      </c>
      <c r="H480" s="360">
        <f t="shared" si="45"/>
        <v>2121.819</v>
      </c>
      <c r="L480" s="170"/>
    </row>
    <row r="481" spans="1:12" x14ac:dyDescent="0.2">
      <c r="A481" s="147">
        <v>2040</v>
      </c>
      <c r="B481" s="147">
        <v>12</v>
      </c>
      <c r="C481" s="147" t="str">
        <f t="shared" si="44"/>
        <v>204012</v>
      </c>
      <c r="D481" s="147" t="str">
        <f t="shared" si="46"/>
        <v>Q4</v>
      </c>
      <c r="E481" s="360">
        <f t="shared" si="45"/>
        <v>247944.00599999999</v>
      </c>
      <c r="F481" s="360">
        <f t="shared" si="45"/>
        <v>78353.210632927832</v>
      </c>
      <c r="G481" s="360">
        <f t="shared" si="45"/>
        <v>5254.3540000000003</v>
      </c>
      <c r="H481" s="360">
        <f t="shared" si="45"/>
        <v>2121.819</v>
      </c>
      <c r="L481" s="170"/>
    </row>
    <row r="482" spans="1:12" x14ac:dyDescent="0.2">
      <c r="A482" s="147">
        <v>2041</v>
      </c>
      <c r="B482" s="147">
        <v>1</v>
      </c>
      <c r="C482" s="147" t="str">
        <f t="shared" si="44"/>
        <v>20411</v>
      </c>
      <c r="D482" s="147" t="str">
        <f t="shared" si="46"/>
        <v>Q1</v>
      </c>
      <c r="E482" s="360">
        <f t="shared" si="45"/>
        <v>249612.27900000001</v>
      </c>
      <c r="F482" s="360">
        <f t="shared" si="45"/>
        <v>79359.287038077135</v>
      </c>
      <c r="G482" s="360">
        <f t="shared" si="45"/>
        <v>5261</v>
      </c>
      <c r="H482" s="360">
        <f t="shared" si="45"/>
        <v>2125.2959999999998</v>
      </c>
      <c r="L482" s="170"/>
    </row>
    <row r="483" spans="1:12" x14ac:dyDescent="0.2">
      <c r="A483" s="147">
        <v>2041</v>
      </c>
      <c r="B483" s="147">
        <v>2</v>
      </c>
      <c r="C483" s="147" t="str">
        <f t="shared" si="44"/>
        <v>20412</v>
      </c>
      <c r="D483" s="147" t="str">
        <f t="shared" si="46"/>
        <v>Q1</v>
      </c>
      <c r="E483" s="360">
        <f t="shared" ref="E483:H517" si="47">VLOOKUP($A483&amp;$D483,$N$1:$T$173,MATCH(E$1,$N$1:$T$1,0),0)</f>
        <v>249612.27900000001</v>
      </c>
      <c r="F483" s="360">
        <f t="shared" si="47"/>
        <v>79359.287038077135</v>
      </c>
      <c r="G483" s="360">
        <f t="shared" si="47"/>
        <v>5261</v>
      </c>
      <c r="H483" s="360">
        <f t="shared" si="47"/>
        <v>2125.2959999999998</v>
      </c>
      <c r="L483" s="170"/>
    </row>
    <row r="484" spans="1:12" x14ac:dyDescent="0.2">
      <c r="A484" s="147">
        <v>2041</v>
      </c>
      <c r="B484" s="147">
        <v>3</v>
      </c>
      <c r="C484" s="147" t="str">
        <f t="shared" si="44"/>
        <v>20413</v>
      </c>
      <c r="D484" s="147" t="str">
        <f t="shared" si="46"/>
        <v>Q1</v>
      </c>
      <c r="E484" s="360">
        <f t="shared" si="47"/>
        <v>249612.27900000001</v>
      </c>
      <c r="F484" s="360">
        <f t="shared" si="47"/>
        <v>79359.287038077135</v>
      </c>
      <c r="G484" s="360">
        <f t="shared" si="47"/>
        <v>5261</v>
      </c>
      <c r="H484" s="360">
        <f t="shared" si="47"/>
        <v>2125.2959999999998</v>
      </c>
      <c r="L484" s="170"/>
    </row>
    <row r="485" spans="1:12" x14ac:dyDescent="0.2">
      <c r="A485" s="147">
        <v>2041</v>
      </c>
      <c r="B485" s="147">
        <v>4</v>
      </c>
      <c r="C485" s="147" t="str">
        <f t="shared" si="44"/>
        <v>20414</v>
      </c>
      <c r="D485" s="147" t="str">
        <f t="shared" si="46"/>
        <v>Q2</v>
      </c>
      <c r="E485" s="360">
        <f t="shared" si="47"/>
        <v>250429.492</v>
      </c>
      <c r="F485" s="360">
        <f t="shared" si="47"/>
        <v>79663.055240366433</v>
      </c>
      <c r="G485" s="360">
        <f t="shared" si="47"/>
        <v>5267.6459999999997</v>
      </c>
      <c r="H485" s="360">
        <f t="shared" si="47"/>
        <v>2128.549</v>
      </c>
      <c r="L485" s="170"/>
    </row>
    <row r="486" spans="1:12" x14ac:dyDescent="0.2">
      <c r="A486" s="147">
        <v>2041</v>
      </c>
      <c r="B486" s="147">
        <v>5</v>
      </c>
      <c r="C486" s="147" t="str">
        <f t="shared" si="44"/>
        <v>20415</v>
      </c>
      <c r="D486" s="147" t="str">
        <f t="shared" si="46"/>
        <v>Q2</v>
      </c>
      <c r="E486" s="360">
        <f t="shared" si="47"/>
        <v>250429.492</v>
      </c>
      <c r="F486" s="360">
        <f t="shared" si="47"/>
        <v>79663.055240366433</v>
      </c>
      <c r="G486" s="360">
        <f t="shared" si="47"/>
        <v>5267.6459999999997</v>
      </c>
      <c r="H486" s="360">
        <f t="shared" si="47"/>
        <v>2128.549</v>
      </c>
      <c r="L486" s="170"/>
    </row>
    <row r="487" spans="1:12" x14ac:dyDescent="0.2">
      <c r="A487" s="147">
        <v>2041</v>
      </c>
      <c r="B487" s="147">
        <v>6</v>
      </c>
      <c r="C487" s="147" t="str">
        <f t="shared" si="44"/>
        <v>20416</v>
      </c>
      <c r="D487" s="147" t="str">
        <f t="shared" si="46"/>
        <v>Q2</v>
      </c>
      <c r="E487" s="360">
        <f t="shared" si="47"/>
        <v>250429.492</v>
      </c>
      <c r="F487" s="360">
        <f t="shared" si="47"/>
        <v>79663.055240366433</v>
      </c>
      <c r="G487" s="360">
        <f t="shared" si="47"/>
        <v>5267.6459999999997</v>
      </c>
      <c r="H487" s="360">
        <f t="shared" si="47"/>
        <v>2128.549</v>
      </c>
      <c r="L487" s="170"/>
    </row>
    <row r="488" spans="1:12" x14ac:dyDescent="0.2">
      <c r="A488" s="147">
        <v>2041</v>
      </c>
      <c r="B488" s="147">
        <v>7</v>
      </c>
      <c r="C488" s="147" t="str">
        <f t="shared" si="44"/>
        <v>20417</v>
      </c>
      <c r="D488" s="147" t="str">
        <f t="shared" si="46"/>
        <v>Q3</v>
      </c>
      <c r="E488" s="360">
        <f t="shared" si="47"/>
        <v>251394.72700000001</v>
      </c>
      <c r="F488" s="360">
        <f t="shared" si="47"/>
        <v>80091.173605845252</v>
      </c>
      <c r="G488" s="360">
        <f t="shared" si="47"/>
        <v>5274.2950000000001</v>
      </c>
      <c r="H488" s="360">
        <f t="shared" si="47"/>
        <v>2131.8040000000001</v>
      </c>
      <c r="L488" s="170"/>
    </row>
    <row r="489" spans="1:12" x14ac:dyDescent="0.2">
      <c r="A489" s="147">
        <v>2041</v>
      </c>
      <c r="B489" s="147">
        <v>8</v>
      </c>
      <c r="C489" s="147" t="str">
        <f t="shared" si="44"/>
        <v>20418</v>
      </c>
      <c r="D489" s="147" t="str">
        <f t="shared" si="46"/>
        <v>Q3</v>
      </c>
      <c r="E489" s="360">
        <f t="shared" si="47"/>
        <v>251394.72700000001</v>
      </c>
      <c r="F489" s="360">
        <f t="shared" si="47"/>
        <v>80091.173605845252</v>
      </c>
      <c r="G489" s="360">
        <f t="shared" si="47"/>
        <v>5274.2950000000001</v>
      </c>
      <c r="H489" s="360">
        <f t="shared" si="47"/>
        <v>2131.8040000000001</v>
      </c>
      <c r="L489" s="170"/>
    </row>
    <row r="490" spans="1:12" x14ac:dyDescent="0.2">
      <c r="A490" s="147">
        <v>2041</v>
      </c>
      <c r="B490" s="147">
        <v>9</v>
      </c>
      <c r="C490" s="147" t="str">
        <f t="shared" si="44"/>
        <v>20419</v>
      </c>
      <c r="D490" s="147" t="str">
        <f t="shared" si="46"/>
        <v>Q3</v>
      </c>
      <c r="E490" s="360">
        <f t="shared" si="47"/>
        <v>251394.72700000001</v>
      </c>
      <c r="F490" s="360">
        <f t="shared" si="47"/>
        <v>80091.173605845252</v>
      </c>
      <c r="G490" s="360">
        <f t="shared" si="47"/>
        <v>5274.2950000000001</v>
      </c>
      <c r="H490" s="360">
        <f t="shared" si="47"/>
        <v>2131.8040000000001</v>
      </c>
      <c r="L490" s="170"/>
    </row>
    <row r="491" spans="1:12" x14ac:dyDescent="0.2">
      <c r="A491" s="147">
        <v>2041</v>
      </c>
      <c r="B491" s="147">
        <v>10</v>
      </c>
      <c r="C491" s="147" t="str">
        <f t="shared" si="44"/>
        <v>204110</v>
      </c>
      <c r="D491" s="147" t="str">
        <f t="shared" si="46"/>
        <v>Q4</v>
      </c>
      <c r="E491" s="360">
        <f t="shared" si="47"/>
        <v>252359.43400000001</v>
      </c>
      <c r="F491" s="360">
        <f t="shared" si="47"/>
        <v>80240.833138693764</v>
      </c>
      <c r="G491" s="360">
        <f t="shared" si="47"/>
        <v>5280.9449999999997</v>
      </c>
      <c r="H491" s="360">
        <f t="shared" si="47"/>
        <v>2135.0920000000001</v>
      </c>
      <c r="L491" s="170"/>
    </row>
    <row r="492" spans="1:12" x14ac:dyDescent="0.2">
      <c r="A492" s="147">
        <v>2041</v>
      </c>
      <c r="B492" s="147">
        <v>11</v>
      </c>
      <c r="C492" s="147" t="str">
        <f t="shared" si="44"/>
        <v>204111</v>
      </c>
      <c r="D492" s="147" t="str">
        <f t="shared" si="46"/>
        <v>Q4</v>
      </c>
      <c r="E492" s="360">
        <f t="shared" si="47"/>
        <v>252359.43400000001</v>
      </c>
      <c r="F492" s="360">
        <f t="shared" si="47"/>
        <v>80240.833138693764</v>
      </c>
      <c r="G492" s="360">
        <f t="shared" si="47"/>
        <v>5280.9449999999997</v>
      </c>
      <c r="H492" s="360">
        <f t="shared" si="47"/>
        <v>2135.0920000000001</v>
      </c>
      <c r="L492" s="170"/>
    </row>
    <row r="493" spans="1:12" x14ac:dyDescent="0.2">
      <c r="A493" s="147">
        <v>2041</v>
      </c>
      <c r="B493" s="147">
        <v>12</v>
      </c>
      <c r="C493" s="147" t="str">
        <f t="shared" si="44"/>
        <v>204112</v>
      </c>
      <c r="D493" s="147" t="str">
        <f t="shared" si="46"/>
        <v>Q4</v>
      </c>
      <c r="E493" s="360">
        <f t="shared" si="47"/>
        <v>252359.43400000001</v>
      </c>
      <c r="F493" s="360">
        <f t="shared" si="47"/>
        <v>80240.833138693764</v>
      </c>
      <c r="G493" s="360">
        <f t="shared" si="47"/>
        <v>5280.9449999999997</v>
      </c>
      <c r="H493" s="360">
        <f t="shared" si="47"/>
        <v>2135.0920000000001</v>
      </c>
      <c r="L493" s="170"/>
    </row>
    <row r="494" spans="1:12" x14ac:dyDescent="0.2">
      <c r="A494" s="147">
        <f>A482+1</f>
        <v>2042</v>
      </c>
      <c r="B494" s="147">
        <v>1</v>
      </c>
      <c r="C494" s="147" t="str">
        <f t="shared" si="44"/>
        <v>20421</v>
      </c>
      <c r="D494" s="147" t="str">
        <f t="shared" si="46"/>
        <v>Q1</v>
      </c>
      <c r="E494" s="360">
        <f t="shared" si="47"/>
        <v>254274.40215799998</v>
      </c>
      <c r="F494" s="360">
        <f t="shared" si="47"/>
        <v>81263.909926990993</v>
      </c>
      <c r="G494" s="360">
        <f t="shared" si="47"/>
        <v>5387.2640000000001</v>
      </c>
      <c r="H494" s="360">
        <f t="shared" si="47"/>
        <v>2137.7326425000001</v>
      </c>
      <c r="L494" s="170"/>
    </row>
    <row r="495" spans="1:12" x14ac:dyDescent="0.2">
      <c r="A495" s="147">
        <f t="shared" ref="A495:A517" si="48">A483+1</f>
        <v>2042</v>
      </c>
      <c r="B495" s="147">
        <v>2</v>
      </c>
      <c r="C495" s="147" t="str">
        <f t="shared" si="44"/>
        <v>20422</v>
      </c>
      <c r="D495" s="147" t="str">
        <f t="shared" si="46"/>
        <v>Q1</v>
      </c>
      <c r="E495" s="360">
        <f t="shared" si="47"/>
        <v>254274.40215799998</v>
      </c>
      <c r="F495" s="360">
        <f t="shared" si="47"/>
        <v>81263.909926990993</v>
      </c>
      <c r="G495" s="360">
        <f t="shared" si="47"/>
        <v>5387.2640000000001</v>
      </c>
      <c r="H495" s="360">
        <f t="shared" si="47"/>
        <v>2137.7326425000001</v>
      </c>
      <c r="L495" s="170"/>
    </row>
    <row r="496" spans="1:12" x14ac:dyDescent="0.2">
      <c r="A496" s="147">
        <f t="shared" si="48"/>
        <v>2042</v>
      </c>
      <c r="B496" s="147">
        <v>3</v>
      </c>
      <c r="C496" s="147" t="str">
        <f t="shared" si="44"/>
        <v>20423</v>
      </c>
      <c r="D496" s="147" t="str">
        <f t="shared" si="46"/>
        <v>Q1</v>
      </c>
      <c r="E496" s="360">
        <f t="shared" si="47"/>
        <v>254274.40215799998</v>
      </c>
      <c r="F496" s="360">
        <f t="shared" si="47"/>
        <v>81263.909926990993</v>
      </c>
      <c r="G496" s="360">
        <f t="shared" si="47"/>
        <v>5387.2640000000001</v>
      </c>
      <c r="H496" s="360">
        <f t="shared" si="47"/>
        <v>2137.7326425000001</v>
      </c>
      <c r="L496" s="170"/>
    </row>
    <row r="497" spans="1:12" x14ac:dyDescent="0.2">
      <c r="A497" s="147">
        <f t="shared" si="48"/>
        <v>2042</v>
      </c>
      <c r="B497" s="147">
        <v>4</v>
      </c>
      <c r="C497" s="147" t="str">
        <f t="shared" si="44"/>
        <v>20424</v>
      </c>
      <c r="D497" s="147" t="str">
        <f t="shared" si="46"/>
        <v>Q2</v>
      </c>
      <c r="E497" s="360">
        <f t="shared" si="47"/>
        <v>256189.37031599999</v>
      </c>
      <c r="F497" s="360">
        <f t="shared" si="47"/>
        <v>81574.968566135227</v>
      </c>
      <c r="G497" s="360">
        <f t="shared" si="47"/>
        <v>5394.0695040000001</v>
      </c>
      <c r="H497" s="360">
        <f t="shared" si="47"/>
        <v>2141.2357200000001</v>
      </c>
      <c r="L497" s="170"/>
    </row>
    <row r="498" spans="1:12" x14ac:dyDescent="0.2">
      <c r="A498" s="147">
        <f t="shared" si="48"/>
        <v>2042</v>
      </c>
      <c r="B498" s="147">
        <v>5</v>
      </c>
      <c r="C498" s="147" t="str">
        <f t="shared" si="44"/>
        <v>20425</v>
      </c>
      <c r="D498" s="147" t="str">
        <f t="shared" si="46"/>
        <v>Q2</v>
      </c>
      <c r="E498" s="360">
        <f t="shared" si="47"/>
        <v>256189.37031599999</v>
      </c>
      <c r="F498" s="360">
        <f t="shared" si="47"/>
        <v>81574.968566135227</v>
      </c>
      <c r="G498" s="360">
        <f t="shared" si="47"/>
        <v>5394.0695040000001</v>
      </c>
      <c r="H498" s="360">
        <f t="shared" si="47"/>
        <v>2141.2357200000001</v>
      </c>
      <c r="L498" s="170"/>
    </row>
    <row r="499" spans="1:12" x14ac:dyDescent="0.2">
      <c r="A499" s="147">
        <f t="shared" si="48"/>
        <v>2042</v>
      </c>
      <c r="B499" s="147">
        <v>6</v>
      </c>
      <c r="C499" s="147" t="str">
        <f t="shared" si="44"/>
        <v>20426</v>
      </c>
      <c r="D499" s="147" t="str">
        <f t="shared" si="46"/>
        <v>Q2</v>
      </c>
      <c r="E499" s="360">
        <f t="shared" si="47"/>
        <v>256189.37031599999</v>
      </c>
      <c r="F499" s="360">
        <f t="shared" si="47"/>
        <v>81574.968566135227</v>
      </c>
      <c r="G499" s="360">
        <f t="shared" si="47"/>
        <v>5394.0695040000001</v>
      </c>
      <c r="H499" s="360">
        <f t="shared" si="47"/>
        <v>2141.2357200000001</v>
      </c>
      <c r="L499" s="170"/>
    </row>
    <row r="500" spans="1:12" x14ac:dyDescent="0.2">
      <c r="A500" s="147">
        <f t="shared" si="48"/>
        <v>2042</v>
      </c>
      <c r="B500" s="147">
        <v>7</v>
      </c>
      <c r="C500" s="147" t="str">
        <f t="shared" si="44"/>
        <v>20427</v>
      </c>
      <c r="D500" s="147" t="str">
        <f t="shared" si="46"/>
        <v>Q3</v>
      </c>
      <c r="E500" s="360">
        <f t="shared" si="47"/>
        <v>257176.80572099998</v>
      </c>
      <c r="F500" s="360">
        <f t="shared" si="47"/>
        <v>82013.361772385542</v>
      </c>
      <c r="G500" s="360">
        <f t="shared" si="47"/>
        <v>5400.8780800000004</v>
      </c>
      <c r="H500" s="360">
        <f t="shared" si="47"/>
        <v>2144.5131175000001</v>
      </c>
      <c r="L500" s="170"/>
    </row>
    <row r="501" spans="1:12" x14ac:dyDescent="0.2">
      <c r="A501" s="147">
        <f t="shared" si="48"/>
        <v>2042</v>
      </c>
      <c r="B501" s="147">
        <v>8</v>
      </c>
      <c r="C501" s="147" t="str">
        <f t="shared" si="44"/>
        <v>20428</v>
      </c>
      <c r="D501" s="147" t="str">
        <f t="shared" si="46"/>
        <v>Q3</v>
      </c>
      <c r="E501" s="360">
        <f t="shared" si="47"/>
        <v>257176.80572099998</v>
      </c>
      <c r="F501" s="360">
        <f t="shared" si="47"/>
        <v>82013.361772385542</v>
      </c>
      <c r="G501" s="360">
        <f t="shared" si="47"/>
        <v>5400.8780800000004</v>
      </c>
      <c r="H501" s="360">
        <f t="shared" si="47"/>
        <v>2144.5131175000001</v>
      </c>
      <c r="L501" s="170"/>
    </row>
    <row r="502" spans="1:12" x14ac:dyDescent="0.2">
      <c r="A502" s="147">
        <f t="shared" si="48"/>
        <v>2042</v>
      </c>
      <c r="B502" s="147">
        <v>9</v>
      </c>
      <c r="C502" s="147" t="str">
        <f t="shared" si="44"/>
        <v>20429</v>
      </c>
      <c r="D502" s="147" t="str">
        <f t="shared" si="46"/>
        <v>Q3</v>
      </c>
      <c r="E502" s="360">
        <f t="shared" si="47"/>
        <v>257176.80572099998</v>
      </c>
      <c r="F502" s="360">
        <f t="shared" si="47"/>
        <v>82013.361772385542</v>
      </c>
      <c r="G502" s="360">
        <f t="shared" si="47"/>
        <v>5400.8780800000004</v>
      </c>
      <c r="H502" s="360">
        <f t="shared" si="47"/>
        <v>2144.5131175000001</v>
      </c>
      <c r="L502" s="170"/>
    </row>
    <row r="503" spans="1:12" x14ac:dyDescent="0.2">
      <c r="A503" s="147">
        <f>A491+1</f>
        <v>2042</v>
      </c>
      <c r="B503" s="147">
        <v>10</v>
      </c>
      <c r="C503" s="147" t="str">
        <f t="shared" si="44"/>
        <v>204210</v>
      </c>
      <c r="D503" s="147" t="str">
        <f t="shared" si="46"/>
        <v>Q4</v>
      </c>
      <c r="E503" s="360">
        <f t="shared" si="47"/>
        <v>258163.70098199998</v>
      </c>
      <c r="F503" s="360">
        <f t="shared" si="47"/>
        <v>82166.613134022409</v>
      </c>
      <c r="G503" s="360">
        <f t="shared" si="47"/>
        <v>5407.68768</v>
      </c>
      <c r="H503" s="360">
        <f t="shared" si="47"/>
        <v>2147.7925300000002</v>
      </c>
      <c r="L503" s="170"/>
    </row>
    <row r="504" spans="1:12" x14ac:dyDescent="0.2">
      <c r="A504" s="147">
        <f t="shared" si="48"/>
        <v>2042</v>
      </c>
      <c r="B504" s="147">
        <v>11</v>
      </c>
      <c r="C504" s="147" t="str">
        <f t="shared" si="44"/>
        <v>204211</v>
      </c>
      <c r="D504" s="147" t="str">
        <f t="shared" si="46"/>
        <v>Q4</v>
      </c>
      <c r="E504" s="360">
        <f t="shared" si="47"/>
        <v>258163.70098199998</v>
      </c>
      <c r="F504" s="360">
        <f t="shared" si="47"/>
        <v>82166.613134022409</v>
      </c>
      <c r="G504" s="360">
        <f t="shared" si="47"/>
        <v>5407.68768</v>
      </c>
      <c r="H504" s="360">
        <f t="shared" si="47"/>
        <v>2147.7925300000002</v>
      </c>
      <c r="L504" s="170"/>
    </row>
    <row r="505" spans="1:12" x14ac:dyDescent="0.2">
      <c r="A505" s="147">
        <f t="shared" si="48"/>
        <v>2042</v>
      </c>
      <c r="B505" s="147">
        <v>12</v>
      </c>
      <c r="C505" s="147" t="str">
        <f t="shared" si="44"/>
        <v>204212</v>
      </c>
      <c r="D505" s="147" t="str">
        <f t="shared" si="46"/>
        <v>Q4</v>
      </c>
      <c r="E505" s="360">
        <f t="shared" si="47"/>
        <v>258163.70098199998</v>
      </c>
      <c r="F505" s="360">
        <f t="shared" si="47"/>
        <v>82166.613134022409</v>
      </c>
      <c r="G505" s="360">
        <f t="shared" si="47"/>
        <v>5407.68768</v>
      </c>
      <c r="H505" s="360">
        <f t="shared" si="47"/>
        <v>2147.7925300000002</v>
      </c>
      <c r="L505" s="170"/>
    </row>
    <row r="506" spans="1:12" x14ac:dyDescent="0.2">
      <c r="A506" s="147">
        <f t="shared" si="48"/>
        <v>2043</v>
      </c>
      <c r="B506" s="147">
        <f>B494</f>
        <v>1</v>
      </c>
      <c r="C506" s="147" t="str">
        <f t="shared" si="44"/>
        <v>20431</v>
      </c>
      <c r="D506" s="147" t="str">
        <f t="shared" si="46"/>
        <v>Q1</v>
      </c>
      <c r="E506" s="360">
        <f t="shared" si="47"/>
        <v>260122.71340763397</v>
      </c>
      <c r="F506" s="360">
        <f t="shared" si="47"/>
        <v>83214.243765238774</v>
      </c>
      <c r="G506" s="360">
        <f t="shared" si="47"/>
        <v>5516.5583360000001</v>
      </c>
      <c r="H506" s="360">
        <f t="shared" si="47"/>
        <v>2151.1051900000002</v>
      </c>
    </row>
    <row r="507" spans="1:12" x14ac:dyDescent="0.2">
      <c r="A507" s="147">
        <f t="shared" si="48"/>
        <v>2043</v>
      </c>
      <c r="B507" s="147">
        <f t="shared" ref="B507:B517" si="49">B495</f>
        <v>2</v>
      </c>
      <c r="C507" s="147" t="str">
        <f t="shared" si="44"/>
        <v>20432</v>
      </c>
      <c r="D507" s="147" t="str">
        <f t="shared" si="46"/>
        <v>Q1</v>
      </c>
      <c r="E507" s="360">
        <f t="shared" si="47"/>
        <v>260122.71340763397</v>
      </c>
      <c r="F507" s="360">
        <f t="shared" si="47"/>
        <v>83214.243765238774</v>
      </c>
      <c r="G507" s="360">
        <f t="shared" si="47"/>
        <v>5516.5583360000001</v>
      </c>
      <c r="H507" s="360">
        <f t="shared" si="47"/>
        <v>2151.1051900000002</v>
      </c>
    </row>
    <row r="508" spans="1:12" x14ac:dyDescent="0.2">
      <c r="A508" s="147">
        <f t="shared" si="48"/>
        <v>2043</v>
      </c>
      <c r="B508" s="147">
        <f t="shared" si="49"/>
        <v>3</v>
      </c>
      <c r="C508" s="147" t="str">
        <f t="shared" si="44"/>
        <v>20433</v>
      </c>
      <c r="D508" s="147" t="str">
        <f t="shared" si="46"/>
        <v>Q1</v>
      </c>
      <c r="E508" s="360">
        <f t="shared" si="47"/>
        <v>260122.71340763397</v>
      </c>
      <c r="F508" s="360">
        <f t="shared" si="47"/>
        <v>83214.243765238774</v>
      </c>
      <c r="G508" s="360">
        <f t="shared" si="47"/>
        <v>5516.5583360000001</v>
      </c>
      <c r="H508" s="360">
        <f t="shared" si="47"/>
        <v>2151.1051900000002</v>
      </c>
    </row>
    <row r="509" spans="1:12" x14ac:dyDescent="0.2">
      <c r="A509" s="147">
        <f t="shared" si="48"/>
        <v>2043</v>
      </c>
      <c r="B509" s="147">
        <f t="shared" si="49"/>
        <v>4</v>
      </c>
      <c r="C509" s="147" t="str">
        <f t="shared" si="44"/>
        <v>20434</v>
      </c>
      <c r="D509" s="147" t="str">
        <f t="shared" si="46"/>
        <v>Q2</v>
      </c>
      <c r="E509" s="360">
        <f t="shared" si="47"/>
        <v>262081.72583326796</v>
      </c>
      <c r="F509" s="360">
        <f t="shared" si="47"/>
        <v>83532.767811722471</v>
      </c>
      <c r="G509" s="360">
        <f t="shared" si="47"/>
        <v>5523.527172096</v>
      </c>
      <c r="H509" s="360">
        <f t="shared" si="47"/>
        <v>2153.7656373187501</v>
      </c>
    </row>
    <row r="510" spans="1:12" x14ac:dyDescent="0.2">
      <c r="A510" s="147">
        <f t="shared" si="48"/>
        <v>2043</v>
      </c>
      <c r="B510" s="147">
        <f t="shared" si="49"/>
        <v>5</v>
      </c>
      <c r="C510" s="147" t="str">
        <f t="shared" si="44"/>
        <v>20435</v>
      </c>
      <c r="D510" s="147" t="str">
        <f t="shared" si="46"/>
        <v>Q2</v>
      </c>
      <c r="E510" s="360">
        <f t="shared" si="47"/>
        <v>262081.72583326796</v>
      </c>
      <c r="F510" s="360">
        <f t="shared" si="47"/>
        <v>83532.767811722471</v>
      </c>
      <c r="G510" s="360">
        <f t="shared" si="47"/>
        <v>5523.527172096</v>
      </c>
      <c r="H510" s="360">
        <f t="shared" si="47"/>
        <v>2153.7656373187501</v>
      </c>
    </row>
    <row r="511" spans="1:12" x14ac:dyDescent="0.2">
      <c r="A511" s="147">
        <f t="shared" si="48"/>
        <v>2043</v>
      </c>
      <c r="B511" s="147">
        <f t="shared" si="49"/>
        <v>6</v>
      </c>
      <c r="C511" s="147" t="str">
        <f t="shared" si="44"/>
        <v>20436</v>
      </c>
      <c r="D511" s="147" t="str">
        <f t="shared" si="46"/>
        <v>Q2</v>
      </c>
      <c r="E511" s="360">
        <f t="shared" si="47"/>
        <v>262081.72583326796</v>
      </c>
      <c r="F511" s="360">
        <f t="shared" si="47"/>
        <v>83532.767811722471</v>
      </c>
      <c r="G511" s="360">
        <f t="shared" si="47"/>
        <v>5523.527172096</v>
      </c>
      <c r="H511" s="360">
        <f t="shared" si="47"/>
        <v>2153.7656373187501</v>
      </c>
    </row>
    <row r="512" spans="1:12" x14ac:dyDescent="0.2">
      <c r="A512" s="147">
        <f t="shared" si="48"/>
        <v>2043</v>
      </c>
      <c r="B512" s="147">
        <f t="shared" si="49"/>
        <v>7</v>
      </c>
      <c r="C512" s="147" t="str">
        <f t="shared" si="44"/>
        <v>20437</v>
      </c>
      <c r="D512" s="147" t="str">
        <f t="shared" si="46"/>
        <v>Q3</v>
      </c>
      <c r="E512" s="360">
        <f t="shared" si="47"/>
        <v>263091.87225258298</v>
      </c>
      <c r="F512" s="360">
        <f t="shared" si="47"/>
        <v>83981.682454922804</v>
      </c>
      <c r="G512" s="360">
        <f t="shared" si="47"/>
        <v>5530.4991539200009</v>
      </c>
      <c r="H512" s="360">
        <f t="shared" si="47"/>
        <v>2157.2949879000003</v>
      </c>
    </row>
    <row r="513" spans="1:8" x14ac:dyDescent="0.2">
      <c r="A513" s="147">
        <f t="shared" si="48"/>
        <v>2043</v>
      </c>
      <c r="B513" s="147">
        <f t="shared" si="49"/>
        <v>8</v>
      </c>
      <c r="C513" s="147" t="str">
        <f t="shared" si="44"/>
        <v>20438</v>
      </c>
      <c r="D513" s="147" t="str">
        <f t="shared" si="46"/>
        <v>Q3</v>
      </c>
      <c r="E513" s="360">
        <f t="shared" si="47"/>
        <v>263091.87225258298</v>
      </c>
      <c r="F513" s="360">
        <f t="shared" si="47"/>
        <v>83981.682454922804</v>
      </c>
      <c r="G513" s="360">
        <f t="shared" si="47"/>
        <v>5530.4991539200009</v>
      </c>
      <c r="H513" s="360">
        <f t="shared" si="47"/>
        <v>2157.2949879000003</v>
      </c>
    </row>
    <row r="514" spans="1:8" x14ac:dyDescent="0.2">
      <c r="A514" s="147">
        <f t="shared" si="48"/>
        <v>2043</v>
      </c>
      <c r="B514" s="147">
        <f t="shared" si="49"/>
        <v>9</v>
      </c>
      <c r="C514" s="147" t="str">
        <f t="shared" si="44"/>
        <v>20439</v>
      </c>
      <c r="D514" s="147" t="str">
        <f t="shared" si="46"/>
        <v>Q3</v>
      </c>
      <c r="E514" s="360">
        <f t="shared" si="47"/>
        <v>263091.87225258298</v>
      </c>
      <c r="F514" s="360">
        <f t="shared" si="47"/>
        <v>83981.682454922804</v>
      </c>
      <c r="G514" s="360">
        <f t="shared" si="47"/>
        <v>5530.4991539200009</v>
      </c>
      <c r="H514" s="360">
        <f t="shared" si="47"/>
        <v>2157.2949879000003</v>
      </c>
    </row>
    <row r="515" spans="1:8" x14ac:dyDescent="0.2">
      <c r="A515" s="147">
        <f t="shared" si="48"/>
        <v>2043</v>
      </c>
      <c r="B515" s="147">
        <f t="shared" si="49"/>
        <v>10</v>
      </c>
      <c r="C515" s="147" t="str">
        <f t="shared" ref="C515:C517" si="50">A515&amp;B515</f>
        <v>204310</v>
      </c>
      <c r="D515" s="147" t="str">
        <f t="shared" si="46"/>
        <v>Q4</v>
      </c>
      <c r="E515" s="360">
        <f t="shared" si="47"/>
        <v>264101.46610458597</v>
      </c>
      <c r="F515" s="360">
        <f t="shared" si="47"/>
        <v>84138.611849238951</v>
      </c>
      <c r="G515" s="360">
        <f t="shared" si="47"/>
        <v>5537.4721843200005</v>
      </c>
      <c r="H515" s="360">
        <f t="shared" si="47"/>
        <v>2160.5969658812501</v>
      </c>
    </row>
    <row r="516" spans="1:8" x14ac:dyDescent="0.2">
      <c r="A516" s="147">
        <f t="shared" si="48"/>
        <v>2043</v>
      </c>
      <c r="B516" s="147">
        <f t="shared" si="49"/>
        <v>11</v>
      </c>
      <c r="C516" s="147" t="str">
        <f t="shared" si="50"/>
        <v>204311</v>
      </c>
      <c r="D516" s="147" t="str">
        <f t="shared" si="46"/>
        <v>Q4</v>
      </c>
      <c r="E516" s="360">
        <f t="shared" si="47"/>
        <v>264101.46610458597</v>
      </c>
      <c r="F516" s="360">
        <f t="shared" si="47"/>
        <v>84138.611849238951</v>
      </c>
      <c r="G516" s="360">
        <f t="shared" si="47"/>
        <v>5537.4721843200005</v>
      </c>
      <c r="H516" s="360">
        <f t="shared" si="47"/>
        <v>2160.5969658812501</v>
      </c>
    </row>
    <row r="517" spans="1:8" x14ac:dyDescent="0.2">
      <c r="A517" s="147">
        <f t="shared" si="48"/>
        <v>2043</v>
      </c>
      <c r="B517" s="147">
        <f t="shared" si="49"/>
        <v>12</v>
      </c>
      <c r="C517" s="147" t="str">
        <f t="shared" si="50"/>
        <v>204312</v>
      </c>
      <c r="D517" s="147" t="str">
        <f t="shared" si="46"/>
        <v>Q4</v>
      </c>
      <c r="E517" s="360">
        <f t="shared" si="47"/>
        <v>264101.46610458597</v>
      </c>
      <c r="F517" s="360">
        <f t="shared" si="47"/>
        <v>84138.611849238951</v>
      </c>
      <c r="G517" s="360">
        <f t="shared" si="47"/>
        <v>5537.4721843200005</v>
      </c>
      <c r="H517" s="360">
        <f t="shared" si="47"/>
        <v>2160.5969658812501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tabSelected="1" workbookViewId="0"/>
  </sheetViews>
  <sheetFormatPr defaultRowHeight="12.75" x14ac:dyDescent="0.2"/>
  <cols>
    <col min="1" max="1" width="37" style="170" bestFit="1" customWidth="1"/>
    <col min="2" max="16384" width="9.140625" style="170"/>
  </cols>
  <sheetData>
    <row r="1" spans="1:12" x14ac:dyDescent="0.2">
      <c r="B1" s="252">
        <v>2012</v>
      </c>
      <c r="C1" s="252">
        <v>2013</v>
      </c>
      <c r="D1" s="252">
        <v>2014</v>
      </c>
      <c r="E1" s="252">
        <v>2015</v>
      </c>
      <c r="F1" s="252">
        <v>2016</v>
      </c>
      <c r="G1" s="252">
        <v>2017</v>
      </c>
      <c r="H1" s="252">
        <v>2018</v>
      </c>
      <c r="I1" s="252">
        <v>2019</v>
      </c>
      <c r="J1" s="252">
        <v>2020</v>
      </c>
      <c r="K1" s="252">
        <v>2021</v>
      </c>
    </row>
    <row r="3" spans="1:12" ht="14.25" x14ac:dyDescent="0.2">
      <c r="A3" s="247" t="s">
        <v>287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</row>
    <row r="4" spans="1:12" ht="14.25" x14ac:dyDescent="0.2">
      <c r="A4" s="247" t="s">
        <v>200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</row>
    <row r="5" spans="1:12" x14ac:dyDescent="0.2">
      <c r="A5" s="249" t="s">
        <v>201</v>
      </c>
      <c r="B5" s="250">
        <v>5.1379999999999898E-2</v>
      </c>
      <c r="C5" s="250">
        <v>5.1380000000000002E-2</v>
      </c>
      <c r="D5" s="250">
        <v>5.1380000000000002E-2</v>
      </c>
      <c r="E5" s="250">
        <v>5.1380000000000002E-2</v>
      </c>
      <c r="F5" s="250">
        <v>5.1380000000000002E-2</v>
      </c>
      <c r="G5" s="250">
        <v>5.1380000000000002E-2</v>
      </c>
      <c r="H5" s="250">
        <v>5.1380000000000002E-2</v>
      </c>
      <c r="I5" s="250">
        <v>5.1380000000000002E-2</v>
      </c>
      <c r="J5" s="250">
        <v>5.1380000000000002E-2</v>
      </c>
      <c r="K5" s="250">
        <v>5.1380000000000002E-2</v>
      </c>
    </row>
    <row r="6" spans="1:12" x14ac:dyDescent="0.2">
      <c r="A6" s="249" t="s">
        <v>202</v>
      </c>
      <c r="B6" s="250">
        <v>0</v>
      </c>
      <c r="C6" s="250">
        <v>0</v>
      </c>
      <c r="D6" s="250">
        <v>0</v>
      </c>
      <c r="E6" s="250">
        <v>0</v>
      </c>
      <c r="F6" s="250">
        <v>0</v>
      </c>
      <c r="G6" s="250">
        <v>0</v>
      </c>
      <c r="H6" s="250">
        <v>0</v>
      </c>
      <c r="I6" s="250">
        <v>0</v>
      </c>
      <c r="J6" s="250">
        <v>0</v>
      </c>
      <c r="K6" s="250">
        <v>0</v>
      </c>
    </row>
    <row r="7" spans="1:12" x14ac:dyDescent="0.2">
      <c r="A7" s="249" t="s">
        <v>203</v>
      </c>
      <c r="B7" s="250">
        <v>8.7511813825746493E-3</v>
      </c>
      <c r="C7" s="250">
        <v>8.7123321640348306E-3</v>
      </c>
      <c r="D7" s="250">
        <v>8.7723158779482793E-3</v>
      </c>
      <c r="E7" s="250">
        <v>8.7182599335221007E-3</v>
      </c>
      <c r="F7" s="250">
        <v>8.7716070604776306E-3</v>
      </c>
      <c r="G7" s="250">
        <v>8.7716070604776306E-3</v>
      </c>
      <c r="H7" s="250">
        <v>8.7716070604776306E-3</v>
      </c>
      <c r="I7" s="250">
        <v>8.7716070604776306E-3</v>
      </c>
      <c r="J7" s="250">
        <v>8.7716070604776306E-3</v>
      </c>
      <c r="K7" s="250">
        <v>8.7716070604776306E-3</v>
      </c>
    </row>
    <row r="8" spans="1:12" x14ac:dyDescent="0.2">
      <c r="A8" s="249" t="s">
        <v>204</v>
      </c>
      <c r="B8" s="250">
        <v>0</v>
      </c>
      <c r="C8" s="250">
        <v>0</v>
      </c>
      <c r="D8" s="250">
        <v>8.2099169501936697E-3</v>
      </c>
      <c r="E8" s="250">
        <v>8.1582966859597202E-3</v>
      </c>
      <c r="F8" s="250">
        <v>1.6726011686180299E-2</v>
      </c>
      <c r="G8" s="250">
        <v>1.6726011686180299E-2</v>
      </c>
      <c r="H8" s="250">
        <v>1.6726011686180299E-2</v>
      </c>
      <c r="I8" s="250">
        <v>1.6726011686180299E-2</v>
      </c>
      <c r="J8" s="250">
        <v>1.6726011686180299E-2</v>
      </c>
      <c r="K8" s="250">
        <v>1.6726011686180299E-2</v>
      </c>
    </row>
    <row r="9" spans="1:12" x14ac:dyDescent="0.2">
      <c r="A9" s="249" t="s">
        <v>205</v>
      </c>
      <c r="B9" s="250">
        <v>2.4819999999999998E-2</v>
      </c>
      <c r="C9" s="250">
        <v>2.4819999999999998E-2</v>
      </c>
      <c r="D9" s="250">
        <v>2.4819999999999901E-2</v>
      </c>
      <c r="E9" s="250">
        <v>2.4819999999999998E-2</v>
      </c>
      <c r="F9" s="250">
        <v>2.4819999999999998E-2</v>
      </c>
      <c r="G9" s="250">
        <v>2.4819999999999998E-2</v>
      </c>
      <c r="H9" s="250">
        <v>2.4819999999999998E-2</v>
      </c>
      <c r="I9" s="250">
        <v>2.4819999999999998E-2</v>
      </c>
      <c r="J9" s="250">
        <v>2.4819999999999998E-2</v>
      </c>
      <c r="K9" s="250">
        <v>2.4819999999999998E-2</v>
      </c>
    </row>
    <row r="10" spans="1:12" x14ac:dyDescent="0.2">
      <c r="A10" s="249" t="s">
        <v>206</v>
      </c>
      <c r="B10" s="250">
        <v>3.2826854832534199E-3</v>
      </c>
      <c r="C10" s="250">
        <v>3.5663703374487102E-3</v>
      </c>
      <c r="D10" s="250">
        <v>5.3854693799563202E-3</v>
      </c>
      <c r="E10" s="250">
        <v>6.7669874718548403E-3</v>
      </c>
      <c r="F10" s="250">
        <v>9.8137561427867701E-3</v>
      </c>
      <c r="G10" s="250">
        <v>9.8137561427867701E-3</v>
      </c>
      <c r="H10" s="250">
        <v>9.8137561427867701E-3</v>
      </c>
      <c r="I10" s="250">
        <v>9.8137561427867701E-3</v>
      </c>
      <c r="J10" s="250">
        <v>9.8137561427867701E-3</v>
      </c>
      <c r="K10" s="250">
        <v>9.8137561427867701E-3</v>
      </c>
    </row>
    <row r="11" spans="1:12" x14ac:dyDescent="0.2">
      <c r="A11" s="249" t="s">
        <v>207</v>
      </c>
      <c r="B11" s="250">
        <v>0</v>
      </c>
      <c r="C11" s="250">
        <v>0</v>
      </c>
      <c r="D11" s="250">
        <v>0</v>
      </c>
      <c r="E11" s="250">
        <v>0</v>
      </c>
      <c r="F11" s="250">
        <v>0</v>
      </c>
      <c r="G11" s="250">
        <v>0</v>
      </c>
      <c r="H11" s="250">
        <v>0</v>
      </c>
      <c r="I11" s="250">
        <v>0</v>
      </c>
      <c r="J11" s="250">
        <v>0</v>
      </c>
      <c r="K11" s="250">
        <v>0</v>
      </c>
    </row>
    <row r="12" spans="1:12" x14ac:dyDescent="0.2">
      <c r="A12" s="249" t="s">
        <v>208</v>
      </c>
      <c r="B12" s="250">
        <v>0</v>
      </c>
      <c r="C12" s="250">
        <v>0</v>
      </c>
      <c r="D12" s="250">
        <v>0</v>
      </c>
      <c r="E12" s="250">
        <v>0</v>
      </c>
      <c r="F12" s="250">
        <v>0</v>
      </c>
      <c r="G12" s="250">
        <v>0</v>
      </c>
      <c r="H12" s="250">
        <v>0</v>
      </c>
      <c r="I12" s="250">
        <v>0</v>
      </c>
      <c r="J12" s="250">
        <v>0</v>
      </c>
      <c r="K12" s="250">
        <v>0</v>
      </c>
    </row>
    <row r="13" spans="1:12" x14ac:dyDescent="0.2">
      <c r="A13" s="249" t="s">
        <v>209</v>
      </c>
      <c r="B13" s="250">
        <v>8.8233866865828001E-2</v>
      </c>
      <c r="C13" s="250">
        <v>8.84787025014835E-2</v>
      </c>
      <c r="D13" s="250">
        <v>9.8567702208098198E-2</v>
      </c>
      <c r="E13" s="250">
        <v>9.9843544091336597E-2</v>
      </c>
      <c r="F13" s="250">
        <v>0.111511374889444</v>
      </c>
      <c r="G13" s="250">
        <v>0.111511374889444</v>
      </c>
      <c r="H13" s="250">
        <v>0.111511374889444</v>
      </c>
      <c r="I13" s="250">
        <v>0.111511374889444</v>
      </c>
      <c r="J13" s="250">
        <v>0.111511374889444</v>
      </c>
      <c r="K13" s="250">
        <v>0.111511374889444</v>
      </c>
    </row>
    <row r="15" spans="1:12" x14ac:dyDescent="0.2">
      <c r="A15" s="319" t="s">
        <v>288</v>
      </c>
      <c r="B15" s="251" t="s">
        <v>219</v>
      </c>
    </row>
    <row r="16" spans="1:12" ht="14.25" x14ac:dyDescent="0.2">
      <c r="A16" s="247" t="s">
        <v>287</v>
      </c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</row>
    <row r="17" spans="1:12" ht="14.25" x14ac:dyDescent="0.2">
      <c r="A17" s="247" t="s">
        <v>200</v>
      </c>
      <c r="B17" s="252">
        <v>2012</v>
      </c>
      <c r="C17" s="252">
        <v>2013</v>
      </c>
      <c r="D17" s="252">
        <v>2014</v>
      </c>
      <c r="E17" s="252">
        <v>2015</v>
      </c>
      <c r="F17" s="252">
        <v>2016</v>
      </c>
      <c r="G17" s="252">
        <v>2017</v>
      </c>
      <c r="H17" s="252">
        <v>2018</v>
      </c>
      <c r="I17" s="252">
        <v>2019</v>
      </c>
      <c r="J17" s="252">
        <v>2020</v>
      </c>
      <c r="K17" s="252">
        <v>2021</v>
      </c>
      <c r="L17" s="252">
        <v>2022</v>
      </c>
    </row>
    <row r="18" spans="1:12" x14ac:dyDescent="0.2">
      <c r="A18" s="249" t="s">
        <v>201</v>
      </c>
      <c r="B18" s="250">
        <v>5.1380000000000002E-2</v>
      </c>
      <c r="C18" s="250">
        <v>5.1380000000000002E-2</v>
      </c>
      <c r="D18" s="250">
        <v>5.1379999999999898E-2</v>
      </c>
      <c r="E18" s="250">
        <v>5.1380000000000002E-2</v>
      </c>
      <c r="F18" s="250">
        <v>5.1379999999999898E-2</v>
      </c>
      <c r="G18" s="250">
        <v>5.1380000000000002E-2</v>
      </c>
      <c r="H18" s="250">
        <v>5.1380000000000002E-2</v>
      </c>
      <c r="I18" s="250">
        <v>5.1380000000000002E-2</v>
      </c>
      <c r="J18" s="250">
        <v>5.1380000000000002E-2</v>
      </c>
      <c r="K18" s="250">
        <v>5.1380000000000002E-2</v>
      </c>
      <c r="L18" s="250">
        <v>5.1380000000000002E-2</v>
      </c>
    </row>
    <row r="19" spans="1:12" x14ac:dyDescent="0.2">
      <c r="A19" s="249" t="s">
        <v>202</v>
      </c>
      <c r="B19" s="250">
        <v>0</v>
      </c>
      <c r="C19" s="250">
        <v>0</v>
      </c>
      <c r="D19" s="250">
        <v>0</v>
      </c>
      <c r="E19" s="250">
        <v>0</v>
      </c>
      <c r="F19" s="250">
        <v>0</v>
      </c>
      <c r="G19" s="250">
        <v>0</v>
      </c>
      <c r="H19" s="250">
        <v>0</v>
      </c>
      <c r="I19" s="250">
        <v>0</v>
      </c>
      <c r="J19" s="250">
        <v>0</v>
      </c>
      <c r="K19" s="250">
        <v>0</v>
      </c>
      <c r="L19" s="250">
        <v>0</v>
      </c>
    </row>
    <row r="20" spans="1:12" x14ac:dyDescent="0.2">
      <c r="A20" s="249" t="s">
        <v>203</v>
      </c>
      <c r="B20" s="250">
        <v>8.75872431084611E-3</v>
      </c>
      <c r="C20" s="250">
        <v>8.9629425978864901E-3</v>
      </c>
      <c r="D20" s="250">
        <v>9.0911800485081098E-3</v>
      </c>
      <c r="E20" s="250">
        <v>9.1329636668369199E-3</v>
      </c>
      <c r="F20" s="250">
        <v>9.2209074150433196E-3</v>
      </c>
      <c r="G20" s="250">
        <v>9.2479322726319903E-3</v>
      </c>
      <c r="H20" s="250">
        <v>9.2479322726319903E-3</v>
      </c>
      <c r="I20" s="250">
        <v>9.2479322726319903E-3</v>
      </c>
      <c r="J20" s="250">
        <v>9.2479322726319903E-3</v>
      </c>
      <c r="K20" s="250">
        <v>9.2479322726319903E-3</v>
      </c>
      <c r="L20" s="250">
        <v>9.2479322726319903E-3</v>
      </c>
    </row>
    <row r="21" spans="1:12" x14ac:dyDescent="0.2">
      <c r="A21" s="249" t="s">
        <v>204</v>
      </c>
      <c r="B21" s="250">
        <v>0</v>
      </c>
      <c r="C21" s="250">
        <v>0</v>
      </c>
      <c r="D21" s="250">
        <v>3.2677014846388998E-3</v>
      </c>
      <c r="E21" s="250">
        <v>3.26720845431786E-3</v>
      </c>
      <c r="F21" s="250">
        <v>1.1091770746337101E-2</v>
      </c>
      <c r="G21" s="250">
        <v>1.10676386694423E-2</v>
      </c>
      <c r="H21" s="250">
        <v>1.10676386694423E-2</v>
      </c>
      <c r="I21" s="250">
        <v>1.10676386694423E-2</v>
      </c>
      <c r="J21" s="250">
        <v>1.10676386694423E-2</v>
      </c>
      <c r="K21" s="250">
        <v>1.10676386694423E-2</v>
      </c>
      <c r="L21" s="250">
        <v>1.10676386694423E-2</v>
      </c>
    </row>
    <row r="22" spans="1:12" x14ac:dyDescent="0.2">
      <c r="A22" s="249" t="s">
        <v>205</v>
      </c>
      <c r="B22" s="250">
        <v>2.4819999999999998E-2</v>
      </c>
      <c r="C22" s="250">
        <v>2.4819999999999998E-2</v>
      </c>
      <c r="D22" s="250">
        <v>2.4819999999999901E-2</v>
      </c>
      <c r="E22" s="250">
        <v>2.4819999999999998E-2</v>
      </c>
      <c r="F22" s="250">
        <v>2.4819999999999901E-2</v>
      </c>
      <c r="G22" s="250">
        <v>2.4819999999999998E-2</v>
      </c>
      <c r="H22" s="250">
        <v>2.4819999999999998E-2</v>
      </c>
      <c r="I22" s="250">
        <v>2.4819999999999998E-2</v>
      </c>
      <c r="J22" s="250">
        <v>2.4819999999999998E-2</v>
      </c>
      <c r="K22" s="250">
        <v>2.4819999999999998E-2</v>
      </c>
      <c r="L22" s="250">
        <v>2.4819999999999998E-2</v>
      </c>
    </row>
    <row r="23" spans="1:12" x14ac:dyDescent="0.2">
      <c r="A23" s="249" t="s">
        <v>206</v>
      </c>
      <c r="B23" s="250">
        <v>4.3916624155686799E-4</v>
      </c>
      <c r="C23" s="250">
        <v>2.18331081226943E-3</v>
      </c>
      <c r="D23" s="250">
        <v>3.4878309741595099E-3</v>
      </c>
      <c r="E23" s="250">
        <v>4.77902412290455E-3</v>
      </c>
      <c r="F23" s="250">
        <v>6.5568536113851002E-3</v>
      </c>
      <c r="G23" s="250">
        <v>8.82104983274303E-3</v>
      </c>
      <c r="H23" s="250">
        <v>8.82104983274303E-3</v>
      </c>
      <c r="I23" s="250">
        <v>8.82104983274303E-3</v>
      </c>
      <c r="J23" s="250">
        <v>8.82104983274303E-3</v>
      </c>
      <c r="K23" s="250">
        <v>8.82104983274303E-3</v>
      </c>
      <c r="L23" s="250">
        <v>8.82104983274303E-3</v>
      </c>
    </row>
    <row r="24" spans="1:12" x14ac:dyDescent="0.2">
      <c r="A24" s="249" t="s">
        <v>207</v>
      </c>
      <c r="B24" s="250">
        <v>0</v>
      </c>
      <c r="C24" s="250">
        <v>0</v>
      </c>
      <c r="D24" s="250">
        <v>0</v>
      </c>
      <c r="E24" s="250">
        <v>0</v>
      </c>
      <c r="F24" s="250">
        <v>0</v>
      </c>
      <c r="G24" s="250">
        <v>0</v>
      </c>
      <c r="H24" s="250">
        <v>0</v>
      </c>
      <c r="I24" s="250">
        <v>0</v>
      </c>
      <c r="J24" s="250">
        <v>0</v>
      </c>
      <c r="K24" s="250">
        <v>0</v>
      </c>
      <c r="L24" s="250">
        <v>0</v>
      </c>
    </row>
    <row r="25" spans="1:12" x14ac:dyDescent="0.2">
      <c r="A25" s="249" t="s">
        <v>208</v>
      </c>
      <c r="B25" s="250">
        <v>0</v>
      </c>
      <c r="C25" s="250">
        <v>0</v>
      </c>
      <c r="D25" s="250">
        <v>0</v>
      </c>
      <c r="E25" s="250">
        <v>0</v>
      </c>
      <c r="F25" s="250">
        <v>0</v>
      </c>
      <c r="G25" s="250">
        <v>0</v>
      </c>
      <c r="H25" s="250">
        <v>0</v>
      </c>
      <c r="I25" s="250">
        <v>0</v>
      </c>
      <c r="J25" s="250">
        <v>0</v>
      </c>
      <c r="K25" s="250">
        <v>0</v>
      </c>
      <c r="L25" s="250">
        <v>0</v>
      </c>
    </row>
    <row r="26" spans="1:12" x14ac:dyDescent="0.2">
      <c r="A26" s="249" t="s">
        <v>209</v>
      </c>
      <c r="B26" s="250">
        <v>8.5397890552402905E-2</v>
      </c>
      <c r="C26" s="250">
        <v>8.7346253410155894E-2</v>
      </c>
      <c r="D26" s="250">
        <v>9.2046712507306505E-2</v>
      </c>
      <c r="E26" s="250">
        <v>9.3379196244059298E-2</v>
      </c>
      <c r="F26" s="250">
        <v>0.103069531772765</v>
      </c>
      <c r="G26" s="250">
        <v>0.10533662077481699</v>
      </c>
      <c r="H26" s="250">
        <v>0.10533662077481699</v>
      </c>
      <c r="I26" s="250">
        <v>0.10533662077481699</v>
      </c>
      <c r="J26" s="250">
        <v>0.10533662077481699</v>
      </c>
      <c r="K26" s="250">
        <v>0.10533662077481699</v>
      </c>
      <c r="L26" s="250">
        <v>0.10533662077481699</v>
      </c>
    </row>
    <row r="28" spans="1:12" x14ac:dyDescent="0.2">
      <c r="C28" s="172">
        <f>C26/C13-1</f>
        <v>-1.2799115033458097E-2</v>
      </c>
      <c r="D28" s="172">
        <f t="shared" ref="D28:K28" si="0">D26/D13-1</f>
        <v>-6.6157468975227229E-2</v>
      </c>
      <c r="E28" s="172">
        <f t="shared" si="0"/>
        <v>-6.474477549959301E-2</v>
      </c>
      <c r="F28" s="172">
        <f t="shared" si="0"/>
        <v>-7.5703874380963598E-2</v>
      </c>
      <c r="G28" s="172">
        <f t="shared" si="0"/>
        <v>-5.5373311653173163E-2</v>
      </c>
      <c r="H28" s="172">
        <f t="shared" si="0"/>
        <v>-5.5373311653173163E-2</v>
      </c>
      <c r="I28" s="172">
        <f t="shared" si="0"/>
        <v>-5.5373311653173163E-2</v>
      </c>
      <c r="J28" s="172">
        <f t="shared" si="0"/>
        <v>-5.5373311653173163E-2</v>
      </c>
      <c r="K28" s="172">
        <f t="shared" si="0"/>
        <v>-5.5373311653173163E-2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tabSelected="1" topLeftCell="I2" workbookViewId="0"/>
  </sheetViews>
  <sheetFormatPr defaultRowHeight="12.75" x14ac:dyDescent="0.2"/>
  <cols>
    <col min="1" max="1" width="13.140625" style="170" customWidth="1"/>
    <col min="2" max="2" width="12" style="170" customWidth="1"/>
    <col min="3" max="6" width="9.140625" style="170"/>
    <col min="7" max="7" width="10.28515625" style="170" customWidth="1"/>
    <col min="8" max="8" width="27.7109375" style="170" customWidth="1"/>
    <col min="9" max="9" width="18.5703125" style="170" bestFit="1" customWidth="1"/>
    <col min="10" max="11" width="9.140625" style="170"/>
    <col min="12" max="12" width="10.28515625" style="170" customWidth="1"/>
    <col min="13" max="14" width="25" style="170" customWidth="1"/>
    <col min="15" max="15" width="25" style="170" bestFit="1" customWidth="1"/>
    <col min="16" max="16384" width="9.140625" style="170"/>
  </cols>
  <sheetData>
    <row r="1" spans="1:15" x14ac:dyDescent="0.2">
      <c r="K1" s="267"/>
    </row>
    <row r="2" spans="1:15" x14ac:dyDescent="0.2">
      <c r="K2" s="267"/>
    </row>
    <row r="3" spans="1:15" x14ac:dyDescent="0.2">
      <c r="A3" s="170" t="s">
        <v>289</v>
      </c>
      <c r="H3" s="170" t="s">
        <v>221</v>
      </c>
      <c r="K3" s="267"/>
      <c r="M3" s="170" t="s">
        <v>221</v>
      </c>
    </row>
    <row r="4" spans="1:15" x14ac:dyDescent="0.2">
      <c r="A4" s="170" t="s">
        <v>15</v>
      </c>
      <c r="B4" s="170" t="s">
        <v>193</v>
      </c>
      <c r="G4" s="170" t="s">
        <v>15</v>
      </c>
      <c r="H4" s="170" t="s">
        <v>290</v>
      </c>
      <c r="I4" s="170" t="s">
        <v>291</v>
      </c>
      <c r="K4" s="267"/>
      <c r="L4" s="170" t="s">
        <v>15</v>
      </c>
      <c r="M4" s="170" t="s">
        <v>292</v>
      </c>
      <c r="N4" s="170" t="s">
        <v>293</v>
      </c>
      <c r="O4" s="170" t="s">
        <v>294</v>
      </c>
    </row>
    <row r="5" spans="1:15" x14ac:dyDescent="0.2">
      <c r="A5" s="170">
        <v>2001</v>
      </c>
      <c r="B5" s="267">
        <v>395346.40499999997</v>
      </c>
      <c r="G5" s="170">
        <v>2001</v>
      </c>
      <c r="H5" s="267">
        <v>24870.5</v>
      </c>
      <c r="I5" s="267">
        <v>24884.833333333332</v>
      </c>
      <c r="K5" s="267"/>
      <c r="L5" s="170">
        <v>2001</v>
      </c>
      <c r="M5" s="313">
        <v>4.2694402357305545</v>
      </c>
      <c r="N5" s="313">
        <v>4.2694402357305545</v>
      </c>
      <c r="O5" s="313">
        <v>4.2694402357305545</v>
      </c>
    </row>
    <row r="6" spans="1:15" x14ac:dyDescent="0.2">
      <c r="A6" s="170">
        <v>2002</v>
      </c>
      <c r="B6" s="267">
        <v>405493.12499999994</v>
      </c>
      <c r="G6" s="170">
        <v>2002</v>
      </c>
      <c r="H6" s="267">
        <v>24938.083333333332</v>
      </c>
      <c r="I6" s="267">
        <v>24938.083333333332</v>
      </c>
      <c r="K6" s="267"/>
      <c r="L6" s="170">
        <v>2002</v>
      </c>
      <c r="M6" s="313">
        <v>4.4570082936790261</v>
      </c>
      <c r="N6" s="313">
        <v>4.4570082936790261</v>
      </c>
      <c r="O6" s="313">
        <v>4.4570082936790261</v>
      </c>
    </row>
    <row r="7" spans="1:15" x14ac:dyDescent="0.2">
      <c r="A7" s="170">
        <v>2003</v>
      </c>
      <c r="B7" s="267">
        <v>407251.22499999998</v>
      </c>
      <c r="G7" s="170">
        <v>2003</v>
      </c>
      <c r="H7" s="267">
        <v>24935.583333333332</v>
      </c>
      <c r="I7" s="267">
        <v>24935.583333333332</v>
      </c>
      <c r="K7" s="267"/>
      <c r="L7" s="170">
        <v>2003</v>
      </c>
      <c r="M7" s="313">
        <v>4.5960275764781935</v>
      </c>
      <c r="N7" s="313">
        <v>4.5960275764781935</v>
      </c>
      <c r="O7" s="313">
        <v>4.5960275764781935</v>
      </c>
    </row>
    <row r="8" spans="1:15" x14ac:dyDescent="0.2">
      <c r="A8" s="170">
        <v>2004</v>
      </c>
      <c r="B8" s="267">
        <v>405275.397</v>
      </c>
      <c r="G8" s="170">
        <v>2004</v>
      </c>
      <c r="H8" s="267">
        <v>25007.083333333332</v>
      </c>
      <c r="I8" s="267">
        <v>25007.083333333332</v>
      </c>
      <c r="K8" s="267"/>
      <c r="L8" s="170">
        <v>2004</v>
      </c>
      <c r="M8" s="313">
        <v>5</v>
      </c>
      <c r="N8" s="313">
        <v>5</v>
      </c>
      <c r="O8" s="313">
        <v>5</v>
      </c>
    </row>
    <row r="9" spans="1:15" x14ac:dyDescent="0.2">
      <c r="A9" s="170">
        <v>2005</v>
      </c>
      <c r="B9" s="267">
        <v>420694.50499999989</v>
      </c>
      <c r="G9" s="170">
        <v>2005</v>
      </c>
      <c r="H9" s="267">
        <v>24968.833333333332</v>
      </c>
      <c r="I9" s="267">
        <v>24968.833333333332</v>
      </c>
      <c r="K9" s="267"/>
      <c r="L9" s="170">
        <v>2005</v>
      </c>
      <c r="M9" s="313">
        <v>5.1824420638157411</v>
      </c>
      <c r="N9" s="313">
        <v>5.1824420638157411</v>
      </c>
      <c r="O9" s="313">
        <v>5.1824420638157411</v>
      </c>
    </row>
    <row r="10" spans="1:15" x14ac:dyDescent="0.2">
      <c r="A10" s="170">
        <v>2006</v>
      </c>
      <c r="B10" s="267">
        <v>411428.77599999995</v>
      </c>
      <c r="G10" s="170">
        <v>2006</v>
      </c>
      <c r="H10" s="267">
        <v>24938.083333333332</v>
      </c>
      <c r="I10" s="267">
        <v>24938.083333333332</v>
      </c>
      <c r="K10" s="267"/>
      <c r="L10" s="170">
        <v>2006</v>
      </c>
      <c r="M10" s="313">
        <v>5.7326028990148865</v>
      </c>
      <c r="N10" s="313">
        <v>5.7326028990148865</v>
      </c>
      <c r="O10" s="313">
        <v>5.7326028990148865</v>
      </c>
    </row>
    <row r="11" spans="1:15" x14ac:dyDescent="0.2">
      <c r="A11" s="170">
        <v>2007</v>
      </c>
      <c r="B11" s="267">
        <v>413020.92600000004</v>
      </c>
      <c r="G11" s="170">
        <v>2007</v>
      </c>
      <c r="H11" s="267">
        <v>24851.333333333332</v>
      </c>
      <c r="I11" s="267">
        <v>24851.333333333332</v>
      </c>
      <c r="K11" s="267"/>
      <c r="L11" s="170">
        <v>2007</v>
      </c>
      <c r="M11" s="313">
        <v>6.282602899014889</v>
      </c>
      <c r="N11" s="313">
        <v>6.282602899014889</v>
      </c>
      <c r="O11" s="313">
        <v>6.282602899014889</v>
      </c>
    </row>
    <row r="12" spans="1:15" x14ac:dyDescent="0.2">
      <c r="A12" s="170">
        <v>2008</v>
      </c>
      <c r="B12" s="267">
        <v>421678.39500000002</v>
      </c>
      <c r="G12" s="170">
        <v>2008</v>
      </c>
      <c r="H12" s="267">
        <v>25336.916666666668</v>
      </c>
      <c r="I12" s="267">
        <v>24815.166666666668</v>
      </c>
      <c r="K12" s="267"/>
      <c r="L12" s="170">
        <v>2008</v>
      </c>
      <c r="M12" s="313">
        <v>6.8191285113595219</v>
      </c>
      <c r="N12" s="313">
        <v>6.8191285113595219</v>
      </c>
      <c r="O12" s="313">
        <v>6.8191285113595219</v>
      </c>
    </row>
    <row r="13" spans="1:15" x14ac:dyDescent="0.2">
      <c r="A13" s="170">
        <v>2009</v>
      </c>
      <c r="B13" s="267">
        <v>418192.342</v>
      </c>
      <c r="G13" s="170">
        <v>2009</v>
      </c>
      <c r="H13" s="267">
        <v>25175</v>
      </c>
      <c r="I13" s="267">
        <v>25038.333333333332</v>
      </c>
      <c r="K13" s="267"/>
      <c r="L13" s="170">
        <v>2009</v>
      </c>
      <c r="M13" s="313">
        <v>6.8549750593316228</v>
      </c>
      <c r="N13" s="313">
        <v>6.8549750593316228</v>
      </c>
      <c r="O13" s="313">
        <v>6.8549750593316228</v>
      </c>
    </row>
    <row r="14" spans="1:15" x14ac:dyDescent="0.2">
      <c r="A14" s="170">
        <v>2010</v>
      </c>
      <c r="B14" s="267">
        <v>435730.35399999999</v>
      </c>
      <c r="G14" s="170">
        <v>2010</v>
      </c>
      <c r="H14" s="267">
        <v>24937.833333333332</v>
      </c>
      <c r="I14" s="267">
        <v>24966.416666666668</v>
      </c>
      <c r="K14" s="267"/>
      <c r="L14" s="170">
        <v>2010</v>
      </c>
      <c r="M14" s="313">
        <v>6.9359266638266233</v>
      </c>
      <c r="N14" s="313">
        <v>6.9421927241744967</v>
      </c>
      <c r="O14" s="313">
        <v>6.9421927241744967</v>
      </c>
    </row>
    <row r="15" spans="1:15" x14ac:dyDescent="0.2">
      <c r="A15" s="170">
        <v>2011</v>
      </c>
      <c r="B15" s="267">
        <v>415479.75400000002</v>
      </c>
      <c r="G15" s="170">
        <v>2011</v>
      </c>
      <c r="H15" s="267">
        <v>24943.333333333332</v>
      </c>
      <c r="I15" s="267">
        <v>24856.166666666668</v>
      </c>
      <c r="K15" s="267"/>
      <c r="L15" s="170">
        <v>2011</v>
      </c>
      <c r="M15" s="313">
        <v>6.867</v>
      </c>
      <c r="N15" s="313">
        <v>6.867</v>
      </c>
      <c r="O15" s="313">
        <v>6.867</v>
      </c>
    </row>
    <row r="16" spans="1:15" x14ac:dyDescent="0.2">
      <c r="A16" s="170">
        <v>2012</v>
      </c>
      <c r="B16" s="267">
        <v>376816.21399999992</v>
      </c>
      <c r="G16" s="170">
        <v>2012</v>
      </c>
      <c r="H16" s="267">
        <v>24919</v>
      </c>
      <c r="I16" s="267">
        <v>24630.75</v>
      </c>
      <c r="K16" s="267"/>
      <c r="L16" s="170">
        <v>2012</v>
      </c>
      <c r="M16" s="313">
        <v>7.4624290124847041</v>
      </c>
      <c r="N16" s="313">
        <v>8.8233866865828023</v>
      </c>
      <c r="O16" s="313">
        <v>8.5397890552402913</v>
      </c>
    </row>
    <row r="17" spans="1:15" x14ac:dyDescent="0.2">
      <c r="A17" s="170">
        <v>2013</v>
      </c>
      <c r="B17" s="267">
        <v>149831.28599999999</v>
      </c>
      <c r="G17" s="170">
        <v>2013</v>
      </c>
      <c r="H17" s="267">
        <v>24895</v>
      </c>
      <c r="I17" s="267">
        <v>24501.833333333332</v>
      </c>
      <c r="K17" s="267"/>
      <c r="L17" s="170">
        <v>2013</v>
      </c>
      <c r="M17" s="313">
        <v>7.459108095446628</v>
      </c>
      <c r="N17" s="313">
        <v>8.8478702501483486</v>
      </c>
      <c r="O17" s="313">
        <v>8.7346253410155885</v>
      </c>
    </row>
    <row r="18" spans="1:15" x14ac:dyDescent="0.2">
      <c r="A18" s="170">
        <v>2014</v>
      </c>
      <c r="B18" s="267"/>
      <c r="G18" s="170">
        <v>2014</v>
      </c>
      <c r="H18" s="267">
        <v>24871</v>
      </c>
      <c r="I18" s="267">
        <v>24491.5</v>
      </c>
      <c r="K18" s="267"/>
      <c r="L18" s="170">
        <v>2014</v>
      </c>
      <c r="M18" s="313">
        <v>8.1713101443026499</v>
      </c>
      <c r="N18" s="313">
        <v>9.8567702208098193</v>
      </c>
      <c r="O18" s="313">
        <v>9.2046712507306516</v>
      </c>
    </row>
    <row r="19" spans="1:15" x14ac:dyDescent="0.2">
      <c r="A19" s="170">
        <v>2015</v>
      </c>
      <c r="B19" s="260"/>
      <c r="G19" s="170">
        <v>2015</v>
      </c>
      <c r="H19" s="267">
        <v>24847</v>
      </c>
      <c r="I19" s="267">
        <v>24479.5</v>
      </c>
      <c r="K19" s="267"/>
      <c r="L19" s="170">
        <v>2015</v>
      </c>
      <c r="M19" s="313">
        <v>8.1602139087259271</v>
      </c>
      <c r="N19" s="313">
        <v>9.98435440913366</v>
      </c>
      <c r="O19" s="313">
        <v>9.337919624405929</v>
      </c>
    </row>
    <row r="20" spans="1:15" x14ac:dyDescent="0.2">
      <c r="A20" s="170">
        <v>2016</v>
      </c>
      <c r="B20" s="260"/>
      <c r="G20" s="170">
        <v>2016</v>
      </c>
      <c r="H20" s="267">
        <v>24823</v>
      </c>
      <c r="I20" s="267">
        <v>24467.5</v>
      </c>
      <c r="K20" s="267"/>
      <c r="L20" s="170">
        <v>2016</v>
      </c>
      <c r="M20" s="313">
        <v>8.9141516065326432</v>
      </c>
      <c r="N20" s="313">
        <v>11.1511374889444</v>
      </c>
      <c r="O20" s="313">
        <v>10.306953177276499</v>
      </c>
    </row>
    <row r="21" spans="1:15" x14ac:dyDescent="0.2">
      <c r="A21" s="170">
        <v>2017</v>
      </c>
      <c r="B21" s="260"/>
      <c r="G21" s="170">
        <v>2017</v>
      </c>
      <c r="H21" s="267">
        <v>24799</v>
      </c>
      <c r="I21" s="267">
        <v>24455.5</v>
      </c>
      <c r="K21" s="267"/>
      <c r="L21" s="170">
        <v>2017</v>
      </c>
      <c r="M21" s="313">
        <v>8.9002615420299822</v>
      </c>
      <c r="N21" s="313">
        <v>11.37416023872329</v>
      </c>
      <c r="O21" s="313">
        <v>10.533662077481697</v>
      </c>
    </row>
    <row r="22" spans="1:15" x14ac:dyDescent="0.2">
      <c r="A22" s="170">
        <v>2018</v>
      </c>
      <c r="B22" s="260"/>
      <c r="G22" s="170">
        <v>2018</v>
      </c>
      <c r="H22" s="267">
        <v>24775</v>
      </c>
      <c r="I22" s="267">
        <v>24443.5</v>
      </c>
      <c r="K22" s="267"/>
      <c r="L22" s="170">
        <v>2018</v>
      </c>
      <c r="M22" s="313">
        <v>10.265524702749273</v>
      </c>
      <c r="N22" s="313">
        <v>11.601643443497752</v>
      </c>
      <c r="O22" s="313">
        <v>10.744335319031334</v>
      </c>
    </row>
    <row r="23" spans="1:15" x14ac:dyDescent="0.2">
      <c r="A23" s="170">
        <v>2019</v>
      </c>
      <c r="B23" s="260"/>
      <c r="G23" s="170">
        <v>2019</v>
      </c>
      <c r="H23" s="267">
        <v>24751</v>
      </c>
      <c r="I23" s="267">
        <v>24431.5</v>
      </c>
      <c r="K23" s="267"/>
      <c r="L23" s="170">
        <v>2019</v>
      </c>
      <c r="M23" s="313">
        <v>10.239441999711174</v>
      </c>
      <c r="N23" s="313">
        <v>11.833676312367713</v>
      </c>
      <c r="O23" s="313">
        <v>10.959222025411959</v>
      </c>
    </row>
    <row r="24" spans="1:15" x14ac:dyDescent="0.2">
      <c r="A24" s="170">
        <v>2020</v>
      </c>
      <c r="B24" s="260"/>
      <c r="G24" s="170">
        <v>2020</v>
      </c>
      <c r="H24" s="267">
        <v>24727</v>
      </c>
      <c r="I24" s="267">
        <v>24419.5</v>
      </c>
      <c r="K24" s="267"/>
      <c r="L24" s="170">
        <v>2020</v>
      </c>
      <c r="M24" s="313">
        <v>10.760366634676474</v>
      </c>
      <c r="N24" s="313">
        <v>12.070349838615064</v>
      </c>
      <c r="O24" s="313">
        <v>11.178406465920203</v>
      </c>
    </row>
    <row r="25" spans="1:15" x14ac:dyDescent="0.2">
      <c r="A25" s="170">
        <v>2021</v>
      </c>
      <c r="B25" s="260"/>
      <c r="G25" s="170">
        <v>2021</v>
      </c>
      <c r="H25" s="267">
        <v>24703</v>
      </c>
      <c r="I25" s="267">
        <v>24407.5</v>
      </c>
      <c r="K25" s="289"/>
      <c r="L25" s="170">
        <v>2021</v>
      </c>
      <c r="M25" s="313">
        <v>11.02937580054339</v>
      </c>
      <c r="N25" s="313">
        <v>12.311756835387369</v>
      </c>
      <c r="O25" s="313">
        <v>11.401974595238601</v>
      </c>
    </row>
    <row r="26" spans="1:15" x14ac:dyDescent="0.2">
      <c r="A26" s="170">
        <v>2022</v>
      </c>
      <c r="B26" s="260"/>
      <c r="G26" s="170">
        <v>2022</v>
      </c>
      <c r="H26" s="267">
        <v>24679</v>
      </c>
      <c r="I26" s="267">
        <v>24395.5</v>
      </c>
      <c r="L26" s="170">
        <v>2022</v>
      </c>
      <c r="M26" s="313">
        <v>11.305110195556972</v>
      </c>
      <c r="N26" s="313">
        <v>12.557991972095111</v>
      </c>
      <c r="O26" s="313">
        <v>11.630014087143378</v>
      </c>
    </row>
    <row r="27" spans="1:15" x14ac:dyDescent="0.2">
      <c r="A27" s="170">
        <v>2023</v>
      </c>
      <c r="B27" s="260"/>
      <c r="G27" s="170">
        <v>2023</v>
      </c>
      <c r="H27" s="267">
        <v>24655</v>
      </c>
      <c r="I27" s="267">
        <v>24383.5</v>
      </c>
      <c r="L27" s="170">
        <v>2023</v>
      </c>
      <c r="M27" s="313">
        <v>11.587737950445897</v>
      </c>
      <c r="N27" s="313">
        <v>12.809151811537019</v>
      </c>
      <c r="O27" s="313">
        <v>11.862614368886241</v>
      </c>
    </row>
    <row r="28" spans="1:15" x14ac:dyDescent="0.2">
      <c r="A28" s="170">
        <v>2024</v>
      </c>
      <c r="B28" s="260"/>
      <c r="G28" s="170">
        <v>2024</v>
      </c>
      <c r="H28" s="267">
        <v>24631</v>
      </c>
      <c r="I28" s="267">
        <v>24371.5</v>
      </c>
      <c r="L28" s="170">
        <v>2024</v>
      </c>
      <c r="M28" s="313">
        <v>11.87743139920704</v>
      </c>
      <c r="N28" s="313">
        <v>13.065334847767756</v>
      </c>
      <c r="O28" s="313">
        <v>12.099866656263968</v>
      </c>
    </row>
    <row r="29" spans="1:15" x14ac:dyDescent="0.2">
      <c r="A29" s="170" t="s">
        <v>194</v>
      </c>
      <c r="B29" s="260">
        <v>5076238.7039999999</v>
      </c>
      <c r="G29" s="170" t="s">
        <v>194</v>
      </c>
      <c r="H29" s="267">
        <v>24874.065972222223</v>
      </c>
      <c r="I29" s="267">
        <v>24669.958333333332</v>
      </c>
      <c r="L29" s="170" t="s">
        <v>194</v>
      </c>
      <c r="M29" s="313">
        <v>7.8804007164443179</v>
      </c>
      <c r="N29" s="313">
        <v>8.7204585257586977</v>
      </c>
      <c r="O29" s="313">
        <v>8.314061429443548</v>
      </c>
    </row>
  </sheetData>
  <pageMargins left="0.75" right="0.75" top="1.25" bottom="1" header="0.5" footer="0.5"/>
  <pageSetup orientation="portrait" r:id="rId4"/>
  <headerFooter alignWithMargins="0">
    <oddHeader xml:space="preserve">&amp;R&amp;"Times New Roman,Bold"&amp;12Attachment to Response to Sierra Club Question No. 1.3 #11
Page &amp;P of &amp;N
Schram
</oddHeader>
  </headerFooter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17"/>
  <sheetViews>
    <sheetView tabSelected="1" workbookViewId="0">
      <pane xSplit="2" ySplit="1" topLeftCell="I480" activePane="bottomRight" state="frozen"/>
      <selection pane="topRight"/>
      <selection pane="bottomLeft"/>
      <selection pane="bottomRight"/>
    </sheetView>
  </sheetViews>
  <sheetFormatPr defaultColWidth="15.7109375" defaultRowHeight="12.75" x14ac:dyDescent="0.2"/>
  <cols>
    <col min="1" max="1" width="6" style="147" bestFit="1" customWidth="1"/>
    <col min="2" max="2" width="7.140625" style="147" bestFit="1" customWidth="1"/>
    <col min="3" max="3" width="10.7109375" style="162" bestFit="1" customWidth="1"/>
    <col min="4" max="4" width="10.85546875" style="167" bestFit="1" customWidth="1"/>
    <col min="5" max="5" width="16.140625" style="167" bestFit="1" customWidth="1"/>
    <col min="6" max="6" width="11.140625" style="166" bestFit="1" customWidth="1"/>
    <col min="7" max="7" width="18.42578125" style="156" hidden="1" customWidth="1"/>
    <col min="8" max="9" width="10.85546875" style="156" customWidth="1"/>
    <col min="10" max="10" width="19.7109375" style="156" bestFit="1" customWidth="1"/>
    <col min="11" max="11" width="15.7109375" style="147"/>
    <col min="12" max="12" width="22.85546875" style="150" customWidth="1"/>
    <col min="13" max="13" width="27.28515625" customWidth="1"/>
    <col min="14" max="14" width="6.7109375" style="162" bestFit="1" customWidth="1"/>
    <col min="15" max="15" width="5.5703125" style="162" bestFit="1" customWidth="1"/>
    <col min="16" max="16" width="14.42578125" style="159" bestFit="1" customWidth="1"/>
    <col min="17" max="17" width="14.28515625" style="159" bestFit="1" customWidth="1"/>
    <col min="18" max="19" width="14.28515625" style="159" customWidth="1"/>
    <col min="20" max="21" width="0" style="147" hidden="1" customWidth="1"/>
    <col min="22" max="260" width="15.7109375" style="147"/>
    <col min="261" max="261" width="6" style="147" bestFit="1" customWidth="1"/>
    <col min="262" max="262" width="7.140625" style="147" bestFit="1" customWidth="1"/>
    <col min="263" max="263" width="9.140625" style="147" bestFit="1" customWidth="1"/>
    <col min="264" max="264" width="10.85546875" style="147" bestFit="1" customWidth="1"/>
    <col min="265" max="265" width="10.85546875" style="147" customWidth="1"/>
    <col min="266" max="266" width="11.140625" style="147" bestFit="1" customWidth="1"/>
    <col min="267" max="267" width="10.85546875" style="147" bestFit="1" customWidth="1"/>
    <col min="268" max="268" width="11.42578125" style="147" bestFit="1" customWidth="1"/>
    <col min="269" max="269" width="15.85546875" style="147" bestFit="1" customWidth="1"/>
    <col min="270" max="270" width="6.7109375" style="147" bestFit="1" customWidth="1"/>
    <col min="271" max="271" width="5.5703125" style="147" bestFit="1" customWidth="1"/>
    <col min="272" max="272" width="14.42578125" style="147" bestFit="1" customWidth="1"/>
    <col min="273" max="273" width="14.28515625" style="147" bestFit="1" customWidth="1"/>
    <col min="274" max="274" width="14.28515625" style="147" customWidth="1"/>
    <col min="275" max="516" width="15.7109375" style="147"/>
    <col min="517" max="517" width="6" style="147" bestFit="1" customWidth="1"/>
    <col min="518" max="518" width="7.140625" style="147" bestFit="1" customWidth="1"/>
    <col min="519" max="519" width="9.140625" style="147" bestFit="1" customWidth="1"/>
    <col min="520" max="520" width="10.85546875" style="147" bestFit="1" customWidth="1"/>
    <col min="521" max="521" width="10.85546875" style="147" customWidth="1"/>
    <col min="522" max="522" width="11.140625" style="147" bestFit="1" customWidth="1"/>
    <col min="523" max="523" width="10.85546875" style="147" bestFit="1" customWidth="1"/>
    <col min="524" max="524" width="11.42578125" style="147" bestFit="1" customWidth="1"/>
    <col min="525" max="525" width="15.85546875" style="147" bestFit="1" customWidth="1"/>
    <col min="526" max="526" width="6.7109375" style="147" bestFit="1" customWidth="1"/>
    <col min="527" max="527" width="5.5703125" style="147" bestFit="1" customWidth="1"/>
    <col min="528" max="528" width="14.42578125" style="147" bestFit="1" customWidth="1"/>
    <col min="529" max="529" width="14.28515625" style="147" bestFit="1" customWidth="1"/>
    <col min="530" max="530" width="14.28515625" style="147" customWidth="1"/>
    <col min="531" max="772" width="15.7109375" style="147"/>
    <col min="773" max="773" width="6" style="147" bestFit="1" customWidth="1"/>
    <col min="774" max="774" width="7.140625" style="147" bestFit="1" customWidth="1"/>
    <col min="775" max="775" width="9.140625" style="147" bestFit="1" customWidth="1"/>
    <col min="776" max="776" width="10.85546875" style="147" bestFit="1" customWidth="1"/>
    <col min="777" max="777" width="10.85546875" style="147" customWidth="1"/>
    <col min="778" max="778" width="11.140625" style="147" bestFit="1" customWidth="1"/>
    <col min="779" max="779" width="10.85546875" style="147" bestFit="1" customWidth="1"/>
    <col min="780" max="780" width="11.42578125" style="147" bestFit="1" customWidth="1"/>
    <col min="781" max="781" width="15.85546875" style="147" bestFit="1" customWidth="1"/>
    <col min="782" max="782" width="6.7109375" style="147" bestFit="1" customWidth="1"/>
    <col min="783" max="783" width="5.5703125" style="147" bestFit="1" customWidth="1"/>
    <col min="784" max="784" width="14.42578125" style="147" bestFit="1" customWidth="1"/>
    <col min="785" max="785" width="14.28515625" style="147" bestFit="1" customWidth="1"/>
    <col min="786" max="786" width="14.28515625" style="147" customWidth="1"/>
    <col min="787" max="1028" width="15.7109375" style="147"/>
    <col min="1029" max="1029" width="6" style="147" bestFit="1" customWidth="1"/>
    <col min="1030" max="1030" width="7.140625" style="147" bestFit="1" customWidth="1"/>
    <col min="1031" max="1031" width="9.140625" style="147" bestFit="1" customWidth="1"/>
    <col min="1032" max="1032" width="10.85546875" style="147" bestFit="1" customWidth="1"/>
    <col min="1033" max="1033" width="10.85546875" style="147" customWidth="1"/>
    <col min="1034" max="1034" width="11.140625" style="147" bestFit="1" customWidth="1"/>
    <col min="1035" max="1035" width="10.85546875" style="147" bestFit="1" customWidth="1"/>
    <col min="1036" max="1036" width="11.42578125" style="147" bestFit="1" customWidth="1"/>
    <col min="1037" max="1037" width="15.85546875" style="147" bestFit="1" customWidth="1"/>
    <col min="1038" max="1038" width="6.7109375" style="147" bestFit="1" customWidth="1"/>
    <col min="1039" max="1039" width="5.5703125" style="147" bestFit="1" customWidth="1"/>
    <col min="1040" max="1040" width="14.42578125" style="147" bestFit="1" customWidth="1"/>
    <col min="1041" max="1041" width="14.28515625" style="147" bestFit="1" customWidth="1"/>
    <col min="1042" max="1042" width="14.28515625" style="147" customWidth="1"/>
    <col min="1043" max="1284" width="15.7109375" style="147"/>
    <col min="1285" max="1285" width="6" style="147" bestFit="1" customWidth="1"/>
    <col min="1286" max="1286" width="7.140625" style="147" bestFit="1" customWidth="1"/>
    <col min="1287" max="1287" width="9.140625" style="147" bestFit="1" customWidth="1"/>
    <col min="1288" max="1288" width="10.85546875" style="147" bestFit="1" customWidth="1"/>
    <col min="1289" max="1289" width="10.85546875" style="147" customWidth="1"/>
    <col min="1290" max="1290" width="11.140625" style="147" bestFit="1" customWidth="1"/>
    <col min="1291" max="1291" width="10.85546875" style="147" bestFit="1" customWidth="1"/>
    <col min="1292" max="1292" width="11.42578125" style="147" bestFit="1" customWidth="1"/>
    <col min="1293" max="1293" width="15.85546875" style="147" bestFit="1" customWidth="1"/>
    <col min="1294" max="1294" width="6.7109375" style="147" bestFit="1" customWidth="1"/>
    <col min="1295" max="1295" width="5.5703125" style="147" bestFit="1" customWidth="1"/>
    <col min="1296" max="1296" width="14.42578125" style="147" bestFit="1" customWidth="1"/>
    <col min="1297" max="1297" width="14.28515625" style="147" bestFit="1" customWidth="1"/>
    <col min="1298" max="1298" width="14.28515625" style="147" customWidth="1"/>
    <col min="1299" max="1540" width="15.7109375" style="147"/>
    <col min="1541" max="1541" width="6" style="147" bestFit="1" customWidth="1"/>
    <col min="1542" max="1542" width="7.140625" style="147" bestFit="1" customWidth="1"/>
    <col min="1543" max="1543" width="9.140625" style="147" bestFit="1" customWidth="1"/>
    <col min="1544" max="1544" width="10.85546875" style="147" bestFit="1" customWidth="1"/>
    <col min="1545" max="1545" width="10.85546875" style="147" customWidth="1"/>
    <col min="1546" max="1546" width="11.140625" style="147" bestFit="1" customWidth="1"/>
    <col min="1547" max="1547" width="10.85546875" style="147" bestFit="1" customWidth="1"/>
    <col min="1548" max="1548" width="11.42578125" style="147" bestFit="1" customWidth="1"/>
    <col min="1549" max="1549" width="15.85546875" style="147" bestFit="1" customWidth="1"/>
    <col min="1550" max="1550" width="6.7109375" style="147" bestFit="1" customWidth="1"/>
    <col min="1551" max="1551" width="5.5703125" style="147" bestFit="1" customWidth="1"/>
    <col min="1552" max="1552" width="14.42578125" style="147" bestFit="1" customWidth="1"/>
    <col min="1553" max="1553" width="14.28515625" style="147" bestFit="1" customWidth="1"/>
    <col min="1554" max="1554" width="14.28515625" style="147" customWidth="1"/>
    <col min="1555" max="1796" width="15.7109375" style="147"/>
    <col min="1797" max="1797" width="6" style="147" bestFit="1" customWidth="1"/>
    <col min="1798" max="1798" width="7.140625" style="147" bestFit="1" customWidth="1"/>
    <col min="1799" max="1799" width="9.140625" style="147" bestFit="1" customWidth="1"/>
    <col min="1800" max="1800" width="10.85546875" style="147" bestFit="1" customWidth="1"/>
    <col min="1801" max="1801" width="10.85546875" style="147" customWidth="1"/>
    <col min="1802" max="1802" width="11.140625" style="147" bestFit="1" customWidth="1"/>
    <col min="1803" max="1803" width="10.85546875" style="147" bestFit="1" customWidth="1"/>
    <col min="1804" max="1804" width="11.42578125" style="147" bestFit="1" customWidth="1"/>
    <col min="1805" max="1805" width="15.85546875" style="147" bestFit="1" customWidth="1"/>
    <col min="1806" max="1806" width="6.7109375" style="147" bestFit="1" customWidth="1"/>
    <col min="1807" max="1807" width="5.5703125" style="147" bestFit="1" customWidth="1"/>
    <col min="1808" max="1808" width="14.42578125" style="147" bestFit="1" customWidth="1"/>
    <col min="1809" max="1809" width="14.28515625" style="147" bestFit="1" customWidth="1"/>
    <col min="1810" max="1810" width="14.28515625" style="147" customWidth="1"/>
    <col min="1811" max="2052" width="15.7109375" style="147"/>
    <col min="2053" max="2053" width="6" style="147" bestFit="1" customWidth="1"/>
    <col min="2054" max="2054" width="7.140625" style="147" bestFit="1" customWidth="1"/>
    <col min="2055" max="2055" width="9.140625" style="147" bestFit="1" customWidth="1"/>
    <col min="2056" max="2056" width="10.85546875" style="147" bestFit="1" customWidth="1"/>
    <col min="2057" max="2057" width="10.85546875" style="147" customWidth="1"/>
    <col min="2058" max="2058" width="11.140625" style="147" bestFit="1" customWidth="1"/>
    <col min="2059" max="2059" width="10.85546875" style="147" bestFit="1" customWidth="1"/>
    <col min="2060" max="2060" width="11.42578125" style="147" bestFit="1" customWidth="1"/>
    <col min="2061" max="2061" width="15.85546875" style="147" bestFit="1" customWidth="1"/>
    <col min="2062" max="2062" width="6.7109375" style="147" bestFit="1" customWidth="1"/>
    <col min="2063" max="2063" width="5.5703125" style="147" bestFit="1" customWidth="1"/>
    <col min="2064" max="2064" width="14.42578125" style="147" bestFit="1" customWidth="1"/>
    <col min="2065" max="2065" width="14.28515625" style="147" bestFit="1" customWidth="1"/>
    <col min="2066" max="2066" width="14.28515625" style="147" customWidth="1"/>
    <col min="2067" max="2308" width="15.7109375" style="147"/>
    <col min="2309" max="2309" width="6" style="147" bestFit="1" customWidth="1"/>
    <col min="2310" max="2310" width="7.140625" style="147" bestFit="1" customWidth="1"/>
    <col min="2311" max="2311" width="9.140625" style="147" bestFit="1" customWidth="1"/>
    <col min="2312" max="2312" width="10.85546875" style="147" bestFit="1" customWidth="1"/>
    <col min="2313" max="2313" width="10.85546875" style="147" customWidth="1"/>
    <col min="2314" max="2314" width="11.140625" style="147" bestFit="1" customWidth="1"/>
    <col min="2315" max="2315" width="10.85546875" style="147" bestFit="1" customWidth="1"/>
    <col min="2316" max="2316" width="11.42578125" style="147" bestFit="1" customWidth="1"/>
    <col min="2317" max="2317" width="15.85546875" style="147" bestFit="1" customWidth="1"/>
    <col min="2318" max="2318" width="6.7109375" style="147" bestFit="1" customWidth="1"/>
    <col min="2319" max="2319" width="5.5703125" style="147" bestFit="1" customWidth="1"/>
    <col min="2320" max="2320" width="14.42578125" style="147" bestFit="1" customWidth="1"/>
    <col min="2321" max="2321" width="14.28515625" style="147" bestFit="1" customWidth="1"/>
    <col min="2322" max="2322" width="14.28515625" style="147" customWidth="1"/>
    <col min="2323" max="2564" width="15.7109375" style="147"/>
    <col min="2565" max="2565" width="6" style="147" bestFit="1" customWidth="1"/>
    <col min="2566" max="2566" width="7.140625" style="147" bestFit="1" customWidth="1"/>
    <col min="2567" max="2567" width="9.140625" style="147" bestFit="1" customWidth="1"/>
    <col min="2568" max="2568" width="10.85546875" style="147" bestFit="1" customWidth="1"/>
    <col min="2569" max="2569" width="10.85546875" style="147" customWidth="1"/>
    <col min="2570" max="2570" width="11.140625" style="147" bestFit="1" customWidth="1"/>
    <col min="2571" max="2571" width="10.85546875" style="147" bestFit="1" customWidth="1"/>
    <col min="2572" max="2572" width="11.42578125" style="147" bestFit="1" customWidth="1"/>
    <col min="2573" max="2573" width="15.85546875" style="147" bestFit="1" customWidth="1"/>
    <col min="2574" max="2574" width="6.7109375" style="147" bestFit="1" customWidth="1"/>
    <col min="2575" max="2575" width="5.5703125" style="147" bestFit="1" customWidth="1"/>
    <col min="2576" max="2576" width="14.42578125" style="147" bestFit="1" customWidth="1"/>
    <col min="2577" max="2577" width="14.28515625" style="147" bestFit="1" customWidth="1"/>
    <col min="2578" max="2578" width="14.28515625" style="147" customWidth="1"/>
    <col min="2579" max="2820" width="15.7109375" style="147"/>
    <col min="2821" max="2821" width="6" style="147" bestFit="1" customWidth="1"/>
    <col min="2822" max="2822" width="7.140625" style="147" bestFit="1" customWidth="1"/>
    <col min="2823" max="2823" width="9.140625" style="147" bestFit="1" customWidth="1"/>
    <col min="2824" max="2824" width="10.85546875" style="147" bestFit="1" customWidth="1"/>
    <col min="2825" max="2825" width="10.85546875" style="147" customWidth="1"/>
    <col min="2826" max="2826" width="11.140625" style="147" bestFit="1" customWidth="1"/>
    <col min="2827" max="2827" width="10.85546875" style="147" bestFit="1" customWidth="1"/>
    <col min="2828" max="2828" width="11.42578125" style="147" bestFit="1" customWidth="1"/>
    <col min="2829" max="2829" width="15.85546875" style="147" bestFit="1" customWidth="1"/>
    <col min="2830" max="2830" width="6.7109375" style="147" bestFit="1" customWidth="1"/>
    <col min="2831" max="2831" width="5.5703125" style="147" bestFit="1" customWidth="1"/>
    <col min="2832" max="2832" width="14.42578125" style="147" bestFit="1" customWidth="1"/>
    <col min="2833" max="2833" width="14.28515625" style="147" bestFit="1" customWidth="1"/>
    <col min="2834" max="2834" width="14.28515625" style="147" customWidth="1"/>
    <col min="2835" max="3076" width="15.7109375" style="147"/>
    <col min="3077" max="3077" width="6" style="147" bestFit="1" customWidth="1"/>
    <col min="3078" max="3078" width="7.140625" style="147" bestFit="1" customWidth="1"/>
    <col min="3079" max="3079" width="9.140625" style="147" bestFit="1" customWidth="1"/>
    <col min="3080" max="3080" width="10.85546875" style="147" bestFit="1" customWidth="1"/>
    <col min="3081" max="3081" width="10.85546875" style="147" customWidth="1"/>
    <col min="3082" max="3082" width="11.140625" style="147" bestFit="1" customWidth="1"/>
    <col min="3083" max="3083" width="10.85546875" style="147" bestFit="1" customWidth="1"/>
    <col min="3084" max="3084" width="11.42578125" style="147" bestFit="1" customWidth="1"/>
    <col min="3085" max="3085" width="15.85546875" style="147" bestFit="1" customWidth="1"/>
    <col min="3086" max="3086" width="6.7109375" style="147" bestFit="1" customWidth="1"/>
    <col min="3087" max="3087" width="5.5703125" style="147" bestFit="1" customWidth="1"/>
    <col min="3088" max="3088" width="14.42578125" style="147" bestFit="1" customWidth="1"/>
    <col min="3089" max="3089" width="14.28515625" style="147" bestFit="1" customWidth="1"/>
    <col min="3090" max="3090" width="14.28515625" style="147" customWidth="1"/>
    <col min="3091" max="3332" width="15.7109375" style="147"/>
    <col min="3333" max="3333" width="6" style="147" bestFit="1" customWidth="1"/>
    <col min="3334" max="3334" width="7.140625" style="147" bestFit="1" customWidth="1"/>
    <col min="3335" max="3335" width="9.140625" style="147" bestFit="1" customWidth="1"/>
    <col min="3336" max="3336" width="10.85546875" style="147" bestFit="1" customWidth="1"/>
    <col min="3337" max="3337" width="10.85546875" style="147" customWidth="1"/>
    <col min="3338" max="3338" width="11.140625" style="147" bestFit="1" customWidth="1"/>
    <col min="3339" max="3339" width="10.85546875" style="147" bestFit="1" customWidth="1"/>
    <col min="3340" max="3340" width="11.42578125" style="147" bestFit="1" customWidth="1"/>
    <col min="3341" max="3341" width="15.85546875" style="147" bestFit="1" customWidth="1"/>
    <col min="3342" max="3342" width="6.7109375" style="147" bestFit="1" customWidth="1"/>
    <col min="3343" max="3343" width="5.5703125" style="147" bestFit="1" customWidth="1"/>
    <col min="3344" max="3344" width="14.42578125" style="147" bestFit="1" customWidth="1"/>
    <col min="3345" max="3345" width="14.28515625" style="147" bestFit="1" customWidth="1"/>
    <col min="3346" max="3346" width="14.28515625" style="147" customWidth="1"/>
    <col min="3347" max="3588" width="15.7109375" style="147"/>
    <col min="3589" max="3589" width="6" style="147" bestFit="1" customWidth="1"/>
    <col min="3590" max="3590" width="7.140625" style="147" bestFit="1" customWidth="1"/>
    <col min="3591" max="3591" width="9.140625" style="147" bestFit="1" customWidth="1"/>
    <col min="3592" max="3592" width="10.85546875" style="147" bestFit="1" customWidth="1"/>
    <col min="3593" max="3593" width="10.85546875" style="147" customWidth="1"/>
    <col min="3594" max="3594" width="11.140625" style="147" bestFit="1" customWidth="1"/>
    <col min="3595" max="3595" width="10.85546875" style="147" bestFit="1" customWidth="1"/>
    <col min="3596" max="3596" width="11.42578125" style="147" bestFit="1" customWidth="1"/>
    <col min="3597" max="3597" width="15.85546875" style="147" bestFit="1" customWidth="1"/>
    <col min="3598" max="3598" width="6.7109375" style="147" bestFit="1" customWidth="1"/>
    <col min="3599" max="3599" width="5.5703125" style="147" bestFit="1" customWidth="1"/>
    <col min="3600" max="3600" width="14.42578125" style="147" bestFit="1" customWidth="1"/>
    <col min="3601" max="3601" width="14.28515625" style="147" bestFit="1" customWidth="1"/>
    <col min="3602" max="3602" width="14.28515625" style="147" customWidth="1"/>
    <col min="3603" max="3844" width="15.7109375" style="147"/>
    <col min="3845" max="3845" width="6" style="147" bestFit="1" customWidth="1"/>
    <col min="3846" max="3846" width="7.140625" style="147" bestFit="1" customWidth="1"/>
    <col min="3847" max="3847" width="9.140625" style="147" bestFit="1" customWidth="1"/>
    <col min="3848" max="3848" width="10.85546875" style="147" bestFit="1" customWidth="1"/>
    <col min="3849" max="3849" width="10.85546875" style="147" customWidth="1"/>
    <col min="3850" max="3850" width="11.140625" style="147" bestFit="1" customWidth="1"/>
    <col min="3851" max="3851" width="10.85546875" style="147" bestFit="1" customWidth="1"/>
    <col min="3852" max="3852" width="11.42578125" style="147" bestFit="1" customWidth="1"/>
    <col min="3853" max="3853" width="15.85546875" style="147" bestFit="1" customWidth="1"/>
    <col min="3854" max="3854" width="6.7109375" style="147" bestFit="1" customWidth="1"/>
    <col min="3855" max="3855" width="5.5703125" style="147" bestFit="1" customWidth="1"/>
    <col min="3856" max="3856" width="14.42578125" style="147" bestFit="1" customWidth="1"/>
    <col min="3857" max="3857" width="14.28515625" style="147" bestFit="1" customWidth="1"/>
    <col min="3858" max="3858" width="14.28515625" style="147" customWidth="1"/>
    <col min="3859" max="4100" width="15.7109375" style="147"/>
    <col min="4101" max="4101" width="6" style="147" bestFit="1" customWidth="1"/>
    <col min="4102" max="4102" width="7.140625" style="147" bestFit="1" customWidth="1"/>
    <col min="4103" max="4103" width="9.140625" style="147" bestFit="1" customWidth="1"/>
    <col min="4104" max="4104" width="10.85546875" style="147" bestFit="1" customWidth="1"/>
    <col min="4105" max="4105" width="10.85546875" style="147" customWidth="1"/>
    <col min="4106" max="4106" width="11.140625" style="147" bestFit="1" customWidth="1"/>
    <col min="4107" max="4107" width="10.85546875" style="147" bestFit="1" customWidth="1"/>
    <col min="4108" max="4108" width="11.42578125" style="147" bestFit="1" customWidth="1"/>
    <col min="4109" max="4109" width="15.85546875" style="147" bestFit="1" customWidth="1"/>
    <col min="4110" max="4110" width="6.7109375" style="147" bestFit="1" customWidth="1"/>
    <col min="4111" max="4111" width="5.5703125" style="147" bestFit="1" customWidth="1"/>
    <col min="4112" max="4112" width="14.42578125" style="147" bestFit="1" customWidth="1"/>
    <col min="4113" max="4113" width="14.28515625" style="147" bestFit="1" customWidth="1"/>
    <col min="4114" max="4114" width="14.28515625" style="147" customWidth="1"/>
    <col min="4115" max="4356" width="15.7109375" style="147"/>
    <col min="4357" max="4357" width="6" style="147" bestFit="1" customWidth="1"/>
    <col min="4358" max="4358" width="7.140625" style="147" bestFit="1" customWidth="1"/>
    <col min="4359" max="4359" width="9.140625" style="147" bestFit="1" customWidth="1"/>
    <col min="4360" max="4360" width="10.85546875" style="147" bestFit="1" customWidth="1"/>
    <col min="4361" max="4361" width="10.85546875" style="147" customWidth="1"/>
    <col min="4362" max="4362" width="11.140625" style="147" bestFit="1" customWidth="1"/>
    <col min="4363" max="4363" width="10.85546875" style="147" bestFit="1" customWidth="1"/>
    <col min="4364" max="4364" width="11.42578125" style="147" bestFit="1" customWidth="1"/>
    <col min="4365" max="4365" width="15.85546875" style="147" bestFit="1" customWidth="1"/>
    <col min="4366" max="4366" width="6.7109375" style="147" bestFit="1" customWidth="1"/>
    <col min="4367" max="4367" width="5.5703125" style="147" bestFit="1" customWidth="1"/>
    <col min="4368" max="4368" width="14.42578125" style="147" bestFit="1" customWidth="1"/>
    <col min="4369" max="4369" width="14.28515625" style="147" bestFit="1" customWidth="1"/>
    <col min="4370" max="4370" width="14.28515625" style="147" customWidth="1"/>
    <col min="4371" max="4612" width="15.7109375" style="147"/>
    <col min="4613" max="4613" width="6" style="147" bestFit="1" customWidth="1"/>
    <col min="4614" max="4614" width="7.140625" style="147" bestFit="1" customWidth="1"/>
    <col min="4615" max="4615" width="9.140625" style="147" bestFit="1" customWidth="1"/>
    <col min="4616" max="4616" width="10.85546875" style="147" bestFit="1" customWidth="1"/>
    <col min="4617" max="4617" width="10.85546875" style="147" customWidth="1"/>
    <col min="4618" max="4618" width="11.140625" style="147" bestFit="1" customWidth="1"/>
    <col min="4619" max="4619" width="10.85546875" style="147" bestFit="1" customWidth="1"/>
    <col min="4620" max="4620" width="11.42578125" style="147" bestFit="1" customWidth="1"/>
    <col min="4621" max="4621" width="15.85546875" style="147" bestFit="1" customWidth="1"/>
    <col min="4622" max="4622" width="6.7109375" style="147" bestFit="1" customWidth="1"/>
    <col min="4623" max="4623" width="5.5703125" style="147" bestFit="1" customWidth="1"/>
    <col min="4624" max="4624" width="14.42578125" style="147" bestFit="1" customWidth="1"/>
    <col min="4625" max="4625" width="14.28515625" style="147" bestFit="1" customWidth="1"/>
    <col min="4626" max="4626" width="14.28515625" style="147" customWidth="1"/>
    <col min="4627" max="4868" width="15.7109375" style="147"/>
    <col min="4869" max="4869" width="6" style="147" bestFit="1" customWidth="1"/>
    <col min="4870" max="4870" width="7.140625" style="147" bestFit="1" customWidth="1"/>
    <col min="4871" max="4871" width="9.140625" style="147" bestFit="1" customWidth="1"/>
    <col min="4872" max="4872" width="10.85546875" style="147" bestFit="1" customWidth="1"/>
    <col min="4873" max="4873" width="10.85546875" style="147" customWidth="1"/>
    <col min="4874" max="4874" width="11.140625" style="147" bestFit="1" customWidth="1"/>
    <col min="4875" max="4875" width="10.85546875" style="147" bestFit="1" customWidth="1"/>
    <col min="4876" max="4876" width="11.42578125" style="147" bestFit="1" customWidth="1"/>
    <col min="4877" max="4877" width="15.85546875" style="147" bestFit="1" customWidth="1"/>
    <col min="4878" max="4878" width="6.7109375" style="147" bestFit="1" customWidth="1"/>
    <col min="4879" max="4879" width="5.5703125" style="147" bestFit="1" customWidth="1"/>
    <col min="4880" max="4880" width="14.42578125" style="147" bestFit="1" customWidth="1"/>
    <col min="4881" max="4881" width="14.28515625" style="147" bestFit="1" customWidth="1"/>
    <col min="4882" max="4882" width="14.28515625" style="147" customWidth="1"/>
    <col min="4883" max="5124" width="15.7109375" style="147"/>
    <col min="5125" max="5125" width="6" style="147" bestFit="1" customWidth="1"/>
    <col min="5126" max="5126" width="7.140625" style="147" bestFit="1" customWidth="1"/>
    <col min="5127" max="5127" width="9.140625" style="147" bestFit="1" customWidth="1"/>
    <col min="5128" max="5128" width="10.85546875" style="147" bestFit="1" customWidth="1"/>
    <col min="5129" max="5129" width="10.85546875" style="147" customWidth="1"/>
    <col min="5130" max="5130" width="11.140625" style="147" bestFit="1" customWidth="1"/>
    <col min="5131" max="5131" width="10.85546875" style="147" bestFit="1" customWidth="1"/>
    <col min="5132" max="5132" width="11.42578125" style="147" bestFit="1" customWidth="1"/>
    <col min="5133" max="5133" width="15.85546875" style="147" bestFit="1" customWidth="1"/>
    <col min="5134" max="5134" width="6.7109375" style="147" bestFit="1" customWidth="1"/>
    <col min="5135" max="5135" width="5.5703125" style="147" bestFit="1" customWidth="1"/>
    <col min="5136" max="5136" width="14.42578125" style="147" bestFit="1" customWidth="1"/>
    <col min="5137" max="5137" width="14.28515625" style="147" bestFit="1" customWidth="1"/>
    <col min="5138" max="5138" width="14.28515625" style="147" customWidth="1"/>
    <col min="5139" max="5380" width="15.7109375" style="147"/>
    <col min="5381" max="5381" width="6" style="147" bestFit="1" customWidth="1"/>
    <col min="5382" max="5382" width="7.140625" style="147" bestFit="1" customWidth="1"/>
    <col min="5383" max="5383" width="9.140625" style="147" bestFit="1" customWidth="1"/>
    <col min="5384" max="5384" width="10.85546875" style="147" bestFit="1" customWidth="1"/>
    <col min="5385" max="5385" width="10.85546875" style="147" customWidth="1"/>
    <col min="5386" max="5386" width="11.140625" style="147" bestFit="1" customWidth="1"/>
    <col min="5387" max="5387" width="10.85546875" style="147" bestFit="1" customWidth="1"/>
    <col min="5388" max="5388" width="11.42578125" style="147" bestFit="1" customWidth="1"/>
    <col min="5389" max="5389" width="15.85546875" style="147" bestFit="1" customWidth="1"/>
    <col min="5390" max="5390" width="6.7109375" style="147" bestFit="1" customWidth="1"/>
    <col min="5391" max="5391" width="5.5703125" style="147" bestFit="1" customWidth="1"/>
    <col min="5392" max="5392" width="14.42578125" style="147" bestFit="1" customWidth="1"/>
    <col min="5393" max="5393" width="14.28515625" style="147" bestFit="1" customWidth="1"/>
    <col min="5394" max="5394" width="14.28515625" style="147" customWidth="1"/>
    <col min="5395" max="5636" width="15.7109375" style="147"/>
    <col min="5637" max="5637" width="6" style="147" bestFit="1" customWidth="1"/>
    <col min="5638" max="5638" width="7.140625" style="147" bestFit="1" customWidth="1"/>
    <col min="5639" max="5639" width="9.140625" style="147" bestFit="1" customWidth="1"/>
    <col min="5640" max="5640" width="10.85546875" style="147" bestFit="1" customWidth="1"/>
    <col min="5641" max="5641" width="10.85546875" style="147" customWidth="1"/>
    <col min="5642" max="5642" width="11.140625" style="147" bestFit="1" customWidth="1"/>
    <col min="5643" max="5643" width="10.85546875" style="147" bestFit="1" customWidth="1"/>
    <col min="5644" max="5644" width="11.42578125" style="147" bestFit="1" customWidth="1"/>
    <col min="5645" max="5645" width="15.85546875" style="147" bestFit="1" customWidth="1"/>
    <col min="5646" max="5646" width="6.7109375" style="147" bestFit="1" customWidth="1"/>
    <col min="5647" max="5647" width="5.5703125" style="147" bestFit="1" customWidth="1"/>
    <col min="5648" max="5648" width="14.42578125" style="147" bestFit="1" customWidth="1"/>
    <col min="5649" max="5649" width="14.28515625" style="147" bestFit="1" customWidth="1"/>
    <col min="5650" max="5650" width="14.28515625" style="147" customWidth="1"/>
    <col min="5651" max="5892" width="15.7109375" style="147"/>
    <col min="5893" max="5893" width="6" style="147" bestFit="1" customWidth="1"/>
    <col min="5894" max="5894" width="7.140625" style="147" bestFit="1" customWidth="1"/>
    <col min="5895" max="5895" width="9.140625" style="147" bestFit="1" customWidth="1"/>
    <col min="5896" max="5896" width="10.85546875" style="147" bestFit="1" customWidth="1"/>
    <col min="5897" max="5897" width="10.85546875" style="147" customWidth="1"/>
    <col min="5898" max="5898" width="11.140625" style="147" bestFit="1" customWidth="1"/>
    <col min="5899" max="5899" width="10.85546875" style="147" bestFit="1" customWidth="1"/>
    <col min="5900" max="5900" width="11.42578125" style="147" bestFit="1" customWidth="1"/>
    <col min="5901" max="5901" width="15.85546875" style="147" bestFit="1" customWidth="1"/>
    <col min="5902" max="5902" width="6.7109375" style="147" bestFit="1" customWidth="1"/>
    <col min="5903" max="5903" width="5.5703125" style="147" bestFit="1" customWidth="1"/>
    <col min="5904" max="5904" width="14.42578125" style="147" bestFit="1" customWidth="1"/>
    <col min="5905" max="5905" width="14.28515625" style="147" bestFit="1" customWidth="1"/>
    <col min="5906" max="5906" width="14.28515625" style="147" customWidth="1"/>
    <col min="5907" max="6148" width="15.7109375" style="147"/>
    <col min="6149" max="6149" width="6" style="147" bestFit="1" customWidth="1"/>
    <col min="6150" max="6150" width="7.140625" style="147" bestFit="1" customWidth="1"/>
    <col min="6151" max="6151" width="9.140625" style="147" bestFit="1" customWidth="1"/>
    <col min="6152" max="6152" width="10.85546875" style="147" bestFit="1" customWidth="1"/>
    <col min="6153" max="6153" width="10.85546875" style="147" customWidth="1"/>
    <col min="6154" max="6154" width="11.140625" style="147" bestFit="1" customWidth="1"/>
    <col min="6155" max="6155" width="10.85546875" style="147" bestFit="1" customWidth="1"/>
    <col min="6156" max="6156" width="11.42578125" style="147" bestFit="1" customWidth="1"/>
    <col min="6157" max="6157" width="15.85546875" style="147" bestFit="1" customWidth="1"/>
    <col min="6158" max="6158" width="6.7109375" style="147" bestFit="1" customWidth="1"/>
    <col min="6159" max="6159" width="5.5703125" style="147" bestFit="1" customWidth="1"/>
    <col min="6160" max="6160" width="14.42578125" style="147" bestFit="1" customWidth="1"/>
    <col min="6161" max="6161" width="14.28515625" style="147" bestFit="1" customWidth="1"/>
    <col min="6162" max="6162" width="14.28515625" style="147" customWidth="1"/>
    <col min="6163" max="6404" width="15.7109375" style="147"/>
    <col min="6405" max="6405" width="6" style="147" bestFit="1" customWidth="1"/>
    <col min="6406" max="6406" width="7.140625" style="147" bestFit="1" customWidth="1"/>
    <col min="6407" max="6407" width="9.140625" style="147" bestFit="1" customWidth="1"/>
    <col min="6408" max="6408" width="10.85546875" style="147" bestFit="1" customWidth="1"/>
    <col min="6409" max="6409" width="10.85546875" style="147" customWidth="1"/>
    <col min="6410" max="6410" width="11.140625" style="147" bestFit="1" customWidth="1"/>
    <col min="6411" max="6411" width="10.85546875" style="147" bestFit="1" customWidth="1"/>
    <col min="6412" max="6412" width="11.42578125" style="147" bestFit="1" customWidth="1"/>
    <col min="6413" max="6413" width="15.85546875" style="147" bestFit="1" customWidth="1"/>
    <col min="6414" max="6414" width="6.7109375" style="147" bestFit="1" customWidth="1"/>
    <col min="6415" max="6415" width="5.5703125" style="147" bestFit="1" customWidth="1"/>
    <col min="6416" max="6416" width="14.42578125" style="147" bestFit="1" customWidth="1"/>
    <col min="6417" max="6417" width="14.28515625" style="147" bestFit="1" customWidth="1"/>
    <col min="6418" max="6418" width="14.28515625" style="147" customWidth="1"/>
    <col min="6419" max="6660" width="15.7109375" style="147"/>
    <col min="6661" max="6661" width="6" style="147" bestFit="1" customWidth="1"/>
    <col min="6662" max="6662" width="7.140625" style="147" bestFit="1" customWidth="1"/>
    <col min="6663" max="6663" width="9.140625" style="147" bestFit="1" customWidth="1"/>
    <col min="6664" max="6664" width="10.85546875" style="147" bestFit="1" customWidth="1"/>
    <col min="6665" max="6665" width="10.85546875" style="147" customWidth="1"/>
    <col min="6666" max="6666" width="11.140625" style="147" bestFit="1" customWidth="1"/>
    <col min="6667" max="6667" width="10.85546875" style="147" bestFit="1" customWidth="1"/>
    <col min="6668" max="6668" width="11.42578125" style="147" bestFit="1" customWidth="1"/>
    <col min="6669" max="6669" width="15.85546875" style="147" bestFit="1" customWidth="1"/>
    <col min="6670" max="6670" width="6.7109375" style="147" bestFit="1" customWidth="1"/>
    <col min="6671" max="6671" width="5.5703125" style="147" bestFit="1" customWidth="1"/>
    <col min="6672" max="6672" width="14.42578125" style="147" bestFit="1" customWidth="1"/>
    <col min="6673" max="6673" width="14.28515625" style="147" bestFit="1" customWidth="1"/>
    <col min="6674" max="6674" width="14.28515625" style="147" customWidth="1"/>
    <col min="6675" max="6916" width="15.7109375" style="147"/>
    <col min="6917" max="6917" width="6" style="147" bestFit="1" customWidth="1"/>
    <col min="6918" max="6918" width="7.140625" style="147" bestFit="1" customWidth="1"/>
    <col min="6919" max="6919" width="9.140625" style="147" bestFit="1" customWidth="1"/>
    <col min="6920" max="6920" width="10.85546875" style="147" bestFit="1" customWidth="1"/>
    <col min="6921" max="6921" width="10.85546875" style="147" customWidth="1"/>
    <col min="6922" max="6922" width="11.140625" style="147" bestFit="1" customWidth="1"/>
    <col min="6923" max="6923" width="10.85546875" style="147" bestFit="1" customWidth="1"/>
    <col min="6924" max="6924" width="11.42578125" style="147" bestFit="1" customWidth="1"/>
    <col min="6925" max="6925" width="15.85546875" style="147" bestFit="1" customWidth="1"/>
    <col min="6926" max="6926" width="6.7109375" style="147" bestFit="1" customWidth="1"/>
    <col min="6927" max="6927" width="5.5703125" style="147" bestFit="1" customWidth="1"/>
    <col min="6928" max="6928" width="14.42578125" style="147" bestFit="1" customWidth="1"/>
    <col min="6929" max="6929" width="14.28515625" style="147" bestFit="1" customWidth="1"/>
    <col min="6930" max="6930" width="14.28515625" style="147" customWidth="1"/>
    <col min="6931" max="7172" width="15.7109375" style="147"/>
    <col min="7173" max="7173" width="6" style="147" bestFit="1" customWidth="1"/>
    <col min="7174" max="7174" width="7.140625" style="147" bestFit="1" customWidth="1"/>
    <col min="7175" max="7175" width="9.140625" style="147" bestFit="1" customWidth="1"/>
    <col min="7176" max="7176" width="10.85546875" style="147" bestFit="1" customWidth="1"/>
    <col min="7177" max="7177" width="10.85546875" style="147" customWidth="1"/>
    <col min="7178" max="7178" width="11.140625" style="147" bestFit="1" customWidth="1"/>
    <col min="7179" max="7179" width="10.85546875" style="147" bestFit="1" customWidth="1"/>
    <col min="7180" max="7180" width="11.42578125" style="147" bestFit="1" customWidth="1"/>
    <col min="7181" max="7181" width="15.85546875" style="147" bestFit="1" customWidth="1"/>
    <col min="7182" max="7182" width="6.7109375" style="147" bestFit="1" customWidth="1"/>
    <col min="7183" max="7183" width="5.5703125" style="147" bestFit="1" customWidth="1"/>
    <col min="7184" max="7184" width="14.42578125" style="147" bestFit="1" customWidth="1"/>
    <col min="7185" max="7185" width="14.28515625" style="147" bestFit="1" customWidth="1"/>
    <col min="7186" max="7186" width="14.28515625" style="147" customWidth="1"/>
    <col min="7187" max="7428" width="15.7109375" style="147"/>
    <col min="7429" max="7429" width="6" style="147" bestFit="1" customWidth="1"/>
    <col min="7430" max="7430" width="7.140625" style="147" bestFit="1" customWidth="1"/>
    <col min="7431" max="7431" width="9.140625" style="147" bestFit="1" customWidth="1"/>
    <col min="7432" max="7432" width="10.85546875" style="147" bestFit="1" customWidth="1"/>
    <col min="7433" max="7433" width="10.85546875" style="147" customWidth="1"/>
    <col min="7434" max="7434" width="11.140625" style="147" bestFit="1" customWidth="1"/>
    <col min="7435" max="7435" width="10.85546875" style="147" bestFit="1" customWidth="1"/>
    <col min="7436" max="7436" width="11.42578125" style="147" bestFit="1" customWidth="1"/>
    <col min="7437" max="7437" width="15.85546875" style="147" bestFit="1" customWidth="1"/>
    <col min="7438" max="7438" width="6.7109375" style="147" bestFit="1" customWidth="1"/>
    <col min="7439" max="7439" width="5.5703125" style="147" bestFit="1" customWidth="1"/>
    <col min="7440" max="7440" width="14.42578125" style="147" bestFit="1" customWidth="1"/>
    <col min="7441" max="7441" width="14.28515625" style="147" bestFit="1" customWidth="1"/>
    <col min="7442" max="7442" width="14.28515625" style="147" customWidth="1"/>
    <col min="7443" max="7684" width="15.7109375" style="147"/>
    <col min="7685" max="7685" width="6" style="147" bestFit="1" customWidth="1"/>
    <col min="7686" max="7686" width="7.140625" style="147" bestFit="1" customWidth="1"/>
    <col min="7687" max="7687" width="9.140625" style="147" bestFit="1" customWidth="1"/>
    <col min="7688" max="7688" width="10.85546875" style="147" bestFit="1" customWidth="1"/>
    <col min="7689" max="7689" width="10.85546875" style="147" customWidth="1"/>
    <col min="7690" max="7690" width="11.140625" style="147" bestFit="1" customWidth="1"/>
    <col min="7691" max="7691" width="10.85546875" style="147" bestFit="1" customWidth="1"/>
    <col min="7692" max="7692" width="11.42578125" style="147" bestFit="1" customWidth="1"/>
    <col min="7693" max="7693" width="15.85546875" style="147" bestFit="1" customWidth="1"/>
    <col min="7694" max="7694" width="6.7109375" style="147" bestFit="1" customWidth="1"/>
    <col min="7695" max="7695" width="5.5703125" style="147" bestFit="1" customWidth="1"/>
    <col min="7696" max="7696" width="14.42578125" style="147" bestFit="1" customWidth="1"/>
    <col min="7697" max="7697" width="14.28515625" style="147" bestFit="1" customWidth="1"/>
    <col min="7698" max="7698" width="14.28515625" style="147" customWidth="1"/>
    <col min="7699" max="7940" width="15.7109375" style="147"/>
    <col min="7941" max="7941" width="6" style="147" bestFit="1" customWidth="1"/>
    <col min="7942" max="7942" width="7.140625" style="147" bestFit="1" customWidth="1"/>
    <col min="7943" max="7943" width="9.140625" style="147" bestFit="1" customWidth="1"/>
    <col min="7944" max="7944" width="10.85546875" style="147" bestFit="1" customWidth="1"/>
    <col min="7945" max="7945" width="10.85546875" style="147" customWidth="1"/>
    <col min="7946" max="7946" width="11.140625" style="147" bestFit="1" customWidth="1"/>
    <col min="7947" max="7947" width="10.85546875" style="147" bestFit="1" customWidth="1"/>
    <col min="7948" max="7948" width="11.42578125" style="147" bestFit="1" customWidth="1"/>
    <col min="7949" max="7949" width="15.85546875" style="147" bestFit="1" customWidth="1"/>
    <col min="7950" max="7950" width="6.7109375" style="147" bestFit="1" customWidth="1"/>
    <col min="7951" max="7951" width="5.5703125" style="147" bestFit="1" customWidth="1"/>
    <col min="7952" max="7952" width="14.42578125" style="147" bestFit="1" customWidth="1"/>
    <col min="7953" max="7953" width="14.28515625" style="147" bestFit="1" customWidth="1"/>
    <col min="7954" max="7954" width="14.28515625" style="147" customWidth="1"/>
    <col min="7955" max="8196" width="15.7109375" style="147"/>
    <col min="8197" max="8197" width="6" style="147" bestFit="1" customWidth="1"/>
    <col min="8198" max="8198" width="7.140625" style="147" bestFit="1" customWidth="1"/>
    <col min="8199" max="8199" width="9.140625" style="147" bestFit="1" customWidth="1"/>
    <col min="8200" max="8200" width="10.85546875" style="147" bestFit="1" customWidth="1"/>
    <col min="8201" max="8201" width="10.85546875" style="147" customWidth="1"/>
    <col min="8202" max="8202" width="11.140625" style="147" bestFit="1" customWidth="1"/>
    <col min="8203" max="8203" width="10.85546875" style="147" bestFit="1" customWidth="1"/>
    <col min="8204" max="8204" width="11.42578125" style="147" bestFit="1" customWidth="1"/>
    <col min="8205" max="8205" width="15.85546875" style="147" bestFit="1" customWidth="1"/>
    <col min="8206" max="8206" width="6.7109375" style="147" bestFit="1" customWidth="1"/>
    <col min="8207" max="8207" width="5.5703125" style="147" bestFit="1" customWidth="1"/>
    <col min="8208" max="8208" width="14.42578125" style="147" bestFit="1" customWidth="1"/>
    <col min="8209" max="8209" width="14.28515625" style="147" bestFit="1" customWidth="1"/>
    <col min="8210" max="8210" width="14.28515625" style="147" customWidth="1"/>
    <col min="8211" max="8452" width="15.7109375" style="147"/>
    <col min="8453" max="8453" width="6" style="147" bestFit="1" customWidth="1"/>
    <col min="8454" max="8454" width="7.140625" style="147" bestFit="1" customWidth="1"/>
    <col min="8455" max="8455" width="9.140625" style="147" bestFit="1" customWidth="1"/>
    <col min="8456" max="8456" width="10.85546875" style="147" bestFit="1" customWidth="1"/>
    <col min="8457" max="8457" width="10.85546875" style="147" customWidth="1"/>
    <col min="8458" max="8458" width="11.140625" style="147" bestFit="1" customWidth="1"/>
    <col min="8459" max="8459" width="10.85546875" style="147" bestFit="1" customWidth="1"/>
    <col min="8460" max="8460" width="11.42578125" style="147" bestFit="1" customWidth="1"/>
    <col min="8461" max="8461" width="15.85546875" style="147" bestFit="1" customWidth="1"/>
    <col min="8462" max="8462" width="6.7109375" style="147" bestFit="1" customWidth="1"/>
    <col min="8463" max="8463" width="5.5703125" style="147" bestFit="1" customWidth="1"/>
    <col min="8464" max="8464" width="14.42578125" style="147" bestFit="1" customWidth="1"/>
    <col min="8465" max="8465" width="14.28515625" style="147" bestFit="1" customWidth="1"/>
    <col min="8466" max="8466" width="14.28515625" style="147" customWidth="1"/>
    <col min="8467" max="8708" width="15.7109375" style="147"/>
    <col min="8709" max="8709" width="6" style="147" bestFit="1" customWidth="1"/>
    <col min="8710" max="8710" width="7.140625" style="147" bestFit="1" customWidth="1"/>
    <col min="8711" max="8711" width="9.140625" style="147" bestFit="1" customWidth="1"/>
    <col min="8712" max="8712" width="10.85546875" style="147" bestFit="1" customWidth="1"/>
    <col min="8713" max="8713" width="10.85546875" style="147" customWidth="1"/>
    <col min="8714" max="8714" width="11.140625" style="147" bestFit="1" customWidth="1"/>
    <col min="8715" max="8715" width="10.85546875" style="147" bestFit="1" customWidth="1"/>
    <col min="8716" max="8716" width="11.42578125" style="147" bestFit="1" customWidth="1"/>
    <col min="8717" max="8717" width="15.85546875" style="147" bestFit="1" customWidth="1"/>
    <col min="8718" max="8718" width="6.7109375" style="147" bestFit="1" customWidth="1"/>
    <col min="8719" max="8719" width="5.5703125" style="147" bestFit="1" customWidth="1"/>
    <col min="8720" max="8720" width="14.42578125" style="147" bestFit="1" customWidth="1"/>
    <col min="8721" max="8721" width="14.28515625" style="147" bestFit="1" customWidth="1"/>
    <col min="8722" max="8722" width="14.28515625" style="147" customWidth="1"/>
    <col min="8723" max="8964" width="15.7109375" style="147"/>
    <col min="8965" max="8965" width="6" style="147" bestFit="1" customWidth="1"/>
    <col min="8966" max="8966" width="7.140625" style="147" bestFit="1" customWidth="1"/>
    <col min="8967" max="8967" width="9.140625" style="147" bestFit="1" customWidth="1"/>
    <col min="8968" max="8968" width="10.85546875" style="147" bestFit="1" customWidth="1"/>
    <col min="8969" max="8969" width="10.85546875" style="147" customWidth="1"/>
    <col min="8970" max="8970" width="11.140625" style="147" bestFit="1" customWidth="1"/>
    <col min="8971" max="8971" width="10.85546875" style="147" bestFit="1" customWidth="1"/>
    <col min="8972" max="8972" width="11.42578125" style="147" bestFit="1" customWidth="1"/>
    <col min="8973" max="8973" width="15.85546875" style="147" bestFit="1" customWidth="1"/>
    <col min="8974" max="8974" width="6.7109375" style="147" bestFit="1" customWidth="1"/>
    <col min="8975" max="8975" width="5.5703125" style="147" bestFit="1" customWidth="1"/>
    <col min="8976" max="8976" width="14.42578125" style="147" bestFit="1" customWidth="1"/>
    <col min="8977" max="8977" width="14.28515625" style="147" bestFit="1" customWidth="1"/>
    <col min="8978" max="8978" width="14.28515625" style="147" customWidth="1"/>
    <col min="8979" max="9220" width="15.7109375" style="147"/>
    <col min="9221" max="9221" width="6" style="147" bestFit="1" customWidth="1"/>
    <col min="9222" max="9222" width="7.140625" style="147" bestFit="1" customWidth="1"/>
    <col min="9223" max="9223" width="9.140625" style="147" bestFit="1" customWidth="1"/>
    <col min="9224" max="9224" width="10.85546875" style="147" bestFit="1" customWidth="1"/>
    <col min="9225" max="9225" width="10.85546875" style="147" customWidth="1"/>
    <col min="9226" max="9226" width="11.140625" style="147" bestFit="1" customWidth="1"/>
    <col min="9227" max="9227" width="10.85546875" style="147" bestFit="1" customWidth="1"/>
    <col min="9228" max="9228" width="11.42578125" style="147" bestFit="1" customWidth="1"/>
    <col min="9229" max="9229" width="15.85546875" style="147" bestFit="1" customWidth="1"/>
    <col min="9230" max="9230" width="6.7109375" style="147" bestFit="1" customWidth="1"/>
    <col min="9231" max="9231" width="5.5703125" style="147" bestFit="1" customWidth="1"/>
    <col min="9232" max="9232" width="14.42578125" style="147" bestFit="1" customWidth="1"/>
    <col min="9233" max="9233" width="14.28515625" style="147" bestFit="1" customWidth="1"/>
    <col min="9234" max="9234" width="14.28515625" style="147" customWidth="1"/>
    <col min="9235" max="9476" width="15.7109375" style="147"/>
    <col min="9477" max="9477" width="6" style="147" bestFit="1" customWidth="1"/>
    <col min="9478" max="9478" width="7.140625" style="147" bestFit="1" customWidth="1"/>
    <col min="9479" max="9479" width="9.140625" style="147" bestFit="1" customWidth="1"/>
    <col min="9480" max="9480" width="10.85546875" style="147" bestFit="1" customWidth="1"/>
    <col min="9481" max="9481" width="10.85546875" style="147" customWidth="1"/>
    <col min="9482" max="9482" width="11.140625" style="147" bestFit="1" customWidth="1"/>
    <col min="9483" max="9483" width="10.85546875" style="147" bestFit="1" customWidth="1"/>
    <col min="9484" max="9484" width="11.42578125" style="147" bestFit="1" customWidth="1"/>
    <col min="9485" max="9485" width="15.85546875" style="147" bestFit="1" customWidth="1"/>
    <col min="9486" max="9486" width="6.7109375" style="147" bestFit="1" customWidth="1"/>
    <col min="9487" max="9487" width="5.5703125" style="147" bestFit="1" customWidth="1"/>
    <col min="9488" max="9488" width="14.42578125" style="147" bestFit="1" customWidth="1"/>
    <col min="9489" max="9489" width="14.28515625" style="147" bestFit="1" customWidth="1"/>
    <col min="9490" max="9490" width="14.28515625" style="147" customWidth="1"/>
    <col min="9491" max="9732" width="15.7109375" style="147"/>
    <col min="9733" max="9733" width="6" style="147" bestFit="1" customWidth="1"/>
    <col min="9734" max="9734" width="7.140625" style="147" bestFit="1" customWidth="1"/>
    <col min="9735" max="9735" width="9.140625" style="147" bestFit="1" customWidth="1"/>
    <col min="9736" max="9736" width="10.85546875" style="147" bestFit="1" customWidth="1"/>
    <col min="9737" max="9737" width="10.85546875" style="147" customWidth="1"/>
    <col min="9738" max="9738" width="11.140625" style="147" bestFit="1" customWidth="1"/>
    <col min="9739" max="9739" width="10.85546875" style="147" bestFit="1" customWidth="1"/>
    <col min="9740" max="9740" width="11.42578125" style="147" bestFit="1" customWidth="1"/>
    <col min="9741" max="9741" width="15.85546875" style="147" bestFit="1" customWidth="1"/>
    <col min="9742" max="9742" width="6.7109375" style="147" bestFit="1" customWidth="1"/>
    <col min="9743" max="9743" width="5.5703125" style="147" bestFit="1" customWidth="1"/>
    <col min="9744" max="9744" width="14.42578125" style="147" bestFit="1" customWidth="1"/>
    <col min="9745" max="9745" width="14.28515625" style="147" bestFit="1" customWidth="1"/>
    <col min="9746" max="9746" width="14.28515625" style="147" customWidth="1"/>
    <col min="9747" max="9988" width="15.7109375" style="147"/>
    <col min="9989" max="9989" width="6" style="147" bestFit="1" customWidth="1"/>
    <col min="9990" max="9990" width="7.140625" style="147" bestFit="1" customWidth="1"/>
    <col min="9991" max="9991" width="9.140625" style="147" bestFit="1" customWidth="1"/>
    <col min="9992" max="9992" width="10.85546875" style="147" bestFit="1" customWidth="1"/>
    <col min="9993" max="9993" width="10.85546875" style="147" customWidth="1"/>
    <col min="9994" max="9994" width="11.140625" style="147" bestFit="1" customWidth="1"/>
    <col min="9995" max="9995" width="10.85546875" style="147" bestFit="1" customWidth="1"/>
    <col min="9996" max="9996" width="11.42578125" style="147" bestFit="1" customWidth="1"/>
    <col min="9997" max="9997" width="15.85546875" style="147" bestFit="1" customWidth="1"/>
    <col min="9998" max="9998" width="6.7109375" style="147" bestFit="1" customWidth="1"/>
    <col min="9999" max="9999" width="5.5703125" style="147" bestFit="1" customWidth="1"/>
    <col min="10000" max="10000" width="14.42578125" style="147" bestFit="1" customWidth="1"/>
    <col min="10001" max="10001" width="14.28515625" style="147" bestFit="1" customWidth="1"/>
    <col min="10002" max="10002" width="14.28515625" style="147" customWidth="1"/>
    <col min="10003" max="10244" width="15.7109375" style="147"/>
    <col min="10245" max="10245" width="6" style="147" bestFit="1" customWidth="1"/>
    <col min="10246" max="10246" width="7.140625" style="147" bestFit="1" customWidth="1"/>
    <col min="10247" max="10247" width="9.140625" style="147" bestFit="1" customWidth="1"/>
    <col min="10248" max="10248" width="10.85546875" style="147" bestFit="1" customWidth="1"/>
    <col min="10249" max="10249" width="10.85546875" style="147" customWidth="1"/>
    <col min="10250" max="10250" width="11.140625" style="147" bestFit="1" customWidth="1"/>
    <col min="10251" max="10251" width="10.85546875" style="147" bestFit="1" customWidth="1"/>
    <col min="10252" max="10252" width="11.42578125" style="147" bestFit="1" customWidth="1"/>
    <col min="10253" max="10253" width="15.85546875" style="147" bestFit="1" customWidth="1"/>
    <col min="10254" max="10254" width="6.7109375" style="147" bestFit="1" customWidth="1"/>
    <col min="10255" max="10255" width="5.5703125" style="147" bestFit="1" customWidth="1"/>
    <col min="10256" max="10256" width="14.42578125" style="147" bestFit="1" customWidth="1"/>
    <col min="10257" max="10257" width="14.28515625" style="147" bestFit="1" customWidth="1"/>
    <col min="10258" max="10258" width="14.28515625" style="147" customWidth="1"/>
    <col min="10259" max="10500" width="15.7109375" style="147"/>
    <col min="10501" max="10501" width="6" style="147" bestFit="1" customWidth="1"/>
    <col min="10502" max="10502" width="7.140625" style="147" bestFit="1" customWidth="1"/>
    <col min="10503" max="10503" width="9.140625" style="147" bestFit="1" customWidth="1"/>
    <col min="10504" max="10504" width="10.85546875" style="147" bestFit="1" customWidth="1"/>
    <col min="10505" max="10505" width="10.85546875" style="147" customWidth="1"/>
    <col min="10506" max="10506" width="11.140625" style="147" bestFit="1" customWidth="1"/>
    <col min="10507" max="10507" width="10.85546875" style="147" bestFit="1" customWidth="1"/>
    <col min="10508" max="10508" width="11.42578125" style="147" bestFit="1" customWidth="1"/>
    <col min="10509" max="10509" width="15.85546875" style="147" bestFit="1" customWidth="1"/>
    <col min="10510" max="10510" width="6.7109375" style="147" bestFit="1" customWidth="1"/>
    <col min="10511" max="10511" width="5.5703125" style="147" bestFit="1" customWidth="1"/>
    <col min="10512" max="10512" width="14.42578125" style="147" bestFit="1" customWidth="1"/>
    <col min="10513" max="10513" width="14.28515625" style="147" bestFit="1" customWidth="1"/>
    <col min="10514" max="10514" width="14.28515625" style="147" customWidth="1"/>
    <col min="10515" max="10756" width="15.7109375" style="147"/>
    <col min="10757" max="10757" width="6" style="147" bestFit="1" customWidth="1"/>
    <col min="10758" max="10758" width="7.140625" style="147" bestFit="1" customWidth="1"/>
    <col min="10759" max="10759" width="9.140625" style="147" bestFit="1" customWidth="1"/>
    <col min="10760" max="10760" width="10.85546875" style="147" bestFit="1" customWidth="1"/>
    <col min="10761" max="10761" width="10.85546875" style="147" customWidth="1"/>
    <col min="10762" max="10762" width="11.140625" style="147" bestFit="1" customWidth="1"/>
    <col min="10763" max="10763" width="10.85546875" style="147" bestFit="1" customWidth="1"/>
    <col min="10764" max="10764" width="11.42578125" style="147" bestFit="1" customWidth="1"/>
    <col min="10765" max="10765" width="15.85546875" style="147" bestFit="1" customWidth="1"/>
    <col min="10766" max="10766" width="6.7109375" style="147" bestFit="1" customWidth="1"/>
    <col min="10767" max="10767" width="5.5703125" style="147" bestFit="1" customWidth="1"/>
    <col min="10768" max="10768" width="14.42578125" style="147" bestFit="1" customWidth="1"/>
    <col min="10769" max="10769" width="14.28515625" style="147" bestFit="1" customWidth="1"/>
    <col min="10770" max="10770" width="14.28515625" style="147" customWidth="1"/>
    <col min="10771" max="11012" width="15.7109375" style="147"/>
    <col min="11013" max="11013" width="6" style="147" bestFit="1" customWidth="1"/>
    <col min="11014" max="11014" width="7.140625" style="147" bestFit="1" customWidth="1"/>
    <col min="11015" max="11015" width="9.140625" style="147" bestFit="1" customWidth="1"/>
    <col min="11016" max="11016" width="10.85546875" style="147" bestFit="1" customWidth="1"/>
    <col min="11017" max="11017" width="10.85546875" style="147" customWidth="1"/>
    <col min="11018" max="11018" width="11.140625" style="147" bestFit="1" customWidth="1"/>
    <col min="11019" max="11019" width="10.85546875" style="147" bestFit="1" customWidth="1"/>
    <col min="11020" max="11020" width="11.42578125" style="147" bestFit="1" customWidth="1"/>
    <col min="11021" max="11021" width="15.85546875" style="147" bestFit="1" customWidth="1"/>
    <col min="11022" max="11022" width="6.7109375" style="147" bestFit="1" customWidth="1"/>
    <col min="11023" max="11023" width="5.5703125" style="147" bestFit="1" customWidth="1"/>
    <col min="11024" max="11024" width="14.42578125" style="147" bestFit="1" customWidth="1"/>
    <col min="11025" max="11025" width="14.28515625" style="147" bestFit="1" customWidth="1"/>
    <col min="11026" max="11026" width="14.28515625" style="147" customWidth="1"/>
    <col min="11027" max="11268" width="15.7109375" style="147"/>
    <col min="11269" max="11269" width="6" style="147" bestFit="1" customWidth="1"/>
    <col min="11270" max="11270" width="7.140625" style="147" bestFit="1" customWidth="1"/>
    <col min="11271" max="11271" width="9.140625" style="147" bestFit="1" customWidth="1"/>
    <col min="11272" max="11272" width="10.85546875" style="147" bestFit="1" customWidth="1"/>
    <col min="11273" max="11273" width="10.85546875" style="147" customWidth="1"/>
    <col min="11274" max="11274" width="11.140625" style="147" bestFit="1" customWidth="1"/>
    <col min="11275" max="11275" width="10.85546875" style="147" bestFit="1" customWidth="1"/>
    <col min="11276" max="11276" width="11.42578125" style="147" bestFit="1" customWidth="1"/>
    <col min="11277" max="11277" width="15.85546875" style="147" bestFit="1" customWidth="1"/>
    <col min="11278" max="11278" width="6.7109375" style="147" bestFit="1" customWidth="1"/>
    <col min="11279" max="11279" width="5.5703125" style="147" bestFit="1" customWidth="1"/>
    <col min="11280" max="11280" width="14.42578125" style="147" bestFit="1" customWidth="1"/>
    <col min="11281" max="11281" width="14.28515625" style="147" bestFit="1" customWidth="1"/>
    <col min="11282" max="11282" width="14.28515625" style="147" customWidth="1"/>
    <col min="11283" max="11524" width="15.7109375" style="147"/>
    <col min="11525" max="11525" width="6" style="147" bestFit="1" customWidth="1"/>
    <col min="11526" max="11526" width="7.140625" style="147" bestFit="1" customWidth="1"/>
    <col min="11527" max="11527" width="9.140625" style="147" bestFit="1" customWidth="1"/>
    <col min="11528" max="11528" width="10.85546875" style="147" bestFit="1" customWidth="1"/>
    <col min="11529" max="11529" width="10.85546875" style="147" customWidth="1"/>
    <col min="11530" max="11530" width="11.140625" style="147" bestFit="1" customWidth="1"/>
    <col min="11531" max="11531" width="10.85546875" style="147" bestFit="1" customWidth="1"/>
    <col min="11532" max="11532" width="11.42578125" style="147" bestFit="1" customWidth="1"/>
    <col min="11533" max="11533" width="15.85546875" style="147" bestFit="1" customWidth="1"/>
    <col min="11534" max="11534" width="6.7109375" style="147" bestFit="1" customWidth="1"/>
    <col min="11535" max="11535" width="5.5703125" style="147" bestFit="1" customWidth="1"/>
    <col min="11536" max="11536" width="14.42578125" style="147" bestFit="1" customWidth="1"/>
    <col min="11537" max="11537" width="14.28515625" style="147" bestFit="1" customWidth="1"/>
    <col min="11538" max="11538" width="14.28515625" style="147" customWidth="1"/>
    <col min="11539" max="11780" width="15.7109375" style="147"/>
    <col min="11781" max="11781" width="6" style="147" bestFit="1" customWidth="1"/>
    <col min="11782" max="11782" width="7.140625" style="147" bestFit="1" customWidth="1"/>
    <col min="11783" max="11783" width="9.140625" style="147" bestFit="1" customWidth="1"/>
    <col min="11784" max="11784" width="10.85546875" style="147" bestFit="1" customWidth="1"/>
    <col min="11785" max="11785" width="10.85546875" style="147" customWidth="1"/>
    <col min="11786" max="11786" width="11.140625" style="147" bestFit="1" customWidth="1"/>
    <col min="11787" max="11787" width="10.85546875" style="147" bestFit="1" customWidth="1"/>
    <col min="11788" max="11788" width="11.42578125" style="147" bestFit="1" customWidth="1"/>
    <col min="11789" max="11789" width="15.85546875" style="147" bestFit="1" customWidth="1"/>
    <col min="11790" max="11790" width="6.7109375" style="147" bestFit="1" customWidth="1"/>
    <col min="11791" max="11791" width="5.5703125" style="147" bestFit="1" customWidth="1"/>
    <col min="11792" max="11792" width="14.42578125" style="147" bestFit="1" customWidth="1"/>
    <col min="11793" max="11793" width="14.28515625" style="147" bestFit="1" customWidth="1"/>
    <col min="11794" max="11794" width="14.28515625" style="147" customWidth="1"/>
    <col min="11795" max="12036" width="15.7109375" style="147"/>
    <col min="12037" max="12037" width="6" style="147" bestFit="1" customWidth="1"/>
    <col min="12038" max="12038" width="7.140625" style="147" bestFit="1" customWidth="1"/>
    <col min="12039" max="12039" width="9.140625" style="147" bestFit="1" customWidth="1"/>
    <col min="12040" max="12040" width="10.85546875" style="147" bestFit="1" customWidth="1"/>
    <col min="12041" max="12041" width="10.85546875" style="147" customWidth="1"/>
    <col min="12042" max="12042" width="11.140625" style="147" bestFit="1" customWidth="1"/>
    <col min="12043" max="12043" width="10.85546875" style="147" bestFit="1" customWidth="1"/>
    <col min="12044" max="12044" width="11.42578125" style="147" bestFit="1" customWidth="1"/>
    <col min="12045" max="12045" width="15.85546875" style="147" bestFit="1" customWidth="1"/>
    <col min="12046" max="12046" width="6.7109375" style="147" bestFit="1" customWidth="1"/>
    <col min="12047" max="12047" width="5.5703125" style="147" bestFit="1" customWidth="1"/>
    <col min="12048" max="12048" width="14.42578125" style="147" bestFit="1" customWidth="1"/>
    <col min="12049" max="12049" width="14.28515625" style="147" bestFit="1" customWidth="1"/>
    <col min="12050" max="12050" width="14.28515625" style="147" customWidth="1"/>
    <col min="12051" max="12292" width="15.7109375" style="147"/>
    <col min="12293" max="12293" width="6" style="147" bestFit="1" customWidth="1"/>
    <col min="12294" max="12294" width="7.140625" style="147" bestFit="1" customWidth="1"/>
    <col min="12295" max="12295" width="9.140625" style="147" bestFit="1" customWidth="1"/>
    <col min="12296" max="12296" width="10.85546875" style="147" bestFit="1" customWidth="1"/>
    <col min="12297" max="12297" width="10.85546875" style="147" customWidth="1"/>
    <col min="12298" max="12298" width="11.140625" style="147" bestFit="1" customWidth="1"/>
    <col min="12299" max="12299" width="10.85546875" style="147" bestFit="1" customWidth="1"/>
    <col min="12300" max="12300" width="11.42578125" style="147" bestFit="1" customWidth="1"/>
    <col min="12301" max="12301" width="15.85546875" style="147" bestFit="1" customWidth="1"/>
    <col min="12302" max="12302" width="6.7109375" style="147" bestFit="1" customWidth="1"/>
    <col min="12303" max="12303" width="5.5703125" style="147" bestFit="1" customWidth="1"/>
    <col min="12304" max="12304" width="14.42578125" style="147" bestFit="1" customWidth="1"/>
    <col min="12305" max="12305" width="14.28515625" style="147" bestFit="1" customWidth="1"/>
    <col min="12306" max="12306" width="14.28515625" style="147" customWidth="1"/>
    <col min="12307" max="12548" width="15.7109375" style="147"/>
    <col min="12549" max="12549" width="6" style="147" bestFit="1" customWidth="1"/>
    <col min="12550" max="12550" width="7.140625" style="147" bestFit="1" customWidth="1"/>
    <col min="12551" max="12551" width="9.140625" style="147" bestFit="1" customWidth="1"/>
    <col min="12552" max="12552" width="10.85546875" style="147" bestFit="1" customWidth="1"/>
    <col min="12553" max="12553" width="10.85546875" style="147" customWidth="1"/>
    <col min="12554" max="12554" width="11.140625" style="147" bestFit="1" customWidth="1"/>
    <col min="12555" max="12555" width="10.85546875" style="147" bestFit="1" customWidth="1"/>
    <col min="12556" max="12556" width="11.42578125" style="147" bestFit="1" customWidth="1"/>
    <col min="12557" max="12557" width="15.85546875" style="147" bestFit="1" customWidth="1"/>
    <col min="12558" max="12558" width="6.7109375" style="147" bestFit="1" customWidth="1"/>
    <col min="12559" max="12559" width="5.5703125" style="147" bestFit="1" customWidth="1"/>
    <col min="12560" max="12560" width="14.42578125" style="147" bestFit="1" customWidth="1"/>
    <col min="12561" max="12561" width="14.28515625" style="147" bestFit="1" customWidth="1"/>
    <col min="12562" max="12562" width="14.28515625" style="147" customWidth="1"/>
    <col min="12563" max="12804" width="15.7109375" style="147"/>
    <col min="12805" max="12805" width="6" style="147" bestFit="1" customWidth="1"/>
    <col min="12806" max="12806" width="7.140625" style="147" bestFit="1" customWidth="1"/>
    <col min="12807" max="12807" width="9.140625" style="147" bestFit="1" customWidth="1"/>
    <col min="12808" max="12808" width="10.85546875" style="147" bestFit="1" customWidth="1"/>
    <col min="12809" max="12809" width="10.85546875" style="147" customWidth="1"/>
    <col min="12810" max="12810" width="11.140625" style="147" bestFit="1" customWidth="1"/>
    <col min="12811" max="12811" width="10.85546875" style="147" bestFit="1" customWidth="1"/>
    <col min="12812" max="12812" width="11.42578125" style="147" bestFit="1" customWidth="1"/>
    <col min="12813" max="12813" width="15.85546875" style="147" bestFit="1" customWidth="1"/>
    <col min="12814" max="12814" width="6.7109375" style="147" bestFit="1" customWidth="1"/>
    <col min="12815" max="12815" width="5.5703125" style="147" bestFit="1" customWidth="1"/>
    <col min="12816" max="12816" width="14.42578125" style="147" bestFit="1" customWidth="1"/>
    <col min="12817" max="12817" width="14.28515625" style="147" bestFit="1" customWidth="1"/>
    <col min="12818" max="12818" width="14.28515625" style="147" customWidth="1"/>
    <col min="12819" max="13060" width="15.7109375" style="147"/>
    <col min="13061" max="13061" width="6" style="147" bestFit="1" customWidth="1"/>
    <col min="13062" max="13062" width="7.140625" style="147" bestFit="1" customWidth="1"/>
    <col min="13063" max="13063" width="9.140625" style="147" bestFit="1" customWidth="1"/>
    <col min="13064" max="13064" width="10.85546875" style="147" bestFit="1" customWidth="1"/>
    <col min="13065" max="13065" width="10.85546875" style="147" customWidth="1"/>
    <col min="13066" max="13066" width="11.140625" style="147" bestFit="1" customWidth="1"/>
    <col min="13067" max="13067" width="10.85546875" style="147" bestFit="1" customWidth="1"/>
    <col min="13068" max="13068" width="11.42578125" style="147" bestFit="1" customWidth="1"/>
    <col min="13069" max="13069" width="15.85546875" style="147" bestFit="1" customWidth="1"/>
    <col min="13070" max="13070" width="6.7109375" style="147" bestFit="1" customWidth="1"/>
    <col min="13071" max="13071" width="5.5703125" style="147" bestFit="1" customWidth="1"/>
    <col min="13072" max="13072" width="14.42578125" style="147" bestFit="1" customWidth="1"/>
    <col min="13073" max="13073" width="14.28515625" style="147" bestFit="1" customWidth="1"/>
    <col min="13074" max="13074" width="14.28515625" style="147" customWidth="1"/>
    <col min="13075" max="13316" width="15.7109375" style="147"/>
    <col min="13317" max="13317" width="6" style="147" bestFit="1" customWidth="1"/>
    <col min="13318" max="13318" width="7.140625" style="147" bestFit="1" customWidth="1"/>
    <col min="13319" max="13319" width="9.140625" style="147" bestFit="1" customWidth="1"/>
    <col min="13320" max="13320" width="10.85546875" style="147" bestFit="1" customWidth="1"/>
    <col min="13321" max="13321" width="10.85546875" style="147" customWidth="1"/>
    <col min="13322" max="13322" width="11.140625" style="147" bestFit="1" customWidth="1"/>
    <col min="13323" max="13323" width="10.85546875" style="147" bestFit="1" customWidth="1"/>
    <col min="13324" max="13324" width="11.42578125" style="147" bestFit="1" customWidth="1"/>
    <col min="13325" max="13325" width="15.85546875" style="147" bestFit="1" customWidth="1"/>
    <col min="13326" max="13326" width="6.7109375" style="147" bestFit="1" customWidth="1"/>
    <col min="13327" max="13327" width="5.5703125" style="147" bestFit="1" customWidth="1"/>
    <col min="13328" max="13328" width="14.42578125" style="147" bestFit="1" customWidth="1"/>
    <col min="13329" max="13329" width="14.28515625" style="147" bestFit="1" customWidth="1"/>
    <col min="13330" max="13330" width="14.28515625" style="147" customWidth="1"/>
    <col min="13331" max="13572" width="15.7109375" style="147"/>
    <col min="13573" max="13573" width="6" style="147" bestFit="1" customWidth="1"/>
    <col min="13574" max="13574" width="7.140625" style="147" bestFit="1" customWidth="1"/>
    <col min="13575" max="13575" width="9.140625" style="147" bestFit="1" customWidth="1"/>
    <col min="13576" max="13576" width="10.85546875" style="147" bestFit="1" customWidth="1"/>
    <col min="13577" max="13577" width="10.85546875" style="147" customWidth="1"/>
    <col min="13578" max="13578" width="11.140625" style="147" bestFit="1" customWidth="1"/>
    <col min="13579" max="13579" width="10.85546875" style="147" bestFit="1" customWidth="1"/>
    <col min="13580" max="13580" width="11.42578125" style="147" bestFit="1" customWidth="1"/>
    <col min="13581" max="13581" width="15.85546875" style="147" bestFit="1" customWidth="1"/>
    <col min="13582" max="13582" width="6.7109375" style="147" bestFit="1" customWidth="1"/>
    <col min="13583" max="13583" width="5.5703125" style="147" bestFit="1" customWidth="1"/>
    <col min="13584" max="13584" width="14.42578125" style="147" bestFit="1" customWidth="1"/>
    <col min="13585" max="13585" width="14.28515625" style="147" bestFit="1" customWidth="1"/>
    <col min="13586" max="13586" width="14.28515625" style="147" customWidth="1"/>
    <col min="13587" max="13828" width="15.7109375" style="147"/>
    <col min="13829" max="13829" width="6" style="147" bestFit="1" customWidth="1"/>
    <col min="13830" max="13830" width="7.140625" style="147" bestFit="1" customWidth="1"/>
    <col min="13831" max="13831" width="9.140625" style="147" bestFit="1" customWidth="1"/>
    <col min="13832" max="13832" width="10.85546875" style="147" bestFit="1" customWidth="1"/>
    <col min="13833" max="13833" width="10.85546875" style="147" customWidth="1"/>
    <col min="13834" max="13834" width="11.140625" style="147" bestFit="1" customWidth="1"/>
    <col min="13835" max="13835" width="10.85546875" style="147" bestFit="1" customWidth="1"/>
    <col min="13836" max="13836" width="11.42578125" style="147" bestFit="1" customWidth="1"/>
    <col min="13837" max="13837" width="15.85546875" style="147" bestFit="1" customWidth="1"/>
    <col min="13838" max="13838" width="6.7109375" style="147" bestFit="1" customWidth="1"/>
    <col min="13839" max="13839" width="5.5703125" style="147" bestFit="1" customWidth="1"/>
    <col min="13840" max="13840" width="14.42578125" style="147" bestFit="1" customWidth="1"/>
    <col min="13841" max="13841" width="14.28515625" style="147" bestFit="1" customWidth="1"/>
    <col min="13842" max="13842" width="14.28515625" style="147" customWidth="1"/>
    <col min="13843" max="14084" width="15.7109375" style="147"/>
    <col min="14085" max="14085" width="6" style="147" bestFit="1" customWidth="1"/>
    <col min="14086" max="14086" width="7.140625" style="147" bestFit="1" customWidth="1"/>
    <col min="14087" max="14087" width="9.140625" style="147" bestFit="1" customWidth="1"/>
    <col min="14088" max="14088" width="10.85546875" style="147" bestFit="1" customWidth="1"/>
    <col min="14089" max="14089" width="10.85546875" style="147" customWidth="1"/>
    <col min="14090" max="14090" width="11.140625" style="147" bestFit="1" customWidth="1"/>
    <col min="14091" max="14091" width="10.85546875" style="147" bestFit="1" customWidth="1"/>
    <col min="14092" max="14092" width="11.42578125" style="147" bestFit="1" customWidth="1"/>
    <col min="14093" max="14093" width="15.85546875" style="147" bestFit="1" customWidth="1"/>
    <col min="14094" max="14094" width="6.7109375" style="147" bestFit="1" customWidth="1"/>
    <col min="14095" max="14095" width="5.5703125" style="147" bestFit="1" customWidth="1"/>
    <col min="14096" max="14096" width="14.42578125" style="147" bestFit="1" customWidth="1"/>
    <col min="14097" max="14097" width="14.28515625" style="147" bestFit="1" customWidth="1"/>
    <col min="14098" max="14098" width="14.28515625" style="147" customWidth="1"/>
    <col min="14099" max="14340" width="15.7109375" style="147"/>
    <col min="14341" max="14341" width="6" style="147" bestFit="1" customWidth="1"/>
    <col min="14342" max="14342" width="7.140625" style="147" bestFit="1" customWidth="1"/>
    <col min="14343" max="14343" width="9.140625" style="147" bestFit="1" customWidth="1"/>
    <col min="14344" max="14344" width="10.85546875" style="147" bestFit="1" customWidth="1"/>
    <col min="14345" max="14345" width="10.85546875" style="147" customWidth="1"/>
    <col min="14346" max="14346" width="11.140625" style="147" bestFit="1" customWidth="1"/>
    <col min="14347" max="14347" width="10.85546875" style="147" bestFit="1" customWidth="1"/>
    <col min="14348" max="14348" width="11.42578125" style="147" bestFit="1" customWidth="1"/>
    <col min="14349" max="14349" width="15.85546875" style="147" bestFit="1" customWidth="1"/>
    <col min="14350" max="14350" width="6.7109375" style="147" bestFit="1" customWidth="1"/>
    <col min="14351" max="14351" width="5.5703125" style="147" bestFit="1" customWidth="1"/>
    <col min="14352" max="14352" width="14.42578125" style="147" bestFit="1" customWidth="1"/>
    <col min="14353" max="14353" width="14.28515625" style="147" bestFit="1" customWidth="1"/>
    <col min="14354" max="14354" width="14.28515625" style="147" customWidth="1"/>
    <col min="14355" max="14596" width="15.7109375" style="147"/>
    <col min="14597" max="14597" width="6" style="147" bestFit="1" customWidth="1"/>
    <col min="14598" max="14598" width="7.140625" style="147" bestFit="1" customWidth="1"/>
    <col min="14599" max="14599" width="9.140625" style="147" bestFit="1" customWidth="1"/>
    <col min="14600" max="14600" width="10.85546875" style="147" bestFit="1" customWidth="1"/>
    <col min="14601" max="14601" width="10.85546875" style="147" customWidth="1"/>
    <col min="14602" max="14602" width="11.140625" style="147" bestFit="1" customWidth="1"/>
    <col min="14603" max="14603" width="10.85546875" style="147" bestFit="1" customWidth="1"/>
    <col min="14604" max="14604" width="11.42578125" style="147" bestFit="1" customWidth="1"/>
    <col min="14605" max="14605" width="15.85546875" style="147" bestFit="1" customWidth="1"/>
    <col min="14606" max="14606" width="6.7109375" style="147" bestFit="1" customWidth="1"/>
    <col min="14607" max="14607" width="5.5703125" style="147" bestFit="1" customWidth="1"/>
    <col min="14608" max="14608" width="14.42578125" style="147" bestFit="1" customWidth="1"/>
    <col min="14609" max="14609" width="14.28515625" style="147" bestFit="1" customWidth="1"/>
    <col min="14610" max="14610" width="14.28515625" style="147" customWidth="1"/>
    <col min="14611" max="14852" width="15.7109375" style="147"/>
    <col min="14853" max="14853" width="6" style="147" bestFit="1" customWidth="1"/>
    <col min="14854" max="14854" width="7.140625" style="147" bestFit="1" customWidth="1"/>
    <col min="14855" max="14855" width="9.140625" style="147" bestFit="1" customWidth="1"/>
    <col min="14856" max="14856" width="10.85546875" style="147" bestFit="1" customWidth="1"/>
    <col min="14857" max="14857" width="10.85546875" style="147" customWidth="1"/>
    <col min="14858" max="14858" width="11.140625" style="147" bestFit="1" customWidth="1"/>
    <col min="14859" max="14859" width="10.85546875" style="147" bestFit="1" customWidth="1"/>
    <col min="14860" max="14860" width="11.42578125" style="147" bestFit="1" customWidth="1"/>
    <col min="14861" max="14861" width="15.85546875" style="147" bestFit="1" customWidth="1"/>
    <col min="14862" max="14862" width="6.7109375" style="147" bestFit="1" customWidth="1"/>
    <col min="14863" max="14863" width="5.5703125" style="147" bestFit="1" customWidth="1"/>
    <col min="14864" max="14864" width="14.42578125" style="147" bestFit="1" customWidth="1"/>
    <col min="14865" max="14865" width="14.28515625" style="147" bestFit="1" customWidth="1"/>
    <col min="14866" max="14866" width="14.28515625" style="147" customWidth="1"/>
    <col min="14867" max="15108" width="15.7109375" style="147"/>
    <col min="15109" max="15109" width="6" style="147" bestFit="1" customWidth="1"/>
    <col min="15110" max="15110" width="7.140625" style="147" bestFit="1" customWidth="1"/>
    <col min="15111" max="15111" width="9.140625" style="147" bestFit="1" customWidth="1"/>
    <col min="15112" max="15112" width="10.85546875" style="147" bestFit="1" customWidth="1"/>
    <col min="15113" max="15113" width="10.85546875" style="147" customWidth="1"/>
    <col min="15114" max="15114" width="11.140625" style="147" bestFit="1" customWidth="1"/>
    <col min="15115" max="15115" width="10.85546875" style="147" bestFit="1" customWidth="1"/>
    <col min="15116" max="15116" width="11.42578125" style="147" bestFit="1" customWidth="1"/>
    <col min="15117" max="15117" width="15.85546875" style="147" bestFit="1" customWidth="1"/>
    <col min="15118" max="15118" width="6.7109375" style="147" bestFit="1" customWidth="1"/>
    <col min="15119" max="15119" width="5.5703125" style="147" bestFit="1" customWidth="1"/>
    <col min="15120" max="15120" width="14.42578125" style="147" bestFit="1" customWidth="1"/>
    <col min="15121" max="15121" width="14.28515625" style="147" bestFit="1" customWidth="1"/>
    <col min="15122" max="15122" width="14.28515625" style="147" customWidth="1"/>
    <col min="15123" max="15364" width="15.7109375" style="147"/>
    <col min="15365" max="15365" width="6" style="147" bestFit="1" customWidth="1"/>
    <col min="15366" max="15366" width="7.140625" style="147" bestFit="1" customWidth="1"/>
    <col min="15367" max="15367" width="9.140625" style="147" bestFit="1" customWidth="1"/>
    <col min="15368" max="15368" width="10.85546875" style="147" bestFit="1" customWidth="1"/>
    <col min="15369" max="15369" width="10.85546875" style="147" customWidth="1"/>
    <col min="15370" max="15370" width="11.140625" style="147" bestFit="1" customWidth="1"/>
    <col min="15371" max="15371" width="10.85546875" style="147" bestFit="1" customWidth="1"/>
    <col min="15372" max="15372" width="11.42578125" style="147" bestFit="1" customWidth="1"/>
    <col min="15373" max="15373" width="15.85546875" style="147" bestFit="1" customWidth="1"/>
    <col min="15374" max="15374" width="6.7109375" style="147" bestFit="1" customWidth="1"/>
    <col min="15375" max="15375" width="5.5703125" style="147" bestFit="1" customWidth="1"/>
    <col min="15376" max="15376" width="14.42578125" style="147" bestFit="1" customWidth="1"/>
    <col min="15377" max="15377" width="14.28515625" style="147" bestFit="1" customWidth="1"/>
    <col min="15378" max="15378" width="14.28515625" style="147" customWidth="1"/>
    <col min="15379" max="15620" width="15.7109375" style="147"/>
    <col min="15621" max="15621" width="6" style="147" bestFit="1" customWidth="1"/>
    <col min="15622" max="15622" width="7.140625" style="147" bestFit="1" customWidth="1"/>
    <col min="15623" max="15623" width="9.140625" style="147" bestFit="1" customWidth="1"/>
    <col min="15624" max="15624" width="10.85546875" style="147" bestFit="1" customWidth="1"/>
    <col min="15625" max="15625" width="10.85546875" style="147" customWidth="1"/>
    <col min="15626" max="15626" width="11.140625" style="147" bestFit="1" customWidth="1"/>
    <col min="15627" max="15627" width="10.85546875" style="147" bestFit="1" customWidth="1"/>
    <col min="15628" max="15628" width="11.42578125" style="147" bestFit="1" customWidth="1"/>
    <col min="15629" max="15629" width="15.85546875" style="147" bestFit="1" customWidth="1"/>
    <col min="15630" max="15630" width="6.7109375" style="147" bestFit="1" customWidth="1"/>
    <col min="15631" max="15631" width="5.5703125" style="147" bestFit="1" customWidth="1"/>
    <col min="15632" max="15632" width="14.42578125" style="147" bestFit="1" customWidth="1"/>
    <col min="15633" max="15633" width="14.28515625" style="147" bestFit="1" customWidth="1"/>
    <col min="15634" max="15634" width="14.28515625" style="147" customWidth="1"/>
    <col min="15635" max="15876" width="15.7109375" style="147"/>
    <col min="15877" max="15877" width="6" style="147" bestFit="1" customWidth="1"/>
    <col min="15878" max="15878" width="7.140625" style="147" bestFit="1" customWidth="1"/>
    <col min="15879" max="15879" width="9.140625" style="147" bestFit="1" customWidth="1"/>
    <col min="15880" max="15880" width="10.85546875" style="147" bestFit="1" customWidth="1"/>
    <col min="15881" max="15881" width="10.85546875" style="147" customWidth="1"/>
    <col min="15882" max="15882" width="11.140625" style="147" bestFit="1" customWidth="1"/>
    <col min="15883" max="15883" width="10.85546875" style="147" bestFit="1" customWidth="1"/>
    <col min="15884" max="15884" width="11.42578125" style="147" bestFit="1" customWidth="1"/>
    <col min="15885" max="15885" width="15.85546875" style="147" bestFit="1" customWidth="1"/>
    <col min="15886" max="15886" width="6.7109375" style="147" bestFit="1" customWidth="1"/>
    <col min="15887" max="15887" width="5.5703125" style="147" bestFit="1" customWidth="1"/>
    <col min="15888" max="15888" width="14.42578125" style="147" bestFit="1" customWidth="1"/>
    <col min="15889" max="15889" width="14.28515625" style="147" bestFit="1" customWidth="1"/>
    <col min="15890" max="15890" width="14.28515625" style="147" customWidth="1"/>
    <col min="15891" max="16132" width="15.7109375" style="147"/>
    <col min="16133" max="16133" width="6" style="147" bestFit="1" customWidth="1"/>
    <col min="16134" max="16134" width="7.140625" style="147" bestFit="1" customWidth="1"/>
    <col min="16135" max="16135" width="9.140625" style="147" bestFit="1" customWidth="1"/>
    <col min="16136" max="16136" width="10.85546875" style="147" bestFit="1" customWidth="1"/>
    <col min="16137" max="16137" width="10.85546875" style="147" customWidth="1"/>
    <col min="16138" max="16138" width="11.140625" style="147" bestFit="1" customWidth="1"/>
    <col min="16139" max="16139" width="10.85546875" style="147" bestFit="1" customWidth="1"/>
    <col min="16140" max="16140" width="11.42578125" style="147" bestFit="1" customWidth="1"/>
    <col min="16141" max="16141" width="15.85546875" style="147" bestFit="1" customWidth="1"/>
    <col min="16142" max="16142" width="6.7109375" style="147" bestFit="1" customWidth="1"/>
    <col min="16143" max="16143" width="5.5703125" style="147" bestFit="1" customWidth="1"/>
    <col min="16144" max="16144" width="14.42578125" style="147" bestFit="1" customWidth="1"/>
    <col min="16145" max="16145" width="14.28515625" style="147" bestFit="1" customWidth="1"/>
    <col min="16146" max="16146" width="14.28515625" style="147" customWidth="1"/>
    <col min="16147" max="16384" width="15.7109375" style="147"/>
  </cols>
  <sheetData>
    <row r="1" spans="1:21" x14ac:dyDescent="0.2">
      <c r="A1" s="144" t="s">
        <v>15</v>
      </c>
      <c r="B1" s="144" t="s">
        <v>18</v>
      </c>
      <c r="C1" s="168" t="s">
        <v>155</v>
      </c>
      <c r="D1" s="165" t="s">
        <v>156</v>
      </c>
      <c r="E1" s="165" t="s">
        <v>220</v>
      </c>
      <c r="F1" s="165" t="s">
        <v>157</v>
      </c>
      <c r="G1" s="145" t="s">
        <v>189</v>
      </c>
      <c r="H1" s="145" t="s">
        <v>158</v>
      </c>
      <c r="I1" s="146" t="s">
        <v>223</v>
      </c>
      <c r="J1" s="146" t="s">
        <v>185</v>
      </c>
      <c r="K1" s="147" t="s">
        <v>196</v>
      </c>
      <c r="L1" s="146" t="s">
        <v>225</v>
      </c>
      <c r="M1" s="146" t="s">
        <v>184</v>
      </c>
      <c r="N1" s="158" t="s">
        <v>159</v>
      </c>
      <c r="O1" s="158" t="s">
        <v>160</v>
      </c>
      <c r="P1" s="163" t="s">
        <v>161</v>
      </c>
      <c r="Q1" s="163" t="s">
        <v>162</v>
      </c>
      <c r="R1" s="163"/>
      <c r="S1" s="163"/>
      <c r="U1" s="147" t="s">
        <v>176</v>
      </c>
    </row>
    <row r="2" spans="1:21" x14ac:dyDescent="0.2">
      <c r="A2" s="147">
        <v>2001</v>
      </c>
      <c r="B2" s="147">
        <v>1</v>
      </c>
      <c r="C2" s="157">
        <v>735535.00800000003</v>
      </c>
      <c r="D2" s="166">
        <v>4.2694402357305536</v>
      </c>
      <c r="E2" s="166">
        <v>4.2694402357305536</v>
      </c>
      <c r="F2" s="166">
        <v>32.33</v>
      </c>
      <c r="G2" s="148">
        <v>0</v>
      </c>
      <c r="H2" s="181">
        <f>VLOOKUP($A2&amp;$B2,'KU Inputs'!$C$2:$J$530,MATCH('KU UtilityData'!H$1,'KU Inputs'!$C$1:$J$1,0),0)*1000</f>
        <v>4063346</v>
      </c>
      <c r="I2" s="181">
        <f>VLOOKUP($A2&amp;$B2,'KU Inputs'!$C$2:$J$530,MATCH('KU UtilityData'!I$1,'KU Inputs'!$C$1:$J$1,0),0)*1000</f>
        <v>4063346</v>
      </c>
      <c r="J2" s="181">
        <f>VLOOKUP($A2&amp;$B2,'KU Inputs'!$C$2:$J$530,MATCH('KU UtilityData'!J$1,'KU Inputs'!$C$1:$J$1,0),0)*1000</f>
        <v>1603592</v>
      </c>
      <c r="K2" s="237">
        <v>393204</v>
      </c>
      <c r="L2" s="181">
        <f>VLOOKUP($A2&amp;$B2,'KU Inputs'!$C$2:$J$530,MATCH('KU UtilityData'!L$1,'KU Inputs'!$C$1:$J$1,0),0)</f>
        <v>113069.322</v>
      </c>
      <c r="M2" s="181">
        <f>VLOOKUP($A2&amp;$B2,'KU Inputs'!$C$2:$J$530,MATCH('KU UtilityData'!M$1,'KU Inputs'!$C$1:$J$1,0),0)</f>
        <v>113069.32213241505</v>
      </c>
      <c r="N2" s="242">
        <v>1283.4000000000001</v>
      </c>
      <c r="O2" s="242">
        <v>0</v>
      </c>
      <c r="P2" s="159">
        <v>4512</v>
      </c>
      <c r="Q2" s="159">
        <v>1455</v>
      </c>
      <c r="R2" s="271">
        <f>J2/I2</f>
        <v>0.39464815450124108</v>
      </c>
      <c r="T2" s="147" t="e">
        <f>#REF!+1</f>
        <v>#REF!</v>
      </c>
      <c r="U2" s="151" t="e">
        <f>SUMIF(A$2:A$493,T$2:T$31,#REF!)/12</f>
        <v>#REF!</v>
      </c>
    </row>
    <row r="3" spans="1:21" x14ac:dyDescent="0.2">
      <c r="A3" s="147">
        <v>2001</v>
      </c>
      <c r="B3" s="147">
        <v>2</v>
      </c>
      <c r="C3" s="157">
        <v>530191.82200000004</v>
      </c>
      <c r="D3" s="166">
        <v>4.2694402357305536</v>
      </c>
      <c r="E3" s="166">
        <v>4.2694402357305536</v>
      </c>
      <c r="F3" s="166">
        <v>29.81</v>
      </c>
      <c r="G3" s="148">
        <v>0</v>
      </c>
      <c r="H3" s="181">
        <f>VLOOKUP($A3&amp;$B3,'KU Inputs'!$C$2:$J$530,MATCH('KU UtilityData'!H$1,'KU Inputs'!$C$1:$J$1,0),0)*1000</f>
        <v>4063346</v>
      </c>
      <c r="I3" s="181">
        <f>VLOOKUP($A3&amp;$B3,'KU Inputs'!$C$2:$J$530,MATCH('KU UtilityData'!I$1,'KU Inputs'!$C$1:$J$1,0),0)*1000</f>
        <v>4063346</v>
      </c>
      <c r="J3" s="181">
        <f>VLOOKUP($A3&amp;$B3,'KU Inputs'!$C$2:$J$530,MATCH('KU UtilityData'!J$1,'KU Inputs'!$C$1:$J$1,0),0)*1000</f>
        <v>1603592</v>
      </c>
      <c r="K3" s="237">
        <v>391327</v>
      </c>
      <c r="L3" s="181">
        <f>VLOOKUP($A3&amp;$B3,'KU Inputs'!$C$2:$J$530,MATCH('KU UtilityData'!L$1,'KU Inputs'!$C$1:$J$1,0),0)</f>
        <v>113069.322</v>
      </c>
      <c r="M3" s="181">
        <f>VLOOKUP($A3&amp;$B3,'KU Inputs'!$C$2:$J$530,MATCH('KU UtilityData'!M$1,'KU Inputs'!$C$1:$J$1,0),0)</f>
        <v>113069.32213241505</v>
      </c>
      <c r="N3" s="242">
        <v>842.3</v>
      </c>
      <c r="O3" s="242">
        <v>0</v>
      </c>
      <c r="P3" s="159">
        <v>4512</v>
      </c>
      <c r="Q3" s="159">
        <v>1455</v>
      </c>
      <c r="R3" s="271">
        <f t="shared" ref="R3:R66" si="0">J3/I3</f>
        <v>0.39464815450124108</v>
      </c>
      <c r="T3" s="147" t="e">
        <f t="shared" ref="T3:T32" si="1">T2+1</f>
        <v>#REF!</v>
      </c>
      <c r="U3" s="151" t="e">
        <f>SUMIF(A$2:A$493,T$2:T$31,#REF!)/12</f>
        <v>#REF!</v>
      </c>
    </row>
    <row r="4" spans="1:21" x14ac:dyDescent="0.2">
      <c r="A4" s="147">
        <v>2001</v>
      </c>
      <c r="B4" s="147">
        <v>3</v>
      </c>
      <c r="C4" s="157">
        <v>466800.62599999999</v>
      </c>
      <c r="D4" s="166">
        <v>4.2694402357305536</v>
      </c>
      <c r="E4" s="166">
        <v>4.2694402357305536</v>
      </c>
      <c r="F4" s="166">
        <v>30.29</v>
      </c>
      <c r="G4" s="148">
        <v>0</v>
      </c>
      <c r="H4" s="181">
        <f>VLOOKUP($A4&amp;$B4,'KU Inputs'!$C$2:$J$530,MATCH('KU UtilityData'!H$1,'KU Inputs'!$C$1:$J$1,0),0)*1000</f>
        <v>4063346</v>
      </c>
      <c r="I4" s="181">
        <f>VLOOKUP($A4&amp;$B4,'KU Inputs'!$C$2:$J$530,MATCH('KU UtilityData'!I$1,'KU Inputs'!$C$1:$J$1,0),0)*1000</f>
        <v>4063346</v>
      </c>
      <c r="J4" s="181">
        <f>VLOOKUP($A4&amp;$B4,'KU Inputs'!$C$2:$J$530,MATCH('KU UtilityData'!J$1,'KU Inputs'!$C$1:$J$1,0),0)*1000</f>
        <v>1603592</v>
      </c>
      <c r="K4" s="237">
        <v>392005</v>
      </c>
      <c r="L4" s="181">
        <f>VLOOKUP($A4&amp;$B4,'KU Inputs'!$C$2:$J$530,MATCH('KU UtilityData'!L$1,'KU Inputs'!$C$1:$J$1,0),0)</f>
        <v>113069.322</v>
      </c>
      <c r="M4" s="181">
        <f>VLOOKUP($A4&amp;$B4,'KU Inputs'!$C$2:$J$530,MATCH('KU UtilityData'!M$1,'KU Inputs'!$C$1:$J$1,0),0)</f>
        <v>113069.32213241505</v>
      </c>
      <c r="N4" s="242">
        <v>721.85</v>
      </c>
      <c r="O4" s="242">
        <v>0</v>
      </c>
      <c r="P4" s="159">
        <v>4512</v>
      </c>
      <c r="Q4" s="159">
        <v>1455</v>
      </c>
      <c r="R4" s="271">
        <f t="shared" si="0"/>
        <v>0.39464815450124108</v>
      </c>
      <c r="T4" s="147" t="e">
        <f t="shared" si="1"/>
        <v>#REF!</v>
      </c>
      <c r="U4" s="151" t="e">
        <f>SUMIF(A$2:A$493,T$2:T$31,#REF!)/12</f>
        <v>#REF!</v>
      </c>
    </row>
    <row r="5" spans="1:21" x14ac:dyDescent="0.2">
      <c r="A5" s="147">
        <v>2001</v>
      </c>
      <c r="B5" s="147">
        <v>4</v>
      </c>
      <c r="C5" s="157">
        <v>397306.68400000001</v>
      </c>
      <c r="D5" s="166">
        <v>4.2694402357305536</v>
      </c>
      <c r="E5" s="166">
        <v>4.2694402357305536</v>
      </c>
      <c r="F5" s="166">
        <v>30.29</v>
      </c>
      <c r="G5" s="148">
        <v>0</v>
      </c>
      <c r="H5" s="181">
        <f>VLOOKUP($A5&amp;$B5,'KU Inputs'!$C$2:$J$530,MATCH('KU UtilityData'!H$1,'KU Inputs'!$C$1:$J$1,0),0)*1000</f>
        <v>4068132</v>
      </c>
      <c r="I5" s="181">
        <f>VLOOKUP($A5&amp;$B5,'KU Inputs'!$C$2:$J$530,MATCH('KU UtilityData'!I$1,'KU Inputs'!$C$1:$J$1,0),0)*1000</f>
        <v>4068132</v>
      </c>
      <c r="J5" s="181">
        <f>VLOOKUP($A5&amp;$B5,'KU Inputs'!$C$2:$J$530,MATCH('KU UtilityData'!J$1,'KU Inputs'!$C$1:$J$1,0),0)*1000</f>
        <v>1606740</v>
      </c>
      <c r="K5" s="237">
        <v>392162</v>
      </c>
      <c r="L5" s="181">
        <f>VLOOKUP($A5&amp;$B5,'KU Inputs'!$C$2:$J$530,MATCH('KU UtilityData'!L$1,'KU Inputs'!$C$1:$J$1,0),0)</f>
        <v>112494.27</v>
      </c>
      <c r="M5" s="181">
        <f>VLOOKUP($A5&amp;$B5,'KU Inputs'!$C$2:$J$530,MATCH('KU UtilityData'!M$1,'KU Inputs'!$C$1:$J$1,0),0)</f>
        <v>112494.2696849964</v>
      </c>
      <c r="N5" s="242">
        <v>472.3</v>
      </c>
      <c r="O5" s="242">
        <v>46.55</v>
      </c>
      <c r="P5" s="159">
        <v>4512</v>
      </c>
      <c r="Q5" s="159">
        <v>1455</v>
      </c>
      <c r="R5" s="271">
        <f t="shared" si="0"/>
        <v>0.39495768573881085</v>
      </c>
      <c r="T5" s="147" t="e">
        <f t="shared" si="1"/>
        <v>#REF!</v>
      </c>
      <c r="U5" s="151" t="e">
        <f>SUMIF(A$2:A$493,T$2:T$31,#REF!)/12</f>
        <v>#REF!</v>
      </c>
    </row>
    <row r="6" spans="1:21" x14ac:dyDescent="0.2">
      <c r="A6" s="147">
        <v>2001</v>
      </c>
      <c r="B6" s="147">
        <v>5</v>
      </c>
      <c r="C6" s="157">
        <v>333455.40399999998</v>
      </c>
      <c r="D6" s="166">
        <v>4.2694402357305536</v>
      </c>
      <c r="E6" s="166">
        <v>4.2694402357305536</v>
      </c>
      <c r="F6" s="166">
        <v>30.05</v>
      </c>
      <c r="G6" s="148">
        <v>0</v>
      </c>
      <c r="H6" s="181">
        <f>VLOOKUP($A6&amp;$B6,'KU Inputs'!$C$2:$J$530,MATCH('KU UtilityData'!H$1,'KU Inputs'!$C$1:$J$1,0),0)*1000</f>
        <v>4068132</v>
      </c>
      <c r="I6" s="181">
        <f>VLOOKUP($A6&amp;$B6,'KU Inputs'!$C$2:$J$530,MATCH('KU UtilityData'!I$1,'KU Inputs'!$C$1:$J$1,0),0)*1000</f>
        <v>4068132</v>
      </c>
      <c r="J6" s="181">
        <f>VLOOKUP($A6&amp;$B6,'KU Inputs'!$C$2:$J$530,MATCH('KU UtilityData'!J$1,'KU Inputs'!$C$1:$J$1,0),0)*1000</f>
        <v>1606740</v>
      </c>
      <c r="K6" s="237">
        <v>391549</v>
      </c>
      <c r="L6" s="181">
        <f>VLOOKUP($A6&amp;$B6,'KU Inputs'!$C$2:$J$530,MATCH('KU UtilityData'!L$1,'KU Inputs'!$C$1:$J$1,0),0)</f>
        <v>112494.27</v>
      </c>
      <c r="M6" s="181">
        <f>VLOOKUP($A6&amp;$B6,'KU Inputs'!$C$2:$J$530,MATCH('KU UtilityData'!M$1,'KU Inputs'!$C$1:$J$1,0),0)</f>
        <v>112494.2696849964</v>
      </c>
      <c r="N6" s="242">
        <v>119.3</v>
      </c>
      <c r="O6" s="242">
        <v>98.55</v>
      </c>
      <c r="P6" s="159">
        <v>4512</v>
      </c>
      <c r="Q6" s="159">
        <v>1455</v>
      </c>
      <c r="R6" s="271">
        <f t="shared" si="0"/>
        <v>0.39495768573881085</v>
      </c>
      <c r="T6" s="147" t="e">
        <f t="shared" si="1"/>
        <v>#REF!</v>
      </c>
      <c r="U6" s="151" t="e">
        <f>SUMIF(A$2:A$493,T$2:T$31,#REF!)/12</f>
        <v>#REF!</v>
      </c>
    </row>
    <row r="7" spans="1:21" x14ac:dyDescent="0.2">
      <c r="A7" s="147">
        <v>2001</v>
      </c>
      <c r="B7" s="147">
        <v>6</v>
      </c>
      <c r="C7" s="157">
        <v>370035.22499999998</v>
      </c>
      <c r="D7" s="166">
        <v>4.2694402357305536</v>
      </c>
      <c r="E7" s="166">
        <v>4.2694402357305536</v>
      </c>
      <c r="F7" s="166">
        <v>30.62</v>
      </c>
      <c r="G7" s="148">
        <v>0</v>
      </c>
      <c r="H7" s="181">
        <f>VLOOKUP($A7&amp;$B7,'KU Inputs'!$C$2:$J$530,MATCH('KU UtilityData'!H$1,'KU Inputs'!$C$1:$J$1,0),0)*1000</f>
        <v>4068132</v>
      </c>
      <c r="I7" s="181">
        <f>VLOOKUP($A7&amp;$B7,'KU Inputs'!$C$2:$J$530,MATCH('KU UtilityData'!I$1,'KU Inputs'!$C$1:$J$1,0),0)*1000</f>
        <v>4068132</v>
      </c>
      <c r="J7" s="181">
        <f>VLOOKUP($A7&amp;$B7,'KU Inputs'!$C$2:$J$530,MATCH('KU UtilityData'!J$1,'KU Inputs'!$C$1:$J$1,0),0)*1000</f>
        <v>1606740</v>
      </c>
      <c r="K7" s="237">
        <v>391331</v>
      </c>
      <c r="L7" s="181">
        <f>VLOOKUP($A7&amp;$B7,'KU Inputs'!$C$2:$J$530,MATCH('KU UtilityData'!L$1,'KU Inputs'!$C$1:$J$1,0),0)</f>
        <v>112494.27</v>
      </c>
      <c r="M7" s="181">
        <f>VLOOKUP($A7&amp;$B7,'KU Inputs'!$C$2:$J$530,MATCH('KU UtilityData'!M$1,'KU Inputs'!$C$1:$J$1,0),0)</f>
        <v>112494.2696849964</v>
      </c>
      <c r="N7" s="242">
        <v>56.1</v>
      </c>
      <c r="O7" s="242">
        <v>136.6</v>
      </c>
      <c r="P7" s="159">
        <v>4512</v>
      </c>
      <c r="Q7" s="159">
        <v>1455</v>
      </c>
      <c r="R7" s="271">
        <f t="shared" si="0"/>
        <v>0.39495768573881085</v>
      </c>
      <c r="T7" s="147" t="e">
        <f t="shared" si="1"/>
        <v>#REF!</v>
      </c>
      <c r="U7" s="151" t="e">
        <f>SUMIF(A$2:A$493,T$2:T$31,#REF!)/12</f>
        <v>#REF!</v>
      </c>
    </row>
    <row r="8" spans="1:21" x14ac:dyDescent="0.2">
      <c r="A8" s="147">
        <v>2001</v>
      </c>
      <c r="B8" s="147">
        <v>7</v>
      </c>
      <c r="C8" s="157">
        <v>476322.60200000001</v>
      </c>
      <c r="D8" s="166">
        <v>4.2694402357305536</v>
      </c>
      <c r="E8" s="166">
        <v>4.2694402357305536</v>
      </c>
      <c r="F8" s="166">
        <v>30.76</v>
      </c>
      <c r="G8" s="148">
        <v>0</v>
      </c>
      <c r="H8" s="181">
        <f>VLOOKUP($A8&amp;$B8,'KU Inputs'!$C$2:$J$530,MATCH('KU UtilityData'!H$1,'KU Inputs'!$C$1:$J$1,0),0)*1000</f>
        <v>4073557</v>
      </c>
      <c r="I8" s="181">
        <f>VLOOKUP($A8&amp;$B8,'KU Inputs'!$C$2:$J$530,MATCH('KU UtilityData'!I$1,'KU Inputs'!$C$1:$J$1,0),0)*1000</f>
        <v>4073557</v>
      </c>
      <c r="J8" s="181">
        <f>VLOOKUP($A8&amp;$B8,'KU Inputs'!$C$2:$J$530,MATCH('KU UtilityData'!J$1,'KU Inputs'!$C$1:$J$1,0),0)*1000</f>
        <v>1609894</v>
      </c>
      <c r="K8" s="237">
        <v>391916</v>
      </c>
      <c r="L8" s="181">
        <f>VLOOKUP($A8&amp;$B8,'KU Inputs'!$C$2:$J$530,MATCH('KU UtilityData'!L$1,'KU Inputs'!$C$1:$J$1,0),0)</f>
        <v>112373.137</v>
      </c>
      <c r="M8" s="181">
        <f>VLOOKUP($A8&amp;$B8,'KU Inputs'!$C$2:$J$530,MATCH('KU UtilityData'!M$1,'KU Inputs'!$C$1:$J$1,0),0)</f>
        <v>112373.13660868235</v>
      </c>
      <c r="N8" s="242">
        <v>2.1</v>
      </c>
      <c r="O8" s="242">
        <v>262.60000000000002</v>
      </c>
      <c r="P8" s="159">
        <v>4512</v>
      </c>
      <c r="Q8" s="159">
        <v>1455</v>
      </c>
      <c r="R8" s="271">
        <f t="shared" si="0"/>
        <v>0.39520595882173737</v>
      </c>
      <c r="T8" s="147" t="e">
        <f t="shared" si="1"/>
        <v>#REF!</v>
      </c>
      <c r="U8" s="151" t="e">
        <f>SUMIF(A$2:A$493,T$2:T$31,#REF!)/12</f>
        <v>#REF!</v>
      </c>
    </row>
    <row r="9" spans="1:21" x14ac:dyDescent="0.2">
      <c r="A9" s="147">
        <v>2001</v>
      </c>
      <c r="B9" s="147">
        <v>8</v>
      </c>
      <c r="C9" s="157">
        <v>531500.745</v>
      </c>
      <c r="D9" s="166">
        <v>4.2694402357305536</v>
      </c>
      <c r="E9" s="166">
        <v>4.2694402357305536</v>
      </c>
      <c r="F9" s="166">
        <v>29.48</v>
      </c>
      <c r="G9" s="148">
        <v>0</v>
      </c>
      <c r="H9" s="181">
        <f>VLOOKUP($A9&amp;$B9,'KU Inputs'!$C$2:$J$530,MATCH('KU UtilityData'!H$1,'KU Inputs'!$C$1:$J$1,0),0)*1000</f>
        <v>4073557</v>
      </c>
      <c r="I9" s="181">
        <f>VLOOKUP($A9&amp;$B9,'KU Inputs'!$C$2:$J$530,MATCH('KU UtilityData'!I$1,'KU Inputs'!$C$1:$J$1,0),0)*1000</f>
        <v>4073557</v>
      </c>
      <c r="J9" s="181">
        <f>VLOOKUP($A9&amp;$B9,'KU Inputs'!$C$2:$J$530,MATCH('KU UtilityData'!J$1,'KU Inputs'!$C$1:$J$1,0),0)*1000</f>
        <v>1609894</v>
      </c>
      <c r="K9" s="237">
        <v>391486</v>
      </c>
      <c r="L9" s="181">
        <f>VLOOKUP($A9&amp;$B9,'KU Inputs'!$C$2:$J$530,MATCH('KU UtilityData'!L$1,'KU Inputs'!$C$1:$J$1,0),0)</f>
        <v>112373.137</v>
      </c>
      <c r="M9" s="181">
        <f>VLOOKUP($A9&amp;$B9,'KU Inputs'!$C$2:$J$530,MATCH('KU UtilityData'!M$1,'KU Inputs'!$C$1:$J$1,0),0)</f>
        <v>112373.13660868235</v>
      </c>
      <c r="N9" s="242">
        <v>0</v>
      </c>
      <c r="O9" s="242">
        <v>356</v>
      </c>
      <c r="P9" s="159">
        <v>4512</v>
      </c>
      <c r="Q9" s="159">
        <v>1455</v>
      </c>
      <c r="R9" s="271">
        <f t="shared" si="0"/>
        <v>0.39520595882173737</v>
      </c>
      <c r="T9" s="147" t="e">
        <f t="shared" si="1"/>
        <v>#REF!</v>
      </c>
      <c r="U9" s="151" t="e">
        <f>SUMIF(A$2:A$493,T$2:T$31,#REF!)/12</f>
        <v>#REF!</v>
      </c>
    </row>
    <row r="10" spans="1:21" x14ac:dyDescent="0.2">
      <c r="A10" s="147">
        <v>2001</v>
      </c>
      <c r="B10" s="147">
        <v>9</v>
      </c>
      <c r="C10" s="157">
        <v>467764.255</v>
      </c>
      <c r="D10" s="166">
        <v>4.2694402357305536</v>
      </c>
      <c r="E10" s="166">
        <v>4.2694402357305536</v>
      </c>
      <c r="F10" s="166">
        <v>30.62</v>
      </c>
      <c r="G10" s="148">
        <v>0</v>
      </c>
      <c r="H10" s="181">
        <f>VLOOKUP($A10&amp;$B10,'KU Inputs'!$C$2:$J$530,MATCH('KU UtilityData'!H$1,'KU Inputs'!$C$1:$J$1,0),0)*1000</f>
        <v>4073557</v>
      </c>
      <c r="I10" s="181">
        <f>VLOOKUP($A10&amp;$B10,'KU Inputs'!$C$2:$J$530,MATCH('KU UtilityData'!I$1,'KU Inputs'!$C$1:$J$1,0),0)*1000</f>
        <v>4073557</v>
      </c>
      <c r="J10" s="181">
        <f>VLOOKUP($A10&amp;$B10,'KU Inputs'!$C$2:$J$530,MATCH('KU UtilityData'!J$1,'KU Inputs'!$C$1:$J$1,0),0)*1000</f>
        <v>1609894</v>
      </c>
      <c r="K10" s="237">
        <v>391681</v>
      </c>
      <c r="L10" s="181">
        <f>VLOOKUP($A10&amp;$B10,'KU Inputs'!$C$2:$J$530,MATCH('KU UtilityData'!L$1,'KU Inputs'!$C$1:$J$1,0),0)</f>
        <v>112373.137</v>
      </c>
      <c r="M10" s="181">
        <f>VLOOKUP($A10&amp;$B10,'KU Inputs'!$C$2:$J$530,MATCH('KU UtilityData'!M$1,'KU Inputs'!$C$1:$J$1,0),0)</f>
        <v>112373.13660868235</v>
      </c>
      <c r="N10" s="242">
        <v>11.15</v>
      </c>
      <c r="O10" s="242">
        <v>262.14999999999998</v>
      </c>
      <c r="P10" s="159">
        <v>4512</v>
      </c>
      <c r="Q10" s="159">
        <v>1455</v>
      </c>
      <c r="R10" s="271">
        <f t="shared" si="0"/>
        <v>0.39520595882173737</v>
      </c>
      <c r="T10" s="147" t="e">
        <f t="shared" si="1"/>
        <v>#REF!</v>
      </c>
      <c r="U10" s="151" t="e">
        <f>SUMIF(A$2:A$493,T$2:T$31,#REF!)/12</f>
        <v>#REF!</v>
      </c>
    </row>
    <row r="11" spans="1:21" x14ac:dyDescent="0.2">
      <c r="A11" s="147">
        <v>2001</v>
      </c>
      <c r="B11" s="147">
        <v>10</v>
      </c>
      <c r="C11" s="157">
        <v>325728.20699999999</v>
      </c>
      <c r="D11" s="166">
        <v>4.2694402357305536</v>
      </c>
      <c r="E11" s="166">
        <v>4.2694402357305536</v>
      </c>
      <c r="F11" s="166">
        <v>29.67</v>
      </c>
      <c r="G11" s="148">
        <v>0</v>
      </c>
      <c r="H11" s="181">
        <f>VLOOKUP($A11&amp;$B11,'KU Inputs'!$C$2:$J$530,MATCH('KU UtilityData'!H$1,'KU Inputs'!$C$1:$J$1,0),0)*1000</f>
        <v>4078989</v>
      </c>
      <c r="I11" s="181">
        <f>VLOOKUP($A11&amp;$B11,'KU Inputs'!$C$2:$J$530,MATCH('KU UtilityData'!I$1,'KU Inputs'!$C$1:$J$1,0),0)*1000</f>
        <v>4078989</v>
      </c>
      <c r="J11" s="181">
        <f>VLOOKUP($A11&amp;$B11,'KU Inputs'!$C$2:$J$530,MATCH('KU UtilityData'!J$1,'KU Inputs'!$C$1:$J$1,0),0)*1000</f>
        <v>1613055</v>
      </c>
      <c r="K11" s="237">
        <v>392693</v>
      </c>
      <c r="L11" s="181">
        <f>VLOOKUP($A11&amp;$B11,'KU Inputs'!$C$2:$J$530,MATCH('KU UtilityData'!L$1,'KU Inputs'!$C$1:$J$1,0),0)</f>
        <v>112983.58500000001</v>
      </c>
      <c r="M11" s="181">
        <f>VLOOKUP($A11&amp;$B11,'KU Inputs'!$C$2:$J$530,MATCH('KU UtilityData'!M$1,'KU Inputs'!$C$1:$J$1,0),0)</f>
        <v>112983.5851011616</v>
      </c>
      <c r="N11" s="242">
        <v>155.94999999999999</v>
      </c>
      <c r="O11" s="242">
        <v>50.85</v>
      </c>
      <c r="P11" s="159">
        <v>4512</v>
      </c>
      <c r="Q11" s="159">
        <v>1455</v>
      </c>
      <c r="R11" s="271">
        <f t="shared" si="0"/>
        <v>0.39545460897295875</v>
      </c>
      <c r="T11" s="147" t="e">
        <f t="shared" si="1"/>
        <v>#REF!</v>
      </c>
      <c r="U11" s="151" t="e">
        <f>SUMIF(A$2:A$493,T$2:T$31,#REF!)/12</f>
        <v>#REF!</v>
      </c>
    </row>
    <row r="12" spans="1:21" x14ac:dyDescent="0.2">
      <c r="A12" s="147">
        <v>2001</v>
      </c>
      <c r="B12" s="147">
        <v>11</v>
      </c>
      <c r="C12" s="157">
        <v>341927.77500000002</v>
      </c>
      <c r="D12" s="166">
        <v>4.2694402357305536</v>
      </c>
      <c r="E12" s="166">
        <v>4.2694402357305536</v>
      </c>
      <c r="F12" s="166">
        <v>30</v>
      </c>
      <c r="G12" s="148">
        <v>0</v>
      </c>
      <c r="H12" s="181">
        <f>VLOOKUP($A12&amp;$B12,'KU Inputs'!$C$2:$J$530,MATCH('KU UtilityData'!H$1,'KU Inputs'!$C$1:$J$1,0),0)*1000</f>
        <v>4078989</v>
      </c>
      <c r="I12" s="181">
        <f>VLOOKUP($A12&amp;$B12,'KU Inputs'!$C$2:$J$530,MATCH('KU UtilityData'!I$1,'KU Inputs'!$C$1:$J$1,0),0)*1000</f>
        <v>4078989</v>
      </c>
      <c r="J12" s="181">
        <f>VLOOKUP($A12&amp;$B12,'KU Inputs'!$C$2:$J$530,MATCH('KU UtilityData'!J$1,'KU Inputs'!$C$1:$J$1,0),0)*1000</f>
        <v>1613055</v>
      </c>
      <c r="K12" s="237">
        <v>392884</v>
      </c>
      <c r="L12" s="181">
        <f>VLOOKUP($A12&amp;$B12,'KU Inputs'!$C$2:$J$530,MATCH('KU UtilityData'!L$1,'KU Inputs'!$C$1:$J$1,0),0)</f>
        <v>112983.58500000001</v>
      </c>
      <c r="M12" s="181">
        <f>VLOOKUP($A12&amp;$B12,'KU Inputs'!$C$2:$J$530,MATCH('KU UtilityData'!M$1,'KU Inputs'!$C$1:$J$1,0),0)</f>
        <v>112983.5851011616</v>
      </c>
      <c r="N12" s="242">
        <v>350.9</v>
      </c>
      <c r="O12" s="242">
        <v>12.4</v>
      </c>
      <c r="P12" s="159">
        <v>4512</v>
      </c>
      <c r="Q12" s="159">
        <v>1455</v>
      </c>
      <c r="R12" s="271">
        <f t="shared" si="0"/>
        <v>0.39545460897295875</v>
      </c>
      <c r="T12" s="147" t="e">
        <f t="shared" si="1"/>
        <v>#REF!</v>
      </c>
      <c r="U12" s="151" t="e">
        <f>SUMIF(A$2:A$493,T$2:T$31,#REF!)/12</f>
        <v>#REF!</v>
      </c>
    </row>
    <row r="13" spans="1:21" x14ac:dyDescent="0.2">
      <c r="A13" s="147">
        <v>2001</v>
      </c>
      <c r="B13" s="147">
        <v>12</v>
      </c>
      <c r="C13" s="157">
        <v>411043.07199999999</v>
      </c>
      <c r="D13" s="166">
        <v>4.2694402357305536</v>
      </c>
      <c r="E13" s="166">
        <v>4.2694402357305536</v>
      </c>
      <c r="F13" s="166">
        <v>31.43</v>
      </c>
      <c r="G13" s="148">
        <v>0</v>
      </c>
      <c r="H13" s="181">
        <f>VLOOKUP($A13&amp;$B13,'KU Inputs'!$C$2:$J$530,MATCH('KU UtilityData'!H$1,'KU Inputs'!$C$1:$J$1,0),0)*1000</f>
        <v>4078989</v>
      </c>
      <c r="I13" s="181">
        <f>VLOOKUP($A13&amp;$B13,'KU Inputs'!$C$2:$J$530,MATCH('KU UtilityData'!I$1,'KU Inputs'!$C$1:$J$1,0),0)*1000</f>
        <v>4078989</v>
      </c>
      <c r="J13" s="181">
        <f>VLOOKUP($A13&amp;$B13,'KU Inputs'!$C$2:$J$530,MATCH('KU UtilityData'!J$1,'KU Inputs'!$C$1:$J$1,0),0)*1000</f>
        <v>1613055</v>
      </c>
      <c r="K13" s="237">
        <v>393409</v>
      </c>
      <c r="L13" s="181">
        <f>VLOOKUP($A13&amp;$B13,'KU Inputs'!$C$2:$J$530,MATCH('KU UtilityData'!L$1,'KU Inputs'!$C$1:$J$1,0),0)</f>
        <v>112983.58500000001</v>
      </c>
      <c r="M13" s="181">
        <f>VLOOKUP($A13&amp;$B13,'KU Inputs'!$C$2:$J$530,MATCH('KU UtilityData'!M$1,'KU Inputs'!$C$1:$J$1,0),0)</f>
        <v>112983.5851011616</v>
      </c>
      <c r="N13" s="242">
        <v>465.95</v>
      </c>
      <c r="O13" s="242">
        <v>0.3</v>
      </c>
      <c r="P13" s="159">
        <v>4512</v>
      </c>
      <c r="Q13" s="159">
        <v>1455</v>
      </c>
      <c r="R13" s="271">
        <f t="shared" si="0"/>
        <v>0.39545460897295875</v>
      </c>
      <c r="T13" s="147" t="e">
        <f t="shared" si="1"/>
        <v>#REF!</v>
      </c>
      <c r="U13" s="151" t="e">
        <f>SUMIF(A$2:A$493,T$2:T$31,#REF!)/12</f>
        <v>#REF!</v>
      </c>
    </row>
    <row r="14" spans="1:21" x14ac:dyDescent="0.2">
      <c r="A14" s="147">
        <v>2002</v>
      </c>
      <c r="B14" s="147">
        <v>1</v>
      </c>
      <c r="C14" s="157">
        <v>629385.50399999996</v>
      </c>
      <c r="D14" s="166">
        <v>4.457008293679027</v>
      </c>
      <c r="E14" s="166">
        <v>4.457008293679027</v>
      </c>
      <c r="F14" s="166">
        <v>32.380000000000003</v>
      </c>
      <c r="G14" s="148">
        <v>3399.819</v>
      </c>
      <c r="H14" s="181">
        <f>VLOOKUP($A14&amp;$B14,'KU Inputs'!$C$2:$J$530,MATCH('KU UtilityData'!H$1,'KU Inputs'!$C$1:$J$1,0),0)*1000</f>
        <v>4084428</v>
      </c>
      <c r="I14" s="181">
        <f>VLOOKUP($A14&amp;$B14,'KU Inputs'!$C$2:$J$530,MATCH('KU UtilityData'!I$1,'KU Inputs'!$C$1:$J$1,0),0)*1000</f>
        <v>4084428</v>
      </c>
      <c r="J14" s="181">
        <f>VLOOKUP($A14&amp;$B14,'KU Inputs'!$C$2:$J$530,MATCH('KU UtilityData'!J$1,'KU Inputs'!$C$1:$J$1,0),0)*1000</f>
        <v>1616222</v>
      </c>
      <c r="K14" s="237">
        <v>395618</v>
      </c>
      <c r="L14" s="181">
        <f>VLOOKUP($A14&amp;$B14,'KU Inputs'!$C$2:$J$530,MATCH('KU UtilityData'!L$1,'KU Inputs'!$C$1:$J$1,0),0)</f>
        <v>113421.694</v>
      </c>
      <c r="M14" s="181">
        <f>VLOOKUP($A14&amp;$B14,'KU Inputs'!$C$2:$J$530,MATCH('KU UtilityData'!M$1,'KU Inputs'!$C$1:$J$1,0),0)</f>
        <v>113421.69408897014</v>
      </c>
      <c r="N14" s="242">
        <v>1001</v>
      </c>
      <c r="O14" s="242">
        <v>0</v>
      </c>
      <c r="P14" s="159">
        <v>4512</v>
      </c>
      <c r="Q14" s="159">
        <v>1455</v>
      </c>
      <c r="R14" s="271">
        <f t="shared" si="0"/>
        <v>0.39570338857729898</v>
      </c>
      <c r="T14" s="147" t="e">
        <f t="shared" si="1"/>
        <v>#REF!</v>
      </c>
      <c r="U14" s="151" t="e">
        <f>SUMIF(A$2:A$493,T$2:T$31,#REF!)/12</f>
        <v>#REF!</v>
      </c>
    </row>
    <row r="15" spans="1:21" x14ac:dyDescent="0.2">
      <c r="A15" s="147">
        <v>2002</v>
      </c>
      <c r="B15" s="147">
        <v>2</v>
      </c>
      <c r="C15" s="157">
        <v>497877.69300000003</v>
      </c>
      <c r="D15" s="166">
        <v>4.457008293679027</v>
      </c>
      <c r="E15" s="166">
        <v>4.457008293679027</v>
      </c>
      <c r="F15" s="166">
        <v>29.9</v>
      </c>
      <c r="G15" s="148">
        <v>3402.067</v>
      </c>
      <c r="H15" s="181">
        <f>VLOOKUP($A15&amp;$B15,'KU Inputs'!$C$2:$J$530,MATCH('KU UtilityData'!H$1,'KU Inputs'!$C$1:$J$1,0),0)*1000</f>
        <v>4084428</v>
      </c>
      <c r="I15" s="181">
        <f>VLOOKUP($A15&amp;$B15,'KU Inputs'!$C$2:$J$530,MATCH('KU UtilityData'!I$1,'KU Inputs'!$C$1:$J$1,0),0)*1000</f>
        <v>4084428</v>
      </c>
      <c r="J15" s="181">
        <f>VLOOKUP($A15&amp;$B15,'KU Inputs'!$C$2:$J$530,MATCH('KU UtilityData'!J$1,'KU Inputs'!$C$1:$J$1,0),0)*1000</f>
        <v>1616222</v>
      </c>
      <c r="K15" s="237">
        <v>394645</v>
      </c>
      <c r="L15" s="181">
        <f>VLOOKUP($A15&amp;$B15,'KU Inputs'!$C$2:$J$530,MATCH('KU UtilityData'!L$1,'KU Inputs'!$C$1:$J$1,0),0)</f>
        <v>113421.694</v>
      </c>
      <c r="M15" s="181">
        <f>VLOOKUP($A15&amp;$B15,'KU Inputs'!$C$2:$J$530,MATCH('KU UtilityData'!M$1,'KU Inputs'!$C$1:$J$1,0),0)</f>
        <v>113421.69408897014</v>
      </c>
      <c r="N15" s="242">
        <v>746.35</v>
      </c>
      <c r="O15" s="242">
        <v>0</v>
      </c>
      <c r="P15" s="159">
        <v>4512</v>
      </c>
      <c r="Q15" s="159">
        <v>1455</v>
      </c>
      <c r="R15" s="271">
        <f t="shared" si="0"/>
        <v>0.39570338857729898</v>
      </c>
      <c r="T15" s="147" t="e">
        <f t="shared" si="1"/>
        <v>#REF!</v>
      </c>
      <c r="U15" s="151" t="e">
        <f>SUMIF(A$2:A$493,T$2:T$31,#REF!)/12</f>
        <v>#REF!</v>
      </c>
    </row>
    <row r="16" spans="1:21" x14ac:dyDescent="0.2">
      <c r="A16" s="147">
        <v>2002</v>
      </c>
      <c r="B16" s="147">
        <v>3</v>
      </c>
      <c r="C16" s="157">
        <v>478100.77100000001</v>
      </c>
      <c r="D16" s="166">
        <v>4.457008293679027</v>
      </c>
      <c r="E16" s="166">
        <v>4.457008293679027</v>
      </c>
      <c r="F16" s="166">
        <v>30.52</v>
      </c>
      <c r="G16" s="148">
        <v>3404.3150000000001</v>
      </c>
      <c r="H16" s="181">
        <f>VLOOKUP($A16&amp;$B16,'KU Inputs'!$C$2:$J$530,MATCH('KU UtilityData'!H$1,'KU Inputs'!$C$1:$J$1,0),0)*1000</f>
        <v>4084428</v>
      </c>
      <c r="I16" s="181">
        <f>VLOOKUP($A16&amp;$B16,'KU Inputs'!$C$2:$J$530,MATCH('KU UtilityData'!I$1,'KU Inputs'!$C$1:$J$1,0),0)*1000</f>
        <v>4084428</v>
      </c>
      <c r="J16" s="181">
        <f>VLOOKUP($A16&amp;$B16,'KU Inputs'!$C$2:$J$530,MATCH('KU UtilityData'!J$1,'KU Inputs'!$C$1:$J$1,0),0)*1000</f>
        <v>1616222</v>
      </c>
      <c r="K16" s="237">
        <v>395080</v>
      </c>
      <c r="L16" s="181">
        <f>VLOOKUP($A16&amp;$B16,'KU Inputs'!$C$2:$J$530,MATCH('KU UtilityData'!L$1,'KU Inputs'!$C$1:$J$1,0),0)</f>
        <v>113421.694</v>
      </c>
      <c r="M16" s="181">
        <f>VLOOKUP($A16&amp;$B16,'KU Inputs'!$C$2:$J$530,MATCH('KU UtilityData'!M$1,'KU Inputs'!$C$1:$J$1,0),0)</f>
        <v>113421.69408897014</v>
      </c>
      <c r="N16" s="242">
        <v>672.1</v>
      </c>
      <c r="O16" s="242">
        <v>0</v>
      </c>
      <c r="P16" s="159">
        <v>4512</v>
      </c>
      <c r="Q16" s="159">
        <v>1455</v>
      </c>
      <c r="R16" s="271">
        <f t="shared" si="0"/>
        <v>0.39570338857729898</v>
      </c>
      <c r="T16" s="147" t="e">
        <f t="shared" si="1"/>
        <v>#REF!</v>
      </c>
      <c r="U16" s="151" t="e">
        <f>SUMIF(A$2:A$493,T$2:T$31,#REF!)/12</f>
        <v>#REF!</v>
      </c>
    </row>
    <row r="17" spans="1:21" x14ac:dyDescent="0.2">
      <c r="A17" s="147">
        <v>2002</v>
      </c>
      <c r="B17" s="147">
        <v>4</v>
      </c>
      <c r="C17" s="157">
        <v>398085.96500000003</v>
      </c>
      <c r="D17" s="166">
        <v>4.457008293679027</v>
      </c>
      <c r="E17" s="166">
        <v>4.457008293679027</v>
      </c>
      <c r="F17" s="166">
        <v>30.57</v>
      </c>
      <c r="G17" s="148">
        <v>3406.5630000000001</v>
      </c>
      <c r="H17" s="181">
        <f>VLOOKUP($A17&amp;$B17,'KU Inputs'!$C$2:$J$530,MATCH('KU UtilityData'!H$1,'KU Inputs'!$C$1:$J$1,0),0)*1000</f>
        <v>4089875</v>
      </c>
      <c r="I17" s="181">
        <f>VLOOKUP($A17&amp;$B17,'KU Inputs'!$C$2:$J$530,MATCH('KU UtilityData'!I$1,'KU Inputs'!$C$1:$J$1,0),0)*1000</f>
        <v>4089875</v>
      </c>
      <c r="J17" s="181">
        <f>VLOOKUP($A17&amp;$B17,'KU Inputs'!$C$2:$J$530,MATCH('KU UtilityData'!J$1,'KU Inputs'!$C$1:$J$1,0),0)*1000</f>
        <v>1619394</v>
      </c>
      <c r="K17" s="237">
        <v>395723</v>
      </c>
      <c r="L17" s="181">
        <f>VLOOKUP($A17&amp;$B17,'KU Inputs'!$C$2:$J$530,MATCH('KU UtilityData'!L$1,'KU Inputs'!$C$1:$J$1,0),0)</f>
        <v>114074.546</v>
      </c>
      <c r="M17" s="181">
        <f>VLOOKUP($A17&amp;$B17,'KU Inputs'!$C$2:$J$530,MATCH('KU UtilityData'!M$1,'KU Inputs'!$C$1:$J$1,0),0)</f>
        <v>114074.54596497289</v>
      </c>
      <c r="N17" s="242">
        <v>452.65</v>
      </c>
      <c r="O17" s="242">
        <v>20.350000000000001</v>
      </c>
      <c r="P17" s="159">
        <v>4512</v>
      </c>
      <c r="Q17" s="159">
        <v>1455</v>
      </c>
      <c r="R17" s="271">
        <f t="shared" si="0"/>
        <v>0.39595195452183746</v>
      </c>
      <c r="T17" s="147" t="e">
        <f t="shared" si="1"/>
        <v>#REF!</v>
      </c>
      <c r="U17" s="151" t="e">
        <f>SUMIF(A$2:A$493,T$2:T$31,#REF!)/12</f>
        <v>#REF!</v>
      </c>
    </row>
    <row r="18" spans="1:21" x14ac:dyDescent="0.2">
      <c r="A18" s="147">
        <v>2002</v>
      </c>
      <c r="B18" s="147">
        <v>5</v>
      </c>
      <c r="C18" s="157">
        <v>337871.52899999998</v>
      </c>
      <c r="D18" s="166">
        <v>4.457008293679027</v>
      </c>
      <c r="E18" s="166">
        <v>4.457008293679027</v>
      </c>
      <c r="F18" s="166">
        <v>29.57</v>
      </c>
      <c r="G18" s="148">
        <v>3408.8110000000001</v>
      </c>
      <c r="H18" s="181">
        <f>VLOOKUP($A18&amp;$B18,'KU Inputs'!$C$2:$J$530,MATCH('KU UtilityData'!H$1,'KU Inputs'!$C$1:$J$1,0),0)*1000</f>
        <v>4089875</v>
      </c>
      <c r="I18" s="181">
        <f>VLOOKUP($A18&amp;$B18,'KU Inputs'!$C$2:$J$530,MATCH('KU UtilityData'!I$1,'KU Inputs'!$C$1:$J$1,0),0)*1000</f>
        <v>4089875</v>
      </c>
      <c r="J18" s="181">
        <f>VLOOKUP($A18&amp;$B18,'KU Inputs'!$C$2:$J$530,MATCH('KU UtilityData'!J$1,'KU Inputs'!$C$1:$J$1,0),0)*1000</f>
        <v>1619394</v>
      </c>
      <c r="K18" s="237">
        <v>395741</v>
      </c>
      <c r="L18" s="181">
        <f>VLOOKUP($A18&amp;$B18,'KU Inputs'!$C$2:$J$530,MATCH('KU UtilityData'!L$1,'KU Inputs'!$C$1:$J$1,0),0)</f>
        <v>114074.546</v>
      </c>
      <c r="M18" s="181">
        <f>VLOOKUP($A18&amp;$B18,'KU Inputs'!$C$2:$J$530,MATCH('KU UtilityData'!M$1,'KU Inputs'!$C$1:$J$1,0),0)</f>
        <v>114074.54596497289</v>
      </c>
      <c r="N18" s="242">
        <v>198.55</v>
      </c>
      <c r="O18" s="242">
        <v>45.7</v>
      </c>
      <c r="P18" s="159">
        <v>4512</v>
      </c>
      <c r="Q18" s="159">
        <v>1455</v>
      </c>
      <c r="R18" s="271">
        <f t="shared" si="0"/>
        <v>0.39595195452183746</v>
      </c>
      <c r="T18" s="147" t="e">
        <f t="shared" si="1"/>
        <v>#REF!</v>
      </c>
      <c r="U18" s="151" t="e">
        <f>SUMIF(A$2:A$493,T$2:T$31,#REF!)/12</f>
        <v>#REF!</v>
      </c>
    </row>
    <row r="19" spans="1:21" x14ac:dyDescent="0.2">
      <c r="A19" s="147">
        <v>2002</v>
      </c>
      <c r="B19" s="147">
        <v>6</v>
      </c>
      <c r="C19" s="157">
        <v>430108.217</v>
      </c>
      <c r="D19" s="166">
        <v>4.457008293679027</v>
      </c>
      <c r="E19" s="166">
        <v>4.457008293679027</v>
      </c>
      <c r="F19" s="166">
        <v>30.67</v>
      </c>
      <c r="G19" s="148">
        <v>3411.0590000000002</v>
      </c>
      <c r="H19" s="181">
        <f>VLOOKUP($A19&amp;$B19,'KU Inputs'!$C$2:$J$530,MATCH('KU UtilityData'!H$1,'KU Inputs'!$C$1:$J$1,0),0)*1000</f>
        <v>4089875</v>
      </c>
      <c r="I19" s="181">
        <f>VLOOKUP($A19&amp;$B19,'KU Inputs'!$C$2:$J$530,MATCH('KU UtilityData'!I$1,'KU Inputs'!$C$1:$J$1,0),0)*1000</f>
        <v>4089875</v>
      </c>
      <c r="J19" s="181">
        <f>VLOOKUP($A19&amp;$B19,'KU Inputs'!$C$2:$J$530,MATCH('KU UtilityData'!J$1,'KU Inputs'!$C$1:$J$1,0),0)*1000</f>
        <v>1619394</v>
      </c>
      <c r="K19" s="237">
        <v>394223</v>
      </c>
      <c r="L19" s="181">
        <f>VLOOKUP($A19&amp;$B19,'KU Inputs'!$C$2:$J$530,MATCH('KU UtilityData'!L$1,'KU Inputs'!$C$1:$J$1,0),0)</f>
        <v>114074.546</v>
      </c>
      <c r="M19" s="181">
        <f>VLOOKUP($A19&amp;$B19,'KU Inputs'!$C$2:$J$530,MATCH('KU UtilityData'!M$1,'KU Inputs'!$C$1:$J$1,0),0)</f>
        <v>114074.54596497289</v>
      </c>
      <c r="N19" s="242">
        <v>80.900000000000006</v>
      </c>
      <c r="O19" s="242">
        <v>194.75</v>
      </c>
      <c r="P19" s="159">
        <v>4512</v>
      </c>
      <c r="Q19" s="159">
        <v>1455</v>
      </c>
      <c r="R19" s="271">
        <f t="shared" si="0"/>
        <v>0.39595195452183746</v>
      </c>
      <c r="T19" s="147" t="e">
        <f t="shared" si="1"/>
        <v>#REF!</v>
      </c>
      <c r="U19" s="151" t="e">
        <f>SUMIF(A$2:A$493,T$2:T$31,#REF!)/12</f>
        <v>#REF!</v>
      </c>
    </row>
    <row r="20" spans="1:21" x14ac:dyDescent="0.2">
      <c r="A20" s="147">
        <v>2002</v>
      </c>
      <c r="B20" s="147">
        <v>7</v>
      </c>
      <c r="C20" s="157">
        <v>551654.24800000002</v>
      </c>
      <c r="D20" s="166">
        <v>4.457008293679027</v>
      </c>
      <c r="E20" s="166">
        <v>4.457008293679027</v>
      </c>
      <c r="F20" s="166">
        <v>30.67</v>
      </c>
      <c r="G20" s="148">
        <v>3413.3069166666664</v>
      </c>
      <c r="H20" s="181">
        <f>VLOOKUP($A20&amp;$B20,'KU Inputs'!$C$2:$J$530,MATCH('KU UtilityData'!H$1,'KU Inputs'!$C$1:$J$1,0),0)*1000</f>
        <v>4096682</v>
      </c>
      <c r="I20" s="181">
        <f>VLOOKUP($A20&amp;$B20,'KU Inputs'!$C$2:$J$530,MATCH('KU UtilityData'!I$1,'KU Inputs'!$C$1:$J$1,0),0)*1000</f>
        <v>4096682</v>
      </c>
      <c r="J20" s="181">
        <f>VLOOKUP($A20&amp;$B20,'KU Inputs'!$C$2:$J$530,MATCH('KU UtilityData'!J$1,'KU Inputs'!$C$1:$J$1,0),0)*1000</f>
        <v>1622574</v>
      </c>
      <c r="K20" s="237">
        <v>396306</v>
      </c>
      <c r="L20" s="181">
        <f>VLOOKUP($A20&amp;$B20,'KU Inputs'!$C$2:$J$530,MATCH('KU UtilityData'!L$1,'KU Inputs'!$C$1:$J$1,0),0)</f>
        <v>114002.70699999999</v>
      </c>
      <c r="M20" s="181">
        <f>VLOOKUP($A20&amp;$B20,'KU Inputs'!$C$2:$J$530,MATCH('KU UtilityData'!M$1,'KU Inputs'!$C$1:$J$1,0),0)</f>
        <v>114002.70729034615</v>
      </c>
      <c r="N20" s="242">
        <v>0.5</v>
      </c>
      <c r="O20" s="242">
        <v>377.2</v>
      </c>
      <c r="P20" s="159">
        <v>4512</v>
      </c>
      <c r="Q20" s="159">
        <v>1455</v>
      </c>
      <c r="R20" s="271">
        <f t="shared" si="0"/>
        <v>0.39607028321944443</v>
      </c>
      <c r="T20" s="147" t="e">
        <f t="shared" si="1"/>
        <v>#REF!</v>
      </c>
      <c r="U20" s="151" t="e">
        <f>SUMIF(A$2:A$493,T$2:T$31,#REF!)/12</f>
        <v>#REF!</v>
      </c>
    </row>
    <row r="21" spans="1:21" x14ac:dyDescent="0.2">
      <c r="A21" s="147">
        <v>2002</v>
      </c>
      <c r="B21" s="147">
        <v>8</v>
      </c>
      <c r="C21" s="157">
        <v>567815.27</v>
      </c>
      <c r="D21" s="166">
        <v>4.457008293679027</v>
      </c>
      <c r="E21" s="166">
        <v>4.457008293679027</v>
      </c>
      <c r="F21" s="166">
        <v>29.48</v>
      </c>
      <c r="G21" s="148">
        <v>3415.5548333333331</v>
      </c>
      <c r="H21" s="181">
        <f>VLOOKUP($A21&amp;$B21,'KU Inputs'!$C$2:$J$530,MATCH('KU UtilityData'!H$1,'KU Inputs'!$C$1:$J$1,0),0)*1000</f>
        <v>4096682</v>
      </c>
      <c r="I21" s="181">
        <f>VLOOKUP($A21&amp;$B21,'KU Inputs'!$C$2:$J$530,MATCH('KU UtilityData'!I$1,'KU Inputs'!$C$1:$J$1,0),0)*1000</f>
        <v>4096682</v>
      </c>
      <c r="J21" s="181">
        <f>VLOOKUP($A21&amp;$B21,'KU Inputs'!$C$2:$J$530,MATCH('KU UtilityData'!J$1,'KU Inputs'!$C$1:$J$1,0),0)*1000</f>
        <v>1622574</v>
      </c>
      <c r="K21" s="237">
        <v>395621</v>
      </c>
      <c r="L21" s="181">
        <f>VLOOKUP($A21&amp;$B21,'KU Inputs'!$C$2:$J$530,MATCH('KU UtilityData'!L$1,'KU Inputs'!$C$1:$J$1,0),0)</f>
        <v>114002.70699999999</v>
      </c>
      <c r="M21" s="181">
        <f>VLOOKUP($A21&amp;$B21,'KU Inputs'!$C$2:$J$530,MATCH('KU UtilityData'!M$1,'KU Inputs'!$C$1:$J$1,0),0)</f>
        <v>114002.70729034615</v>
      </c>
      <c r="N21" s="242">
        <v>0</v>
      </c>
      <c r="O21" s="242">
        <v>428.9</v>
      </c>
      <c r="P21" s="159">
        <v>4512</v>
      </c>
      <c r="Q21" s="159">
        <v>1455</v>
      </c>
      <c r="R21" s="271">
        <f t="shared" si="0"/>
        <v>0.39607028321944443</v>
      </c>
      <c r="T21" s="147" t="e">
        <f t="shared" si="1"/>
        <v>#REF!</v>
      </c>
      <c r="U21" s="151" t="e">
        <f>SUMIF(A$2:A$493,T$2:T$31,#REF!)/12</f>
        <v>#REF!</v>
      </c>
    </row>
    <row r="22" spans="1:21" x14ac:dyDescent="0.2">
      <c r="A22" s="147">
        <v>2002</v>
      </c>
      <c r="B22" s="147">
        <v>9</v>
      </c>
      <c r="C22" s="157">
        <v>521406.56300000002</v>
      </c>
      <c r="D22" s="166">
        <v>4.457008293679027</v>
      </c>
      <c r="E22" s="166">
        <v>4.457008293679027</v>
      </c>
      <c r="F22" s="166">
        <v>30.76</v>
      </c>
      <c r="G22" s="148">
        <v>3417.8027499999994</v>
      </c>
      <c r="H22" s="181">
        <f>VLOOKUP($A22&amp;$B22,'KU Inputs'!$C$2:$J$530,MATCH('KU UtilityData'!H$1,'KU Inputs'!$C$1:$J$1,0),0)*1000</f>
        <v>4096682</v>
      </c>
      <c r="I22" s="181">
        <f>VLOOKUP($A22&amp;$B22,'KU Inputs'!$C$2:$J$530,MATCH('KU UtilityData'!I$1,'KU Inputs'!$C$1:$J$1,0),0)*1000</f>
        <v>4096682</v>
      </c>
      <c r="J22" s="181">
        <f>VLOOKUP($A22&amp;$B22,'KU Inputs'!$C$2:$J$530,MATCH('KU UtilityData'!J$1,'KU Inputs'!$C$1:$J$1,0),0)*1000</f>
        <v>1622574</v>
      </c>
      <c r="K22" s="237">
        <v>395714</v>
      </c>
      <c r="L22" s="181">
        <f>VLOOKUP($A22&amp;$B22,'KU Inputs'!$C$2:$J$530,MATCH('KU UtilityData'!L$1,'KU Inputs'!$C$1:$J$1,0),0)</f>
        <v>114002.70699999999</v>
      </c>
      <c r="M22" s="181">
        <f>VLOOKUP($A22&amp;$B22,'KU Inputs'!$C$2:$J$530,MATCH('KU UtilityData'!M$1,'KU Inputs'!$C$1:$J$1,0),0)</f>
        <v>114002.70729034615</v>
      </c>
      <c r="N22" s="242">
        <v>2.95</v>
      </c>
      <c r="O22" s="242">
        <v>354.7</v>
      </c>
      <c r="P22" s="159">
        <v>4512</v>
      </c>
      <c r="Q22" s="159">
        <v>1455</v>
      </c>
      <c r="R22" s="271">
        <f t="shared" si="0"/>
        <v>0.39607028321944443</v>
      </c>
      <c r="T22" s="147" t="e">
        <f t="shared" si="1"/>
        <v>#REF!</v>
      </c>
      <c r="U22" s="151" t="e">
        <f>SUMIF(A$2:A$493,T$2:T$31,#REF!)/12</f>
        <v>#REF!</v>
      </c>
    </row>
    <row r="23" spans="1:21" x14ac:dyDescent="0.2">
      <c r="A23" s="147">
        <v>2002</v>
      </c>
      <c r="B23" s="147">
        <v>10</v>
      </c>
      <c r="C23" s="157">
        <v>375349.815</v>
      </c>
      <c r="D23" s="166">
        <v>4.457008293679027</v>
      </c>
      <c r="E23" s="166">
        <v>4.457008293679027</v>
      </c>
      <c r="F23" s="166">
        <v>29.52</v>
      </c>
      <c r="G23" s="148">
        <v>3420.0506666666661</v>
      </c>
      <c r="H23" s="181">
        <f>VLOOKUP($A23&amp;$B23,'KU Inputs'!$C$2:$J$530,MATCH('KU UtilityData'!H$1,'KU Inputs'!$C$1:$J$1,0),0)*1000</f>
        <v>4103500</v>
      </c>
      <c r="I23" s="181">
        <f>VLOOKUP($A23&amp;$B23,'KU Inputs'!$C$2:$J$530,MATCH('KU UtilityData'!I$1,'KU Inputs'!$C$1:$J$1,0),0)*1000</f>
        <v>4103500</v>
      </c>
      <c r="J23" s="181">
        <f>VLOOKUP($A23&amp;$B23,'KU Inputs'!$C$2:$J$530,MATCH('KU UtilityData'!J$1,'KU Inputs'!$C$1:$J$1,0),0)*1000</f>
        <v>1625759</v>
      </c>
      <c r="K23" s="237">
        <v>396205</v>
      </c>
      <c r="L23" s="181">
        <f>VLOOKUP($A23&amp;$B23,'KU Inputs'!$C$2:$J$530,MATCH('KU UtilityData'!L$1,'KU Inputs'!$C$1:$J$1,0),0)</f>
        <v>114407.613</v>
      </c>
      <c r="M23" s="181">
        <f>VLOOKUP($A23&amp;$B23,'KU Inputs'!$C$2:$J$530,MATCH('KU UtilityData'!M$1,'KU Inputs'!$C$1:$J$1,0),0)</f>
        <v>114407.6133447391</v>
      </c>
      <c r="N23" s="242">
        <v>107.05</v>
      </c>
      <c r="O23" s="242">
        <v>119.2</v>
      </c>
      <c r="P23" s="159">
        <v>4512</v>
      </c>
      <c r="Q23" s="159">
        <v>1455</v>
      </c>
      <c r="R23" s="271">
        <f t="shared" si="0"/>
        <v>0.3961883757767759</v>
      </c>
      <c r="T23" s="147" t="e">
        <f t="shared" si="1"/>
        <v>#REF!</v>
      </c>
      <c r="U23" s="151" t="e">
        <f>SUMIF(A$2:A$493,T$2:T$31,#REF!)/12</f>
        <v>#REF!</v>
      </c>
    </row>
    <row r="24" spans="1:21" x14ac:dyDescent="0.2">
      <c r="A24" s="147">
        <v>2002</v>
      </c>
      <c r="B24" s="147">
        <v>11</v>
      </c>
      <c r="C24" s="157">
        <v>371218.49</v>
      </c>
      <c r="D24" s="166">
        <v>4.457008293679027</v>
      </c>
      <c r="E24" s="166">
        <v>4.457008293679027</v>
      </c>
      <c r="F24" s="166">
        <v>29.43</v>
      </c>
      <c r="G24" s="148">
        <v>3422.2985833333328</v>
      </c>
      <c r="H24" s="181">
        <f>VLOOKUP($A24&amp;$B24,'KU Inputs'!$C$2:$J$530,MATCH('KU UtilityData'!H$1,'KU Inputs'!$C$1:$J$1,0),0)*1000</f>
        <v>4103500</v>
      </c>
      <c r="I24" s="181">
        <f>VLOOKUP($A24&amp;$B24,'KU Inputs'!$C$2:$J$530,MATCH('KU UtilityData'!I$1,'KU Inputs'!$C$1:$J$1,0),0)*1000</f>
        <v>4103500</v>
      </c>
      <c r="J24" s="181">
        <f>VLOOKUP($A24&amp;$B24,'KU Inputs'!$C$2:$J$530,MATCH('KU UtilityData'!J$1,'KU Inputs'!$C$1:$J$1,0),0)*1000</f>
        <v>1625759</v>
      </c>
      <c r="K24" s="237">
        <v>396445</v>
      </c>
      <c r="L24" s="181">
        <f>VLOOKUP($A24&amp;$B24,'KU Inputs'!$C$2:$J$530,MATCH('KU UtilityData'!L$1,'KU Inputs'!$C$1:$J$1,0),0)</f>
        <v>114407.613</v>
      </c>
      <c r="M24" s="181">
        <f>VLOOKUP($A24&amp;$B24,'KU Inputs'!$C$2:$J$530,MATCH('KU UtilityData'!M$1,'KU Inputs'!$C$1:$J$1,0),0)</f>
        <v>114407.6133447391</v>
      </c>
      <c r="N24" s="242">
        <v>464.25</v>
      </c>
      <c r="O24" s="242">
        <v>5.8</v>
      </c>
      <c r="P24" s="159">
        <v>4512</v>
      </c>
      <c r="Q24" s="159">
        <v>1455</v>
      </c>
      <c r="R24" s="271">
        <f t="shared" si="0"/>
        <v>0.3961883757767759</v>
      </c>
      <c r="T24" s="147" t="e">
        <f t="shared" si="1"/>
        <v>#REF!</v>
      </c>
      <c r="U24" s="151" t="e">
        <f>SUMIF(A$2:A$493,T$2:T$31,#REF!)/12</f>
        <v>#REF!</v>
      </c>
    </row>
    <row r="25" spans="1:21" x14ac:dyDescent="0.2">
      <c r="A25" s="147">
        <v>2002</v>
      </c>
      <c r="B25" s="147">
        <v>12</v>
      </c>
      <c r="C25" s="157">
        <v>570626.49800000002</v>
      </c>
      <c r="D25" s="166">
        <v>4.457008293679027</v>
      </c>
      <c r="E25" s="166">
        <v>4.457008293679027</v>
      </c>
      <c r="F25" s="166">
        <v>32.049999999999997</v>
      </c>
      <c r="G25" s="148">
        <v>3424.546499999999</v>
      </c>
      <c r="H25" s="181">
        <f>VLOOKUP($A25&amp;$B25,'KU Inputs'!$C$2:$J$530,MATCH('KU UtilityData'!H$1,'KU Inputs'!$C$1:$J$1,0),0)*1000</f>
        <v>4103500</v>
      </c>
      <c r="I25" s="181">
        <f>VLOOKUP($A25&amp;$B25,'KU Inputs'!$C$2:$J$530,MATCH('KU UtilityData'!I$1,'KU Inputs'!$C$1:$J$1,0),0)*1000</f>
        <v>4103500</v>
      </c>
      <c r="J25" s="181">
        <f>VLOOKUP($A25&amp;$B25,'KU Inputs'!$C$2:$J$530,MATCH('KU UtilityData'!J$1,'KU Inputs'!$C$1:$J$1,0),0)*1000</f>
        <v>1625759</v>
      </c>
      <c r="K25" s="237">
        <v>398222</v>
      </c>
      <c r="L25" s="181">
        <f>VLOOKUP($A25&amp;$B25,'KU Inputs'!$C$2:$J$530,MATCH('KU UtilityData'!L$1,'KU Inputs'!$C$1:$J$1,0),0)</f>
        <v>114407.613</v>
      </c>
      <c r="M25" s="181">
        <f>VLOOKUP($A25&amp;$B25,'KU Inputs'!$C$2:$J$530,MATCH('KU UtilityData'!M$1,'KU Inputs'!$C$1:$J$1,0),0)</f>
        <v>114407.6133447391</v>
      </c>
      <c r="N25" s="242">
        <v>864.3</v>
      </c>
      <c r="O25" s="242">
        <v>0.4</v>
      </c>
      <c r="P25" s="159">
        <v>4512</v>
      </c>
      <c r="Q25" s="159">
        <v>1455</v>
      </c>
      <c r="R25" s="271">
        <f t="shared" si="0"/>
        <v>0.3961883757767759</v>
      </c>
      <c r="T25" s="147" t="e">
        <f t="shared" si="1"/>
        <v>#REF!</v>
      </c>
      <c r="U25" s="151" t="e">
        <f>SUMIF(A$2:A$493,T$2:T$31,#REF!)/12</f>
        <v>#REF!</v>
      </c>
    </row>
    <row r="26" spans="1:21" x14ac:dyDescent="0.2">
      <c r="A26" s="147">
        <v>2003</v>
      </c>
      <c r="B26" s="147">
        <v>1</v>
      </c>
      <c r="C26" s="157">
        <v>664533.50600000005</v>
      </c>
      <c r="D26" s="166">
        <v>4.5960275764781944</v>
      </c>
      <c r="E26" s="166">
        <v>4.5960275764781944</v>
      </c>
      <c r="F26" s="166">
        <v>33.33</v>
      </c>
      <c r="G26" s="148">
        <v>3426.7944166666657</v>
      </c>
      <c r="H26" s="181">
        <f>VLOOKUP($A26&amp;$B26,'KU Inputs'!$C$2:$J$530,MATCH('KU UtilityData'!H$1,'KU Inputs'!$C$1:$J$1,0),0)*1000</f>
        <v>4110328.9999999995</v>
      </c>
      <c r="I26" s="181">
        <f>VLOOKUP($A26&amp;$B26,'KU Inputs'!$C$2:$J$530,MATCH('KU UtilityData'!I$1,'KU Inputs'!$C$1:$J$1,0),0)*1000</f>
        <v>4110328.9999999995</v>
      </c>
      <c r="J26" s="181">
        <f>VLOOKUP($A26&amp;$B26,'KU Inputs'!$C$2:$J$530,MATCH('KU UtilityData'!J$1,'KU Inputs'!$C$1:$J$1,0),0)*1000</f>
        <v>1628951</v>
      </c>
      <c r="K26" s="237">
        <v>400053</v>
      </c>
      <c r="L26" s="181">
        <f>VLOOKUP($A26&amp;$B26,'KU Inputs'!$C$2:$J$530,MATCH('KU UtilityData'!L$1,'KU Inputs'!$C$1:$J$1,0),0)</f>
        <v>113801.59699999999</v>
      </c>
      <c r="M26" s="181">
        <f>VLOOKUP($A26&amp;$B26,'KU Inputs'!$C$2:$J$530,MATCH('KU UtilityData'!M$1,'KU Inputs'!$C$1:$J$1,0),0)</f>
        <v>113801.59673857653</v>
      </c>
      <c r="N26" s="242">
        <v>1027.9000000000001</v>
      </c>
      <c r="O26" s="242">
        <v>0</v>
      </c>
      <c r="P26" s="159">
        <v>4512</v>
      </c>
      <c r="Q26" s="159">
        <v>1455</v>
      </c>
      <c r="R26" s="271">
        <f t="shared" si="0"/>
        <v>0.39630671899986597</v>
      </c>
      <c r="T26" s="147" t="e">
        <f t="shared" si="1"/>
        <v>#REF!</v>
      </c>
      <c r="U26" s="151" t="e">
        <f>SUMIF(A$2:A$493,T$2:T$31,#REF!)/12</f>
        <v>#REF!</v>
      </c>
    </row>
    <row r="27" spans="1:21" x14ac:dyDescent="0.2">
      <c r="A27" s="147">
        <v>2003</v>
      </c>
      <c r="B27" s="147">
        <v>2</v>
      </c>
      <c r="C27" s="157">
        <v>678837.00199999998</v>
      </c>
      <c r="D27" s="166">
        <v>4.5960275764781944</v>
      </c>
      <c r="E27" s="166">
        <v>4.5960275764781944</v>
      </c>
      <c r="F27" s="166">
        <v>31</v>
      </c>
      <c r="G27" s="148">
        <v>3429.042333333332</v>
      </c>
      <c r="H27" s="181">
        <f>VLOOKUP($A27&amp;$B27,'KU Inputs'!$C$2:$J$530,MATCH('KU UtilityData'!H$1,'KU Inputs'!$C$1:$J$1,0),0)*1000</f>
        <v>4110328.9999999995</v>
      </c>
      <c r="I27" s="181">
        <f>VLOOKUP($A27&amp;$B27,'KU Inputs'!$C$2:$J$530,MATCH('KU UtilityData'!I$1,'KU Inputs'!$C$1:$J$1,0),0)*1000</f>
        <v>4110328.9999999995</v>
      </c>
      <c r="J27" s="181">
        <f>VLOOKUP($A27&amp;$B27,'KU Inputs'!$C$2:$J$530,MATCH('KU UtilityData'!J$1,'KU Inputs'!$C$1:$J$1,0),0)*1000</f>
        <v>1628951</v>
      </c>
      <c r="K27" s="237">
        <v>397920</v>
      </c>
      <c r="L27" s="181">
        <f>VLOOKUP($A27&amp;$B27,'KU Inputs'!$C$2:$J$530,MATCH('KU UtilityData'!L$1,'KU Inputs'!$C$1:$J$1,0),0)</f>
        <v>113801.59699999999</v>
      </c>
      <c r="M27" s="181">
        <f>VLOOKUP($A27&amp;$B27,'KU Inputs'!$C$2:$J$530,MATCH('KU UtilityData'!M$1,'KU Inputs'!$C$1:$J$1,0),0)</f>
        <v>113801.59673857653</v>
      </c>
      <c r="N27" s="242">
        <v>1138.75</v>
      </c>
      <c r="O27" s="242">
        <v>0</v>
      </c>
      <c r="P27" s="159">
        <v>4512</v>
      </c>
      <c r="Q27" s="159">
        <v>1455</v>
      </c>
      <c r="R27" s="271">
        <f t="shared" si="0"/>
        <v>0.39630671899986597</v>
      </c>
      <c r="T27" s="147" t="e">
        <f t="shared" si="1"/>
        <v>#REF!</v>
      </c>
      <c r="U27" s="151" t="e">
        <f>SUMIF(A$2:A$493,T$2:T$31,#REF!)/12</f>
        <v>#REF!</v>
      </c>
    </row>
    <row r="28" spans="1:21" x14ac:dyDescent="0.2">
      <c r="A28" s="147">
        <v>2003</v>
      </c>
      <c r="B28" s="147">
        <v>3</v>
      </c>
      <c r="C28" s="157">
        <v>526324.24100000004</v>
      </c>
      <c r="D28" s="166">
        <v>4.5960275764781944</v>
      </c>
      <c r="E28" s="166">
        <v>4.5960275764781944</v>
      </c>
      <c r="F28" s="166">
        <v>31.19</v>
      </c>
      <c r="G28" s="148">
        <v>3431.2902499999987</v>
      </c>
      <c r="H28" s="181">
        <f>VLOOKUP($A28&amp;$B28,'KU Inputs'!$C$2:$J$530,MATCH('KU UtilityData'!H$1,'KU Inputs'!$C$1:$J$1,0),0)*1000</f>
        <v>4110328.9999999995</v>
      </c>
      <c r="I28" s="181">
        <f>VLOOKUP($A28&amp;$B28,'KU Inputs'!$C$2:$J$530,MATCH('KU UtilityData'!I$1,'KU Inputs'!$C$1:$J$1,0),0)*1000</f>
        <v>4110328.9999999995</v>
      </c>
      <c r="J28" s="181">
        <f>VLOOKUP($A28&amp;$B28,'KU Inputs'!$C$2:$J$530,MATCH('KU UtilityData'!J$1,'KU Inputs'!$C$1:$J$1,0),0)*1000</f>
        <v>1628951</v>
      </c>
      <c r="K28" s="237">
        <v>398788</v>
      </c>
      <c r="L28" s="181">
        <f>VLOOKUP($A28&amp;$B28,'KU Inputs'!$C$2:$J$530,MATCH('KU UtilityData'!L$1,'KU Inputs'!$C$1:$J$1,0),0)</f>
        <v>113801.59699999999</v>
      </c>
      <c r="M28" s="181">
        <f>VLOOKUP($A28&amp;$B28,'KU Inputs'!$C$2:$J$530,MATCH('KU UtilityData'!M$1,'KU Inputs'!$C$1:$J$1,0),0)</f>
        <v>113801.59673857653</v>
      </c>
      <c r="N28" s="242">
        <v>743.75</v>
      </c>
      <c r="O28" s="242">
        <v>0</v>
      </c>
      <c r="P28" s="159">
        <v>4512</v>
      </c>
      <c r="Q28" s="159">
        <v>1455</v>
      </c>
      <c r="R28" s="271">
        <f t="shared" si="0"/>
        <v>0.39630671899986597</v>
      </c>
      <c r="T28" s="147" t="e">
        <f t="shared" si="1"/>
        <v>#REF!</v>
      </c>
      <c r="U28" s="151" t="e">
        <f>SUMIF(A$2:A$493,T$2:T$31,#REF!)/12</f>
        <v>#REF!</v>
      </c>
    </row>
    <row r="29" spans="1:21" x14ac:dyDescent="0.2">
      <c r="A29" s="147">
        <v>2003</v>
      </c>
      <c r="B29" s="147">
        <v>4</v>
      </c>
      <c r="C29" s="157">
        <v>360442.18900000001</v>
      </c>
      <c r="D29" s="166">
        <v>4.5960275764781944</v>
      </c>
      <c r="E29" s="166">
        <v>4.5960275764781944</v>
      </c>
      <c r="F29" s="166">
        <v>31</v>
      </c>
      <c r="G29" s="148">
        <v>3433.5381666666649</v>
      </c>
      <c r="H29" s="181">
        <f>VLOOKUP($A29&amp;$B29,'KU Inputs'!$C$2:$J$530,MATCH('KU UtilityData'!H$1,'KU Inputs'!$C$1:$J$1,0),0)*1000</f>
        <v>4117170</v>
      </c>
      <c r="I29" s="181">
        <f>VLOOKUP($A29&amp;$B29,'KU Inputs'!$C$2:$J$530,MATCH('KU UtilityData'!I$1,'KU Inputs'!$C$1:$J$1,0),0)*1000</f>
        <v>4117170</v>
      </c>
      <c r="J29" s="181">
        <f>VLOOKUP($A29&amp;$B29,'KU Inputs'!$C$2:$J$530,MATCH('KU UtilityData'!J$1,'KU Inputs'!$C$1:$J$1,0),0)*1000</f>
        <v>1632148</v>
      </c>
      <c r="K29" s="237">
        <v>397434</v>
      </c>
      <c r="L29" s="181">
        <f>VLOOKUP($A29&amp;$B29,'KU Inputs'!$C$2:$J$530,MATCH('KU UtilityData'!L$1,'KU Inputs'!$C$1:$J$1,0),0)</f>
        <v>114321.784</v>
      </c>
      <c r="M29" s="181">
        <f>VLOOKUP($A29&amp;$B29,'KU Inputs'!$C$2:$J$530,MATCH('KU UtilityData'!M$1,'KU Inputs'!$C$1:$J$1,0),0)</f>
        <v>114321.78396384545</v>
      </c>
      <c r="N29" s="242">
        <v>335.05</v>
      </c>
      <c r="O29" s="242">
        <v>7.5</v>
      </c>
      <c r="P29" s="159">
        <v>4512</v>
      </c>
      <c r="Q29" s="159">
        <v>1455</v>
      </c>
      <c r="R29" s="271">
        <f t="shared" si="0"/>
        <v>0.39642472863641776</v>
      </c>
      <c r="T29" s="147" t="e">
        <f t="shared" si="1"/>
        <v>#REF!</v>
      </c>
      <c r="U29" s="151" t="e">
        <f>SUMIF(A$2:A$493,T$2:T$31,#REF!)/12</f>
        <v>#REF!</v>
      </c>
    </row>
    <row r="30" spans="1:21" x14ac:dyDescent="0.2">
      <c r="A30" s="147">
        <v>2003</v>
      </c>
      <c r="B30" s="147">
        <v>5</v>
      </c>
      <c r="C30" s="157">
        <v>336675.74900000001</v>
      </c>
      <c r="D30" s="166">
        <v>4.5960275764781944</v>
      </c>
      <c r="E30" s="166">
        <v>4.5960275764781944</v>
      </c>
      <c r="F30" s="166">
        <v>31.48</v>
      </c>
      <c r="G30" s="148">
        <v>3435.7860833333316</v>
      </c>
      <c r="H30" s="181">
        <f>VLOOKUP($A30&amp;$B30,'KU Inputs'!$C$2:$J$530,MATCH('KU UtilityData'!H$1,'KU Inputs'!$C$1:$J$1,0),0)*1000</f>
        <v>4117170</v>
      </c>
      <c r="I30" s="181">
        <f>VLOOKUP($A30&amp;$B30,'KU Inputs'!$C$2:$J$530,MATCH('KU UtilityData'!I$1,'KU Inputs'!$C$1:$J$1,0),0)*1000</f>
        <v>4117170</v>
      </c>
      <c r="J30" s="181">
        <f>VLOOKUP($A30&amp;$B30,'KU Inputs'!$C$2:$J$530,MATCH('KU UtilityData'!J$1,'KU Inputs'!$C$1:$J$1,0),0)*1000</f>
        <v>1632148</v>
      </c>
      <c r="K30" s="237">
        <v>397954</v>
      </c>
      <c r="L30" s="181">
        <f>VLOOKUP($A30&amp;$B30,'KU Inputs'!$C$2:$J$530,MATCH('KU UtilityData'!L$1,'KU Inputs'!$C$1:$J$1,0),0)</f>
        <v>114321.784</v>
      </c>
      <c r="M30" s="181">
        <f>VLOOKUP($A30&amp;$B30,'KU Inputs'!$C$2:$J$530,MATCH('KU UtilityData'!M$1,'KU Inputs'!$C$1:$J$1,0),0)</f>
        <v>114321.78396384545</v>
      </c>
      <c r="N30" s="242">
        <v>147.44999999999999</v>
      </c>
      <c r="O30" s="242">
        <v>49.15</v>
      </c>
      <c r="P30" s="159">
        <v>4512</v>
      </c>
      <c r="Q30" s="159">
        <v>1455</v>
      </c>
      <c r="R30" s="271">
        <f t="shared" si="0"/>
        <v>0.39642472863641776</v>
      </c>
      <c r="T30" s="147" t="e">
        <f t="shared" si="1"/>
        <v>#REF!</v>
      </c>
      <c r="U30" s="151" t="e">
        <f>SUMIF(A$2:A$493,T$2:T$31,#REF!)/12</f>
        <v>#REF!</v>
      </c>
    </row>
    <row r="31" spans="1:21" x14ac:dyDescent="0.2">
      <c r="A31" s="147">
        <v>2003</v>
      </c>
      <c r="B31" s="147">
        <v>6</v>
      </c>
      <c r="C31" s="157">
        <v>345184.80699999997</v>
      </c>
      <c r="D31" s="166">
        <v>4.5960275764781944</v>
      </c>
      <c r="E31" s="166">
        <v>4.5960275764781944</v>
      </c>
      <c r="F31" s="166">
        <v>31.52</v>
      </c>
      <c r="G31" s="148">
        <v>3438.0340000000006</v>
      </c>
      <c r="H31" s="181">
        <f>VLOOKUP($A31&amp;$B31,'KU Inputs'!$C$2:$J$530,MATCH('KU UtilityData'!H$1,'KU Inputs'!$C$1:$J$1,0),0)*1000</f>
        <v>4117170</v>
      </c>
      <c r="I31" s="181">
        <f>VLOOKUP($A31&amp;$B31,'KU Inputs'!$C$2:$J$530,MATCH('KU UtilityData'!I$1,'KU Inputs'!$C$1:$J$1,0),0)*1000</f>
        <v>4117170</v>
      </c>
      <c r="J31" s="181">
        <f>VLOOKUP($A31&amp;$B31,'KU Inputs'!$C$2:$J$530,MATCH('KU UtilityData'!J$1,'KU Inputs'!$C$1:$J$1,0),0)*1000</f>
        <v>1632148</v>
      </c>
      <c r="K31" s="237">
        <v>397537</v>
      </c>
      <c r="L31" s="181">
        <f>VLOOKUP($A31&amp;$B31,'KU Inputs'!$C$2:$J$530,MATCH('KU UtilityData'!L$1,'KU Inputs'!$C$1:$J$1,0),0)</f>
        <v>114321.784</v>
      </c>
      <c r="M31" s="181">
        <f>VLOOKUP($A31&amp;$B31,'KU Inputs'!$C$2:$J$530,MATCH('KU UtilityData'!M$1,'KU Inputs'!$C$1:$J$1,0),0)</f>
        <v>114321.78396384545</v>
      </c>
      <c r="N31" s="242">
        <v>71.55</v>
      </c>
      <c r="O31" s="242">
        <v>75.5</v>
      </c>
      <c r="P31" s="159">
        <v>4512</v>
      </c>
      <c r="Q31" s="159">
        <v>1455</v>
      </c>
      <c r="R31" s="271">
        <f t="shared" si="0"/>
        <v>0.39642472863641776</v>
      </c>
      <c r="T31" s="147" t="e">
        <f t="shared" si="1"/>
        <v>#REF!</v>
      </c>
      <c r="U31" s="151" t="e">
        <f>SUMIF(A$2:A$493,T$2:T$31,#REF!)/12</f>
        <v>#REF!</v>
      </c>
    </row>
    <row r="32" spans="1:21" x14ac:dyDescent="0.2">
      <c r="A32" s="147">
        <v>2003</v>
      </c>
      <c r="B32" s="147">
        <v>7</v>
      </c>
      <c r="C32" s="157">
        <v>500726.78399999999</v>
      </c>
      <c r="D32" s="166">
        <v>4.5960275764781944</v>
      </c>
      <c r="E32" s="166">
        <v>4.5960275764781944</v>
      </c>
      <c r="F32" s="166">
        <v>31.67</v>
      </c>
      <c r="G32" s="148">
        <v>3440.5087500000004</v>
      </c>
      <c r="H32" s="181">
        <f>VLOOKUP($A32&amp;$B32,'KU Inputs'!$C$2:$J$530,MATCH('KU UtilityData'!H$1,'KU Inputs'!$C$1:$J$1,0),0)*1000</f>
        <v>4124384</v>
      </c>
      <c r="I32" s="181">
        <f>VLOOKUP($A32&amp;$B32,'KU Inputs'!$C$2:$J$530,MATCH('KU UtilityData'!I$1,'KU Inputs'!$C$1:$J$1,0),0)*1000</f>
        <v>4124384</v>
      </c>
      <c r="J32" s="181">
        <f>VLOOKUP($A32&amp;$B32,'KU Inputs'!$C$2:$J$530,MATCH('KU UtilityData'!J$1,'KU Inputs'!$C$1:$J$1,0),0)*1000</f>
        <v>1635353</v>
      </c>
      <c r="K32" s="237">
        <v>398838</v>
      </c>
      <c r="L32" s="181">
        <f>VLOOKUP($A32&amp;$B32,'KU Inputs'!$C$2:$J$530,MATCH('KU UtilityData'!L$1,'KU Inputs'!$C$1:$J$1,0),0)</f>
        <v>114399.553</v>
      </c>
      <c r="M32" s="181">
        <f>VLOOKUP($A32&amp;$B32,'KU Inputs'!$C$2:$J$530,MATCH('KU UtilityData'!M$1,'KU Inputs'!$C$1:$J$1,0),0)</f>
        <v>114399.5530773366</v>
      </c>
      <c r="N32" s="242">
        <v>4</v>
      </c>
      <c r="O32" s="242">
        <v>284.05</v>
      </c>
      <c r="P32" s="159">
        <v>4512</v>
      </c>
      <c r="Q32" s="159">
        <v>1455</v>
      </c>
      <c r="R32" s="271">
        <f t="shared" si="0"/>
        <v>0.39650842404586961</v>
      </c>
      <c r="T32" s="147" t="e">
        <f t="shared" si="1"/>
        <v>#REF!</v>
      </c>
      <c r="U32" s="151" t="e">
        <f>SUMIF(A$2:A$493,T$2:T$31,#REF!)/12</f>
        <v>#REF!</v>
      </c>
    </row>
    <row r="33" spans="1:18" x14ac:dyDescent="0.2">
      <c r="A33" s="147">
        <v>2003</v>
      </c>
      <c r="B33" s="147">
        <v>8</v>
      </c>
      <c r="C33" s="157">
        <v>500182.27</v>
      </c>
      <c r="D33" s="166">
        <v>4.5960275764781944</v>
      </c>
      <c r="E33" s="166">
        <v>4.5960275764781944</v>
      </c>
      <c r="F33" s="166">
        <v>30.48</v>
      </c>
      <c r="G33" s="148">
        <v>3442.9835000000003</v>
      </c>
      <c r="H33" s="181">
        <f>VLOOKUP($A33&amp;$B33,'KU Inputs'!$C$2:$J$530,MATCH('KU UtilityData'!H$1,'KU Inputs'!$C$1:$J$1,0),0)*1000</f>
        <v>4124384</v>
      </c>
      <c r="I33" s="181">
        <f>VLOOKUP($A33&amp;$B33,'KU Inputs'!$C$2:$J$530,MATCH('KU UtilityData'!I$1,'KU Inputs'!$C$1:$J$1,0),0)*1000</f>
        <v>4124384</v>
      </c>
      <c r="J33" s="181">
        <f>VLOOKUP($A33&amp;$B33,'KU Inputs'!$C$2:$J$530,MATCH('KU UtilityData'!J$1,'KU Inputs'!$C$1:$J$1,0),0)*1000</f>
        <v>1635353</v>
      </c>
      <c r="K33" s="237">
        <v>397899</v>
      </c>
      <c r="L33" s="181">
        <f>VLOOKUP($A33&amp;$B33,'KU Inputs'!$C$2:$J$530,MATCH('KU UtilityData'!L$1,'KU Inputs'!$C$1:$J$1,0),0)</f>
        <v>114399.553</v>
      </c>
      <c r="M33" s="181">
        <f>VLOOKUP($A33&amp;$B33,'KU Inputs'!$C$2:$J$530,MATCH('KU UtilityData'!M$1,'KU Inputs'!$C$1:$J$1,0),0)</f>
        <v>114399.5530773366</v>
      </c>
      <c r="N33" s="242">
        <v>0</v>
      </c>
      <c r="O33" s="242">
        <v>280.2</v>
      </c>
      <c r="P33" s="159">
        <v>4512</v>
      </c>
      <c r="Q33" s="159">
        <v>1455</v>
      </c>
      <c r="R33" s="271">
        <f t="shared" si="0"/>
        <v>0.39650842404586961</v>
      </c>
    </row>
    <row r="34" spans="1:18" x14ac:dyDescent="0.2">
      <c r="A34" s="147">
        <v>2003</v>
      </c>
      <c r="B34" s="147">
        <v>9</v>
      </c>
      <c r="C34" s="157">
        <v>493363.09499999997</v>
      </c>
      <c r="D34" s="166">
        <v>4.5960275764781944</v>
      </c>
      <c r="E34" s="166">
        <v>4.5960275764781944</v>
      </c>
      <c r="F34" s="166">
        <v>31.86</v>
      </c>
      <c r="G34" s="148">
        <v>3445.4582500000006</v>
      </c>
      <c r="H34" s="181">
        <f>VLOOKUP($A34&amp;$B34,'KU Inputs'!$C$2:$J$530,MATCH('KU UtilityData'!H$1,'KU Inputs'!$C$1:$J$1,0),0)*1000</f>
        <v>4124384</v>
      </c>
      <c r="I34" s="181">
        <f>VLOOKUP($A34&amp;$B34,'KU Inputs'!$C$2:$J$530,MATCH('KU UtilityData'!I$1,'KU Inputs'!$C$1:$J$1,0),0)*1000</f>
        <v>4124384</v>
      </c>
      <c r="J34" s="181">
        <f>VLOOKUP($A34&amp;$B34,'KU Inputs'!$C$2:$J$530,MATCH('KU UtilityData'!J$1,'KU Inputs'!$C$1:$J$1,0),0)*1000</f>
        <v>1635353</v>
      </c>
      <c r="K34" s="237">
        <v>399116</v>
      </c>
      <c r="L34" s="181">
        <f>VLOOKUP($A34&amp;$B34,'KU Inputs'!$C$2:$J$530,MATCH('KU UtilityData'!L$1,'KU Inputs'!$C$1:$J$1,0),0)</f>
        <v>114399.553</v>
      </c>
      <c r="M34" s="181">
        <f>VLOOKUP($A34&amp;$B34,'KU Inputs'!$C$2:$J$530,MATCH('KU UtilityData'!M$1,'KU Inputs'!$C$1:$J$1,0),0)</f>
        <v>114399.5530773366</v>
      </c>
      <c r="N34" s="242">
        <v>7.3</v>
      </c>
      <c r="O34" s="242">
        <v>243.15</v>
      </c>
      <c r="P34" s="159">
        <v>4512</v>
      </c>
      <c r="Q34" s="159">
        <v>1455</v>
      </c>
      <c r="R34" s="271">
        <f t="shared" si="0"/>
        <v>0.39650842404586961</v>
      </c>
    </row>
    <row r="35" spans="1:18" x14ac:dyDescent="0.2">
      <c r="A35" s="147">
        <v>2003</v>
      </c>
      <c r="B35" s="147">
        <v>10</v>
      </c>
      <c r="C35" s="157">
        <v>334700.14600000001</v>
      </c>
      <c r="D35" s="166">
        <v>4.5960275764781944</v>
      </c>
      <c r="E35" s="166">
        <v>4.5960275764781944</v>
      </c>
      <c r="F35" s="166">
        <v>30.38</v>
      </c>
      <c r="G35" s="148">
        <v>3447.9330000000004</v>
      </c>
      <c r="H35" s="181">
        <f>VLOOKUP($A35&amp;$B35,'KU Inputs'!$C$2:$J$530,MATCH('KU UtilityData'!H$1,'KU Inputs'!$C$1:$J$1,0),0)*1000</f>
        <v>4131609.9999999995</v>
      </c>
      <c r="I35" s="181">
        <f>VLOOKUP($A35&amp;$B35,'KU Inputs'!$C$2:$J$530,MATCH('KU UtilityData'!I$1,'KU Inputs'!$C$1:$J$1,0),0)*1000</f>
        <v>4131609.9999999995</v>
      </c>
      <c r="J35" s="181">
        <f>VLOOKUP($A35&amp;$B35,'KU Inputs'!$C$2:$J$530,MATCH('KU UtilityData'!J$1,'KU Inputs'!$C$1:$J$1,0),0)*1000</f>
        <v>1638563</v>
      </c>
      <c r="K35" s="237">
        <v>399289</v>
      </c>
      <c r="L35" s="181">
        <f>VLOOKUP($A35&amp;$B35,'KU Inputs'!$C$2:$J$530,MATCH('KU UtilityData'!L$1,'KU Inputs'!$C$1:$J$1,0),0)</f>
        <v>115855.962</v>
      </c>
      <c r="M35" s="181">
        <f>VLOOKUP($A35&amp;$B35,'KU Inputs'!$C$2:$J$530,MATCH('KU UtilityData'!M$1,'KU Inputs'!$C$1:$J$1,0),0)</f>
        <v>115855.96172409452</v>
      </c>
      <c r="N35" s="242">
        <v>173.2</v>
      </c>
      <c r="O35" s="242">
        <v>20.45</v>
      </c>
      <c r="P35" s="159">
        <v>4512</v>
      </c>
      <c r="Q35" s="159">
        <v>1455</v>
      </c>
      <c r="R35" s="271">
        <f t="shared" si="0"/>
        <v>0.39659188548773971</v>
      </c>
    </row>
    <row r="36" spans="1:18" x14ac:dyDescent="0.2">
      <c r="A36" s="147">
        <v>2003</v>
      </c>
      <c r="B36" s="147">
        <v>11</v>
      </c>
      <c r="C36" s="157">
        <v>341222.022</v>
      </c>
      <c r="D36" s="166">
        <v>4.5960275764781944</v>
      </c>
      <c r="E36" s="166">
        <v>4.5960275764781944</v>
      </c>
      <c r="F36" s="166">
        <v>30.62</v>
      </c>
      <c r="G36" s="148">
        <v>3450.4077500000003</v>
      </c>
      <c r="H36" s="181">
        <f>VLOOKUP($A36&amp;$B36,'KU Inputs'!$C$2:$J$530,MATCH('KU UtilityData'!H$1,'KU Inputs'!$C$1:$J$1,0),0)*1000</f>
        <v>4131609.9999999995</v>
      </c>
      <c r="I36" s="181">
        <f>VLOOKUP($A36&amp;$B36,'KU Inputs'!$C$2:$J$530,MATCH('KU UtilityData'!I$1,'KU Inputs'!$C$1:$J$1,0),0)*1000</f>
        <v>4131609.9999999995</v>
      </c>
      <c r="J36" s="181">
        <f>VLOOKUP($A36&amp;$B36,'KU Inputs'!$C$2:$J$530,MATCH('KU UtilityData'!J$1,'KU Inputs'!$C$1:$J$1,0),0)*1000</f>
        <v>1638563</v>
      </c>
      <c r="K36" s="237">
        <v>398826</v>
      </c>
      <c r="L36" s="181">
        <f>VLOOKUP($A36&amp;$B36,'KU Inputs'!$C$2:$J$530,MATCH('KU UtilityData'!L$1,'KU Inputs'!$C$1:$J$1,0),0)</f>
        <v>115855.962</v>
      </c>
      <c r="M36" s="181">
        <f>VLOOKUP($A36&amp;$B36,'KU Inputs'!$C$2:$J$530,MATCH('KU UtilityData'!M$1,'KU Inputs'!$C$1:$J$1,0),0)</f>
        <v>115855.96172409452</v>
      </c>
      <c r="N36" s="242">
        <v>303.8</v>
      </c>
      <c r="O36" s="242">
        <v>6.55</v>
      </c>
      <c r="P36" s="159">
        <v>4512</v>
      </c>
      <c r="Q36" s="159">
        <v>1455</v>
      </c>
      <c r="R36" s="271">
        <f t="shared" si="0"/>
        <v>0.39659188548773971</v>
      </c>
    </row>
    <row r="37" spans="1:18" x14ac:dyDescent="0.2">
      <c r="A37" s="147">
        <v>2003</v>
      </c>
      <c r="B37" s="147">
        <v>12</v>
      </c>
      <c r="C37" s="157">
        <v>530946.74800000002</v>
      </c>
      <c r="D37" s="166">
        <v>4.5960275764781944</v>
      </c>
      <c r="E37" s="166">
        <v>4.5960275764781944</v>
      </c>
      <c r="F37" s="166">
        <v>32.81</v>
      </c>
      <c r="G37" s="148">
        <v>3452.8825000000006</v>
      </c>
      <c r="H37" s="181">
        <f>VLOOKUP($A37&amp;$B37,'KU Inputs'!$C$2:$J$530,MATCH('KU UtilityData'!H$1,'KU Inputs'!$C$1:$J$1,0),0)*1000</f>
        <v>4131609.9999999995</v>
      </c>
      <c r="I37" s="181">
        <f>VLOOKUP($A37&amp;$B37,'KU Inputs'!$C$2:$J$530,MATCH('KU UtilityData'!I$1,'KU Inputs'!$C$1:$J$1,0),0)*1000</f>
        <v>4131609.9999999995</v>
      </c>
      <c r="J37" s="181">
        <f>VLOOKUP($A37&amp;$B37,'KU Inputs'!$C$2:$J$530,MATCH('KU UtilityData'!J$1,'KU Inputs'!$C$1:$J$1,0),0)*1000</f>
        <v>1638563</v>
      </c>
      <c r="K37" s="237">
        <v>401162</v>
      </c>
      <c r="L37" s="181">
        <f>VLOOKUP($A37&amp;$B37,'KU Inputs'!$C$2:$J$530,MATCH('KU UtilityData'!L$1,'KU Inputs'!$C$1:$J$1,0),0)</f>
        <v>115855.962</v>
      </c>
      <c r="M37" s="181">
        <f>VLOOKUP($A37&amp;$B37,'KU Inputs'!$C$2:$J$530,MATCH('KU UtilityData'!M$1,'KU Inputs'!$C$1:$J$1,0),0)</f>
        <v>115855.96172409452</v>
      </c>
      <c r="N37" s="242">
        <v>714.95</v>
      </c>
      <c r="O37" s="242">
        <v>0.45</v>
      </c>
      <c r="P37" s="159">
        <v>4512</v>
      </c>
      <c r="Q37" s="159">
        <v>1455</v>
      </c>
      <c r="R37" s="271">
        <f t="shared" si="0"/>
        <v>0.39659188548773971</v>
      </c>
    </row>
    <row r="38" spans="1:18" x14ac:dyDescent="0.2">
      <c r="A38" s="147">
        <v>2004</v>
      </c>
      <c r="B38" s="147">
        <v>1</v>
      </c>
      <c r="C38" s="157">
        <v>682257.12</v>
      </c>
      <c r="D38" s="166">
        <v>5</v>
      </c>
      <c r="E38" s="166">
        <v>5</v>
      </c>
      <c r="F38" s="166">
        <v>32.450000000000003</v>
      </c>
      <c r="G38" s="148">
        <v>3455.3572500000005</v>
      </c>
      <c r="H38" s="181">
        <f>VLOOKUP($A38&amp;$B38,'KU Inputs'!$C$2:$J$530,MATCH('KU UtilityData'!H$1,'KU Inputs'!$C$1:$J$1,0),0)*1000</f>
        <v>4138849</v>
      </c>
      <c r="I38" s="181">
        <f>VLOOKUP($A38&amp;$B38,'KU Inputs'!$C$2:$J$530,MATCH('KU UtilityData'!I$1,'KU Inputs'!$C$1:$J$1,0),0)*1000</f>
        <v>4138849</v>
      </c>
      <c r="J38" s="181">
        <f>VLOOKUP($A38&amp;$B38,'KU Inputs'!$C$2:$J$530,MATCH('KU UtilityData'!J$1,'KU Inputs'!$C$1:$J$1,0),0)*1000</f>
        <v>1641780</v>
      </c>
      <c r="K38" s="237">
        <v>403119</v>
      </c>
      <c r="L38" s="181">
        <f>VLOOKUP($A38&amp;$B38,'KU Inputs'!$C$2:$J$530,MATCH('KU UtilityData'!L$1,'KU Inputs'!$C$1:$J$1,0),0)</f>
        <v>116263.073</v>
      </c>
      <c r="M38" s="181">
        <f>VLOOKUP($A38&amp;$B38,'KU Inputs'!$C$2:$J$530,MATCH('KU UtilityData'!M$1,'KU Inputs'!$C$1:$J$1,0),0)</f>
        <v>116263.07300067642</v>
      </c>
      <c r="N38" s="242">
        <v>995.05</v>
      </c>
      <c r="O38" s="242">
        <v>0</v>
      </c>
      <c r="P38" s="159">
        <v>4512</v>
      </c>
      <c r="Q38" s="159">
        <v>1455</v>
      </c>
      <c r="R38" s="271">
        <f t="shared" si="0"/>
        <v>0.39667550084576653</v>
      </c>
    </row>
    <row r="39" spans="1:18" x14ac:dyDescent="0.2">
      <c r="A39" s="147">
        <v>2004</v>
      </c>
      <c r="B39" s="147">
        <v>2</v>
      </c>
      <c r="C39" s="157">
        <v>654596.57200000004</v>
      </c>
      <c r="D39" s="166">
        <v>5</v>
      </c>
      <c r="E39" s="166">
        <v>5</v>
      </c>
      <c r="F39" s="166">
        <v>30.15</v>
      </c>
      <c r="G39" s="148">
        <v>3457.8320000000003</v>
      </c>
      <c r="H39" s="181">
        <f>VLOOKUP($A39&amp;$B39,'KU Inputs'!$C$2:$J$530,MATCH('KU UtilityData'!H$1,'KU Inputs'!$C$1:$J$1,0),0)*1000</f>
        <v>4138849</v>
      </c>
      <c r="I39" s="181">
        <f>VLOOKUP($A39&amp;$B39,'KU Inputs'!$C$2:$J$530,MATCH('KU UtilityData'!I$1,'KU Inputs'!$C$1:$J$1,0),0)*1000</f>
        <v>4138849</v>
      </c>
      <c r="J39" s="181">
        <f>VLOOKUP($A39&amp;$B39,'KU Inputs'!$C$2:$J$530,MATCH('KU UtilityData'!J$1,'KU Inputs'!$C$1:$J$1,0),0)*1000</f>
        <v>1641780</v>
      </c>
      <c r="K39" s="237">
        <v>402126</v>
      </c>
      <c r="L39" s="181">
        <f>VLOOKUP($A39&amp;$B39,'KU Inputs'!$C$2:$J$530,MATCH('KU UtilityData'!L$1,'KU Inputs'!$C$1:$J$1,0),0)</f>
        <v>116263.073</v>
      </c>
      <c r="M39" s="181">
        <f>VLOOKUP($A39&amp;$B39,'KU Inputs'!$C$2:$J$530,MATCH('KU UtilityData'!M$1,'KU Inputs'!$C$1:$J$1,0),0)</f>
        <v>116263.07300067642</v>
      </c>
      <c r="N39" s="242">
        <v>1026.55</v>
      </c>
      <c r="O39" s="242">
        <v>0</v>
      </c>
      <c r="P39" s="159">
        <v>4512</v>
      </c>
      <c r="Q39" s="159">
        <v>1455</v>
      </c>
      <c r="R39" s="271">
        <f t="shared" si="0"/>
        <v>0.39667550084576653</v>
      </c>
    </row>
    <row r="40" spans="1:18" x14ac:dyDescent="0.2">
      <c r="A40" s="147">
        <v>2004</v>
      </c>
      <c r="B40" s="147">
        <v>3</v>
      </c>
      <c r="C40" s="157">
        <v>488775.788</v>
      </c>
      <c r="D40" s="166">
        <v>5</v>
      </c>
      <c r="E40" s="166">
        <v>5</v>
      </c>
      <c r="F40" s="166">
        <v>30.05</v>
      </c>
      <c r="G40" s="148">
        <v>3460.3067500000006</v>
      </c>
      <c r="H40" s="181">
        <f>VLOOKUP($A40&amp;$B40,'KU Inputs'!$C$2:$J$530,MATCH('KU UtilityData'!H$1,'KU Inputs'!$C$1:$J$1,0),0)*1000</f>
        <v>4138849</v>
      </c>
      <c r="I40" s="181">
        <f>VLOOKUP($A40&amp;$B40,'KU Inputs'!$C$2:$J$530,MATCH('KU UtilityData'!I$1,'KU Inputs'!$C$1:$J$1,0),0)*1000</f>
        <v>4138849</v>
      </c>
      <c r="J40" s="181">
        <f>VLOOKUP($A40&amp;$B40,'KU Inputs'!$C$2:$J$530,MATCH('KU UtilityData'!J$1,'KU Inputs'!$C$1:$J$1,0),0)*1000</f>
        <v>1641780</v>
      </c>
      <c r="K40" s="237">
        <v>402171</v>
      </c>
      <c r="L40" s="181">
        <f>VLOOKUP($A40&amp;$B40,'KU Inputs'!$C$2:$J$530,MATCH('KU UtilityData'!L$1,'KU Inputs'!$C$1:$J$1,0),0)</f>
        <v>116263.073</v>
      </c>
      <c r="M40" s="181">
        <f>VLOOKUP($A40&amp;$B40,'KU Inputs'!$C$2:$J$530,MATCH('KU UtilityData'!M$1,'KU Inputs'!$C$1:$J$1,0),0)</f>
        <v>116263.07300067642</v>
      </c>
      <c r="N40" s="242">
        <v>662.6</v>
      </c>
      <c r="O40" s="242">
        <v>0.4</v>
      </c>
      <c r="P40" s="159">
        <v>4512</v>
      </c>
      <c r="Q40" s="159">
        <v>1455</v>
      </c>
      <c r="R40" s="271">
        <f t="shared" si="0"/>
        <v>0.39667550084576653</v>
      </c>
    </row>
    <row r="41" spans="1:18" x14ac:dyDescent="0.2">
      <c r="A41" s="147">
        <v>2004</v>
      </c>
      <c r="B41" s="147">
        <v>4</v>
      </c>
      <c r="C41" s="157">
        <v>424797.68599999999</v>
      </c>
      <c r="D41" s="166">
        <v>5</v>
      </c>
      <c r="E41" s="166">
        <v>5</v>
      </c>
      <c r="F41" s="166">
        <v>30.45</v>
      </c>
      <c r="G41" s="148">
        <v>3462.7815000000005</v>
      </c>
      <c r="H41" s="181">
        <f>VLOOKUP($A41&amp;$B41,'KU Inputs'!$C$2:$J$530,MATCH('KU UtilityData'!H$1,'KU Inputs'!$C$1:$J$1,0),0)*1000</f>
        <v>4146100.9999999995</v>
      </c>
      <c r="I41" s="181">
        <f>VLOOKUP($A41&amp;$B41,'KU Inputs'!$C$2:$J$530,MATCH('KU UtilityData'!I$1,'KU Inputs'!$C$1:$J$1,0),0)*1000</f>
        <v>4146100.9999999995</v>
      </c>
      <c r="J41" s="181">
        <f>VLOOKUP($A41&amp;$B41,'KU Inputs'!$C$2:$J$530,MATCH('KU UtilityData'!J$1,'KU Inputs'!$C$1:$J$1,0),0)*1000</f>
        <v>1645002</v>
      </c>
      <c r="K41" s="237">
        <v>402767</v>
      </c>
      <c r="L41" s="181">
        <f>VLOOKUP($A41&amp;$B41,'KU Inputs'!$C$2:$J$530,MATCH('KU UtilityData'!L$1,'KU Inputs'!$C$1:$J$1,0),0)</f>
        <v>116694.558</v>
      </c>
      <c r="M41" s="181">
        <f>VLOOKUP($A41&amp;$B41,'KU Inputs'!$C$2:$J$530,MATCH('KU UtilityData'!M$1,'KU Inputs'!$C$1:$J$1,0),0)</f>
        <v>116694.55807611256</v>
      </c>
      <c r="N41" s="242">
        <v>449.2</v>
      </c>
      <c r="O41" s="242">
        <v>7.55</v>
      </c>
      <c r="P41" s="159">
        <v>4512</v>
      </c>
      <c r="Q41" s="159">
        <v>1455</v>
      </c>
      <c r="R41" s="271">
        <f t="shared" si="0"/>
        <v>0.39675878614630955</v>
      </c>
    </row>
    <row r="42" spans="1:18" x14ac:dyDescent="0.2">
      <c r="A42" s="147">
        <v>2004</v>
      </c>
      <c r="B42" s="147">
        <v>5</v>
      </c>
      <c r="C42" s="157">
        <v>365898.78200000001</v>
      </c>
      <c r="D42" s="166">
        <v>5</v>
      </c>
      <c r="E42" s="166">
        <v>5</v>
      </c>
      <c r="F42" s="166">
        <v>29.8</v>
      </c>
      <c r="G42" s="148">
        <v>3465.2562500000004</v>
      </c>
      <c r="H42" s="181">
        <f>VLOOKUP($A42&amp;$B42,'KU Inputs'!$C$2:$J$530,MATCH('KU UtilityData'!H$1,'KU Inputs'!$C$1:$J$1,0),0)*1000</f>
        <v>4146100.9999999995</v>
      </c>
      <c r="I42" s="181">
        <f>VLOOKUP($A42&amp;$B42,'KU Inputs'!$C$2:$J$530,MATCH('KU UtilityData'!I$1,'KU Inputs'!$C$1:$J$1,0),0)*1000</f>
        <v>4146100.9999999995</v>
      </c>
      <c r="J42" s="181">
        <f>VLOOKUP($A42&amp;$B42,'KU Inputs'!$C$2:$J$530,MATCH('KU UtilityData'!J$1,'KU Inputs'!$C$1:$J$1,0),0)*1000</f>
        <v>1645002</v>
      </c>
      <c r="K42" s="237">
        <v>401362</v>
      </c>
      <c r="L42" s="181">
        <f>VLOOKUP($A42&amp;$B42,'KU Inputs'!$C$2:$J$530,MATCH('KU UtilityData'!L$1,'KU Inputs'!$C$1:$J$1,0),0)</f>
        <v>116694.558</v>
      </c>
      <c r="M42" s="181">
        <f>VLOOKUP($A42&amp;$B42,'KU Inputs'!$C$2:$J$530,MATCH('KU UtilityData'!M$1,'KU Inputs'!$C$1:$J$1,0),0)</f>
        <v>116694.55807611256</v>
      </c>
      <c r="N42" s="242">
        <v>149.94999999999999</v>
      </c>
      <c r="O42" s="242">
        <v>80.400000000000006</v>
      </c>
      <c r="P42" s="159">
        <v>4512</v>
      </c>
      <c r="Q42" s="159">
        <v>1455</v>
      </c>
      <c r="R42" s="271">
        <f t="shared" si="0"/>
        <v>0.39675878614630955</v>
      </c>
    </row>
    <row r="43" spans="1:18" x14ac:dyDescent="0.2">
      <c r="A43" s="147">
        <v>2004</v>
      </c>
      <c r="B43" s="147">
        <v>6</v>
      </c>
      <c r="C43" s="157">
        <v>447174.71100000001</v>
      </c>
      <c r="D43" s="166">
        <v>5</v>
      </c>
      <c r="E43" s="166">
        <v>5</v>
      </c>
      <c r="F43" s="166">
        <v>30.75</v>
      </c>
      <c r="G43" s="148">
        <v>3467.7310000000007</v>
      </c>
      <c r="H43" s="181">
        <f>VLOOKUP($A43&amp;$B43,'KU Inputs'!$C$2:$J$530,MATCH('KU UtilityData'!H$1,'KU Inputs'!$C$1:$J$1,0),0)*1000</f>
        <v>4146100.9999999995</v>
      </c>
      <c r="I43" s="181">
        <f>VLOOKUP($A43&amp;$B43,'KU Inputs'!$C$2:$J$530,MATCH('KU UtilityData'!I$1,'KU Inputs'!$C$1:$J$1,0),0)*1000</f>
        <v>4146100.9999999995</v>
      </c>
      <c r="J43" s="181">
        <f>VLOOKUP($A43&amp;$B43,'KU Inputs'!$C$2:$J$530,MATCH('KU UtilityData'!J$1,'KU Inputs'!$C$1:$J$1,0),0)*1000</f>
        <v>1645002</v>
      </c>
      <c r="K43" s="237">
        <v>402477</v>
      </c>
      <c r="L43" s="181">
        <f>VLOOKUP($A43&amp;$B43,'KU Inputs'!$C$2:$J$530,MATCH('KU UtilityData'!L$1,'KU Inputs'!$C$1:$J$1,0),0)</f>
        <v>116694.558</v>
      </c>
      <c r="M43" s="181">
        <f>VLOOKUP($A43&amp;$B43,'KU Inputs'!$C$2:$J$530,MATCH('KU UtilityData'!M$1,'KU Inputs'!$C$1:$J$1,0),0)</f>
        <v>116694.55807611256</v>
      </c>
      <c r="N43" s="242">
        <v>4.8</v>
      </c>
      <c r="O43" s="242">
        <v>195.7</v>
      </c>
      <c r="P43" s="159">
        <v>4512</v>
      </c>
      <c r="Q43" s="159">
        <v>1455</v>
      </c>
      <c r="R43" s="271">
        <f t="shared" si="0"/>
        <v>0.39675878614630955</v>
      </c>
    </row>
    <row r="44" spans="1:18" x14ac:dyDescent="0.2">
      <c r="A44" s="147">
        <v>2004</v>
      </c>
      <c r="B44" s="147">
        <v>7</v>
      </c>
      <c r="C44" s="157">
        <v>521545.85499999998</v>
      </c>
      <c r="D44" s="166">
        <v>5</v>
      </c>
      <c r="E44" s="166">
        <v>5</v>
      </c>
      <c r="F44" s="166">
        <v>30.65</v>
      </c>
      <c r="G44" s="148">
        <v>3470.6730000000007</v>
      </c>
      <c r="H44" s="181">
        <f>VLOOKUP($A44&amp;$B44,'KU Inputs'!$C$2:$J$530,MATCH('KU UtilityData'!H$1,'KU Inputs'!$C$1:$J$1,0),0)*1000</f>
        <v>4155231</v>
      </c>
      <c r="I44" s="181">
        <f>VLOOKUP($A44&amp;$B44,'KU Inputs'!$C$2:$J$530,MATCH('KU UtilityData'!I$1,'KU Inputs'!$C$1:$J$1,0),0)*1000</f>
        <v>4155231</v>
      </c>
      <c r="J44" s="181">
        <f>VLOOKUP($A44&amp;$B44,'KU Inputs'!$C$2:$J$530,MATCH('KU UtilityData'!J$1,'KU Inputs'!$C$1:$J$1,0),0)*1000</f>
        <v>1648232</v>
      </c>
      <c r="K44" s="237">
        <v>403573</v>
      </c>
      <c r="L44" s="181">
        <f>VLOOKUP($A44&amp;$B44,'KU Inputs'!$C$2:$J$530,MATCH('KU UtilityData'!L$1,'KU Inputs'!$C$1:$J$1,0),0)</f>
        <v>117551.33500000001</v>
      </c>
      <c r="M44" s="181">
        <f>VLOOKUP($A44&amp;$B44,'KU Inputs'!$C$2:$J$530,MATCH('KU UtilityData'!M$1,'KU Inputs'!$C$1:$J$1,0),0)</f>
        <v>117551.33470225871</v>
      </c>
      <c r="N44" s="242">
        <v>0.6</v>
      </c>
      <c r="O44" s="242">
        <v>262.64999999999998</v>
      </c>
      <c r="P44" s="159">
        <v>4512</v>
      </c>
      <c r="Q44" s="159">
        <v>1455</v>
      </c>
      <c r="R44" s="271">
        <f t="shared" si="0"/>
        <v>0.39666434910598231</v>
      </c>
    </row>
    <row r="45" spans="1:18" x14ac:dyDescent="0.2">
      <c r="A45" s="147">
        <v>2004</v>
      </c>
      <c r="B45" s="147">
        <v>8</v>
      </c>
      <c r="C45" s="157">
        <v>473871.16600000003</v>
      </c>
      <c r="D45" s="166">
        <v>5</v>
      </c>
      <c r="E45" s="166">
        <v>5</v>
      </c>
      <c r="F45" s="166">
        <v>29.55</v>
      </c>
      <c r="G45" s="148">
        <v>3473.6150000000007</v>
      </c>
      <c r="H45" s="181">
        <f>VLOOKUP($A45&amp;$B45,'KU Inputs'!$C$2:$J$530,MATCH('KU UtilityData'!H$1,'KU Inputs'!$C$1:$J$1,0),0)*1000</f>
        <v>4155231</v>
      </c>
      <c r="I45" s="181">
        <f>VLOOKUP($A45&amp;$B45,'KU Inputs'!$C$2:$J$530,MATCH('KU UtilityData'!I$1,'KU Inputs'!$C$1:$J$1,0),0)*1000</f>
        <v>4155231</v>
      </c>
      <c r="J45" s="181">
        <f>VLOOKUP($A45&amp;$B45,'KU Inputs'!$C$2:$J$530,MATCH('KU UtilityData'!J$1,'KU Inputs'!$C$1:$J$1,0),0)*1000</f>
        <v>1648232</v>
      </c>
      <c r="K45" s="237">
        <v>401757</v>
      </c>
      <c r="L45" s="181">
        <f>VLOOKUP($A45&amp;$B45,'KU Inputs'!$C$2:$J$530,MATCH('KU UtilityData'!L$1,'KU Inputs'!$C$1:$J$1,0),0)</f>
        <v>117551.33500000001</v>
      </c>
      <c r="M45" s="181">
        <f>VLOOKUP($A45&amp;$B45,'KU Inputs'!$C$2:$J$530,MATCH('KU UtilityData'!M$1,'KU Inputs'!$C$1:$J$1,0),0)</f>
        <v>117551.33470225871</v>
      </c>
      <c r="N45" s="242">
        <v>7.6</v>
      </c>
      <c r="O45" s="242">
        <v>196.55</v>
      </c>
      <c r="P45" s="159">
        <v>4512</v>
      </c>
      <c r="Q45" s="159">
        <v>1455</v>
      </c>
      <c r="R45" s="271">
        <f t="shared" si="0"/>
        <v>0.39666434910598231</v>
      </c>
    </row>
    <row r="46" spans="1:18" x14ac:dyDescent="0.2">
      <c r="A46" s="147">
        <v>2004</v>
      </c>
      <c r="B46" s="147">
        <v>9</v>
      </c>
      <c r="C46" s="157">
        <v>456567.098</v>
      </c>
      <c r="D46" s="166">
        <v>5</v>
      </c>
      <c r="E46" s="166">
        <v>5</v>
      </c>
      <c r="F46" s="166">
        <v>30.55</v>
      </c>
      <c r="G46" s="148">
        <v>3476.5570000000002</v>
      </c>
      <c r="H46" s="181">
        <f>VLOOKUP($A46&amp;$B46,'KU Inputs'!$C$2:$J$530,MATCH('KU UtilityData'!H$1,'KU Inputs'!$C$1:$J$1,0),0)*1000</f>
        <v>4155231</v>
      </c>
      <c r="I46" s="181">
        <f>VLOOKUP($A46&amp;$B46,'KU Inputs'!$C$2:$J$530,MATCH('KU UtilityData'!I$1,'KU Inputs'!$C$1:$J$1,0),0)*1000</f>
        <v>4155231</v>
      </c>
      <c r="J46" s="181">
        <f>VLOOKUP($A46&amp;$B46,'KU Inputs'!$C$2:$J$530,MATCH('KU UtilityData'!J$1,'KU Inputs'!$C$1:$J$1,0),0)*1000</f>
        <v>1648232</v>
      </c>
      <c r="K46" s="237">
        <v>400716</v>
      </c>
      <c r="L46" s="181">
        <f>VLOOKUP($A46&amp;$B46,'KU Inputs'!$C$2:$J$530,MATCH('KU UtilityData'!L$1,'KU Inputs'!$C$1:$J$1,0),0)</f>
        <v>117551.33500000001</v>
      </c>
      <c r="M46" s="181">
        <f>VLOOKUP($A46&amp;$B46,'KU Inputs'!$C$2:$J$530,MATCH('KU UtilityData'!M$1,'KU Inputs'!$C$1:$J$1,0),0)</f>
        <v>117551.33470225871</v>
      </c>
      <c r="N46" s="242">
        <v>10.1</v>
      </c>
      <c r="O46" s="242">
        <v>192.55</v>
      </c>
      <c r="P46" s="159">
        <v>4512</v>
      </c>
      <c r="Q46" s="159">
        <v>1455</v>
      </c>
      <c r="R46" s="271">
        <f t="shared" si="0"/>
        <v>0.39666434910598231</v>
      </c>
    </row>
    <row r="47" spans="1:18" x14ac:dyDescent="0.2">
      <c r="A47" s="147">
        <v>2004</v>
      </c>
      <c r="B47" s="147">
        <v>10</v>
      </c>
      <c r="C47" s="157">
        <v>355424.22700000001</v>
      </c>
      <c r="D47" s="166">
        <v>5</v>
      </c>
      <c r="E47" s="166">
        <v>5</v>
      </c>
      <c r="F47" s="166">
        <v>29.65</v>
      </c>
      <c r="G47" s="148">
        <v>3479.4990000000003</v>
      </c>
      <c r="H47" s="181">
        <f>VLOOKUP($A47&amp;$B47,'KU Inputs'!$C$2:$J$530,MATCH('KU UtilityData'!H$1,'KU Inputs'!$C$1:$J$1,0),0)*1000</f>
        <v>4164381.0000000005</v>
      </c>
      <c r="I47" s="181">
        <f>VLOOKUP($A47&amp;$B47,'KU Inputs'!$C$2:$J$530,MATCH('KU UtilityData'!I$1,'KU Inputs'!$C$1:$J$1,0),0)*1000</f>
        <v>4164381.0000000005</v>
      </c>
      <c r="J47" s="181">
        <f>VLOOKUP($A47&amp;$B47,'KU Inputs'!$C$2:$J$530,MATCH('KU UtilityData'!J$1,'KU Inputs'!$C$1:$J$1,0),0)*1000</f>
        <v>1651467</v>
      </c>
      <c r="K47" s="237">
        <v>401100</v>
      </c>
      <c r="L47" s="181">
        <f>VLOOKUP($A47&amp;$B47,'KU Inputs'!$C$2:$J$530,MATCH('KU UtilityData'!L$1,'KU Inputs'!$C$1:$J$1,0),0)</f>
        <v>118914.68</v>
      </c>
      <c r="M47" s="181">
        <f>VLOOKUP($A47&amp;$B47,'KU Inputs'!$C$2:$J$530,MATCH('KU UtilityData'!M$1,'KU Inputs'!$C$1:$J$1,0),0)</f>
        <v>118914.67973070695</v>
      </c>
      <c r="N47" s="242">
        <v>119.1</v>
      </c>
      <c r="O47" s="242">
        <v>50.2</v>
      </c>
      <c r="P47" s="159">
        <v>4512</v>
      </c>
      <c r="Q47" s="159">
        <v>1455</v>
      </c>
      <c r="R47" s="271">
        <f t="shared" si="0"/>
        <v>0.39656962223197151</v>
      </c>
    </row>
    <row r="48" spans="1:18" x14ac:dyDescent="0.2">
      <c r="A48" s="147">
        <v>2004</v>
      </c>
      <c r="B48" s="147">
        <v>11</v>
      </c>
      <c r="C48" s="157">
        <v>344393.125</v>
      </c>
      <c r="D48" s="166">
        <v>5</v>
      </c>
      <c r="E48" s="166">
        <v>5</v>
      </c>
      <c r="F48" s="166">
        <v>29.8</v>
      </c>
      <c r="G48" s="148">
        <v>3482.4410000000003</v>
      </c>
      <c r="H48" s="181">
        <f>VLOOKUP($A48&amp;$B48,'KU Inputs'!$C$2:$J$530,MATCH('KU UtilityData'!H$1,'KU Inputs'!$C$1:$J$1,0),0)*1000</f>
        <v>4164381.0000000005</v>
      </c>
      <c r="I48" s="181">
        <f>VLOOKUP($A48&amp;$B48,'KU Inputs'!$C$2:$J$530,MATCH('KU UtilityData'!I$1,'KU Inputs'!$C$1:$J$1,0),0)*1000</f>
        <v>4164381.0000000005</v>
      </c>
      <c r="J48" s="181">
        <f>VLOOKUP($A48&amp;$B48,'KU Inputs'!$C$2:$J$530,MATCH('KU UtilityData'!J$1,'KU Inputs'!$C$1:$J$1,0),0)*1000</f>
        <v>1651467</v>
      </c>
      <c r="K48" s="237">
        <v>400268</v>
      </c>
      <c r="L48" s="181">
        <f>VLOOKUP($A48&amp;$B48,'KU Inputs'!$C$2:$J$530,MATCH('KU UtilityData'!L$1,'KU Inputs'!$C$1:$J$1,0),0)</f>
        <v>118914.68</v>
      </c>
      <c r="M48" s="181">
        <f>VLOOKUP($A48&amp;$B48,'KU Inputs'!$C$2:$J$530,MATCH('KU UtilityData'!M$1,'KU Inputs'!$C$1:$J$1,0),0)</f>
        <v>118914.67973070695</v>
      </c>
      <c r="N48" s="242">
        <v>266.45</v>
      </c>
      <c r="O48" s="242">
        <v>8.85</v>
      </c>
      <c r="P48" s="159">
        <v>4512</v>
      </c>
      <c r="Q48" s="159">
        <v>1455</v>
      </c>
      <c r="R48" s="271">
        <f t="shared" si="0"/>
        <v>0.39656962223197151</v>
      </c>
    </row>
    <row r="49" spans="1:18" x14ac:dyDescent="0.2">
      <c r="A49" s="147">
        <v>2004</v>
      </c>
      <c r="B49" s="147">
        <v>12</v>
      </c>
      <c r="C49" s="157">
        <v>521174.141</v>
      </c>
      <c r="D49" s="166">
        <v>5</v>
      </c>
      <c r="E49" s="166">
        <v>5</v>
      </c>
      <c r="F49" s="166">
        <v>31.5</v>
      </c>
      <c r="G49" s="148">
        <v>3485.3830000000003</v>
      </c>
      <c r="H49" s="181">
        <f>VLOOKUP($A49&amp;$B49,'KU Inputs'!$C$2:$J$530,MATCH('KU UtilityData'!H$1,'KU Inputs'!$C$1:$J$1,0),0)*1000</f>
        <v>4164381.0000000005</v>
      </c>
      <c r="I49" s="181">
        <f>VLOOKUP($A49&amp;$B49,'KU Inputs'!$C$2:$J$530,MATCH('KU UtilityData'!I$1,'KU Inputs'!$C$1:$J$1,0),0)*1000</f>
        <v>4164381.0000000005</v>
      </c>
      <c r="J49" s="181">
        <f>VLOOKUP($A49&amp;$B49,'KU Inputs'!$C$2:$J$530,MATCH('KU UtilityData'!J$1,'KU Inputs'!$C$1:$J$1,0),0)*1000</f>
        <v>1651467</v>
      </c>
      <c r="K49" s="237">
        <v>400971</v>
      </c>
      <c r="L49" s="181">
        <f>VLOOKUP($A49&amp;$B49,'KU Inputs'!$C$2:$J$530,MATCH('KU UtilityData'!L$1,'KU Inputs'!$C$1:$J$1,0),0)</f>
        <v>118914.68</v>
      </c>
      <c r="M49" s="181">
        <f>VLOOKUP($A49&amp;$B49,'KU Inputs'!$C$2:$J$530,MATCH('KU UtilityData'!M$1,'KU Inputs'!$C$1:$J$1,0),0)</f>
        <v>118914.67973070695</v>
      </c>
      <c r="N49" s="242">
        <v>652.20000000000005</v>
      </c>
      <c r="O49" s="242">
        <v>0.15</v>
      </c>
      <c r="P49" s="159">
        <v>4512</v>
      </c>
      <c r="Q49" s="159">
        <v>1455</v>
      </c>
      <c r="R49" s="271">
        <f t="shared" si="0"/>
        <v>0.39656962223197151</v>
      </c>
    </row>
    <row r="50" spans="1:18" x14ac:dyDescent="0.2">
      <c r="A50" s="147">
        <v>2005</v>
      </c>
      <c r="B50" s="147">
        <v>1</v>
      </c>
      <c r="C50" s="157">
        <v>652167.62399999995</v>
      </c>
      <c r="D50" s="166">
        <v>5.1824420638157411</v>
      </c>
      <c r="E50" s="166">
        <v>5.1824420638157411</v>
      </c>
      <c r="F50" s="166">
        <v>32.5</v>
      </c>
      <c r="G50" s="148">
        <v>3488.3250000000003</v>
      </c>
      <c r="H50" s="181">
        <f>VLOOKUP($A50&amp;$B50,'KU Inputs'!$C$2:$J$530,MATCH('KU UtilityData'!H$1,'KU Inputs'!$C$1:$J$1,0),0)*1000</f>
        <v>4173551.9999999995</v>
      </c>
      <c r="I50" s="181">
        <f>VLOOKUP($A50&amp;$B50,'KU Inputs'!$C$2:$J$530,MATCH('KU UtilityData'!I$1,'KU Inputs'!$C$1:$J$1,0),0)*1000</f>
        <v>4173551.9999999995</v>
      </c>
      <c r="J50" s="181">
        <f>VLOOKUP($A50&amp;$B50,'KU Inputs'!$C$2:$J$530,MATCH('KU UtilityData'!J$1,'KU Inputs'!$C$1:$J$1,0),0)*1000</f>
        <v>1654709</v>
      </c>
      <c r="K50" s="237">
        <v>402833</v>
      </c>
      <c r="L50" s="181">
        <f>VLOOKUP($A50&amp;$B50,'KU Inputs'!$C$2:$J$530,MATCH('KU UtilityData'!L$1,'KU Inputs'!$C$1:$J$1,0),0)</f>
        <v>118334.43</v>
      </c>
      <c r="M50" s="181">
        <f>VLOOKUP($A50&amp;$B50,'KU Inputs'!$C$2:$J$530,MATCH('KU UtilityData'!M$1,'KU Inputs'!$C$1:$J$1,0),0)</f>
        <v>118334.43021313217</v>
      </c>
      <c r="N50" s="242">
        <v>869.65</v>
      </c>
      <c r="O50" s="242">
        <v>0</v>
      </c>
      <c r="P50" s="159">
        <v>4512</v>
      </c>
      <c r="Q50" s="159">
        <v>1455</v>
      </c>
      <c r="R50" s="271">
        <f t="shared" si="0"/>
        <v>0.39647499300356154</v>
      </c>
    </row>
    <row r="51" spans="1:18" x14ac:dyDescent="0.2">
      <c r="A51" s="147">
        <v>2005</v>
      </c>
      <c r="B51" s="147">
        <v>2</v>
      </c>
      <c r="C51" s="157">
        <v>601921.18799999997</v>
      </c>
      <c r="D51" s="166">
        <v>5.1824420638157411</v>
      </c>
      <c r="E51" s="166">
        <v>5.1824420638157411</v>
      </c>
      <c r="F51" s="166">
        <v>29.4</v>
      </c>
      <c r="G51" s="148">
        <v>3491.2670000000003</v>
      </c>
      <c r="H51" s="181">
        <f>VLOOKUP($A51&amp;$B51,'KU Inputs'!$C$2:$J$530,MATCH('KU UtilityData'!H$1,'KU Inputs'!$C$1:$J$1,0),0)*1000</f>
        <v>4173551.9999999995</v>
      </c>
      <c r="I51" s="181">
        <f>VLOOKUP($A51&amp;$B51,'KU Inputs'!$C$2:$J$530,MATCH('KU UtilityData'!I$1,'KU Inputs'!$C$1:$J$1,0),0)*1000</f>
        <v>4173551.9999999995</v>
      </c>
      <c r="J51" s="181">
        <f>VLOOKUP($A51&amp;$B51,'KU Inputs'!$C$2:$J$530,MATCH('KU UtilityData'!J$1,'KU Inputs'!$C$1:$J$1,0),0)*1000</f>
        <v>1654709</v>
      </c>
      <c r="K51" s="237">
        <v>400431</v>
      </c>
      <c r="L51" s="181">
        <f>VLOOKUP($A51&amp;$B51,'KU Inputs'!$C$2:$J$530,MATCH('KU UtilityData'!L$1,'KU Inputs'!$C$1:$J$1,0),0)</f>
        <v>118334.43</v>
      </c>
      <c r="M51" s="181">
        <f>VLOOKUP($A51&amp;$B51,'KU Inputs'!$C$2:$J$530,MATCH('KU UtilityData'!M$1,'KU Inputs'!$C$1:$J$1,0),0)</f>
        <v>118334.43021313217</v>
      </c>
      <c r="N51" s="242">
        <v>856.3</v>
      </c>
      <c r="O51" s="242">
        <v>0</v>
      </c>
      <c r="P51" s="159">
        <v>4512</v>
      </c>
      <c r="Q51" s="159">
        <v>1455</v>
      </c>
      <c r="R51" s="271">
        <f t="shared" si="0"/>
        <v>0.39647499300356154</v>
      </c>
    </row>
    <row r="52" spans="1:18" x14ac:dyDescent="0.2">
      <c r="A52" s="147">
        <v>2005</v>
      </c>
      <c r="B52" s="147">
        <v>3</v>
      </c>
      <c r="C52" s="157">
        <v>557602.72</v>
      </c>
      <c r="D52" s="166">
        <v>5.1824420638157411</v>
      </c>
      <c r="E52" s="166">
        <v>5.1824420638157411</v>
      </c>
      <c r="F52" s="166">
        <v>29.7</v>
      </c>
      <c r="G52" s="148">
        <v>3494.2090000000003</v>
      </c>
      <c r="H52" s="181">
        <f>VLOOKUP($A52&amp;$B52,'KU Inputs'!$C$2:$J$530,MATCH('KU UtilityData'!H$1,'KU Inputs'!$C$1:$J$1,0),0)*1000</f>
        <v>4173551.9999999995</v>
      </c>
      <c r="I52" s="181">
        <f>VLOOKUP($A52&amp;$B52,'KU Inputs'!$C$2:$J$530,MATCH('KU UtilityData'!I$1,'KU Inputs'!$C$1:$J$1,0),0)*1000</f>
        <v>4173551.9999999995</v>
      </c>
      <c r="J52" s="181">
        <f>VLOOKUP($A52&amp;$B52,'KU Inputs'!$C$2:$J$530,MATCH('KU UtilityData'!J$1,'KU Inputs'!$C$1:$J$1,0),0)*1000</f>
        <v>1654709</v>
      </c>
      <c r="K52" s="237">
        <v>401220</v>
      </c>
      <c r="L52" s="181">
        <f>VLOOKUP($A52&amp;$B52,'KU Inputs'!$C$2:$J$530,MATCH('KU UtilityData'!L$1,'KU Inputs'!$C$1:$J$1,0),0)</f>
        <v>118334.43</v>
      </c>
      <c r="M52" s="181">
        <f>VLOOKUP($A52&amp;$B52,'KU Inputs'!$C$2:$J$530,MATCH('KU UtilityData'!M$1,'KU Inputs'!$C$1:$J$1,0),0)</f>
        <v>118334.43021313217</v>
      </c>
      <c r="N52" s="242">
        <v>793.35</v>
      </c>
      <c r="O52" s="242">
        <v>0</v>
      </c>
      <c r="P52" s="159">
        <v>4512</v>
      </c>
      <c r="Q52" s="159">
        <v>1455</v>
      </c>
      <c r="R52" s="271">
        <f t="shared" si="0"/>
        <v>0.39647499300356154</v>
      </c>
    </row>
    <row r="53" spans="1:18" x14ac:dyDescent="0.2">
      <c r="A53" s="147">
        <v>2005</v>
      </c>
      <c r="B53" s="147">
        <v>4</v>
      </c>
      <c r="C53" s="157">
        <v>430368.53600000002</v>
      </c>
      <c r="D53" s="166">
        <v>5.1824420638157411</v>
      </c>
      <c r="E53" s="166">
        <v>5.1824420638157411</v>
      </c>
      <c r="F53" s="166">
        <v>30.5</v>
      </c>
      <c r="G53" s="148">
        <v>3497.1510000000003</v>
      </c>
      <c r="H53" s="181">
        <f>VLOOKUP($A53&amp;$B53,'KU Inputs'!$C$2:$J$530,MATCH('KU UtilityData'!H$1,'KU Inputs'!$C$1:$J$1,0),0)*1000</f>
        <v>4182742</v>
      </c>
      <c r="I53" s="181">
        <f>VLOOKUP($A53&amp;$B53,'KU Inputs'!$C$2:$J$530,MATCH('KU UtilityData'!I$1,'KU Inputs'!$C$1:$J$1,0),0)*1000</f>
        <v>4182742</v>
      </c>
      <c r="J53" s="181">
        <f>VLOOKUP($A53&amp;$B53,'KU Inputs'!$C$2:$J$530,MATCH('KU UtilityData'!J$1,'KU Inputs'!$C$1:$J$1,0),0)*1000</f>
        <v>1657957</v>
      </c>
      <c r="K53" s="237">
        <v>400997</v>
      </c>
      <c r="L53" s="181">
        <f>VLOOKUP($A53&amp;$B53,'KU Inputs'!$C$2:$J$530,MATCH('KU UtilityData'!L$1,'KU Inputs'!$C$1:$J$1,0),0)</f>
        <v>119333.414</v>
      </c>
      <c r="M53" s="181">
        <f>VLOOKUP($A53&amp;$B53,'KU Inputs'!$C$2:$J$530,MATCH('KU UtilityData'!M$1,'KU Inputs'!$C$1:$J$1,0),0)</f>
        <v>119333.41383890837</v>
      </c>
      <c r="N53" s="242">
        <v>429.25</v>
      </c>
      <c r="O53" s="242">
        <v>5.85</v>
      </c>
      <c r="P53" s="159">
        <v>4512</v>
      </c>
      <c r="Q53" s="159">
        <v>1455</v>
      </c>
      <c r="R53" s="271">
        <f t="shared" si="0"/>
        <v>0.39638041265753421</v>
      </c>
    </row>
    <row r="54" spans="1:18" x14ac:dyDescent="0.2">
      <c r="A54" s="147">
        <v>2005</v>
      </c>
      <c r="B54" s="147">
        <v>5</v>
      </c>
      <c r="C54" s="157">
        <v>361076.33</v>
      </c>
      <c r="D54" s="166">
        <v>5.1824420638157411</v>
      </c>
      <c r="E54" s="166">
        <v>5.1824420638157411</v>
      </c>
      <c r="F54" s="166">
        <v>28</v>
      </c>
      <c r="G54" s="148">
        <v>3500.0930000000003</v>
      </c>
      <c r="H54" s="181">
        <f>VLOOKUP($A54&amp;$B54,'KU Inputs'!$C$2:$J$530,MATCH('KU UtilityData'!H$1,'KU Inputs'!$C$1:$J$1,0),0)*1000</f>
        <v>4182742</v>
      </c>
      <c r="I54" s="181">
        <f>VLOOKUP($A54&amp;$B54,'KU Inputs'!$C$2:$J$530,MATCH('KU UtilityData'!I$1,'KU Inputs'!$C$1:$J$1,0),0)*1000</f>
        <v>4182742</v>
      </c>
      <c r="J54" s="181">
        <f>VLOOKUP($A54&amp;$B54,'KU Inputs'!$C$2:$J$530,MATCH('KU UtilityData'!J$1,'KU Inputs'!$C$1:$J$1,0),0)*1000</f>
        <v>1657957</v>
      </c>
      <c r="K54" s="237">
        <v>400723</v>
      </c>
      <c r="L54" s="181">
        <f>VLOOKUP($A54&amp;$B54,'KU Inputs'!$C$2:$J$530,MATCH('KU UtilityData'!L$1,'KU Inputs'!$C$1:$J$1,0),0)</f>
        <v>119333.414</v>
      </c>
      <c r="M54" s="181">
        <f>VLOOKUP($A54&amp;$B54,'KU Inputs'!$C$2:$J$530,MATCH('KU UtilityData'!M$1,'KU Inputs'!$C$1:$J$1,0),0)</f>
        <v>119333.41383890837</v>
      </c>
      <c r="N54" s="242">
        <v>249.4</v>
      </c>
      <c r="O54" s="242">
        <v>25.3</v>
      </c>
      <c r="P54" s="159">
        <v>4512</v>
      </c>
      <c r="Q54" s="159">
        <v>1455</v>
      </c>
      <c r="R54" s="271">
        <f t="shared" si="0"/>
        <v>0.39638041265753421</v>
      </c>
    </row>
    <row r="55" spans="1:18" x14ac:dyDescent="0.2">
      <c r="A55" s="147">
        <v>2005</v>
      </c>
      <c r="B55" s="147">
        <v>6</v>
      </c>
      <c r="C55" s="157">
        <v>424942.36200000002</v>
      </c>
      <c r="D55" s="166">
        <v>5.1824420638157411</v>
      </c>
      <c r="E55" s="166">
        <v>5.1824420638157411</v>
      </c>
      <c r="F55" s="166">
        <v>30.8</v>
      </c>
      <c r="G55" s="148">
        <v>3503.0349999999999</v>
      </c>
      <c r="H55" s="181">
        <f>VLOOKUP($A55&amp;$B55,'KU Inputs'!$C$2:$J$530,MATCH('KU UtilityData'!H$1,'KU Inputs'!$C$1:$J$1,0),0)*1000</f>
        <v>4182742</v>
      </c>
      <c r="I55" s="181">
        <f>VLOOKUP($A55&amp;$B55,'KU Inputs'!$C$2:$J$530,MATCH('KU UtilityData'!I$1,'KU Inputs'!$C$1:$J$1,0),0)*1000</f>
        <v>4182742</v>
      </c>
      <c r="J55" s="181">
        <f>VLOOKUP($A55&amp;$B55,'KU Inputs'!$C$2:$J$530,MATCH('KU UtilityData'!J$1,'KU Inputs'!$C$1:$J$1,0),0)*1000</f>
        <v>1657957</v>
      </c>
      <c r="K55" s="237">
        <v>401251</v>
      </c>
      <c r="L55" s="181">
        <f>VLOOKUP($A55&amp;$B55,'KU Inputs'!$C$2:$J$530,MATCH('KU UtilityData'!L$1,'KU Inputs'!$C$1:$J$1,0),0)</f>
        <v>119333.414</v>
      </c>
      <c r="M55" s="181">
        <f>VLOOKUP($A55&amp;$B55,'KU Inputs'!$C$2:$J$530,MATCH('KU UtilityData'!M$1,'KU Inputs'!$C$1:$J$1,0),0)</f>
        <v>119333.41383890837</v>
      </c>
      <c r="N55" s="242">
        <v>39.6</v>
      </c>
      <c r="O55" s="242">
        <v>153.44999999999999</v>
      </c>
      <c r="P55" s="159">
        <v>4512</v>
      </c>
      <c r="Q55" s="159">
        <v>1455</v>
      </c>
      <c r="R55" s="271">
        <f t="shared" si="0"/>
        <v>0.39638041265753421</v>
      </c>
    </row>
    <row r="56" spans="1:18" x14ac:dyDescent="0.2">
      <c r="A56" s="147">
        <v>2005</v>
      </c>
      <c r="B56" s="147">
        <v>7</v>
      </c>
      <c r="C56" s="157">
        <v>585237.576</v>
      </c>
      <c r="D56" s="166">
        <v>5.1824420638157411</v>
      </c>
      <c r="E56" s="166">
        <v>5.1824420638157411</v>
      </c>
      <c r="F56" s="166">
        <v>30.6</v>
      </c>
      <c r="G56" s="148">
        <v>3504.9511666666667</v>
      </c>
      <c r="H56" s="181">
        <f>VLOOKUP($A56&amp;$B56,'KU Inputs'!$C$2:$J$530,MATCH('KU UtilityData'!H$1,'KU Inputs'!$C$1:$J$1,0),0)*1000</f>
        <v>4191837.0000000005</v>
      </c>
      <c r="I56" s="181">
        <f>VLOOKUP($A56&amp;$B56,'KU Inputs'!$C$2:$J$530,MATCH('KU UtilityData'!I$1,'KU Inputs'!$C$1:$J$1,0),0)*1000</f>
        <v>4191837.0000000005</v>
      </c>
      <c r="J56" s="181">
        <f>VLOOKUP($A56&amp;$B56,'KU Inputs'!$C$2:$J$530,MATCH('KU UtilityData'!J$1,'KU Inputs'!$C$1:$J$1,0),0)*1000</f>
        <v>1657652</v>
      </c>
      <c r="K56" s="237">
        <v>402025</v>
      </c>
      <c r="L56" s="181">
        <f>VLOOKUP($A56&amp;$B56,'KU Inputs'!$C$2:$J$530,MATCH('KU UtilityData'!L$1,'KU Inputs'!$C$1:$J$1,0),0)</f>
        <v>119379.652</v>
      </c>
      <c r="M56" s="181">
        <f>VLOOKUP($A56&amp;$B56,'KU Inputs'!$C$2:$J$530,MATCH('KU UtilityData'!M$1,'KU Inputs'!$C$1:$J$1,0),0)</f>
        <v>119379.65211161086</v>
      </c>
      <c r="N56" s="242">
        <v>0</v>
      </c>
      <c r="O56" s="242">
        <v>379</v>
      </c>
      <c r="P56" s="159">
        <v>4512</v>
      </c>
      <c r="Q56" s="159">
        <v>1455</v>
      </c>
      <c r="R56" s="271">
        <f t="shared" si="0"/>
        <v>0.39544762833096797</v>
      </c>
    </row>
    <row r="57" spans="1:18" x14ac:dyDescent="0.2">
      <c r="A57" s="147">
        <v>2005</v>
      </c>
      <c r="B57" s="147">
        <v>8</v>
      </c>
      <c r="C57" s="157">
        <v>583771.62</v>
      </c>
      <c r="D57" s="166">
        <v>5.1824420638157411</v>
      </c>
      <c r="E57" s="166">
        <v>5.1824420638157411</v>
      </c>
      <c r="F57" s="166">
        <v>29.6</v>
      </c>
      <c r="G57" s="148">
        <v>3506.8673333333331</v>
      </c>
      <c r="H57" s="181">
        <f>VLOOKUP($A57&amp;$B57,'KU Inputs'!$C$2:$J$530,MATCH('KU UtilityData'!H$1,'KU Inputs'!$C$1:$J$1,0),0)*1000</f>
        <v>4191837.0000000005</v>
      </c>
      <c r="I57" s="181">
        <f>VLOOKUP($A57&amp;$B57,'KU Inputs'!$C$2:$J$530,MATCH('KU UtilityData'!I$1,'KU Inputs'!$C$1:$J$1,0),0)*1000</f>
        <v>4191837.0000000005</v>
      </c>
      <c r="J57" s="181">
        <f>VLOOKUP($A57&amp;$B57,'KU Inputs'!$C$2:$J$530,MATCH('KU UtilityData'!J$1,'KU Inputs'!$C$1:$J$1,0),0)*1000</f>
        <v>1657652</v>
      </c>
      <c r="K57" s="237">
        <v>401556</v>
      </c>
      <c r="L57" s="181">
        <f>VLOOKUP($A57&amp;$B57,'KU Inputs'!$C$2:$J$530,MATCH('KU UtilityData'!L$1,'KU Inputs'!$C$1:$J$1,0),0)</f>
        <v>119379.652</v>
      </c>
      <c r="M57" s="181">
        <f>VLOOKUP($A57&amp;$B57,'KU Inputs'!$C$2:$J$530,MATCH('KU UtilityData'!M$1,'KU Inputs'!$C$1:$J$1,0),0)</f>
        <v>119379.65211161086</v>
      </c>
      <c r="N57" s="242">
        <v>0</v>
      </c>
      <c r="O57" s="242">
        <v>407.1</v>
      </c>
      <c r="P57" s="159">
        <v>4512</v>
      </c>
      <c r="Q57" s="159">
        <v>1455</v>
      </c>
      <c r="R57" s="271">
        <f t="shared" si="0"/>
        <v>0.39544762833096797</v>
      </c>
    </row>
    <row r="58" spans="1:18" x14ac:dyDescent="0.2">
      <c r="A58" s="147">
        <v>2005</v>
      </c>
      <c r="B58" s="147">
        <v>9</v>
      </c>
      <c r="C58" s="157">
        <v>552628</v>
      </c>
      <c r="D58" s="166">
        <v>5.1824420638157411</v>
      </c>
      <c r="E58" s="166">
        <v>5.1824420638157411</v>
      </c>
      <c r="F58" s="166">
        <v>30.55</v>
      </c>
      <c r="G58" s="148">
        <v>3508.7834999999995</v>
      </c>
      <c r="H58" s="181">
        <f>VLOOKUP($A58&amp;$B58,'KU Inputs'!$C$2:$J$530,MATCH('KU UtilityData'!H$1,'KU Inputs'!$C$1:$J$1,0),0)*1000</f>
        <v>4191837.0000000005</v>
      </c>
      <c r="I58" s="181">
        <f>VLOOKUP($A58&amp;$B58,'KU Inputs'!$C$2:$J$530,MATCH('KU UtilityData'!I$1,'KU Inputs'!$C$1:$J$1,0),0)*1000</f>
        <v>4191837.0000000005</v>
      </c>
      <c r="J58" s="181">
        <f>VLOOKUP($A58&amp;$B58,'KU Inputs'!$C$2:$J$530,MATCH('KU UtilityData'!J$1,'KU Inputs'!$C$1:$J$1,0),0)*1000</f>
        <v>1657652</v>
      </c>
      <c r="K58" s="237">
        <v>403062</v>
      </c>
      <c r="L58" s="181">
        <f>VLOOKUP($A58&amp;$B58,'KU Inputs'!$C$2:$J$530,MATCH('KU UtilityData'!L$1,'KU Inputs'!$C$1:$J$1,0),0)</f>
        <v>119379.652</v>
      </c>
      <c r="M58" s="181">
        <f>VLOOKUP($A58&amp;$B58,'KU Inputs'!$C$2:$J$530,MATCH('KU UtilityData'!M$1,'KU Inputs'!$C$1:$J$1,0),0)</f>
        <v>119379.65211161086</v>
      </c>
      <c r="N58" s="242">
        <v>0</v>
      </c>
      <c r="O58" s="242">
        <v>326</v>
      </c>
      <c r="P58" s="159">
        <v>4512</v>
      </c>
      <c r="Q58" s="159">
        <v>1455</v>
      </c>
      <c r="R58" s="271">
        <f t="shared" si="0"/>
        <v>0.39544762833096797</v>
      </c>
    </row>
    <row r="59" spans="1:18" x14ac:dyDescent="0.2">
      <c r="A59" s="147">
        <v>2005</v>
      </c>
      <c r="B59" s="147">
        <v>10</v>
      </c>
      <c r="C59" s="157">
        <v>409184.223</v>
      </c>
      <c r="D59" s="166">
        <v>5.1824420638157411</v>
      </c>
      <c r="E59" s="166">
        <v>5.1824420638157411</v>
      </c>
      <c r="F59" s="166">
        <v>29.75</v>
      </c>
      <c r="G59" s="148">
        <v>3510.699666666666</v>
      </c>
      <c r="H59" s="181">
        <f>VLOOKUP($A59&amp;$B59,'KU Inputs'!$C$2:$J$530,MATCH('KU UtilityData'!H$1,'KU Inputs'!$C$1:$J$1,0),0)*1000</f>
        <v>4200951</v>
      </c>
      <c r="I59" s="181">
        <f>VLOOKUP($A59&amp;$B59,'KU Inputs'!$C$2:$J$530,MATCH('KU UtilityData'!I$1,'KU Inputs'!$C$1:$J$1,0),0)*1000</f>
        <v>4200951</v>
      </c>
      <c r="J59" s="181">
        <f>VLOOKUP($A59&amp;$B59,'KU Inputs'!$C$2:$J$530,MATCH('KU UtilityData'!J$1,'KU Inputs'!$C$1:$J$1,0),0)*1000</f>
        <v>1657348</v>
      </c>
      <c r="K59" s="237">
        <v>402703</v>
      </c>
      <c r="L59" s="181">
        <f>VLOOKUP($A59&amp;$B59,'KU Inputs'!$C$2:$J$530,MATCH('KU UtilityData'!L$1,'KU Inputs'!$C$1:$J$1,0),0)</f>
        <v>119542.07799999999</v>
      </c>
      <c r="M59" s="181">
        <f>VLOOKUP($A59&amp;$B59,'KU Inputs'!$C$2:$J$530,MATCH('KU UtilityData'!M$1,'KU Inputs'!$C$1:$J$1,0),0)</f>
        <v>119542.07810912392</v>
      </c>
      <c r="N59" s="242">
        <v>67.2</v>
      </c>
      <c r="O59" s="242">
        <v>150.94999999999999</v>
      </c>
      <c r="P59" s="159">
        <v>4512</v>
      </c>
      <c r="Q59" s="159">
        <v>1455</v>
      </c>
      <c r="R59" s="271">
        <f t="shared" si="0"/>
        <v>0.39451733666972072</v>
      </c>
    </row>
    <row r="60" spans="1:18" x14ac:dyDescent="0.2">
      <c r="A60" s="147">
        <v>2005</v>
      </c>
      <c r="B60" s="147">
        <v>11</v>
      </c>
      <c r="C60" s="157">
        <v>381632.25799999997</v>
      </c>
      <c r="D60" s="166">
        <v>5.1824420638157411</v>
      </c>
      <c r="E60" s="166">
        <v>5.1824420638157411</v>
      </c>
      <c r="F60" s="166">
        <v>29.75</v>
      </c>
      <c r="G60" s="148">
        <v>3512.6158333333324</v>
      </c>
      <c r="H60" s="181">
        <f>VLOOKUP($A60&amp;$B60,'KU Inputs'!$C$2:$J$530,MATCH('KU UtilityData'!H$1,'KU Inputs'!$C$1:$J$1,0),0)*1000</f>
        <v>4200951</v>
      </c>
      <c r="I60" s="181">
        <f>VLOOKUP($A60&amp;$B60,'KU Inputs'!$C$2:$J$530,MATCH('KU UtilityData'!I$1,'KU Inputs'!$C$1:$J$1,0),0)*1000</f>
        <v>4200951</v>
      </c>
      <c r="J60" s="181">
        <f>VLOOKUP($A60&amp;$B60,'KU Inputs'!$C$2:$J$530,MATCH('KU UtilityData'!J$1,'KU Inputs'!$C$1:$J$1,0),0)*1000</f>
        <v>1657348</v>
      </c>
      <c r="K60" s="237">
        <v>403470</v>
      </c>
      <c r="L60" s="181">
        <f>VLOOKUP($A60&amp;$B60,'KU Inputs'!$C$2:$J$530,MATCH('KU UtilityData'!L$1,'KU Inputs'!$C$1:$J$1,0),0)</f>
        <v>119542.07799999999</v>
      </c>
      <c r="M60" s="181">
        <f>VLOOKUP($A60&amp;$B60,'KU Inputs'!$C$2:$J$530,MATCH('KU UtilityData'!M$1,'KU Inputs'!$C$1:$J$1,0),0)</f>
        <v>119542.07810912392</v>
      </c>
      <c r="N60" s="242">
        <v>374.1</v>
      </c>
      <c r="O60" s="242">
        <v>8.35</v>
      </c>
      <c r="P60" s="159">
        <v>4512</v>
      </c>
      <c r="Q60" s="159">
        <v>1455</v>
      </c>
      <c r="R60" s="271">
        <f t="shared" si="0"/>
        <v>0.39451733666972072</v>
      </c>
    </row>
    <row r="61" spans="1:18" x14ac:dyDescent="0.2">
      <c r="A61" s="147">
        <v>2005</v>
      </c>
      <c r="B61" s="147">
        <v>12</v>
      </c>
      <c r="C61" s="157">
        <v>608430.19700000004</v>
      </c>
      <c r="D61" s="166">
        <v>5.1824420638157411</v>
      </c>
      <c r="E61" s="166">
        <v>5.1824420638157411</v>
      </c>
      <c r="F61" s="166">
        <v>32.4</v>
      </c>
      <c r="G61" s="148">
        <v>3514.5319999999992</v>
      </c>
      <c r="H61" s="181">
        <f>VLOOKUP($A61&amp;$B61,'KU Inputs'!$C$2:$J$530,MATCH('KU UtilityData'!H$1,'KU Inputs'!$C$1:$J$1,0),0)*1000</f>
        <v>4200951</v>
      </c>
      <c r="I61" s="181">
        <f>VLOOKUP($A61&amp;$B61,'KU Inputs'!$C$2:$J$530,MATCH('KU UtilityData'!I$1,'KU Inputs'!$C$1:$J$1,0),0)*1000</f>
        <v>4200951</v>
      </c>
      <c r="J61" s="181">
        <f>VLOOKUP($A61&amp;$B61,'KU Inputs'!$C$2:$J$530,MATCH('KU UtilityData'!J$1,'KU Inputs'!$C$1:$J$1,0),0)*1000</f>
        <v>1657348</v>
      </c>
      <c r="K61" s="237">
        <v>405006</v>
      </c>
      <c r="L61" s="181">
        <f>VLOOKUP($A61&amp;$B61,'KU Inputs'!$C$2:$J$530,MATCH('KU UtilityData'!L$1,'KU Inputs'!$C$1:$J$1,0),0)</f>
        <v>119542.07799999999</v>
      </c>
      <c r="M61" s="181">
        <f>VLOOKUP($A61&amp;$B61,'KU Inputs'!$C$2:$J$530,MATCH('KU UtilityData'!M$1,'KU Inputs'!$C$1:$J$1,0),0)</f>
        <v>119542.07810912392</v>
      </c>
      <c r="N61" s="242">
        <v>833.75</v>
      </c>
      <c r="O61" s="242">
        <v>0</v>
      </c>
      <c r="P61" s="159">
        <v>4512</v>
      </c>
      <c r="Q61" s="159">
        <v>1455</v>
      </c>
      <c r="R61" s="271">
        <f t="shared" si="0"/>
        <v>0.39451733666972072</v>
      </c>
    </row>
    <row r="62" spans="1:18" x14ac:dyDescent="0.2">
      <c r="A62" s="147">
        <v>2006</v>
      </c>
      <c r="B62" s="147">
        <v>1</v>
      </c>
      <c r="C62" s="157">
        <v>676286.88199999998</v>
      </c>
      <c r="D62" s="166">
        <v>5.7326028990148874</v>
      </c>
      <c r="E62" s="166">
        <v>5.7326028990148874</v>
      </c>
      <c r="F62" s="166">
        <v>33.25</v>
      </c>
      <c r="G62" s="148">
        <v>3516.4481666666657</v>
      </c>
      <c r="H62" s="181">
        <f>VLOOKUP($A62&amp;$B62,'KU Inputs'!$C$2:$J$530,MATCH('KU UtilityData'!H$1,'KU Inputs'!$C$1:$J$1,0),0)*1000</f>
        <v>4210085</v>
      </c>
      <c r="I62" s="181">
        <f>VLOOKUP($A62&amp;$B62,'KU Inputs'!$C$2:$J$530,MATCH('KU UtilityData'!I$1,'KU Inputs'!$C$1:$J$1,0),0)*1000</f>
        <v>4210085</v>
      </c>
      <c r="J62" s="181">
        <f>VLOOKUP($A62&amp;$B62,'KU Inputs'!$C$2:$J$530,MATCH('KU UtilityData'!J$1,'KU Inputs'!$C$1:$J$1,0),0)*1000</f>
        <v>1657043</v>
      </c>
      <c r="K62" s="237">
        <v>407135</v>
      </c>
      <c r="L62" s="181">
        <f>VLOOKUP($A62&amp;$B62,'KU Inputs'!$C$2:$J$530,MATCH('KU UtilityData'!L$1,'KU Inputs'!$C$1:$J$1,0),0)</f>
        <v>121891.27099999999</v>
      </c>
      <c r="M62" s="181">
        <f>VLOOKUP($A62&amp;$B62,'KU Inputs'!$C$2:$J$530,MATCH('KU UtilityData'!M$1,'KU Inputs'!$C$1:$J$1,0),0)</f>
        <v>121891.27060534019</v>
      </c>
      <c r="N62" s="242">
        <v>874.05</v>
      </c>
      <c r="O62" s="242">
        <v>0</v>
      </c>
      <c r="P62" s="159">
        <v>4512</v>
      </c>
      <c r="Q62" s="159">
        <v>1455</v>
      </c>
      <c r="R62" s="271">
        <f t="shared" si="0"/>
        <v>0.39358896554345102</v>
      </c>
    </row>
    <row r="63" spans="1:18" x14ac:dyDescent="0.2">
      <c r="A63" s="147">
        <v>2006</v>
      </c>
      <c r="B63" s="147">
        <v>2</v>
      </c>
      <c r="C63" s="157">
        <v>578669.86499999999</v>
      </c>
      <c r="D63" s="166">
        <v>5.7326028990148874</v>
      </c>
      <c r="E63" s="166">
        <v>5.7326028990148874</v>
      </c>
      <c r="F63" s="166">
        <v>29.35</v>
      </c>
      <c r="G63" s="148">
        <v>3518.3643333333321</v>
      </c>
      <c r="H63" s="181">
        <f>VLOOKUP($A63&amp;$B63,'KU Inputs'!$C$2:$J$530,MATCH('KU UtilityData'!H$1,'KU Inputs'!$C$1:$J$1,0),0)*1000</f>
        <v>4210085</v>
      </c>
      <c r="I63" s="181">
        <f>VLOOKUP($A63&amp;$B63,'KU Inputs'!$C$2:$J$530,MATCH('KU UtilityData'!I$1,'KU Inputs'!$C$1:$J$1,0),0)*1000</f>
        <v>4210085</v>
      </c>
      <c r="J63" s="181">
        <f>VLOOKUP($A63&amp;$B63,'KU Inputs'!$C$2:$J$530,MATCH('KU UtilityData'!J$1,'KU Inputs'!$C$1:$J$1,0),0)*1000</f>
        <v>1657043</v>
      </c>
      <c r="K63" s="237">
        <v>405353</v>
      </c>
      <c r="L63" s="181">
        <f>VLOOKUP($A63&amp;$B63,'KU Inputs'!$C$2:$J$530,MATCH('KU UtilityData'!L$1,'KU Inputs'!$C$1:$J$1,0),0)</f>
        <v>121891.27099999999</v>
      </c>
      <c r="M63" s="181">
        <f>VLOOKUP($A63&amp;$B63,'KU Inputs'!$C$2:$J$530,MATCH('KU UtilityData'!M$1,'KU Inputs'!$C$1:$J$1,0),0)</f>
        <v>121891.27060534019</v>
      </c>
      <c r="N63" s="242">
        <v>777.9</v>
      </c>
      <c r="O63" s="242">
        <v>0</v>
      </c>
      <c r="P63" s="159">
        <v>4512</v>
      </c>
      <c r="Q63" s="159">
        <v>1455</v>
      </c>
      <c r="R63" s="271">
        <f t="shared" si="0"/>
        <v>0.39358896554345102</v>
      </c>
    </row>
    <row r="64" spans="1:18" x14ac:dyDescent="0.2">
      <c r="A64" s="147">
        <v>2006</v>
      </c>
      <c r="B64" s="147">
        <v>3</v>
      </c>
      <c r="C64" s="157">
        <v>540729.00600000005</v>
      </c>
      <c r="D64" s="166">
        <v>5.7326028990148874</v>
      </c>
      <c r="E64" s="166">
        <v>5.7326028990148874</v>
      </c>
      <c r="F64" s="166">
        <v>29.45</v>
      </c>
      <c r="G64" s="148">
        <v>3520.2804999999985</v>
      </c>
      <c r="H64" s="181">
        <f>VLOOKUP($A64&amp;$B64,'KU Inputs'!$C$2:$J$530,MATCH('KU UtilityData'!H$1,'KU Inputs'!$C$1:$J$1,0),0)*1000</f>
        <v>4210085</v>
      </c>
      <c r="I64" s="181">
        <f>VLOOKUP($A64&amp;$B64,'KU Inputs'!$C$2:$J$530,MATCH('KU UtilityData'!I$1,'KU Inputs'!$C$1:$J$1,0),0)*1000</f>
        <v>4210085</v>
      </c>
      <c r="J64" s="181">
        <f>VLOOKUP($A64&amp;$B64,'KU Inputs'!$C$2:$J$530,MATCH('KU UtilityData'!J$1,'KU Inputs'!$C$1:$J$1,0),0)*1000</f>
        <v>1657043</v>
      </c>
      <c r="K64" s="237">
        <v>406594</v>
      </c>
      <c r="L64" s="181">
        <f>VLOOKUP($A64&amp;$B64,'KU Inputs'!$C$2:$J$530,MATCH('KU UtilityData'!L$1,'KU Inputs'!$C$1:$J$1,0),0)</f>
        <v>121891.27099999999</v>
      </c>
      <c r="M64" s="181">
        <f>VLOOKUP($A64&amp;$B64,'KU Inputs'!$C$2:$J$530,MATCH('KU UtilityData'!M$1,'KU Inputs'!$C$1:$J$1,0),0)</f>
        <v>121891.27060534019</v>
      </c>
      <c r="N64" s="242">
        <v>713.9</v>
      </c>
      <c r="O64" s="242">
        <v>0</v>
      </c>
      <c r="P64" s="159">
        <v>4512</v>
      </c>
      <c r="Q64" s="159">
        <v>1455</v>
      </c>
      <c r="R64" s="271">
        <f t="shared" si="0"/>
        <v>0.39358896554345102</v>
      </c>
    </row>
    <row r="65" spans="1:18" x14ac:dyDescent="0.2">
      <c r="A65" s="147">
        <v>2006</v>
      </c>
      <c r="B65" s="147">
        <v>4</v>
      </c>
      <c r="C65" s="157">
        <v>433400.75699999998</v>
      </c>
      <c r="D65" s="166">
        <v>5.7326028990148874</v>
      </c>
      <c r="E65" s="166">
        <v>5.7326028990148874</v>
      </c>
      <c r="F65" s="166">
        <v>30</v>
      </c>
      <c r="G65" s="148">
        <v>3522.1966666666649</v>
      </c>
      <c r="H65" s="181">
        <f>VLOOKUP($A65&amp;$B65,'KU Inputs'!$C$2:$J$530,MATCH('KU UtilityData'!H$1,'KU Inputs'!$C$1:$J$1,0),0)*1000</f>
        <v>4219239</v>
      </c>
      <c r="I65" s="181">
        <f>VLOOKUP($A65&amp;$B65,'KU Inputs'!$C$2:$J$530,MATCH('KU UtilityData'!I$1,'KU Inputs'!$C$1:$J$1,0),0)*1000</f>
        <v>4219239</v>
      </c>
      <c r="J65" s="181">
        <f>VLOOKUP($A65&amp;$B65,'KU Inputs'!$C$2:$J$530,MATCH('KU UtilityData'!J$1,'KU Inputs'!$C$1:$J$1,0),0)*1000</f>
        <v>1656738</v>
      </c>
      <c r="K65" s="237">
        <v>406329</v>
      </c>
      <c r="L65" s="181">
        <f>VLOOKUP($A65&amp;$B65,'KU Inputs'!$C$2:$J$530,MATCH('KU UtilityData'!L$1,'KU Inputs'!$C$1:$J$1,0),0)</f>
        <v>123006.787</v>
      </c>
      <c r="M65" s="181">
        <f>VLOOKUP($A65&amp;$B65,'KU Inputs'!$C$2:$J$530,MATCH('KU UtilityData'!M$1,'KU Inputs'!$C$1:$J$1,0),0)</f>
        <v>123006.7870655693</v>
      </c>
      <c r="N65" s="242">
        <v>437.55</v>
      </c>
      <c r="O65" s="242">
        <v>14.7</v>
      </c>
      <c r="P65" s="159">
        <v>4512</v>
      </c>
      <c r="Q65" s="159">
        <v>1455</v>
      </c>
      <c r="R65" s="271">
        <f t="shared" si="0"/>
        <v>0.39266275269071033</v>
      </c>
    </row>
    <row r="66" spans="1:18" x14ac:dyDescent="0.2">
      <c r="A66" s="147">
        <v>2006</v>
      </c>
      <c r="B66" s="147">
        <v>5</v>
      </c>
      <c r="C66" s="157">
        <v>346852.65600000002</v>
      </c>
      <c r="D66" s="166">
        <v>5.7326028990148874</v>
      </c>
      <c r="E66" s="166">
        <v>5.7326028990148874</v>
      </c>
      <c r="F66" s="166">
        <v>30.95</v>
      </c>
      <c r="G66" s="148">
        <v>3524.1128333333318</v>
      </c>
      <c r="H66" s="181">
        <f>VLOOKUP($A66&amp;$B66,'KU Inputs'!$C$2:$J$530,MATCH('KU UtilityData'!H$1,'KU Inputs'!$C$1:$J$1,0),0)*1000</f>
        <v>4219239</v>
      </c>
      <c r="I66" s="181">
        <f>VLOOKUP($A66&amp;$B66,'KU Inputs'!$C$2:$J$530,MATCH('KU UtilityData'!I$1,'KU Inputs'!$C$1:$J$1,0),0)*1000</f>
        <v>4219239</v>
      </c>
      <c r="J66" s="181">
        <f>VLOOKUP($A66&amp;$B66,'KU Inputs'!$C$2:$J$530,MATCH('KU UtilityData'!J$1,'KU Inputs'!$C$1:$J$1,0),0)*1000</f>
        <v>1656738</v>
      </c>
      <c r="K66" s="237">
        <v>407533</v>
      </c>
      <c r="L66" s="181">
        <f>VLOOKUP($A66&amp;$B66,'KU Inputs'!$C$2:$J$530,MATCH('KU UtilityData'!L$1,'KU Inputs'!$C$1:$J$1,0),0)</f>
        <v>123006.787</v>
      </c>
      <c r="M66" s="181">
        <f>VLOOKUP($A66&amp;$B66,'KU Inputs'!$C$2:$J$530,MATCH('KU UtilityData'!M$1,'KU Inputs'!$C$1:$J$1,0),0)</f>
        <v>123006.7870655693</v>
      </c>
      <c r="N66" s="242">
        <v>166.95</v>
      </c>
      <c r="O66" s="242">
        <v>24.1</v>
      </c>
      <c r="P66" s="159">
        <v>4512</v>
      </c>
      <c r="Q66" s="159">
        <v>1455</v>
      </c>
      <c r="R66" s="271">
        <f t="shared" si="0"/>
        <v>0.39266275269071033</v>
      </c>
    </row>
    <row r="67" spans="1:18" x14ac:dyDescent="0.2">
      <c r="A67" s="147">
        <v>2006</v>
      </c>
      <c r="B67" s="147">
        <v>6</v>
      </c>
      <c r="C67" s="157">
        <v>431787.72200000001</v>
      </c>
      <c r="D67" s="166">
        <v>5.7326028990148874</v>
      </c>
      <c r="E67" s="166">
        <v>5.7326028990148874</v>
      </c>
      <c r="F67" s="166">
        <v>31.35</v>
      </c>
      <c r="G67" s="148">
        <v>3526.029</v>
      </c>
      <c r="H67" s="181">
        <f>VLOOKUP($A67&amp;$B67,'KU Inputs'!$C$2:$J$530,MATCH('KU UtilityData'!H$1,'KU Inputs'!$C$1:$J$1,0),0)*1000</f>
        <v>4219239</v>
      </c>
      <c r="I67" s="181">
        <f>VLOOKUP($A67&amp;$B67,'KU Inputs'!$C$2:$J$530,MATCH('KU UtilityData'!I$1,'KU Inputs'!$C$1:$J$1,0),0)*1000</f>
        <v>4219239</v>
      </c>
      <c r="J67" s="181">
        <f>VLOOKUP($A67&amp;$B67,'KU Inputs'!$C$2:$J$530,MATCH('KU UtilityData'!J$1,'KU Inputs'!$C$1:$J$1,0),0)*1000</f>
        <v>1656738</v>
      </c>
      <c r="K67" s="237">
        <v>407620</v>
      </c>
      <c r="L67" s="181">
        <f>VLOOKUP($A67&amp;$B67,'KU Inputs'!$C$2:$J$530,MATCH('KU UtilityData'!L$1,'KU Inputs'!$C$1:$J$1,0),0)</f>
        <v>123006.787</v>
      </c>
      <c r="M67" s="181">
        <f>VLOOKUP($A67&amp;$B67,'KU Inputs'!$C$2:$J$530,MATCH('KU UtilityData'!M$1,'KU Inputs'!$C$1:$J$1,0),0)</f>
        <v>123006.7870655693</v>
      </c>
      <c r="N67" s="242">
        <v>64.25</v>
      </c>
      <c r="O67" s="242">
        <v>140.35</v>
      </c>
      <c r="P67" s="159">
        <v>4512</v>
      </c>
      <c r="Q67" s="159">
        <v>1455</v>
      </c>
      <c r="R67" s="271">
        <f t="shared" ref="R67:R130" si="2">J67/I67</f>
        <v>0.39266275269071033</v>
      </c>
    </row>
    <row r="68" spans="1:18" x14ac:dyDescent="0.2">
      <c r="A68" s="147">
        <v>2006</v>
      </c>
      <c r="B68" s="147">
        <v>7</v>
      </c>
      <c r="C68" s="157">
        <v>535597.69299999997</v>
      </c>
      <c r="D68" s="166">
        <v>5.7326028990148874</v>
      </c>
      <c r="E68" s="166">
        <v>5.7326028990148874</v>
      </c>
      <c r="F68" s="166">
        <v>30.75</v>
      </c>
      <c r="G68" s="148">
        <v>3528.4263333333333</v>
      </c>
      <c r="H68" s="181">
        <f>VLOOKUP($A68&amp;$B68,'KU Inputs'!$C$2:$J$530,MATCH('KU UtilityData'!H$1,'KU Inputs'!$C$1:$J$1,0),0)*1000</f>
        <v>4228566</v>
      </c>
      <c r="I68" s="181">
        <f>VLOOKUP($A68&amp;$B68,'KU Inputs'!$C$2:$J$530,MATCH('KU UtilityData'!I$1,'KU Inputs'!$C$1:$J$1,0),0)*1000</f>
        <v>4228566</v>
      </c>
      <c r="J68" s="181">
        <f>VLOOKUP($A68&amp;$B68,'KU Inputs'!$C$2:$J$530,MATCH('KU UtilityData'!J$1,'KU Inputs'!$C$1:$J$1,0),0)*1000</f>
        <v>1657897</v>
      </c>
      <c r="K68" s="237">
        <v>407855</v>
      </c>
      <c r="L68" s="181">
        <f>VLOOKUP($A68&amp;$B68,'KU Inputs'!$C$2:$J$530,MATCH('KU UtilityData'!L$1,'KU Inputs'!$C$1:$J$1,0),0)</f>
        <v>123530.77899999999</v>
      </c>
      <c r="M68" s="181">
        <f>VLOOKUP($A68&amp;$B68,'KU Inputs'!$C$2:$J$530,MATCH('KU UtilityData'!M$1,'KU Inputs'!$C$1:$J$1,0),0)</f>
        <v>123530.77861472027</v>
      </c>
      <c r="N68" s="242">
        <v>0.35</v>
      </c>
      <c r="O68" s="242">
        <v>299.35000000000002</v>
      </c>
      <c r="P68" s="159">
        <v>4512</v>
      </c>
      <c r="Q68" s="159">
        <v>1455</v>
      </c>
      <c r="R68" s="271">
        <f t="shared" si="2"/>
        <v>0.39207073982054436</v>
      </c>
    </row>
    <row r="69" spans="1:18" x14ac:dyDescent="0.2">
      <c r="A69" s="147">
        <v>2006</v>
      </c>
      <c r="B69" s="147">
        <v>8</v>
      </c>
      <c r="C69" s="157">
        <v>600834.49399999995</v>
      </c>
      <c r="D69" s="166">
        <v>5.7326028990148874</v>
      </c>
      <c r="E69" s="166">
        <v>5.7326028990148874</v>
      </c>
      <c r="F69" s="166">
        <v>29.5</v>
      </c>
      <c r="G69" s="148">
        <v>3530.8236666666671</v>
      </c>
      <c r="H69" s="181">
        <f>VLOOKUP($A69&amp;$B69,'KU Inputs'!$C$2:$J$530,MATCH('KU UtilityData'!H$1,'KU Inputs'!$C$1:$J$1,0),0)*1000</f>
        <v>4228566</v>
      </c>
      <c r="I69" s="181">
        <f>VLOOKUP($A69&amp;$B69,'KU Inputs'!$C$2:$J$530,MATCH('KU UtilityData'!I$1,'KU Inputs'!$C$1:$J$1,0),0)*1000</f>
        <v>4228566</v>
      </c>
      <c r="J69" s="181">
        <f>VLOOKUP($A69&amp;$B69,'KU Inputs'!$C$2:$J$530,MATCH('KU UtilityData'!J$1,'KU Inputs'!$C$1:$J$1,0),0)*1000</f>
        <v>1657897</v>
      </c>
      <c r="K69" s="237">
        <v>407129</v>
      </c>
      <c r="L69" s="181">
        <f>VLOOKUP($A69&amp;$B69,'KU Inputs'!$C$2:$J$530,MATCH('KU UtilityData'!L$1,'KU Inputs'!$C$1:$J$1,0),0)</f>
        <v>123530.77899999999</v>
      </c>
      <c r="M69" s="181">
        <f>VLOOKUP($A69&amp;$B69,'KU Inputs'!$C$2:$J$530,MATCH('KU UtilityData'!M$1,'KU Inputs'!$C$1:$J$1,0),0)</f>
        <v>123530.77861472027</v>
      </c>
      <c r="N69" s="242">
        <v>0</v>
      </c>
      <c r="O69" s="242">
        <v>393.4</v>
      </c>
      <c r="P69" s="159">
        <v>4512</v>
      </c>
      <c r="Q69" s="159">
        <v>1455</v>
      </c>
      <c r="R69" s="271">
        <f t="shared" si="2"/>
        <v>0.39207073982054436</v>
      </c>
    </row>
    <row r="70" spans="1:18" x14ac:dyDescent="0.2">
      <c r="A70" s="147">
        <v>2006</v>
      </c>
      <c r="B70" s="147">
        <v>9</v>
      </c>
      <c r="C70" s="157">
        <v>482079.32699999999</v>
      </c>
      <c r="D70" s="166">
        <v>5.7326028990148874</v>
      </c>
      <c r="E70" s="166">
        <v>5.7326028990148874</v>
      </c>
      <c r="F70" s="166">
        <v>30.55</v>
      </c>
      <c r="G70" s="148">
        <v>3533.2210000000005</v>
      </c>
      <c r="H70" s="181">
        <f>VLOOKUP($A70&amp;$B70,'KU Inputs'!$C$2:$J$530,MATCH('KU UtilityData'!H$1,'KU Inputs'!$C$1:$J$1,0),0)*1000</f>
        <v>4228566</v>
      </c>
      <c r="I70" s="181">
        <f>VLOOKUP($A70&amp;$B70,'KU Inputs'!$C$2:$J$530,MATCH('KU UtilityData'!I$1,'KU Inputs'!$C$1:$J$1,0),0)*1000</f>
        <v>4228566</v>
      </c>
      <c r="J70" s="181">
        <f>VLOOKUP($A70&amp;$B70,'KU Inputs'!$C$2:$J$530,MATCH('KU UtilityData'!J$1,'KU Inputs'!$C$1:$J$1,0),0)*1000</f>
        <v>1657897</v>
      </c>
      <c r="K70" s="237">
        <v>408424</v>
      </c>
      <c r="L70" s="181">
        <f>VLOOKUP($A70&amp;$B70,'KU Inputs'!$C$2:$J$530,MATCH('KU UtilityData'!L$1,'KU Inputs'!$C$1:$J$1,0),0)</f>
        <v>123530.77899999999</v>
      </c>
      <c r="M70" s="181">
        <f>VLOOKUP($A70&amp;$B70,'KU Inputs'!$C$2:$J$530,MATCH('KU UtilityData'!M$1,'KU Inputs'!$C$1:$J$1,0),0)</f>
        <v>123530.77861472027</v>
      </c>
      <c r="N70" s="242">
        <v>20.25</v>
      </c>
      <c r="O70" s="242">
        <v>216.8</v>
      </c>
      <c r="P70" s="159">
        <v>4512</v>
      </c>
      <c r="Q70" s="159">
        <v>1455</v>
      </c>
      <c r="R70" s="271">
        <f t="shared" si="2"/>
        <v>0.39207073982054436</v>
      </c>
    </row>
    <row r="71" spans="1:18" x14ac:dyDescent="0.2">
      <c r="A71" s="147">
        <v>2006</v>
      </c>
      <c r="B71" s="147">
        <v>10</v>
      </c>
      <c r="C71" s="157">
        <v>359332.43699999998</v>
      </c>
      <c r="D71" s="166">
        <v>5.7326028990148874</v>
      </c>
      <c r="E71" s="166">
        <v>5.7326028990148874</v>
      </c>
      <c r="F71" s="166">
        <v>29.75</v>
      </c>
      <c r="G71" s="148">
        <v>3535.6183333333338</v>
      </c>
      <c r="H71" s="181">
        <f>VLOOKUP($A71&amp;$B71,'KU Inputs'!$C$2:$J$530,MATCH('KU UtilityData'!H$1,'KU Inputs'!$C$1:$J$1,0),0)*1000</f>
        <v>4237914</v>
      </c>
      <c r="I71" s="181">
        <f>VLOOKUP($A71&amp;$B71,'KU Inputs'!$C$2:$J$530,MATCH('KU UtilityData'!I$1,'KU Inputs'!$C$1:$J$1,0),0)*1000</f>
        <v>4237914</v>
      </c>
      <c r="J71" s="181">
        <f>VLOOKUP($A71&amp;$B71,'KU Inputs'!$C$2:$J$530,MATCH('KU UtilityData'!J$1,'KU Inputs'!$C$1:$J$1,0),0)*1000</f>
        <v>1659057</v>
      </c>
      <c r="K71" s="237">
        <v>408696</v>
      </c>
      <c r="L71" s="181">
        <f>VLOOKUP($A71&amp;$B71,'KU Inputs'!$C$2:$J$530,MATCH('KU UtilityData'!L$1,'KU Inputs'!$C$1:$J$1,0),0)</f>
        <v>124988.379</v>
      </c>
      <c r="M71" s="181">
        <f>VLOOKUP($A71&amp;$B71,'KU Inputs'!$C$2:$J$530,MATCH('KU UtilityData'!M$1,'KU Inputs'!$C$1:$J$1,0),0)</f>
        <v>124988.37929965912</v>
      </c>
      <c r="N71" s="242">
        <v>178.95</v>
      </c>
      <c r="O71" s="242">
        <v>32.65</v>
      </c>
      <c r="P71" s="159">
        <v>4512</v>
      </c>
      <c r="Q71" s="159">
        <v>1455</v>
      </c>
      <c r="R71" s="271">
        <f t="shared" si="2"/>
        <v>0.391479628892894</v>
      </c>
    </row>
    <row r="72" spans="1:18" x14ac:dyDescent="0.2">
      <c r="A72" s="147">
        <v>2006</v>
      </c>
      <c r="B72" s="147">
        <v>11</v>
      </c>
      <c r="C72" s="157">
        <v>434049.48800000001</v>
      </c>
      <c r="D72" s="166">
        <v>5.7326028990148874</v>
      </c>
      <c r="E72" s="166">
        <v>5.7326028990148874</v>
      </c>
      <c r="F72" s="166">
        <v>29.75</v>
      </c>
      <c r="G72" s="148">
        <v>3538.0156666666676</v>
      </c>
      <c r="H72" s="181">
        <f>VLOOKUP($A72&amp;$B72,'KU Inputs'!$C$2:$J$530,MATCH('KU UtilityData'!H$1,'KU Inputs'!$C$1:$J$1,0),0)*1000</f>
        <v>4237914</v>
      </c>
      <c r="I72" s="181">
        <f>VLOOKUP($A72&amp;$B72,'KU Inputs'!$C$2:$J$530,MATCH('KU UtilityData'!I$1,'KU Inputs'!$C$1:$J$1,0),0)*1000</f>
        <v>4237914</v>
      </c>
      <c r="J72" s="181">
        <f>VLOOKUP($A72&amp;$B72,'KU Inputs'!$C$2:$J$530,MATCH('KU UtilityData'!J$1,'KU Inputs'!$C$1:$J$1,0),0)*1000</f>
        <v>1659057</v>
      </c>
      <c r="K72" s="237">
        <v>408556</v>
      </c>
      <c r="L72" s="181">
        <f>VLOOKUP($A72&amp;$B72,'KU Inputs'!$C$2:$J$530,MATCH('KU UtilityData'!L$1,'KU Inputs'!$C$1:$J$1,0),0)</f>
        <v>124988.379</v>
      </c>
      <c r="M72" s="181">
        <f>VLOOKUP($A72&amp;$B72,'KU Inputs'!$C$2:$J$530,MATCH('KU UtilityData'!M$1,'KU Inputs'!$C$1:$J$1,0),0)</f>
        <v>124988.37929965912</v>
      </c>
      <c r="N72" s="242">
        <v>488.95</v>
      </c>
      <c r="O72" s="242">
        <v>1.1499999999999999</v>
      </c>
      <c r="P72" s="159">
        <v>4512</v>
      </c>
      <c r="Q72" s="159">
        <v>1455</v>
      </c>
      <c r="R72" s="271">
        <f t="shared" si="2"/>
        <v>0.391479628892894</v>
      </c>
    </row>
    <row r="73" spans="1:18" x14ac:dyDescent="0.2">
      <c r="A73" s="147">
        <v>2006</v>
      </c>
      <c r="B73" s="147">
        <v>12</v>
      </c>
      <c r="C73" s="157">
        <v>558042.30700000003</v>
      </c>
      <c r="D73" s="166">
        <v>5.7326028990148874</v>
      </c>
      <c r="E73" s="166">
        <v>5.7326028990148874</v>
      </c>
      <c r="F73" s="166">
        <v>30.6</v>
      </c>
      <c r="G73" s="148">
        <v>3540.4130000000009</v>
      </c>
      <c r="H73" s="181">
        <f>VLOOKUP($A73&amp;$B73,'KU Inputs'!$C$2:$J$530,MATCH('KU UtilityData'!H$1,'KU Inputs'!$C$1:$J$1,0),0)*1000</f>
        <v>4237914</v>
      </c>
      <c r="I73" s="181">
        <f>VLOOKUP($A73&amp;$B73,'KU Inputs'!$C$2:$J$530,MATCH('KU UtilityData'!I$1,'KU Inputs'!$C$1:$J$1,0),0)*1000</f>
        <v>4237914</v>
      </c>
      <c r="J73" s="181">
        <f>VLOOKUP($A73&amp;$B73,'KU Inputs'!$C$2:$J$530,MATCH('KU UtilityData'!J$1,'KU Inputs'!$C$1:$J$1,0),0)*1000</f>
        <v>1659057</v>
      </c>
      <c r="K73" s="237">
        <v>410499</v>
      </c>
      <c r="L73" s="181">
        <f>VLOOKUP($A73&amp;$B73,'KU Inputs'!$C$2:$J$530,MATCH('KU UtilityData'!L$1,'KU Inputs'!$C$1:$J$1,0),0)</f>
        <v>124988.379</v>
      </c>
      <c r="M73" s="181">
        <f>VLOOKUP($A73&amp;$B73,'KU Inputs'!$C$2:$J$530,MATCH('KU UtilityData'!M$1,'KU Inputs'!$C$1:$J$1,0),0)</f>
        <v>124988.37929965912</v>
      </c>
      <c r="N73" s="242">
        <v>629.15</v>
      </c>
      <c r="O73" s="242">
        <v>0</v>
      </c>
      <c r="P73" s="159">
        <v>4512</v>
      </c>
      <c r="Q73" s="159">
        <v>1455</v>
      </c>
      <c r="R73" s="271">
        <f t="shared" si="2"/>
        <v>0.391479628892894</v>
      </c>
    </row>
    <row r="74" spans="1:18" x14ac:dyDescent="0.2">
      <c r="A74" s="147">
        <v>2007</v>
      </c>
      <c r="B74" s="147">
        <v>1</v>
      </c>
      <c r="C74" s="157">
        <v>610021.201</v>
      </c>
      <c r="D74" s="166">
        <v>6.2826028990148872</v>
      </c>
      <c r="E74" s="166">
        <v>6.2826028990148872</v>
      </c>
      <c r="F74" s="166">
        <v>33.35</v>
      </c>
      <c r="G74" s="148">
        <v>3542.8103333333343</v>
      </c>
      <c r="H74" s="181">
        <f>VLOOKUP($A74&amp;$B74,'KU Inputs'!$C$2:$J$530,MATCH('KU UtilityData'!H$1,'KU Inputs'!$C$1:$J$1,0),0)*1000</f>
        <v>4247283</v>
      </c>
      <c r="I74" s="181">
        <f>VLOOKUP($A74&amp;$B74,'KU Inputs'!$C$2:$J$530,MATCH('KU UtilityData'!I$1,'KU Inputs'!$C$1:$J$1,0),0)*1000</f>
        <v>4247283</v>
      </c>
      <c r="J74" s="181">
        <f>VLOOKUP($A74&amp;$B74,'KU Inputs'!$C$2:$J$530,MATCH('KU UtilityData'!J$1,'KU Inputs'!$C$1:$J$1,0),0)*1000</f>
        <v>1660218</v>
      </c>
      <c r="K74" s="237">
        <v>412264</v>
      </c>
      <c r="L74" s="181">
        <f>VLOOKUP($A74&amp;$B74,'KU Inputs'!$C$2:$J$530,MATCH('KU UtilityData'!L$1,'KU Inputs'!$C$1:$J$1,0),0)</f>
        <v>125421.274</v>
      </c>
      <c r="M74" s="181">
        <f>VLOOKUP($A74&amp;$B74,'KU Inputs'!$C$2:$J$530,MATCH('KU UtilityData'!M$1,'KU Inputs'!$C$1:$J$1,0),0)</f>
        <v>125421.27422866292</v>
      </c>
      <c r="N74" s="242">
        <v>735.15</v>
      </c>
      <c r="O74" s="242">
        <v>0</v>
      </c>
      <c r="P74" s="159">
        <v>4512</v>
      </c>
      <c r="Q74" s="159">
        <v>1455</v>
      </c>
      <c r="R74" s="271">
        <f t="shared" si="2"/>
        <v>0.39088942272036031</v>
      </c>
    </row>
    <row r="75" spans="1:18" x14ac:dyDescent="0.2">
      <c r="A75" s="147">
        <v>2007</v>
      </c>
      <c r="B75" s="147">
        <v>2</v>
      </c>
      <c r="C75" s="157">
        <v>751898.35499999998</v>
      </c>
      <c r="D75" s="166">
        <v>6.2826028990148872</v>
      </c>
      <c r="E75" s="166">
        <v>6.2826028990148872</v>
      </c>
      <c r="F75" s="166">
        <v>29.35</v>
      </c>
      <c r="G75" s="148">
        <v>3545.207666666668</v>
      </c>
      <c r="H75" s="181">
        <f>VLOOKUP($A75&amp;$B75,'KU Inputs'!$C$2:$J$530,MATCH('KU UtilityData'!H$1,'KU Inputs'!$C$1:$J$1,0),0)*1000</f>
        <v>4247283</v>
      </c>
      <c r="I75" s="181">
        <f>VLOOKUP($A75&amp;$B75,'KU Inputs'!$C$2:$J$530,MATCH('KU UtilityData'!I$1,'KU Inputs'!$C$1:$J$1,0),0)*1000</f>
        <v>4247283</v>
      </c>
      <c r="J75" s="181">
        <f>VLOOKUP($A75&amp;$B75,'KU Inputs'!$C$2:$J$530,MATCH('KU UtilityData'!J$1,'KU Inputs'!$C$1:$J$1,0),0)*1000</f>
        <v>1660218</v>
      </c>
      <c r="K75" s="238">
        <v>410727</v>
      </c>
      <c r="L75" s="181">
        <f>VLOOKUP($A75&amp;$B75,'KU Inputs'!$C$2:$J$530,MATCH('KU UtilityData'!L$1,'KU Inputs'!$C$1:$J$1,0),0)</f>
        <v>125421.274</v>
      </c>
      <c r="M75" s="181">
        <f>VLOOKUP($A75&amp;$B75,'KU Inputs'!$C$2:$J$530,MATCH('KU UtilityData'!M$1,'KU Inputs'!$C$1:$J$1,0),0)</f>
        <v>125421.27422866292</v>
      </c>
      <c r="N75" s="242">
        <v>1088</v>
      </c>
      <c r="O75" s="242">
        <v>0</v>
      </c>
      <c r="P75" s="159">
        <v>4512</v>
      </c>
      <c r="Q75" s="159">
        <v>1455</v>
      </c>
      <c r="R75" s="271">
        <f t="shared" si="2"/>
        <v>0.39088942272036031</v>
      </c>
    </row>
    <row r="76" spans="1:18" x14ac:dyDescent="0.2">
      <c r="A76" s="147">
        <v>2007</v>
      </c>
      <c r="B76" s="147">
        <v>3</v>
      </c>
      <c r="C76" s="157">
        <v>601547.09499999997</v>
      </c>
      <c r="D76" s="166">
        <v>6.2826028990148872</v>
      </c>
      <c r="E76" s="166">
        <v>6.2826028990148872</v>
      </c>
      <c r="F76" s="166">
        <v>29.45</v>
      </c>
      <c r="G76" s="148">
        <v>3547.6050000000014</v>
      </c>
      <c r="H76" s="181">
        <f>VLOOKUP($A76&amp;$B76,'KU Inputs'!$C$2:$J$530,MATCH('KU UtilityData'!H$1,'KU Inputs'!$C$1:$J$1,0),0)*1000</f>
        <v>4247283</v>
      </c>
      <c r="I76" s="181">
        <f>VLOOKUP($A76&amp;$B76,'KU Inputs'!$C$2:$J$530,MATCH('KU UtilityData'!I$1,'KU Inputs'!$C$1:$J$1,0),0)*1000</f>
        <v>4247283</v>
      </c>
      <c r="J76" s="181">
        <f>VLOOKUP($A76&amp;$B76,'KU Inputs'!$C$2:$J$530,MATCH('KU UtilityData'!J$1,'KU Inputs'!$C$1:$J$1,0),0)*1000</f>
        <v>1660218</v>
      </c>
      <c r="K76" s="238">
        <v>411731</v>
      </c>
      <c r="L76" s="181">
        <f>VLOOKUP($A76&amp;$B76,'KU Inputs'!$C$2:$J$530,MATCH('KU UtilityData'!L$1,'KU Inputs'!$C$1:$J$1,0),0)</f>
        <v>125421.274</v>
      </c>
      <c r="M76" s="181">
        <f>VLOOKUP($A76&amp;$B76,'KU Inputs'!$C$2:$J$530,MATCH('KU UtilityData'!M$1,'KU Inputs'!$C$1:$J$1,0),0)</f>
        <v>125421.27422866292</v>
      </c>
      <c r="N76" s="242">
        <v>729.75</v>
      </c>
      <c r="O76" s="242">
        <v>5.3</v>
      </c>
      <c r="P76" s="159">
        <v>4512</v>
      </c>
      <c r="Q76" s="159">
        <v>1455</v>
      </c>
      <c r="R76" s="271">
        <f t="shared" si="2"/>
        <v>0.39088942272036031</v>
      </c>
    </row>
    <row r="77" spans="1:18" x14ac:dyDescent="0.2">
      <c r="A77" s="147">
        <v>2007</v>
      </c>
      <c r="B77" s="147">
        <v>4</v>
      </c>
      <c r="C77" s="157">
        <v>433539.62099999998</v>
      </c>
      <c r="D77" s="166">
        <v>6.2826028990148872</v>
      </c>
      <c r="E77" s="166">
        <v>6.2826028990148872</v>
      </c>
      <c r="F77" s="166">
        <v>30.55</v>
      </c>
      <c r="G77" s="148">
        <v>3550.0023333333347</v>
      </c>
      <c r="H77" s="181">
        <f>VLOOKUP($A77&amp;$B77,'KU Inputs'!$C$2:$J$530,MATCH('KU UtilityData'!H$1,'KU Inputs'!$C$1:$J$1,0),0)*1000</f>
        <v>4256672</v>
      </c>
      <c r="I77" s="181">
        <f>VLOOKUP($A77&amp;$B77,'KU Inputs'!$C$2:$J$530,MATCH('KU UtilityData'!I$1,'KU Inputs'!$C$1:$J$1,0),0)*1000</f>
        <v>4256672</v>
      </c>
      <c r="J77" s="181">
        <f>VLOOKUP($A77&amp;$B77,'KU Inputs'!$C$2:$J$530,MATCH('KU UtilityData'!J$1,'KU Inputs'!$C$1:$J$1,0),0)*1000</f>
        <v>1661379</v>
      </c>
      <c r="K77" s="237">
        <v>411166</v>
      </c>
      <c r="L77" s="181">
        <f>VLOOKUP($A77&amp;$B77,'KU Inputs'!$C$2:$J$530,MATCH('KU UtilityData'!L$1,'KU Inputs'!$C$1:$J$1,0),0)</f>
        <v>125696.571</v>
      </c>
      <c r="M77" s="181">
        <f>VLOOKUP($A77&amp;$B77,'KU Inputs'!$C$2:$J$530,MATCH('KU UtilityData'!M$1,'KU Inputs'!$C$1:$J$1,0),0)</f>
        <v>125696.57087430343</v>
      </c>
      <c r="N77" s="242">
        <v>361</v>
      </c>
      <c r="O77" s="242">
        <v>25.75</v>
      </c>
      <c r="P77" s="159">
        <v>4512</v>
      </c>
      <c r="Q77" s="159">
        <v>1455</v>
      </c>
      <c r="R77" s="271">
        <f t="shared" si="2"/>
        <v>0.39029998083009448</v>
      </c>
    </row>
    <row r="78" spans="1:18" x14ac:dyDescent="0.2">
      <c r="A78" s="147">
        <v>2007</v>
      </c>
      <c r="B78" s="147">
        <v>5</v>
      </c>
      <c r="C78" s="157">
        <v>390060.02399999998</v>
      </c>
      <c r="D78" s="166">
        <v>6.2826028990148872</v>
      </c>
      <c r="E78" s="166">
        <v>6.2826028990148872</v>
      </c>
      <c r="F78" s="166">
        <v>29.75</v>
      </c>
      <c r="G78" s="148">
        <v>3552.3996666666685</v>
      </c>
      <c r="H78" s="181">
        <f>VLOOKUP($A78&amp;$B78,'KU Inputs'!$C$2:$J$530,MATCH('KU UtilityData'!H$1,'KU Inputs'!$C$1:$J$1,0),0)*1000</f>
        <v>4256672</v>
      </c>
      <c r="I78" s="181">
        <f>VLOOKUP($A78&amp;$B78,'KU Inputs'!$C$2:$J$530,MATCH('KU UtilityData'!I$1,'KU Inputs'!$C$1:$J$1,0),0)*1000</f>
        <v>4256672</v>
      </c>
      <c r="J78" s="181">
        <f>VLOOKUP($A78&amp;$B78,'KU Inputs'!$C$2:$J$530,MATCH('KU UtilityData'!J$1,'KU Inputs'!$C$1:$J$1,0),0)*1000</f>
        <v>1661379</v>
      </c>
      <c r="K78" s="237">
        <v>411177</v>
      </c>
      <c r="L78" s="181">
        <f>VLOOKUP($A78&amp;$B78,'KU Inputs'!$C$2:$J$530,MATCH('KU UtilityData'!L$1,'KU Inputs'!$C$1:$J$1,0),0)</f>
        <v>125696.571</v>
      </c>
      <c r="M78" s="181">
        <f>VLOOKUP($A78&amp;$B78,'KU Inputs'!$C$2:$J$530,MATCH('KU UtilityData'!M$1,'KU Inputs'!$C$1:$J$1,0),0)</f>
        <v>125696.57087430343</v>
      </c>
      <c r="N78" s="242">
        <v>160.25</v>
      </c>
      <c r="O78" s="242">
        <v>69.45</v>
      </c>
      <c r="P78" s="159">
        <v>4512</v>
      </c>
      <c r="Q78" s="159">
        <v>1455</v>
      </c>
      <c r="R78" s="271">
        <f t="shared" si="2"/>
        <v>0.39029998083009448</v>
      </c>
    </row>
    <row r="79" spans="1:18" x14ac:dyDescent="0.2">
      <c r="A79" s="147">
        <v>2007</v>
      </c>
      <c r="B79" s="147">
        <v>6</v>
      </c>
      <c r="C79" s="157">
        <v>474783.136</v>
      </c>
      <c r="D79" s="166">
        <v>6.2826028990148872</v>
      </c>
      <c r="E79" s="166">
        <v>6.2826028990148872</v>
      </c>
      <c r="F79" s="166">
        <v>30.7</v>
      </c>
      <c r="G79" s="148">
        <v>3554.797</v>
      </c>
      <c r="H79" s="181">
        <f>VLOOKUP($A79&amp;$B79,'KU Inputs'!$C$2:$J$530,MATCH('KU UtilityData'!H$1,'KU Inputs'!$C$1:$J$1,0),0)*1000</f>
        <v>4256672</v>
      </c>
      <c r="I79" s="181">
        <f>VLOOKUP($A79&amp;$B79,'KU Inputs'!$C$2:$J$530,MATCH('KU UtilityData'!I$1,'KU Inputs'!$C$1:$J$1,0),0)*1000</f>
        <v>4256672</v>
      </c>
      <c r="J79" s="181">
        <f>VLOOKUP($A79&amp;$B79,'KU Inputs'!$C$2:$J$530,MATCH('KU UtilityData'!J$1,'KU Inputs'!$C$1:$J$1,0),0)*1000</f>
        <v>1661379</v>
      </c>
      <c r="K79" s="237">
        <v>410932</v>
      </c>
      <c r="L79" s="181">
        <f>VLOOKUP($A79&amp;$B79,'KU Inputs'!$C$2:$J$530,MATCH('KU UtilityData'!L$1,'KU Inputs'!$C$1:$J$1,0),0)</f>
        <v>125696.571</v>
      </c>
      <c r="M79" s="181">
        <f>VLOOKUP($A79&amp;$B79,'KU Inputs'!$C$2:$J$530,MATCH('KU UtilityData'!M$1,'KU Inputs'!$C$1:$J$1,0),0)</f>
        <v>125696.57087430343</v>
      </c>
      <c r="N79" s="242">
        <v>26.6</v>
      </c>
      <c r="O79" s="242">
        <v>238.35</v>
      </c>
      <c r="P79" s="159">
        <v>4512</v>
      </c>
      <c r="Q79" s="159">
        <v>1455</v>
      </c>
      <c r="R79" s="271">
        <f t="shared" si="2"/>
        <v>0.39029998083009448</v>
      </c>
    </row>
    <row r="80" spans="1:18" x14ac:dyDescent="0.2">
      <c r="A80" s="147">
        <v>2007</v>
      </c>
      <c r="B80" s="147">
        <v>7</v>
      </c>
      <c r="C80" s="157">
        <v>546854.30000000005</v>
      </c>
      <c r="D80" s="166">
        <v>6.2826028990148872</v>
      </c>
      <c r="E80" s="166">
        <v>6.2826028990148872</v>
      </c>
      <c r="F80" s="166">
        <v>30.7</v>
      </c>
      <c r="G80" s="148">
        <v>3557.0427500000001</v>
      </c>
      <c r="H80" s="181">
        <f>VLOOKUP($A80&amp;$B80,'KU Inputs'!$C$2:$J$530,MATCH('KU UtilityData'!H$1,'KU Inputs'!$C$1:$J$1,0),0)*1000</f>
        <v>4264949</v>
      </c>
      <c r="I80" s="181">
        <f>VLOOKUP($A80&amp;$B80,'KU Inputs'!$C$2:$J$530,MATCH('KU UtilityData'!I$1,'KU Inputs'!$C$1:$J$1,0),0)*1000</f>
        <v>4264949</v>
      </c>
      <c r="J80" s="181">
        <f>VLOOKUP($A80&amp;$B80,'KU Inputs'!$C$2:$J$530,MATCH('KU UtilityData'!J$1,'KU Inputs'!$C$1:$J$1,0),0)*1000</f>
        <v>1669175</v>
      </c>
      <c r="K80" s="237">
        <v>412225</v>
      </c>
      <c r="L80" s="181">
        <f>VLOOKUP($A80&amp;$B80,'KU Inputs'!$C$2:$J$530,MATCH('KU UtilityData'!L$1,'KU Inputs'!$C$1:$J$1,0),0)</f>
        <v>125601.717</v>
      </c>
      <c r="M80" s="181">
        <f>VLOOKUP($A80&amp;$B80,'KU Inputs'!$C$2:$J$530,MATCH('KU UtilityData'!M$1,'KU Inputs'!$C$1:$J$1,0),0)</f>
        <v>125601.71743632907</v>
      </c>
      <c r="N80" s="242">
        <v>0</v>
      </c>
      <c r="O80" s="242">
        <v>312.35000000000002</v>
      </c>
      <c r="P80" s="159">
        <v>4512</v>
      </c>
      <c r="Q80" s="159">
        <v>1455</v>
      </c>
      <c r="R80" s="271">
        <f t="shared" si="2"/>
        <v>0.39137044780605817</v>
      </c>
    </row>
    <row r="81" spans="1:19" x14ac:dyDescent="0.2">
      <c r="A81" s="147">
        <v>2007</v>
      </c>
      <c r="B81" s="147">
        <v>8</v>
      </c>
      <c r="C81" s="157">
        <v>602578.93799999997</v>
      </c>
      <c r="D81" s="166">
        <v>6.2826028990148872</v>
      </c>
      <c r="E81" s="166">
        <v>6.2826028990148872</v>
      </c>
      <c r="F81" s="166">
        <v>30.2</v>
      </c>
      <c r="G81" s="148">
        <v>3559.2885000000001</v>
      </c>
      <c r="H81" s="181">
        <f>VLOOKUP($A81&amp;$B81,'KU Inputs'!$C$2:$J$530,MATCH('KU UtilityData'!H$1,'KU Inputs'!$C$1:$J$1,0),0)*1000</f>
        <v>4264949</v>
      </c>
      <c r="I81" s="181">
        <f>VLOOKUP($A81&amp;$B81,'KU Inputs'!$C$2:$J$530,MATCH('KU UtilityData'!I$1,'KU Inputs'!$C$1:$J$1,0),0)*1000</f>
        <v>4264949</v>
      </c>
      <c r="J81" s="181">
        <f>VLOOKUP($A81&amp;$B81,'KU Inputs'!$C$2:$J$530,MATCH('KU UtilityData'!J$1,'KU Inputs'!$C$1:$J$1,0),0)*1000</f>
        <v>1669175</v>
      </c>
      <c r="K81" s="238">
        <v>411997</v>
      </c>
      <c r="L81" s="181">
        <f>VLOOKUP($A81&amp;$B81,'KU Inputs'!$C$2:$J$530,MATCH('KU UtilityData'!L$1,'KU Inputs'!$C$1:$J$1,0),0)</f>
        <v>125601.717</v>
      </c>
      <c r="M81" s="181">
        <f>VLOOKUP($A81&amp;$B81,'KU Inputs'!$C$2:$J$530,MATCH('KU UtilityData'!M$1,'KU Inputs'!$C$1:$J$1,0),0)</f>
        <v>125601.71743632907</v>
      </c>
      <c r="N81" s="242">
        <v>0</v>
      </c>
      <c r="O81" s="242">
        <v>399</v>
      </c>
      <c r="P81" s="159">
        <v>4512</v>
      </c>
      <c r="Q81" s="159">
        <v>1455</v>
      </c>
      <c r="R81" s="271">
        <f t="shared" si="2"/>
        <v>0.39137044780605817</v>
      </c>
    </row>
    <row r="82" spans="1:19" x14ac:dyDescent="0.2">
      <c r="A82" s="147">
        <v>2007</v>
      </c>
      <c r="B82" s="147">
        <v>9</v>
      </c>
      <c r="C82" s="157">
        <v>618222.55700000003</v>
      </c>
      <c r="D82" s="166">
        <v>6.2826028990148872</v>
      </c>
      <c r="E82" s="166">
        <v>6.2826028990148872</v>
      </c>
      <c r="F82" s="166">
        <v>31.3</v>
      </c>
      <c r="G82" s="148">
        <v>3561.5342500000002</v>
      </c>
      <c r="H82" s="181">
        <f>VLOOKUP($A82&amp;$B82,'KU Inputs'!$C$2:$J$530,MATCH('KU UtilityData'!H$1,'KU Inputs'!$C$1:$J$1,0),0)*1000</f>
        <v>4264949</v>
      </c>
      <c r="I82" s="181">
        <f>VLOOKUP($A82&amp;$B82,'KU Inputs'!$C$2:$J$530,MATCH('KU UtilityData'!I$1,'KU Inputs'!$C$1:$J$1,0),0)*1000</f>
        <v>4264949</v>
      </c>
      <c r="J82" s="181">
        <f>VLOOKUP($A82&amp;$B82,'KU Inputs'!$C$2:$J$530,MATCH('KU UtilityData'!J$1,'KU Inputs'!$C$1:$J$1,0),0)*1000</f>
        <v>1669175</v>
      </c>
      <c r="K82" s="238">
        <v>411703</v>
      </c>
      <c r="L82" s="181">
        <f>VLOOKUP($A82&amp;$B82,'KU Inputs'!$C$2:$J$530,MATCH('KU UtilityData'!L$1,'KU Inputs'!$C$1:$J$1,0),0)</f>
        <v>125601.717</v>
      </c>
      <c r="M82" s="181">
        <f>VLOOKUP($A82&amp;$B82,'KU Inputs'!$C$2:$J$530,MATCH('KU UtilityData'!M$1,'KU Inputs'!$C$1:$J$1,0),0)</f>
        <v>125601.71743632907</v>
      </c>
      <c r="N82" s="242">
        <v>5.5</v>
      </c>
      <c r="O82" s="242">
        <v>382.75</v>
      </c>
      <c r="P82" s="159">
        <v>4512</v>
      </c>
      <c r="Q82" s="159">
        <v>1455</v>
      </c>
      <c r="R82" s="271">
        <f t="shared" si="2"/>
        <v>0.39137044780605817</v>
      </c>
    </row>
    <row r="83" spans="1:19" x14ac:dyDescent="0.2">
      <c r="A83" s="147">
        <v>2007</v>
      </c>
      <c r="B83" s="147">
        <v>10</v>
      </c>
      <c r="C83" s="157">
        <v>431007.451</v>
      </c>
      <c r="D83" s="166">
        <v>6.2826028990148872</v>
      </c>
      <c r="E83" s="166">
        <v>6.2826028990148872</v>
      </c>
      <c r="F83" s="166">
        <v>29.6</v>
      </c>
      <c r="G83" s="148">
        <v>3563.78</v>
      </c>
      <c r="H83" s="181">
        <f>VLOOKUP($A83&amp;$B83,'KU Inputs'!$C$2:$J$530,MATCH('KU UtilityData'!H$1,'KU Inputs'!$C$1:$J$1,0),0)*1000</f>
        <v>4273243</v>
      </c>
      <c r="I83" s="181">
        <f>VLOOKUP($A83&amp;$B83,'KU Inputs'!$C$2:$J$530,MATCH('KU UtilityData'!I$1,'KU Inputs'!$C$1:$J$1,0),0)*1000</f>
        <v>4273243</v>
      </c>
      <c r="J83" s="181">
        <f>VLOOKUP($A83&amp;$B83,'KU Inputs'!$C$2:$J$530,MATCH('KU UtilityData'!J$1,'KU Inputs'!$C$1:$J$1,0),0)*1000</f>
        <v>1677007</v>
      </c>
      <c r="K83" s="237">
        <v>412483</v>
      </c>
      <c r="L83" s="181">
        <f>VLOOKUP($A83&amp;$B83,'KU Inputs'!$C$2:$J$530,MATCH('KU UtilityData'!L$1,'KU Inputs'!$C$1:$J$1,0),0)</f>
        <v>126411.315</v>
      </c>
      <c r="M83" s="181">
        <f>VLOOKUP($A83&amp;$B83,'KU Inputs'!$C$2:$J$530,MATCH('KU UtilityData'!M$1,'KU Inputs'!$C$1:$J$1,0),0)</f>
        <v>126411.31485589659</v>
      </c>
      <c r="N83" s="242">
        <v>50.3</v>
      </c>
      <c r="O83" s="242">
        <v>178</v>
      </c>
      <c r="P83" s="159">
        <v>4512</v>
      </c>
      <c r="Q83" s="164">
        <v>1455</v>
      </c>
      <c r="R83" s="271">
        <f t="shared" si="2"/>
        <v>0.39244363121872544</v>
      </c>
    </row>
    <row r="84" spans="1:19" x14ac:dyDescent="0.2">
      <c r="A84" s="147">
        <v>2007</v>
      </c>
      <c r="B84" s="147">
        <v>11</v>
      </c>
      <c r="C84" s="157">
        <v>401915.174</v>
      </c>
      <c r="D84" s="166">
        <v>6.2826028990148872</v>
      </c>
      <c r="E84" s="166">
        <v>6.2826028990148872</v>
      </c>
      <c r="F84" s="166">
        <v>29.95</v>
      </c>
      <c r="G84" s="148">
        <v>3566.0257499999998</v>
      </c>
      <c r="H84" s="181">
        <f>VLOOKUP($A84&amp;$B84,'KU Inputs'!$C$2:$J$530,MATCH('KU UtilityData'!H$1,'KU Inputs'!$C$1:$J$1,0),0)*1000</f>
        <v>4273243</v>
      </c>
      <c r="I84" s="181">
        <f>VLOOKUP($A84&amp;$B84,'KU Inputs'!$C$2:$J$530,MATCH('KU UtilityData'!I$1,'KU Inputs'!$C$1:$J$1,0),0)*1000</f>
        <v>4273243</v>
      </c>
      <c r="J84" s="181">
        <f>VLOOKUP($A84&amp;$B84,'KU Inputs'!$C$2:$J$530,MATCH('KU UtilityData'!J$1,'KU Inputs'!$C$1:$J$1,0),0)*1000</f>
        <v>1677007</v>
      </c>
      <c r="K84" s="237">
        <v>412654</v>
      </c>
      <c r="L84" s="181">
        <f>VLOOKUP($A84&amp;$B84,'KU Inputs'!$C$2:$J$530,MATCH('KU UtilityData'!L$1,'KU Inputs'!$C$1:$J$1,0),0)</f>
        <v>126411.315</v>
      </c>
      <c r="M84" s="181">
        <f>VLOOKUP($A84&amp;$B84,'KU Inputs'!$C$2:$J$530,MATCH('KU UtilityData'!M$1,'KU Inputs'!$C$1:$J$1,0),0)</f>
        <v>126411.31485589659</v>
      </c>
      <c r="N84" s="242">
        <v>373.15</v>
      </c>
      <c r="O84" s="242">
        <v>23</v>
      </c>
      <c r="P84" s="159">
        <v>4512</v>
      </c>
      <c r="Q84" s="159">
        <v>1455</v>
      </c>
      <c r="R84" s="271">
        <f t="shared" si="2"/>
        <v>0.39244363121872544</v>
      </c>
    </row>
    <row r="85" spans="1:19" x14ac:dyDescent="0.2">
      <c r="A85" s="147">
        <v>2007</v>
      </c>
      <c r="B85" s="147">
        <v>12</v>
      </c>
      <c r="C85" s="157">
        <v>559332.47499999998</v>
      </c>
      <c r="D85" s="166">
        <v>6.2826028990148872</v>
      </c>
      <c r="E85" s="166">
        <v>6.2826028990148872</v>
      </c>
      <c r="F85" s="166">
        <v>30.7</v>
      </c>
      <c r="G85" s="148">
        <v>3568.2714999999998</v>
      </c>
      <c r="H85" s="181">
        <f>VLOOKUP($A85&amp;$B85,'KU Inputs'!$C$2:$J$530,MATCH('KU UtilityData'!H$1,'KU Inputs'!$C$1:$J$1,0),0)*1000</f>
        <v>4273243</v>
      </c>
      <c r="I85" s="181">
        <f>VLOOKUP($A85&amp;$B85,'KU Inputs'!$C$2:$J$530,MATCH('KU UtilityData'!I$1,'KU Inputs'!$C$1:$J$1,0),0)*1000</f>
        <v>4273243</v>
      </c>
      <c r="J85" s="181">
        <f>VLOOKUP($A85&amp;$B85,'KU Inputs'!$C$2:$J$530,MATCH('KU UtilityData'!J$1,'KU Inputs'!$C$1:$J$1,0),0)*1000</f>
        <v>1677007</v>
      </c>
      <c r="K85" s="237">
        <v>413378</v>
      </c>
      <c r="L85" s="181">
        <f>VLOOKUP($A85&amp;$B85,'KU Inputs'!$C$2:$J$530,MATCH('KU UtilityData'!L$1,'KU Inputs'!$C$1:$J$1,0),0)</f>
        <v>126411.315</v>
      </c>
      <c r="M85" s="181">
        <f>VLOOKUP($A85&amp;$B85,'KU Inputs'!$C$2:$J$530,MATCH('KU UtilityData'!M$1,'KU Inputs'!$C$1:$J$1,0),0)</f>
        <v>126411.31485589659</v>
      </c>
      <c r="N85" s="242">
        <v>687.1</v>
      </c>
      <c r="O85" s="242">
        <v>0</v>
      </c>
      <c r="P85" s="159">
        <v>4512</v>
      </c>
      <c r="Q85" s="159">
        <v>1455</v>
      </c>
      <c r="R85" s="271">
        <f t="shared" si="2"/>
        <v>0.39244363121872544</v>
      </c>
    </row>
    <row r="86" spans="1:19" x14ac:dyDescent="0.2">
      <c r="A86" s="147">
        <v>2008</v>
      </c>
      <c r="B86" s="147">
        <v>1</v>
      </c>
      <c r="C86" s="157">
        <v>727455.55799999996</v>
      </c>
      <c r="D86" s="166">
        <v>6.8191285113595219</v>
      </c>
      <c r="E86" s="166">
        <v>6.8191285113595219</v>
      </c>
      <c r="F86" s="166">
        <v>33.15</v>
      </c>
      <c r="G86" s="148">
        <v>3570.5172499999999</v>
      </c>
      <c r="H86" s="181">
        <f>VLOOKUP($A86&amp;$B86,'KU Inputs'!$C$2:$J$530,MATCH('KU UtilityData'!H$1,'KU Inputs'!$C$1:$J$1,0),0)*1000</f>
        <v>4281552</v>
      </c>
      <c r="I86" s="181">
        <f>VLOOKUP($A86&amp;$B86,'KU Inputs'!$C$2:$J$530,MATCH('KU UtilityData'!I$1,'KU Inputs'!$C$1:$J$1,0),0)*1000</f>
        <v>4281552</v>
      </c>
      <c r="J86" s="181">
        <f>VLOOKUP($A86&amp;$B86,'KU Inputs'!$C$2:$J$530,MATCH('KU UtilityData'!J$1,'KU Inputs'!$C$1:$J$1,0),0)*1000</f>
        <v>1684875</v>
      </c>
      <c r="K86" s="238">
        <v>415541</v>
      </c>
      <c r="L86" s="181">
        <f>VLOOKUP($A86&amp;$B86,'KU Inputs'!$C$2:$J$530,MATCH('KU UtilityData'!L$1,'KU Inputs'!$C$1:$J$1,0),0)</f>
        <v>128364.796</v>
      </c>
      <c r="M86" s="181">
        <f>VLOOKUP($A86&amp;$B86,'KU Inputs'!$C$2:$J$530,MATCH('KU UtilityData'!M$1,'KU Inputs'!$C$1:$J$1,0),0)</f>
        <v>128374.99536401736</v>
      </c>
      <c r="N86" s="242">
        <v>908</v>
      </c>
      <c r="O86" s="242">
        <v>0</v>
      </c>
      <c r="P86" s="159">
        <v>4512</v>
      </c>
      <c r="Q86" s="159">
        <v>1455</v>
      </c>
      <c r="R86" s="271">
        <f t="shared" si="2"/>
        <v>0.39351968631935336</v>
      </c>
    </row>
    <row r="87" spans="1:19" x14ac:dyDescent="0.2">
      <c r="A87" s="147">
        <v>2008</v>
      </c>
      <c r="B87" s="147">
        <v>2</v>
      </c>
      <c r="C87" s="157">
        <v>698141.01500000001</v>
      </c>
      <c r="D87" s="166">
        <v>6.8191285113595219</v>
      </c>
      <c r="E87" s="166">
        <v>6.8191285113595219</v>
      </c>
      <c r="F87" s="166">
        <v>29.35</v>
      </c>
      <c r="G87" s="148">
        <v>3572.7629999999999</v>
      </c>
      <c r="H87" s="181">
        <f>VLOOKUP($A87&amp;$B87,'KU Inputs'!$C$2:$J$530,MATCH('KU UtilityData'!H$1,'KU Inputs'!$C$1:$J$1,0),0)*1000</f>
        <v>4281552</v>
      </c>
      <c r="I87" s="181">
        <f>VLOOKUP($A87&amp;$B87,'KU Inputs'!$C$2:$J$530,MATCH('KU UtilityData'!I$1,'KU Inputs'!$C$1:$J$1,0),0)*1000</f>
        <v>4281552</v>
      </c>
      <c r="J87" s="181">
        <f>VLOOKUP($A87&amp;$B87,'KU Inputs'!$C$2:$J$530,MATCH('KU UtilityData'!J$1,'KU Inputs'!$C$1:$J$1,0),0)*1000</f>
        <v>1684875</v>
      </c>
      <c r="K87" s="237">
        <v>414147</v>
      </c>
      <c r="L87" s="181">
        <f>VLOOKUP($A87&amp;$B87,'KU Inputs'!$C$2:$J$530,MATCH('KU UtilityData'!L$1,'KU Inputs'!$C$1:$J$1,0),0)</f>
        <v>128364.796</v>
      </c>
      <c r="M87" s="181">
        <f>VLOOKUP($A87&amp;$B87,'KU Inputs'!$C$2:$J$530,MATCH('KU UtilityData'!M$1,'KU Inputs'!$C$1:$J$1,0),0)</f>
        <v>128374.99536401736</v>
      </c>
      <c r="N87" s="242">
        <v>909.1</v>
      </c>
      <c r="O87" s="242">
        <v>0</v>
      </c>
      <c r="P87" s="159">
        <v>4512</v>
      </c>
      <c r="Q87" s="159">
        <v>1455</v>
      </c>
      <c r="R87" s="271">
        <f t="shared" si="2"/>
        <v>0.39351968631935336</v>
      </c>
    </row>
    <row r="88" spans="1:19" x14ac:dyDescent="0.2">
      <c r="A88" s="147">
        <v>2008</v>
      </c>
      <c r="B88" s="147">
        <v>3</v>
      </c>
      <c r="C88" s="157">
        <v>619483</v>
      </c>
      <c r="D88" s="166">
        <v>6.8191285113595219</v>
      </c>
      <c r="E88" s="166">
        <v>6.8191285113595219</v>
      </c>
      <c r="F88" s="166">
        <v>29.9</v>
      </c>
      <c r="G88" s="148">
        <v>3575.00875</v>
      </c>
      <c r="H88" s="181">
        <f>VLOOKUP($A88&amp;$B88,'KU Inputs'!$C$2:$J$530,MATCH('KU UtilityData'!H$1,'KU Inputs'!$C$1:$J$1,0),0)*1000</f>
        <v>4281552</v>
      </c>
      <c r="I88" s="181">
        <f>VLOOKUP($A88&amp;$B88,'KU Inputs'!$C$2:$J$530,MATCH('KU UtilityData'!I$1,'KU Inputs'!$C$1:$J$1,0),0)*1000</f>
        <v>4281552</v>
      </c>
      <c r="J88" s="181">
        <f>VLOOKUP($A88&amp;$B88,'KU Inputs'!$C$2:$J$530,MATCH('KU UtilityData'!J$1,'KU Inputs'!$C$1:$J$1,0),0)*1000</f>
        <v>1684875</v>
      </c>
      <c r="K88" s="237">
        <v>414028</v>
      </c>
      <c r="L88" s="181">
        <f>VLOOKUP($A88&amp;$B88,'KU Inputs'!$C$2:$J$530,MATCH('KU UtilityData'!L$1,'KU Inputs'!$C$1:$J$1,0),0)</f>
        <v>128364.796</v>
      </c>
      <c r="M88" s="181">
        <f>VLOOKUP($A88&amp;$B88,'KU Inputs'!$C$2:$J$530,MATCH('KU UtilityData'!M$1,'KU Inputs'!$C$1:$J$1,0),0)</f>
        <v>128374.99536401736</v>
      </c>
      <c r="N88" s="242">
        <v>802</v>
      </c>
      <c r="O88" s="242">
        <v>0</v>
      </c>
      <c r="P88" s="159">
        <v>4512</v>
      </c>
      <c r="Q88" s="159">
        <v>1455</v>
      </c>
      <c r="R88" s="271">
        <f t="shared" si="2"/>
        <v>0.39351968631935336</v>
      </c>
    </row>
    <row r="89" spans="1:19" s="152" customFormat="1" x14ac:dyDescent="0.2">
      <c r="A89" s="152">
        <v>2008</v>
      </c>
      <c r="B89" s="152">
        <v>4</v>
      </c>
      <c r="C89" s="157">
        <v>450443.674</v>
      </c>
      <c r="D89" s="166">
        <v>6.8191285113595219</v>
      </c>
      <c r="E89" s="166">
        <v>6.8191285113595219</v>
      </c>
      <c r="F89" s="166">
        <v>30.3</v>
      </c>
      <c r="G89" s="148">
        <v>3577.2545</v>
      </c>
      <c r="H89" s="181">
        <f>VLOOKUP($A89&amp;$B89,'KU Inputs'!$C$2:$J$530,MATCH('KU UtilityData'!H$1,'KU Inputs'!$C$1:$J$1,0),0)*1000</f>
        <v>4289878</v>
      </c>
      <c r="I89" s="181">
        <f>VLOOKUP($A89&amp;$B89,'KU Inputs'!$C$2:$J$530,MATCH('KU UtilityData'!I$1,'KU Inputs'!$C$1:$J$1,0),0)*1000</f>
        <v>4289878</v>
      </c>
      <c r="J89" s="181">
        <f>VLOOKUP($A89&amp;$B89,'KU Inputs'!$C$2:$J$530,MATCH('KU UtilityData'!J$1,'KU Inputs'!$C$1:$J$1,0),0)*1000</f>
        <v>1692781</v>
      </c>
      <c r="K89" s="237">
        <v>413228</v>
      </c>
      <c r="L89" s="181">
        <f>VLOOKUP($A89&amp;$B89,'KU Inputs'!$C$2:$J$530,MATCH('KU UtilityData'!L$1,'KU Inputs'!$C$1:$J$1,0),0)</f>
        <v>129399.736</v>
      </c>
      <c r="M89" s="181">
        <f>VLOOKUP($A89&amp;$B89,'KU Inputs'!$C$2:$J$530,MATCH('KU UtilityData'!M$1,'KU Inputs'!$C$1:$J$1,0),0)</f>
        <v>129347.46726332392</v>
      </c>
      <c r="N89" s="243">
        <v>454</v>
      </c>
      <c r="O89" s="243">
        <v>3</v>
      </c>
      <c r="P89" s="159">
        <v>4512</v>
      </c>
      <c r="Q89" s="160">
        <v>1455</v>
      </c>
      <c r="R89" s="271">
        <f t="shared" si="2"/>
        <v>0.39459886738037769</v>
      </c>
      <c r="S89" s="159"/>
    </row>
    <row r="90" spans="1:19" x14ac:dyDescent="0.2">
      <c r="A90" s="147">
        <v>2008</v>
      </c>
      <c r="B90" s="147">
        <v>5</v>
      </c>
      <c r="C90" s="157">
        <v>346552.73100000003</v>
      </c>
      <c r="D90" s="166">
        <v>6.8191285113595219</v>
      </c>
      <c r="E90" s="166">
        <v>6.8191285113595219</v>
      </c>
      <c r="F90" s="166">
        <v>29.57</v>
      </c>
      <c r="G90" s="148">
        <v>3579.5002500000001</v>
      </c>
      <c r="H90" s="181">
        <f>VLOOKUP($A90&amp;$B90,'KU Inputs'!$C$2:$J$530,MATCH('KU UtilityData'!H$1,'KU Inputs'!$C$1:$J$1,0),0)*1000</f>
        <v>4289878</v>
      </c>
      <c r="I90" s="181">
        <f>VLOOKUP($A90&amp;$B90,'KU Inputs'!$C$2:$J$530,MATCH('KU UtilityData'!I$1,'KU Inputs'!$C$1:$J$1,0),0)*1000</f>
        <v>4289878</v>
      </c>
      <c r="J90" s="181">
        <f>VLOOKUP($A90&amp;$B90,'KU Inputs'!$C$2:$J$530,MATCH('KU UtilityData'!J$1,'KU Inputs'!$C$1:$J$1,0),0)*1000</f>
        <v>1692781</v>
      </c>
      <c r="K90" s="237">
        <v>413348</v>
      </c>
      <c r="L90" s="181">
        <f>VLOOKUP($A90&amp;$B90,'KU Inputs'!$C$2:$J$530,MATCH('KU UtilityData'!L$1,'KU Inputs'!$C$1:$J$1,0),0)</f>
        <v>129399.736</v>
      </c>
      <c r="M90" s="181">
        <f>VLOOKUP($A90&amp;$B90,'KU Inputs'!$C$2:$J$530,MATCH('KU UtilityData'!M$1,'KU Inputs'!$C$1:$J$1,0),0)</f>
        <v>129347.46726332392</v>
      </c>
      <c r="N90" s="242">
        <v>220.85</v>
      </c>
      <c r="O90" s="242">
        <v>18.649999999999999</v>
      </c>
      <c r="P90" s="159">
        <v>4512</v>
      </c>
      <c r="Q90" s="159">
        <v>1455</v>
      </c>
      <c r="R90" s="271">
        <f t="shared" si="2"/>
        <v>0.39459886738037769</v>
      </c>
    </row>
    <row r="91" spans="1:19" x14ac:dyDescent="0.2">
      <c r="A91" s="147">
        <v>2008</v>
      </c>
      <c r="B91" s="147">
        <v>6</v>
      </c>
      <c r="C91" s="157">
        <v>431303.158</v>
      </c>
      <c r="D91" s="166">
        <v>6.8191285113595219</v>
      </c>
      <c r="E91" s="166">
        <v>6.8191285113595219</v>
      </c>
      <c r="F91" s="166">
        <v>30.67</v>
      </c>
      <c r="G91" s="148">
        <v>3581.7460000000001</v>
      </c>
      <c r="H91" s="181">
        <f>VLOOKUP($A91&amp;$B91,'KU Inputs'!$C$2:$J$530,MATCH('KU UtilityData'!H$1,'KU Inputs'!$C$1:$J$1,0),0)*1000</f>
        <v>4289878</v>
      </c>
      <c r="I91" s="181">
        <f>VLOOKUP($A91&amp;$B91,'KU Inputs'!$C$2:$J$530,MATCH('KU UtilityData'!I$1,'KU Inputs'!$C$1:$J$1,0),0)*1000</f>
        <v>4289878</v>
      </c>
      <c r="J91" s="181">
        <f>VLOOKUP($A91&amp;$B91,'KU Inputs'!$C$2:$J$530,MATCH('KU UtilityData'!J$1,'KU Inputs'!$C$1:$J$1,0),0)*1000</f>
        <v>1692781</v>
      </c>
      <c r="K91" s="237">
        <v>413120</v>
      </c>
      <c r="L91" s="181">
        <f>VLOOKUP($A91&amp;$B91,'KU Inputs'!$C$2:$J$530,MATCH('KU UtilityData'!L$1,'KU Inputs'!$C$1:$J$1,0),0)</f>
        <v>129399.736</v>
      </c>
      <c r="M91" s="181">
        <f>VLOOKUP($A91&amp;$B91,'KU Inputs'!$C$2:$J$530,MATCH('KU UtilityData'!M$1,'KU Inputs'!$C$1:$J$1,0),0)</f>
        <v>129347.46726332392</v>
      </c>
      <c r="N91" s="242">
        <v>62.4</v>
      </c>
      <c r="O91" s="242">
        <v>170.75</v>
      </c>
      <c r="P91" s="159">
        <v>4512</v>
      </c>
      <c r="Q91" s="159">
        <v>1455</v>
      </c>
      <c r="R91" s="271">
        <f t="shared" si="2"/>
        <v>0.39459886738037769</v>
      </c>
    </row>
    <row r="92" spans="1:19" x14ac:dyDescent="0.2">
      <c r="A92" s="147">
        <v>2008</v>
      </c>
      <c r="B92" s="147">
        <v>7</v>
      </c>
      <c r="C92" s="157">
        <v>538081.12800000003</v>
      </c>
      <c r="D92" s="166">
        <v>6.8191285113595219</v>
      </c>
      <c r="E92" s="166">
        <v>6.8191285113595219</v>
      </c>
      <c r="F92" s="166">
        <v>30.62</v>
      </c>
      <c r="G92" s="148">
        <v>3583.3619166666667</v>
      </c>
      <c r="H92" s="181">
        <f>VLOOKUP($A92&amp;$B92,'KU Inputs'!$C$2:$J$530,MATCH('KU UtilityData'!H$1,'KU Inputs'!$C$1:$J$1,0),0)*1000</f>
        <v>4296661</v>
      </c>
      <c r="I92" s="181">
        <f>VLOOKUP($A92&amp;$B92,'KU Inputs'!$C$2:$J$530,MATCH('KU UtilityData'!I$1,'KU Inputs'!$C$1:$J$1,0),0)*1000</f>
        <v>4296661</v>
      </c>
      <c r="J92" s="181">
        <f>VLOOKUP($A92&amp;$B92,'KU Inputs'!$C$2:$J$530,MATCH('KU UtilityData'!J$1,'KU Inputs'!$C$1:$J$1,0),0)*1000</f>
        <v>1694962</v>
      </c>
      <c r="K92" s="237">
        <v>414507</v>
      </c>
      <c r="L92" s="181">
        <f>VLOOKUP($A92&amp;$B92,'KU Inputs'!$C$2:$J$530,MATCH('KU UtilityData'!L$1,'KU Inputs'!$C$1:$J$1,0),0)</f>
        <v>126756.973</v>
      </c>
      <c r="M92" s="181">
        <f>VLOOKUP($A92&amp;$B92,'KU Inputs'!$C$2:$J$530,MATCH('KU UtilityData'!M$1,'KU Inputs'!$C$1:$J$1,0),0)</f>
        <v>126688.01829102325</v>
      </c>
      <c r="N92" s="242">
        <v>0</v>
      </c>
      <c r="O92" s="242">
        <v>284</v>
      </c>
      <c r="P92" s="159">
        <v>4512</v>
      </c>
      <c r="Q92" s="159">
        <v>1455</v>
      </c>
      <c r="R92" s="271">
        <f t="shared" si="2"/>
        <v>0.39448353035066064</v>
      </c>
    </row>
    <row r="93" spans="1:19" x14ac:dyDescent="0.2">
      <c r="A93" s="147">
        <v>2008</v>
      </c>
      <c r="B93" s="147">
        <v>8</v>
      </c>
      <c r="C93" s="157">
        <v>544448.42500000005</v>
      </c>
      <c r="D93" s="166">
        <v>6.8191285113595219</v>
      </c>
      <c r="E93" s="166">
        <v>6.8191285113595219</v>
      </c>
      <c r="F93" s="166">
        <v>29.52</v>
      </c>
      <c r="G93" s="148">
        <v>3584.9778333333329</v>
      </c>
      <c r="H93" s="181">
        <f>VLOOKUP($A93&amp;$B93,'KU Inputs'!$C$2:$J$530,MATCH('KU UtilityData'!H$1,'KU Inputs'!$C$1:$J$1,0),0)*1000</f>
        <v>4296661</v>
      </c>
      <c r="I93" s="181">
        <f>VLOOKUP($A93&amp;$B93,'KU Inputs'!$C$2:$J$530,MATCH('KU UtilityData'!I$1,'KU Inputs'!$C$1:$J$1,0),0)*1000</f>
        <v>4296661</v>
      </c>
      <c r="J93" s="181">
        <f>VLOOKUP($A93&amp;$B93,'KU Inputs'!$C$2:$J$530,MATCH('KU UtilityData'!J$1,'KU Inputs'!$C$1:$J$1,0),0)*1000</f>
        <v>1694962</v>
      </c>
      <c r="K93" s="237">
        <v>413096</v>
      </c>
      <c r="L93" s="181">
        <f>VLOOKUP($A93&amp;$B93,'KU Inputs'!$C$2:$J$530,MATCH('KU UtilityData'!L$1,'KU Inputs'!$C$1:$J$1,0),0)</f>
        <v>126756.973</v>
      </c>
      <c r="M93" s="181">
        <f>VLOOKUP($A93&amp;$B93,'KU Inputs'!$C$2:$J$530,MATCH('KU UtilityData'!M$1,'KU Inputs'!$C$1:$J$1,0),0)</f>
        <v>126688.01829102325</v>
      </c>
      <c r="N93" s="242">
        <v>0</v>
      </c>
      <c r="O93" s="242">
        <v>315</v>
      </c>
      <c r="P93" s="159">
        <v>4512</v>
      </c>
      <c r="Q93" s="159">
        <v>1455</v>
      </c>
      <c r="R93" s="271">
        <f t="shared" si="2"/>
        <v>0.39448353035066064</v>
      </c>
    </row>
    <row r="94" spans="1:19" x14ac:dyDescent="0.2">
      <c r="A94" s="147">
        <v>2008</v>
      </c>
      <c r="B94" s="147">
        <v>9</v>
      </c>
      <c r="C94" s="157">
        <v>526327.11600000004</v>
      </c>
      <c r="D94" s="166">
        <v>6.8191285113595219</v>
      </c>
      <c r="E94" s="166">
        <v>6.8191285113595219</v>
      </c>
      <c r="F94" s="166">
        <v>30.71</v>
      </c>
      <c r="G94" s="148">
        <v>3586.5937499999995</v>
      </c>
      <c r="H94" s="181">
        <f>VLOOKUP($A94&amp;$B94,'KU Inputs'!$C$2:$J$530,MATCH('KU UtilityData'!H$1,'KU Inputs'!$C$1:$J$1,0),0)*1000</f>
        <v>4296661</v>
      </c>
      <c r="I94" s="181">
        <f>VLOOKUP($A94&amp;$B94,'KU Inputs'!$C$2:$J$530,MATCH('KU UtilityData'!I$1,'KU Inputs'!$C$1:$J$1,0),0)*1000</f>
        <v>4296661</v>
      </c>
      <c r="J94" s="181">
        <f>VLOOKUP($A94&amp;$B94,'KU Inputs'!$C$2:$J$530,MATCH('KU UtilityData'!J$1,'KU Inputs'!$C$1:$J$1,0),0)*1000</f>
        <v>1694962</v>
      </c>
      <c r="K94" s="237">
        <v>413969</v>
      </c>
      <c r="L94" s="181">
        <f>VLOOKUP($A94&amp;$B94,'KU Inputs'!$C$2:$J$530,MATCH('KU UtilityData'!L$1,'KU Inputs'!$C$1:$J$1,0),0)</f>
        <v>126756.973</v>
      </c>
      <c r="M94" s="181">
        <f>VLOOKUP($A94&amp;$B94,'KU Inputs'!$C$2:$J$530,MATCH('KU UtilityData'!M$1,'KU Inputs'!$C$1:$J$1,0),0)</f>
        <v>126688.01829102325</v>
      </c>
      <c r="N94" s="242">
        <v>1</v>
      </c>
      <c r="O94" s="242">
        <v>295.14999999999998</v>
      </c>
      <c r="P94" s="159">
        <v>4512</v>
      </c>
      <c r="Q94" s="159">
        <v>1455</v>
      </c>
      <c r="R94" s="271">
        <f t="shared" si="2"/>
        <v>0.39448353035066064</v>
      </c>
    </row>
    <row r="95" spans="1:19" x14ac:dyDescent="0.2">
      <c r="A95" s="147">
        <v>2008</v>
      </c>
      <c r="B95" s="147">
        <v>10</v>
      </c>
      <c r="C95" s="157">
        <v>376636.53100000002</v>
      </c>
      <c r="D95" s="166">
        <v>6.8191285113595219</v>
      </c>
      <c r="E95" s="166">
        <v>6.8191285113595219</v>
      </c>
      <c r="F95" s="166">
        <v>29.52</v>
      </c>
      <c r="G95" s="148">
        <v>3588.2096666666662</v>
      </c>
      <c r="H95" s="181">
        <f>VLOOKUP($A95&amp;$B95,'KU Inputs'!$C$2:$J$530,MATCH('KU UtilityData'!H$1,'KU Inputs'!$C$1:$J$1,0),0)*1000</f>
        <v>4303455</v>
      </c>
      <c r="I95" s="181">
        <f>VLOOKUP($A95&amp;$B95,'KU Inputs'!$C$2:$J$530,MATCH('KU UtilityData'!I$1,'KU Inputs'!$C$1:$J$1,0),0)*1000</f>
        <v>4303455</v>
      </c>
      <c r="J95" s="181">
        <f>VLOOKUP($A95&amp;$B95,'KU Inputs'!$C$2:$J$530,MATCH('KU UtilityData'!J$1,'KU Inputs'!$C$1:$J$1,0),0)*1000</f>
        <v>1697147</v>
      </c>
      <c r="K95" s="237">
        <v>413875</v>
      </c>
      <c r="L95" s="181">
        <f>VLOOKUP($A95&amp;$B95,'KU Inputs'!$C$2:$J$530,MATCH('KU UtilityData'!L$1,'KU Inputs'!$C$1:$J$1,0),0)</f>
        <v>127793.833</v>
      </c>
      <c r="M95" s="181">
        <f>VLOOKUP($A95&amp;$B95,'KU Inputs'!$C$2:$J$530,MATCH('KU UtilityData'!M$1,'KU Inputs'!$C$1:$J$1,0),0)</f>
        <v>127768.98297284859</v>
      </c>
      <c r="N95" s="242">
        <v>73</v>
      </c>
      <c r="O95" s="242">
        <v>98</v>
      </c>
      <c r="P95" s="159">
        <v>4512</v>
      </c>
      <c r="Q95" s="159">
        <v>1455</v>
      </c>
      <c r="R95" s="271">
        <f t="shared" si="2"/>
        <v>0.39436847835053462</v>
      </c>
    </row>
    <row r="96" spans="1:19" x14ac:dyDescent="0.2">
      <c r="A96" s="147">
        <v>2008</v>
      </c>
      <c r="B96" s="147">
        <v>11</v>
      </c>
      <c r="C96" s="157">
        <v>403306.239</v>
      </c>
      <c r="D96" s="166">
        <v>6.8191285113595219</v>
      </c>
      <c r="E96" s="166">
        <v>6.8191285113595219</v>
      </c>
      <c r="F96" s="166">
        <v>29.38</v>
      </c>
      <c r="G96" s="148">
        <v>3589.8255833333324</v>
      </c>
      <c r="H96" s="181">
        <f>VLOOKUP($A96&amp;$B96,'KU Inputs'!$C$2:$J$530,MATCH('KU UtilityData'!H$1,'KU Inputs'!$C$1:$J$1,0),0)*1000</f>
        <v>4303455</v>
      </c>
      <c r="I96" s="181">
        <f>VLOOKUP($A96&amp;$B96,'KU Inputs'!$C$2:$J$530,MATCH('KU UtilityData'!I$1,'KU Inputs'!$C$1:$J$1,0),0)*1000</f>
        <v>4303455</v>
      </c>
      <c r="J96" s="181">
        <f>VLOOKUP($A96&amp;$B96,'KU Inputs'!$C$2:$J$530,MATCH('KU UtilityData'!J$1,'KU Inputs'!$C$1:$J$1,0),0)*1000</f>
        <v>1697147</v>
      </c>
      <c r="K96" s="239">
        <v>412987</v>
      </c>
      <c r="L96" s="181">
        <f>VLOOKUP($A96&amp;$B96,'KU Inputs'!$C$2:$J$530,MATCH('KU UtilityData'!L$1,'KU Inputs'!$C$1:$J$1,0),0)</f>
        <v>127793.833</v>
      </c>
      <c r="M96" s="181">
        <f>VLOOKUP($A96&amp;$B96,'KU Inputs'!$C$2:$J$530,MATCH('KU UtilityData'!M$1,'KU Inputs'!$C$1:$J$1,0),0)</f>
        <v>127768.98297284859</v>
      </c>
      <c r="N96" s="242">
        <v>411</v>
      </c>
      <c r="O96" s="242">
        <v>15</v>
      </c>
      <c r="P96" s="159">
        <v>4512</v>
      </c>
      <c r="Q96" s="159">
        <v>1455</v>
      </c>
      <c r="R96" s="271">
        <f t="shared" si="2"/>
        <v>0.39436847835053462</v>
      </c>
    </row>
    <row r="97" spans="1:19" x14ac:dyDescent="0.2">
      <c r="A97" s="147">
        <v>2008</v>
      </c>
      <c r="B97" s="147">
        <v>12</v>
      </c>
      <c r="C97" s="157">
        <v>663425.48800000001</v>
      </c>
      <c r="D97" s="166">
        <v>6.8191285113595219</v>
      </c>
      <c r="E97" s="166">
        <v>6.8191285113595219</v>
      </c>
      <c r="F97" s="166">
        <v>32.81</v>
      </c>
      <c r="G97" s="148">
        <v>3591.441499999999</v>
      </c>
      <c r="H97" s="181">
        <f>VLOOKUP($A97&amp;$B97,'KU Inputs'!$C$2:$J$530,MATCH('KU UtilityData'!H$1,'KU Inputs'!$C$1:$J$1,0),0)*1000</f>
        <v>4303455</v>
      </c>
      <c r="I97" s="181">
        <f>VLOOKUP($A97&amp;$B97,'KU Inputs'!$C$2:$J$530,MATCH('KU UtilityData'!I$1,'KU Inputs'!$C$1:$J$1,0),0)*1000</f>
        <v>4303455</v>
      </c>
      <c r="J97" s="181">
        <f>VLOOKUP($A97&amp;$B97,'KU Inputs'!$C$2:$J$530,MATCH('KU UtilityData'!J$1,'KU Inputs'!$C$1:$J$1,0),0)*1000</f>
        <v>1697147</v>
      </c>
      <c r="K97" s="239">
        <v>415778</v>
      </c>
      <c r="L97" s="181">
        <f>VLOOKUP($A97&amp;$B97,'KU Inputs'!$C$2:$J$530,MATCH('KU UtilityData'!L$1,'KU Inputs'!$C$1:$J$1,0),0)</f>
        <v>127793.833</v>
      </c>
      <c r="M97" s="181">
        <f>VLOOKUP($A97&amp;$B97,'KU Inputs'!$C$2:$J$530,MATCH('KU UtilityData'!M$1,'KU Inputs'!$C$1:$J$1,0),0)</f>
        <v>127768.98297284859</v>
      </c>
      <c r="N97" s="242">
        <v>881.55</v>
      </c>
      <c r="O97" s="242">
        <v>0</v>
      </c>
      <c r="P97" s="159">
        <v>4512</v>
      </c>
      <c r="Q97" s="159">
        <v>1455</v>
      </c>
      <c r="R97" s="271">
        <f t="shared" si="2"/>
        <v>0.39436847835053462</v>
      </c>
    </row>
    <row r="98" spans="1:19" x14ac:dyDescent="0.2">
      <c r="A98" s="147">
        <v>2009</v>
      </c>
      <c r="B98" s="147">
        <v>1</v>
      </c>
      <c r="C98" s="157">
        <v>763578.95400000003</v>
      </c>
      <c r="D98" s="166">
        <v>6.8549750593316237</v>
      </c>
      <c r="E98" s="166">
        <v>6.8549750593316237</v>
      </c>
      <c r="F98" s="166">
        <v>32.950000000000003</v>
      </c>
      <c r="G98" s="148">
        <v>3593.0574166666656</v>
      </c>
      <c r="H98" s="181">
        <f>VLOOKUP($A98&amp;$B98,'KU Inputs'!$C$2:$J$530,MATCH('KU UtilityData'!H$1,'KU Inputs'!$C$1:$J$1,0),0)*1000</f>
        <v>4310259</v>
      </c>
      <c r="I98" s="181">
        <f>VLOOKUP($A98&amp;$B98,'KU Inputs'!$C$2:$J$530,MATCH('KU UtilityData'!I$1,'KU Inputs'!$C$1:$J$1,0),0)*1000</f>
        <v>4310259</v>
      </c>
      <c r="J98" s="181">
        <f>VLOOKUP($A98&amp;$B98,'KU Inputs'!$C$2:$J$530,MATCH('KU UtilityData'!J$1,'KU Inputs'!$C$1:$J$1,0),0)*1000</f>
        <v>1699334</v>
      </c>
      <c r="K98" s="240">
        <v>414456</v>
      </c>
      <c r="L98" s="181">
        <f>VLOOKUP($A98&amp;$B98,'KU Inputs'!$C$2:$J$530,MATCH('KU UtilityData'!L$1,'KU Inputs'!$C$1:$J$1,0),0)</f>
        <v>126804.629</v>
      </c>
      <c r="M98" s="181">
        <f>VLOOKUP($A98&amp;$B98,'KU Inputs'!$C$2:$J$530,MATCH('KU UtilityData'!M$1,'KU Inputs'!$C$1:$J$1,0),0)</f>
        <v>126528.96921240388</v>
      </c>
      <c r="N98" s="242">
        <v>1008.15</v>
      </c>
      <c r="O98" s="242">
        <v>0</v>
      </c>
      <c r="P98" s="159">
        <v>4512</v>
      </c>
      <c r="Q98" s="159">
        <v>1455</v>
      </c>
      <c r="R98" s="271">
        <f t="shared" si="2"/>
        <v>0.39425333837247367</v>
      </c>
    </row>
    <row r="99" spans="1:19" x14ac:dyDescent="0.2">
      <c r="A99" s="147">
        <v>2009</v>
      </c>
      <c r="B99" s="147">
        <v>2</v>
      </c>
      <c r="C99" s="157">
        <v>700940.31599999999</v>
      </c>
      <c r="D99" s="166">
        <v>6.8549750593316237</v>
      </c>
      <c r="E99" s="166">
        <v>6.8549750593316237</v>
      </c>
      <c r="F99" s="166">
        <v>30.19</v>
      </c>
      <c r="G99" s="148">
        <v>3594.6733333333323</v>
      </c>
      <c r="H99" s="181">
        <f>VLOOKUP($A99&amp;$B99,'KU Inputs'!$C$2:$J$530,MATCH('KU UtilityData'!H$1,'KU Inputs'!$C$1:$J$1,0),0)*1000</f>
        <v>4310259</v>
      </c>
      <c r="I99" s="181">
        <f>VLOOKUP($A99&amp;$B99,'KU Inputs'!$C$2:$J$530,MATCH('KU UtilityData'!I$1,'KU Inputs'!$C$1:$J$1,0),0)*1000</f>
        <v>4310259</v>
      </c>
      <c r="J99" s="181">
        <f>VLOOKUP($A99&amp;$B99,'KU Inputs'!$C$2:$J$530,MATCH('KU UtilityData'!J$1,'KU Inputs'!$C$1:$J$1,0),0)*1000</f>
        <v>1699334</v>
      </c>
      <c r="K99" s="240">
        <v>416366</v>
      </c>
      <c r="L99" s="181">
        <f>VLOOKUP($A99&amp;$B99,'KU Inputs'!$C$2:$J$530,MATCH('KU UtilityData'!L$1,'KU Inputs'!$C$1:$J$1,0),0)</f>
        <v>126804.629</v>
      </c>
      <c r="M99" s="181">
        <f>VLOOKUP($A99&amp;$B99,'KU Inputs'!$C$2:$J$530,MATCH('KU UtilityData'!M$1,'KU Inputs'!$C$1:$J$1,0),0)</f>
        <v>126528.96921240388</v>
      </c>
      <c r="N99" s="242">
        <v>951</v>
      </c>
      <c r="O99" s="242">
        <v>0</v>
      </c>
      <c r="P99" s="159">
        <v>4512</v>
      </c>
      <c r="Q99" s="159">
        <v>1455</v>
      </c>
      <c r="R99" s="271">
        <f t="shared" si="2"/>
        <v>0.39425333837247367</v>
      </c>
    </row>
    <row r="100" spans="1:19" s="152" customFormat="1" x14ac:dyDescent="0.2">
      <c r="A100" s="152">
        <v>2009</v>
      </c>
      <c r="B100" s="152">
        <v>3</v>
      </c>
      <c r="C100" s="157">
        <v>520849.36700000003</v>
      </c>
      <c r="D100" s="166">
        <v>6.8549750593316237</v>
      </c>
      <c r="E100" s="166">
        <v>6.8549750593316237</v>
      </c>
      <c r="F100" s="166">
        <v>30.05</v>
      </c>
      <c r="G100" s="148">
        <v>3596.2892499999984</v>
      </c>
      <c r="H100" s="181">
        <f>VLOOKUP($A100&amp;$B100,'KU Inputs'!$C$2:$J$530,MATCH('KU UtilityData'!H$1,'KU Inputs'!$C$1:$J$1,0),0)*1000</f>
        <v>4310259</v>
      </c>
      <c r="I100" s="181">
        <f>VLOOKUP($A100&amp;$B100,'KU Inputs'!$C$2:$J$530,MATCH('KU UtilityData'!I$1,'KU Inputs'!$C$1:$J$1,0),0)*1000</f>
        <v>4310259</v>
      </c>
      <c r="J100" s="181">
        <f>VLOOKUP($A100&amp;$B100,'KU Inputs'!$C$2:$J$530,MATCH('KU UtilityData'!J$1,'KU Inputs'!$C$1:$J$1,0),0)*1000</f>
        <v>1699334</v>
      </c>
      <c r="K100" s="240">
        <v>413089</v>
      </c>
      <c r="L100" s="181">
        <f>VLOOKUP($A100&amp;$B100,'KU Inputs'!$C$2:$J$530,MATCH('KU UtilityData'!L$1,'KU Inputs'!$C$1:$J$1,0),0)</f>
        <v>126804.629</v>
      </c>
      <c r="M100" s="181">
        <f>VLOOKUP($A100&amp;$B100,'KU Inputs'!$C$2:$J$530,MATCH('KU UtilityData'!M$1,'KU Inputs'!$C$1:$J$1,0),0)</f>
        <v>126528.96921240388</v>
      </c>
      <c r="N100" s="244">
        <v>652.4</v>
      </c>
      <c r="O100" s="244">
        <v>0</v>
      </c>
      <c r="P100" s="160">
        <v>4512</v>
      </c>
      <c r="Q100" s="160">
        <v>1455</v>
      </c>
      <c r="R100" s="271">
        <f t="shared" si="2"/>
        <v>0.39425333837247367</v>
      </c>
      <c r="S100" s="159"/>
    </row>
    <row r="101" spans="1:19" x14ac:dyDescent="0.2">
      <c r="A101" s="147">
        <v>2009</v>
      </c>
      <c r="B101" s="147">
        <v>4</v>
      </c>
      <c r="C101" s="157">
        <v>486363.99699999997</v>
      </c>
      <c r="D101" s="166">
        <v>6.8549750593316237</v>
      </c>
      <c r="E101" s="166">
        <v>6.8549750593316237</v>
      </c>
      <c r="F101" s="166">
        <v>30.38</v>
      </c>
      <c r="G101" s="148">
        <v>3597.9051666666651</v>
      </c>
      <c r="H101" s="181">
        <f>VLOOKUP($A101&amp;$B101,'KU Inputs'!$C$2:$J$530,MATCH('KU UtilityData'!H$1,'KU Inputs'!$C$1:$J$1,0),0)*1000</f>
        <v>4317074</v>
      </c>
      <c r="I101" s="181">
        <f>VLOOKUP($A101&amp;$B101,'KU Inputs'!$C$2:$J$530,MATCH('KU UtilityData'!I$1,'KU Inputs'!$C$1:$J$1,0),0)*1000</f>
        <v>4317074</v>
      </c>
      <c r="J101" s="181">
        <f>VLOOKUP($A101&amp;$B101,'KU Inputs'!$C$2:$J$530,MATCH('KU UtilityData'!J$1,'KU Inputs'!$C$1:$J$1,0),0)*1000</f>
        <v>1701524</v>
      </c>
      <c r="K101" s="241">
        <v>417844</v>
      </c>
      <c r="L101" s="181">
        <f>VLOOKUP($A101&amp;$B101,'KU Inputs'!$C$2:$J$530,MATCH('KU UtilityData'!L$1,'KU Inputs'!$C$1:$J$1,0),0)</f>
        <v>127078.37</v>
      </c>
      <c r="M101" s="181">
        <f>VLOOKUP($A101&amp;$B101,'KU Inputs'!$C$2:$J$530,MATCH('KU UtilityData'!M$1,'KU Inputs'!$C$1:$J$1,0),0)</f>
        <v>126577.93835717444</v>
      </c>
      <c r="N101" s="245">
        <v>444</v>
      </c>
      <c r="O101" s="245">
        <v>2</v>
      </c>
      <c r="P101" s="159">
        <v>4512</v>
      </c>
      <c r="Q101" s="159">
        <v>1455</v>
      </c>
      <c r="R101" s="271">
        <f t="shared" si="2"/>
        <v>0.3941382519734431</v>
      </c>
    </row>
    <row r="102" spans="1:19" x14ac:dyDescent="0.2">
      <c r="A102" s="147">
        <v>2009</v>
      </c>
      <c r="B102" s="147">
        <v>5</v>
      </c>
      <c r="C102" s="157">
        <v>349813.93099999998</v>
      </c>
      <c r="D102" s="166">
        <v>6.8549750593316237</v>
      </c>
      <c r="E102" s="166">
        <v>6.8549750593316237</v>
      </c>
      <c r="F102" s="166">
        <v>30.24</v>
      </c>
      <c r="G102" s="148">
        <v>3599.5210833333317</v>
      </c>
      <c r="H102" s="181">
        <f>VLOOKUP($A102&amp;$B102,'KU Inputs'!$C$2:$J$530,MATCH('KU UtilityData'!H$1,'KU Inputs'!$C$1:$J$1,0),0)*1000</f>
        <v>4317074</v>
      </c>
      <c r="I102" s="181">
        <f>VLOOKUP($A102&amp;$B102,'KU Inputs'!$C$2:$J$530,MATCH('KU UtilityData'!I$1,'KU Inputs'!$C$1:$J$1,0),0)*1000</f>
        <v>4317074</v>
      </c>
      <c r="J102" s="181">
        <f>VLOOKUP($A102&amp;$B102,'KU Inputs'!$C$2:$J$530,MATCH('KU UtilityData'!J$1,'KU Inputs'!$C$1:$J$1,0),0)*1000</f>
        <v>1701524</v>
      </c>
      <c r="K102" s="241">
        <v>417385</v>
      </c>
      <c r="L102" s="181">
        <f>VLOOKUP($A102&amp;$B102,'KU Inputs'!$C$2:$J$530,MATCH('KU UtilityData'!L$1,'KU Inputs'!$C$1:$J$1,0),0)</f>
        <v>127078.37</v>
      </c>
      <c r="M102" s="181">
        <f>VLOOKUP($A102&amp;$B102,'KU Inputs'!$C$2:$J$530,MATCH('KU UtilityData'!M$1,'KU Inputs'!$C$1:$J$1,0),0)</f>
        <v>126577.93835717444</v>
      </c>
      <c r="N102" s="245">
        <v>198.7</v>
      </c>
      <c r="O102" s="245">
        <v>48.2</v>
      </c>
      <c r="P102" s="159">
        <v>4512</v>
      </c>
      <c r="Q102" s="159">
        <v>1455</v>
      </c>
      <c r="R102" s="271">
        <f t="shared" si="2"/>
        <v>0.3941382519734431</v>
      </c>
    </row>
    <row r="103" spans="1:19" x14ac:dyDescent="0.2">
      <c r="A103" s="147">
        <v>2009</v>
      </c>
      <c r="B103" s="147">
        <v>6</v>
      </c>
      <c r="C103" s="157">
        <v>445749.39399999997</v>
      </c>
      <c r="D103" s="166">
        <v>6.8549750593316237</v>
      </c>
      <c r="E103" s="166">
        <v>6.8549750593316237</v>
      </c>
      <c r="F103" s="166">
        <v>30.38</v>
      </c>
      <c r="G103" s="148">
        <v>3601.1370000000002</v>
      </c>
      <c r="H103" s="181">
        <f>VLOOKUP($A103&amp;$B103,'KU Inputs'!$C$2:$J$530,MATCH('KU UtilityData'!H$1,'KU Inputs'!$C$1:$J$1,0),0)*1000</f>
        <v>4317074</v>
      </c>
      <c r="I103" s="181">
        <f>VLOOKUP($A103&amp;$B103,'KU Inputs'!$C$2:$J$530,MATCH('KU UtilityData'!I$1,'KU Inputs'!$C$1:$J$1,0),0)*1000</f>
        <v>4317074</v>
      </c>
      <c r="J103" s="181">
        <f>VLOOKUP($A103&amp;$B103,'KU Inputs'!$C$2:$J$530,MATCH('KU UtilityData'!J$1,'KU Inputs'!$C$1:$J$1,0),0)*1000</f>
        <v>1701524</v>
      </c>
      <c r="K103" s="241">
        <v>419411</v>
      </c>
      <c r="L103" s="181">
        <f>VLOOKUP($A103&amp;$B103,'KU Inputs'!$C$2:$J$530,MATCH('KU UtilityData'!L$1,'KU Inputs'!$C$1:$J$1,0),0)</f>
        <v>127078.37</v>
      </c>
      <c r="M103" s="181">
        <f>VLOOKUP($A103&amp;$B103,'KU Inputs'!$C$2:$J$530,MATCH('KU UtilityData'!M$1,'KU Inputs'!$C$1:$J$1,0),0)</f>
        <v>126577.93835717444</v>
      </c>
      <c r="N103" s="245">
        <v>44</v>
      </c>
      <c r="O103" s="245">
        <v>168</v>
      </c>
      <c r="P103" s="159">
        <v>4512</v>
      </c>
      <c r="Q103" s="159">
        <v>1455</v>
      </c>
      <c r="R103" s="271">
        <f t="shared" si="2"/>
        <v>0.3941382519734431</v>
      </c>
    </row>
    <row r="104" spans="1:19" x14ac:dyDescent="0.2">
      <c r="A104" s="147">
        <v>2009</v>
      </c>
      <c r="B104" s="147">
        <v>7</v>
      </c>
      <c r="C104" s="157">
        <v>519283.15</v>
      </c>
      <c r="D104" s="166">
        <v>6.8549750593316237</v>
      </c>
      <c r="E104" s="166">
        <v>6.8549750593316237</v>
      </c>
      <c r="F104" s="166">
        <v>30.71</v>
      </c>
      <c r="G104" s="148">
        <v>3603.1294136904762</v>
      </c>
      <c r="H104" s="181">
        <f>VLOOKUP($A104&amp;$B104,'KU Inputs'!$C$2:$J$530,MATCH('KU UtilityData'!H$1,'KU Inputs'!$C$1:$J$1,0),0)*1000</f>
        <v>4324502</v>
      </c>
      <c r="I104" s="181">
        <f>VLOOKUP($A104&amp;$B104,'KU Inputs'!$C$2:$J$530,MATCH('KU UtilityData'!I$1,'KU Inputs'!$C$1:$J$1,0),0)*1000</f>
        <v>4324505</v>
      </c>
      <c r="J104" s="181">
        <f>VLOOKUP($A104&amp;$B104,'KU Inputs'!$C$2:$J$530,MATCH('KU UtilityData'!J$1,'KU Inputs'!$C$1:$J$1,0),0)*1000</f>
        <v>1707499</v>
      </c>
      <c r="K104" s="241">
        <v>419168</v>
      </c>
      <c r="L104" s="181">
        <f>VLOOKUP($A104&amp;$B104,'KU Inputs'!$C$2:$J$530,MATCH('KU UtilityData'!L$1,'KU Inputs'!$C$1:$J$1,0),0)</f>
        <v>125951.257</v>
      </c>
      <c r="M104" s="181">
        <f>VLOOKUP($A104&amp;$B104,'KU Inputs'!$C$2:$J$530,MATCH('KU UtilityData'!M$1,'KU Inputs'!$C$1:$J$1,0),0)</f>
        <v>125084.38915061975</v>
      </c>
      <c r="N104" s="245">
        <v>2.5499999999999998</v>
      </c>
      <c r="O104" s="245">
        <v>275.7</v>
      </c>
      <c r="P104" s="159">
        <v>4512</v>
      </c>
      <c r="Q104" s="159">
        <v>1455</v>
      </c>
      <c r="R104" s="271">
        <f t="shared" si="2"/>
        <v>0.39484264673066627</v>
      </c>
    </row>
    <row r="105" spans="1:19" x14ac:dyDescent="0.2">
      <c r="A105" s="147">
        <v>2009</v>
      </c>
      <c r="B105" s="147">
        <v>8</v>
      </c>
      <c r="C105" s="157">
        <v>490804.217</v>
      </c>
      <c r="D105" s="166">
        <v>6.8549750593316237</v>
      </c>
      <c r="E105" s="166">
        <v>6.8549750593316237</v>
      </c>
      <c r="F105" s="166">
        <v>29.52</v>
      </c>
      <c r="G105" s="148">
        <v>3605.1218273809523</v>
      </c>
      <c r="H105" s="181">
        <f>VLOOKUP($A105&amp;$B105,'KU Inputs'!$C$2:$J$530,MATCH('KU UtilityData'!H$1,'KU Inputs'!$C$1:$J$1,0),0)*1000</f>
        <v>4324502</v>
      </c>
      <c r="I105" s="181">
        <f>VLOOKUP($A105&amp;$B105,'KU Inputs'!$C$2:$J$530,MATCH('KU UtilityData'!I$1,'KU Inputs'!$C$1:$J$1,0),0)*1000</f>
        <v>4324505</v>
      </c>
      <c r="J105" s="181">
        <f>VLOOKUP($A105&amp;$B105,'KU Inputs'!$C$2:$J$530,MATCH('KU UtilityData'!J$1,'KU Inputs'!$C$1:$J$1,0),0)*1000</f>
        <v>1707499</v>
      </c>
      <c r="K105" s="241">
        <v>419609</v>
      </c>
      <c r="L105" s="181">
        <f>VLOOKUP($A105&amp;$B105,'KU Inputs'!$C$2:$J$530,MATCH('KU UtilityData'!L$1,'KU Inputs'!$C$1:$J$1,0),0)</f>
        <v>125951.257</v>
      </c>
      <c r="M105" s="181">
        <f>VLOOKUP($A105&amp;$B105,'KU Inputs'!$C$2:$J$530,MATCH('KU UtilityData'!M$1,'KU Inputs'!$C$1:$J$1,0),0)</f>
        <v>125084.38915061975</v>
      </c>
      <c r="N105" s="245">
        <v>2</v>
      </c>
      <c r="O105" s="245">
        <v>248</v>
      </c>
      <c r="P105" s="159">
        <v>4512</v>
      </c>
      <c r="Q105" s="159">
        <v>1455</v>
      </c>
      <c r="R105" s="271">
        <f t="shared" si="2"/>
        <v>0.39484264673066627</v>
      </c>
    </row>
    <row r="106" spans="1:19" x14ac:dyDescent="0.2">
      <c r="A106" s="147">
        <v>2009</v>
      </c>
      <c r="B106" s="147">
        <v>9</v>
      </c>
      <c r="C106" s="157">
        <v>473412.82900000003</v>
      </c>
      <c r="D106" s="166">
        <v>6.8549750593316237</v>
      </c>
      <c r="E106" s="166">
        <v>6.8549750593316237</v>
      </c>
      <c r="F106" s="166">
        <v>30.48</v>
      </c>
      <c r="G106" s="148">
        <v>3607.1142410714288</v>
      </c>
      <c r="H106" s="181">
        <f>VLOOKUP($A106&amp;$B106,'KU Inputs'!$C$2:$J$530,MATCH('KU UtilityData'!H$1,'KU Inputs'!$C$1:$J$1,0),0)*1000</f>
        <v>4324502</v>
      </c>
      <c r="I106" s="181">
        <f>VLOOKUP($A106&amp;$B106,'KU Inputs'!$C$2:$J$530,MATCH('KU UtilityData'!I$1,'KU Inputs'!$C$1:$J$1,0),0)*1000</f>
        <v>4324505</v>
      </c>
      <c r="J106" s="181">
        <f>VLOOKUP($A106&amp;$B106,'KU Inputs'!$C$2:$J$530,MATCH('KU UtilityData'!J$1,'KU Inputs'!$C$1:$J$1,0),0)*1000</f>
        <v>1707499</v>
      </c>
      <c r="K106" s="241">
        <v>419004</v>
      </c>
      <c r="L106" s="181">
        <f>VLOOKUP($A106&amp;$B106,'KU Inputs'!$C$2:$J$530,MATCH('KU UtilityData'!L$1,'KU Inputs'!$C$1:$J$1,0),0)</f>
        <v>125951.257</v>
      </c>
      <c r="M106" s="181">
        <f>VLOOKUP($A106&amp;$B106,'KU Inputs'!$C$2:$J$530,MATCH('KU UtilityData'!M$1,'KU Inputs'!$C$1:$J$1,0),0)</f>
        <v>125084.38915061975</v>
      </c>
      <c r="N106" s="157">
        <v>3.9</v>
      </c>
      <c r="O106" s="157">
        <v>210.15</v>
      </c>
      <c r="P106" s="159">
        <v>4512</v>
      </c>
      <c r="Q106" s="159">
        <v>1455</v>
      </c>
      <c r="R106" s="271">
        <f t="shared" si="2"/>
        <v>0.39484264673066627</v>
      </c>
    </row>
    <row r="107" spans="1:19" x14ac:dyDescent="0.2">
      <c r="A107" s="147">
        <v>2009</v>
      </c>
      <c r="B107" s="147">
        <v>10</v>
      </c>
      <c r="C107" s="157">
        <v>377414.3</v>
      </c>
      <c r="D107" s="166">
        <v>6.8549750593316237</v>
      </c>
      <c r="E107" s="166">
        <v>6.8549750593316237</v>
      </c>
      <c r="F107" s="166">
        <v>29.67</v>
      </c>
      <c r="G107" s="148">
        <v>3609.1066547619048</v>
      </c>
      <c r="H107" s="181">
        <f>VLOOKUP($A107&amp;$B107,'KU Inputs'!$C$2:$J$530,MATCH('KU UtilityData'!H$1,'KU Inputs'!$C$1:$J$1,0),0)*1000</f>
        <v>4331929</v>
      </c>
      <c r="I107" s="181">
        <f>VLOOKUP($A107&amp;$B107,'KU Inputs'!$C$2:$J$530,MATCH('KU UtilityData'!I$1,'KU Inputs'!$C$1:$J$1,0),0)*1000</f>
        <v>4331936</v>
      </c>
      <c r="J107" s="181">
        <f>VLOOKUP($A107&amp;$B107,'KU Inputs'!$C$2:$J$530,MATCH('KU UtilityData'!J$1,'KU Inputs'!$C$1:$J$1,0),0)*1000</f>
        <v>1713644</v>
      </c>
      <c r="K107" s="241">
        <v>419358</v>
      </c>
      <c r="L107" s="181">
        <f>VLOOKUP($A107&amp;$B107,'KU Inputs'!$C$2:$J$530,MATCH('KU UtilityData'!L$1,'KU Inputs'!$C$1:$J$1,0),0)</f>
        <v>125669.07</v>
      </c>
      <c r="M107" s="181">
        <f>VLOOKUP($A107&amp;$B107,'KU Inputs'!$C$2:$J$530,MATCH('KU UtilityData'!M$1,'KU Inputs'!$C$1:$J$1,0),0)</f>
        <v>124877.88491220424</v>
      </c>
      <c r="N107" s="245">
        <v>159</v>
      </c>
      <c r="O107" s="245">
        <v>77.050000000000011</v>
      </c>
      <c r="P107" s="159">
        <v>4512</v>
      </c>
      <c r="Q107" s="159">
        <v>1455</v>
      </c>
      <c r="R107" s="271">
        <f t="shared" si="2"/>
        <v>0.39558386827506226</v>
      </c>
    </row>
    <row r="108" spans="1:19" x14ac:dyDescent="0.2">
      <c r="A108" s="147">
        <v>2009</v>
      </c>
      <c r="B108" s="147">
        <v>11</v>
      </c>
      <c r="C108" s="157">
        <v>382254.54399999999</v>
      </c>
      <c r="D108" s="166">
        <v>6.8549750593316237</v>
      </c>
      <c r="E108" s="166">
        <v>6.8549750593316237</v>
      </c>
      <c r="F108" s="166">
        <v>29.76</v>
      </c>
      <c r="G108" s="148">
        <v>3611.0990684523813</v>
      </c>
      <c r="H108" s="181">
        <f>VLOOKUP($A108&amp;$B108,'KU Inputs'!$C$2:$J$530,MATCH('KU UtilityData'!H$1,'KU Inputs'!$C$1:$J$1,0),0)*1000</f>
        <v>4331929</v>
      </c>
      <c r="I108" s="181">
        <f>VLOOKUP($A108&amp;$B108,'KU Inputs'!$C$2:$J$530,MATCH('KU UtilityData'!I$1,'KU Inputs'!$C$1:$J$1,0),0)*1000</f>
        <v>4331936</v>
      </c>
      <c r="J108" s="181">
        <f>VLOOKUP($A108&amp;$B108,'KU Inputs'!$C$2:$J$530,MATCH('KU UtilityData'!J$1,'KU Inputs'!$C$1:$J$1,0),0)*1000</f>
        <v>1713644</v>
      </c>
      <c r="K108" s="241">
        <v>419994</v>
      </c>
      <c r="L108" s="181">
        <f>VLOOKUP($A108&amp;$B108,'KU Inputs'!$C$2:$J$530,MATCH('KU UtilityData'!L$1,'KU Inputs'!$C$1:$J$1,0),0)</f>
        <v>125669.07</v>
      </c>
      <c r="M108" s="181">
        <f>VLOOKUP($A108&amp;$B108,'KU Inputs'!$C$2:$J$530,MATCH('KU UtilityData'!M$1,'KU Inputs'!$C$1:$J$1,0),0)</f>
        <v>124877.88491220424</v>
      </c>
      <c r="N108" s="157">
        <v>399.8</v>
      </c>
      <c r="O108" s="157">
        <v>6</v>
      </c>
      <c r="P108" s="159">
        <v>4512</v>
      </c>
      <c r="Q108" s="159">
        <v>1455</v>
      </c>
      <c r="R108" s="271">
        <f t="shared" si="2"/>
        <v>0.39558386827506226</v>
      </c>
    </row>
    <row r="109" spans="1:19" x14ac:dyDescent="0.2">
      <c r="A109" s="147">
        <v>2009</v>
      </c>
      <c r="B109" s="147">
        <v>12</v>
      </c>
      <c r="C109" s="157">
        <v>590186.25699999998</v>
      </c>
      <c r="D109" s="166">
        <v>6.8549750593316237</v>
      </c>
      <c r="E109" s="166">
        <v>6.8549750593316237</v>
      </c>
      <c r="F109" s="166">
        <v>31.57</v>
      </c>
      <c r="G109" s="148">
        <v>3613.0914821428573</v>
      </c>
      <c r="H109" s="181">
        <f>VLOOKUP($A109&amp;$B109,'KU Inputs'!$C$2:$J$530,MATCH('KU UtilityData'!H$1,'KU Inputs'!$C$1:$J$1,0),0)*1000</f>
        <v>4331929</v>
      </c>
      <c r="I109" s="181">
        <f>VLOOKUP($A109&amp;$B109,'KU Inputs'!$C$2:$J$530,MATCH('KU UtilityData'!I$1,'KU Inputs'!$C$1:$J$1,0),0)*1000</f>
        <v>4331936</v>
      </c>
      <c r="J109" s="181">
        <f>VLOOKUP($A109&amp;$B109,'KU Inputs'!$C$2:$J$530,MATCH('KU UtilityData'!J$1,'KU Inputs'!$C$1:$J$1,0),0)*1000</f>
        <v>1713644</v>
      </c>
      <c r="K109" s="241">
        <v>420911</v>
      </c>
      <c r="L109" s="181">
        <f>VLOOKUP($A109&amp;$B109,'KU Inputs'!$C$2:$J$530,MATCH('KU UtilityData'!L$1,'KU Inputs'!$C$1:$J$1,0),0)</f>
        <v>125669.07</v>
      </c>
      <c r="M109" s="181">
        <f>VLOOKUP($A109&amp;$B109,'KU Inputs'!$C$2:$J$530,MATCH('KU UtilityData'!M$1,'KU Inputs'!$C$1:$J$1,0),0)</f>
        <v>124877.88491220424</v>
      </c>
      <c r="N109" s="245">
        <v>718</v>
      </c>
      <c r="O109" s="157">
        <v>1</v>
      </c>
      <c r="P109" s="159">
        <v>4512</v>
      </c>
      <c r="Q109" s="159">
        <v>1455</v>
      </c>
      <c r="R109" s="271">
        <f t="shared" si="2"/>
        <v>0.39558386827506226</v>
      </c>
    </row>
    <row r="110" spans="1:19" x14ac:dyDescent="0.2">
      <c r="A110" s="147">
        <v>2010</v>
      </c>
      <c r="B110" s="147">
        <v>1</v>
      </c>
      <c r="C110" s="157">
        <v>843332.54799999995</v>
      </c>
      <c r="D110" s="166">
        <v>7.05998860191138</v>
      </c>
      <c r="E110" s="166">
        <v>7.05998860191138</v>
      </c>
      <c r="F110" s="166">
        <v>32.520000000000003</v>
      </c>
      <c r="G110" s="148">
        <v>3615.0838958333334</v>
      </c>
      <c r="H110" s="181">
        <f>VLOOKUP($A110&amp;$B110,'KU Inputs'!$C$2:$J$530,MATCH('KU UtilityData'!H$1,'KU Inputs'!$C$1:$J$1,0),0)*1000</f>
        <v>4339357</v>
      </c>
      <c r="I110" s="181">
        <f>VLOOKUP($A110&amp;$B110,'KU Inputs'!$C$2:$J$530,MATCH('KU UtilityData'!I$1,'KU Inputs'!$C$1:$J$1,0),0)*1000</f>
        <v>4339367</v>
      </c>
      <c r="J110" s="181">
        <f>VLOOKUP($A110&amp;$B110,'KU Inputs'!$C$2:$J$530,MATCH('KU UtilityData'!J$1,'KU Inputs'!$C$1:$J$1,0),0)*1000</f>
        <v>1719965</v>
      </c>
      <c r="K110" s="241">
        <v>420814</v>
      </c>
      <c r="L110" s="181">
        <f>VLOOKUP($A110&amp;$B110,'KU Inputs'!$C$2:$J$530,MATCH('KU UtilityData'!L$1,'KU Inputs'!$C$1:$J$1,0),0)</f>
        <v>124919.205</v>
      </c>
      <c r="M110" s="181">
        <f>VLOOKUP($A110&amp;$B110,'KU Inputs'!$C$2:$J$530,MATCH('KU UtilityData'!M$1,'KU Inputs'!$C$1:$J$1,0),0)</f>
        <v>125922.34413694619</v>
      </c>
      <c r="N110" s="245">
        <v>1096.8000000000002</v>
      </c>
      <c r="O110" s="245">
        <v>0</v>
      </c>
      <c r="P110" s="159">
        <v>4512</v>
      </c>
      <c r="Q110" s="159">
        <v>1455</v>
      </c>
      <c r="R110" s="271">
        <f t="shared" si="2"/>
        <v>0.39636311010338604</v>
      </c>
    </row>
    <row r="111" spans="1:19" x14ac:dyDescent="0.2">
      <c r="A111" s="147">
        <v>2010</v>
      </c>
      <c r="B111" s="147">
        <v>2</v>
      </c>
      <c r="C111" s="157">
        <v>718201.08799999999</v>
      </c>
      <c r="D111" s="166">
        <v>7.05998860191138</v>
      </c>
      <c r="E111" s="166">
        <v>7.05998860191138</v>
      </c>
      <c r="F111" s="166">
        <v>30.14</v>
      </c>
      <c r="G111" s="148">
        <v>3617.0763095238099</v>
      </c>
      <c r="H111" s="181">
        <f>VLOOKUP($A111&amp;$B111,'KU Inputs'!$C$2:$J$530,MATCH('KU UtilityData'!H$1,'KU Inputs'!$C$1:$J$1,0),0)*1000</f>
        <v>4339357</v>
      </c>
      <c r="I111" s="181">
        <f>VLOOKUP($A111&amp;$B111,'KU Inputs'!$C$2:$J$530,MATCH('KU UtilityData'!I$1,'KU Inputs'!$C$1:$J$1,0),0)*1000</f>
        <v>4339367</v>
      </c>
      <c r="J111" s="181">
        <f>VLOOKUP($A111&amp;$B111,'KU Inputs'!$C$2:$J$530,MATCH('KU UtilityData'!J$1,'KU Inputs'!$C$1:$J$1,0),0)*1000</f>
        <v>1719965</v>
      </c>
      <c r="K111" s="241">
        <v>420768</v>
      </c>
      <c r="L111" s="181">
        <f>VLOOKUP($A111&amp;$B111,'KU Inputs'!$C$2:$J$530,MATCH('KU UtilityData'!L$1,'KU Inputs'!$C$1:$J$1,0),0)</f>
        <v>124919.205</v>
      </c>
      <c r="M111" s="181">
        <f>VLOOKUP($A111&amp;$B111,'KU Inputs'!$C$2:$J$530,MATCH('KU UtilityData'!M$1,'KU Inputs'!$C$1:$J$1,0),0)</f>
        <v>125922.34413694619</v>
      </c>
      <c r="N111" s="245">
        <v>990</v>
      </c>
      <c r="O111" s="245">
        <v>0</v>
      </c>
      <c r="P111" s="159">
        <v>4512</v>
      </c>
      <c r="Q111" s="159">
        <v>1455</v>
      </c>
      <c r="R111" s="271">
        <f t="shared" si="2"/>
        <v>0.39636311010338604</v>
      </c>
    </row>
    <row r="112" spans="1:19" x14ac:dyDescent="0.2">
      <c r="A112" s="147">
        <v>2010</v>
      </c>
      <c r="B112" s="147">
        <v>3</v>
      </c>
      <c r="C112" s="157">
        <v>640593.848</v>
      </c>
      <c r="D112" s="166">
        <v>7.05998860191138</v>
      </c>
      <c r="E112" s="166">
        <v>7.05998860191138</v>
      </c>
      <c r="F112" s="166">
        <v>30</v>
      </c>
      <c r="G112" s="148">
        <v>3619.0687232142859</v>
      </c>
      <c r="H112" s="181">
        <f>VLOOKUP($A112&amp;$B112,'KU Inputs'!$C$2:$J$530,MATCH('KU UtilityData'!H$1,'KU Inputs'!$C$1:$J$1,0),0)*1000</f>
        <v>4339357</v>
      </c>
      <c r="I112" s="181">
        <f>VLOOKUP($A112&amp;$B112,'KU Inputs'!$C$2:$J$530,MATCH('KU UtilityData'!I$1,'KU Inputs'!$C$1:$J$1,0),0)*1000</f>
        <v>4339367</v>
      </c>
      <c r="J112" s="181">
        <f>VLOOKUP($A112&amp;$B112,'KU Inputs'!$C$2:$J$530,MATCH('KU UtilityData'!J$1,'KU Inputs'!$C$1:$J$1,0),0)*1000</f>
        <v>1719965</v>
      </c>
      <c r="K112" s="241">
        <v>421606</v>
      </c>
      <c r="L112" s="181">
        <f>VLOOKUP($A112&amp;$B112,'KU Inputs'!$C$2:$J$530,MATCH('KU UtilityData'!L$1,'KU Inputs'!$C$1:$J$1,0),0)</f>
        <v>124919.205</v>
      </c>
      <c r="M112" s="181">
        <f>VLOOKUP($A112&amp;$B112,'KU Inputs'!$C$2:$J$530,MATCH('KU UtilityData'!M$1,'KU Inputs'!$C$1:$J$1,0),0)</f>
        <v>125922.34413694619</v>
      </c>
      <c r="N112" s="245">
        <v>891</v>
      </c>
      <c r="O112" s="245">
        <v>0</v>
      </c>
      <c r="P112" s="159">
        <v>4512</v>
      </c>
      <c r="Q112" s="159">
        <v>1455</v>
      </c>
      <c r="R112" s="271">
        <f t="shared" si="2"/>
        <v>0.39636311010338604</v>
      </c>
    </row>
    <row r="113" spans="1:18" x14ac:dyDescent="0.2">
      <c r="A113" s="147">
        <v>2010</v>
      </c>
      <c r="B113" s="147">
        <v>4</v>
      </c>
      <c r="C113" s="157">
        <v>414730.73</v>
      </c>
      <c r="D113" s="166">
        <v>7.05998860191138</v>
      </c>
      <c r="E113" s="166">
        <v>7.05998860191138</v>
      </c>
      <c r="F113" s="166">
        <v>30.86</v>
      </c>
      <c r="G113" s="148">
        <v>3621.061136904762</v>
      </c>
      <c r="H113" s="181">
        <f>VLOOKUP($A113&amp;$B113,'KU Inputs'!$C$2:$J$530,MATCH('KU UtilityData'!H$1,'KU Inputs'!$C$1:$J$1,0),0)*1000</f>
        <v>4346655</v>
      </c>
      <c r="I113" s="181">
        <f>VLOOKUP($A113&amp;$B113,'KU Inputs'!$C$2:$J$530,MATCH('KU UtilityData'!I$1,'KU Inputs'!$C$1:$J$1,0),0)*1000</f>
        <v>4347223</v>
      </c>
      <c r="J113" s="181">
        <f>VLOOKUP($A113&amp;$B113,'KU Inputs'!$C$2:$J$530,MATCH('KU UtilityData'!J$1,'KU Inputs'!$C$1:$J$1,0),0)*1000</f>
        <v>1722129</v>
      </c>
      <c r="K113" s="241">
        <v>420651</v>
      </c>
      <c r="L113" s="181">
        <f>VLOOKUP($A113&amp;$B113,'KU Inputs'!$C$2:$J$530,MATCH('KU UtilityData'!L$1,'KU Inputs'!$C$1:$J$1,0),0)</f>
        <v>126480.192</v>
      </c>
      <c r="M113" s="181">
        <f>VLOOKUP($A113&amp;$B113,'KU Inputs'!$C$2:$J$530,MATCH('KU UtilityData'!M$1,'KU Inputs'!$C$1:$J$1,0),0)</f>
        <v>127253.61010830327</v>
      </c>
      <c r="N113" s="157">
        <v>365.6</v>
      </c>
      <c r="O113" s="157">
        <v>24.8</v>
      </c>
      <c r="P113" s="159">
        <v>4512</v>
      </c>
      <c r="Q113" s="159">
        <v>1455</v>
      </c>
      <c r="R113" s="271">
        <f t="shared" si="2"/>
        <v>0.396144619220132</v>
      </c>
    </row>
    <row r="114" spans="1:18" x14ac:dyDescent="0.2">
      <c r="A114" s="147">
        <v>2010</v>
      </c>
      <c r="B114" s="147">
        <v>5</v>
      </c>
      <c r="C114" s="157">
        <v>343043.68699999998</v>
      </c>
      <c r="D114" s="166">
        <v>7.05998860191138</v>
      </c>
      <c r="E114" s="166">
        <v>7.05998860191138</v>
      </c>
      <c r="F114" s="166">
        <v>30.48</v>
      </c>
      <c r="G114" s="148">
        <v>3623.0535505952384</v>
      </c>
      <c r="H114" s="181">
        <f>VLOOKUP($A114&amp;$B114,'KU Inputs'!$C$2:$J$530,MATCH('KU UtilityData'!H$1,'KU Inputs'!$C$1:$J$1,0),0)*1000</f>
        <v>4346655</v>
      </c>
      <c r="I114" s="181">
        <f>VLOOKUP($A114&amp;$B114,'KU Inputs'!$C$2:$J$530,MATCH('KU UtilityData'!I$1,'KU Inputs'!$C$1:$J$1,0),0)*1000</f>
        <v>4347223</v>
      </c>
      <c r="J114" s="181">
        <f>VLOOKUP($A114&amp;$B114,'KU Inputs'!$C$2:$J$530,MATCH('KU UtilityData'!J$1,'KU Inputs'!$C$1:$J$1,0),0)*1000</f>
        <v>1722129</v>
      </c>
      <c r="K114" s="241">
        <v>420639</v>
      </c>
      <c r="L114" s="181">
        <f>VLOOKUP($A114&amp;$B114,'KU Inputs'!$C$2:$J$530,MATCH('KU UtilityData'!L$1,'KU Inputs'!$C$1:$J$1,0),0)</f>
        <v>126480.192</v>
      </c>
      <c r="M114" s="181">
        <f>VLOOKUP($A114&amp;$B114,'KU Inputs'!$C$2:$J$530,MATCH('KU UtilityData'!M$1,'KU Inputs'!$C$1:$J$1,0),0)</f>
        <v>127253.61010830327</v>
      </c>
      <c r="N114" s="245">
        <v>167.25</v>
      </c>
      <c r="O114" s="245">
        <v>46.900000000000006</v>
      </c>
      <c r="P114" s="159">
        <v>4512</v>
      </c>
      <c r="Q114" s="159">
        <v>1455</v>
      </c>
      <c r="R114" s="271">
        <f t="shared" si="2"/>
        <v>0.396144619220132</v>
      </c>
    </row>
    <row r="115" spans="1:18" x14ac:dyDescent="0.2">
      <c r="A115" s="147">
        <v>2010</v>
      </c>
      <c r="B115" s="147">
        <v>6</v>
      </c>
      <c r="C115" s="157">
        <v>497970.86700000003</v>
      </c>
      <c r="D115" s="166">
        <v>7.05998860191138</v>
      </c>
      <c r="E115" s="166">
        <v>7.05998860191138</v>
      </c>
      <c r="F115" s="166">
        <v>30.67</v>
      </c>
      <c r="G115" s="148">
        <v>3625.0459642857127</v>
      </c>
      <c r="H115" s="181">
        <f>VLOOKUP($A115&amp;$B115,'KU Inputs'!$C$2:$J$530,MATCH('KU UtilityData'!H$1,'KU Inputs'!$C$1:$J$1,0),0)*1000</f>
        <v>4346655</v>
      </c>
      <c r="I115" s="181">
        <f>VLOOKUP($A115&amp;$B115,'KU Inputs'!$C$2:$J$530,MATCH('KU UtilityData'!I$1,'KU Inputs'!$C$1:$J$1,0),0)*1000</f>
        <v>4347223</v>
      </c>
      <c r="J115" s="181">
        <f>VLOOKUP($A115&amp;$B115,'KU Inputs'!$C$2:$J$530,MATCH('KU UtilityData'!J$1,'KU Inputs'!$C$1:$J$1,0),0)*1000</f>
        <v>1722129</v>
      </c>
      <c r="K115" s="241">
        <v>421909</v>
      </c>
      <c r="L115" s="181">
        <f>VLOOKUP($A115&amp;$B115,'KU Inputs'!$C$2:$J$530,MATCH('KU UtilityData'!L$1,'KU Inputs'!$C$1:$J$1,0),0)</f>
        <v>126480.192</v>
      </c>
      <c r="M115" s="181">
        <f>VLOOKUP($A115&amp;$B115,'KU Inputs'!$C$2:$J$530,MATCH('KU UtilityData'!M$1,'KU Inputs'!$C$1:$J$1,0),0)</f>
        <v>127253.61010830327</v>
      </c>
      <c r="N115" s="245">
        <v>35.5</v>
      </c>
      <c r="O115" s="245">
        <v>241.10000000000002</v>
      </c>
      <c r="P115" s="159">
        <v>4512</v>
      </c>
      <c r="Q115" s="159">
        <v>1455</v>
      </c>
      <c r="R115" s="271">
        <f t="shared" si="2"/>
        <v>0.396144619220132</v>
      </c>
    </row>
    <row r="116" spans="1:18" x14ac:dyDescent="0.2">
      <c r="A116" s="147">
        <v>2010</v>
      </c>
      <c r="B116" s="147">
        <v>7</v>
      </c>
      <c r="C116" s="157">
        <v>612322.51300000004</v>
      </c>
      <c r="D116" s="166">
        <v>7.05998860191138</v>
      </c>
      <c r="E116" s="166">
        <v>7.05998860191138</v>
      </c>
      <c r="F116" s="166">
        <v>30.71</v>
      </c>
      <c r="G116" s="148">
        <v>3626.8494751984113</v>
      </c>
      <c r="H116" s="181">
        <f>VLOOKUP($A116&amp;$B116,'KU Inputs'!$C$2:$J$530,MATCH('KU UtilityData'!H$1,'KU Inputs'!$C$1:$J$1,0),0)*1000</f>
        <v>4351695</v>
      </c>
      <c r="I116" s="181">
        <f>VLOOKUP($A116&amp;$B116,'KU Inputs'!$C$2:$J$530,MATCH('KU UtilityData'!I$1,'KU Inputs'!$C$1:$J$1,0),0)*1000</f>
        <v>4352756</v>
      </c>
      <c r="J116" s="181">
        <f>VLOOKUP($A116&amp;$B116,'KU Inputs'!$C$2:$J$530,MATCH('KU UtilityData'!J$1,'KU Inputs'!$C$1:$J$1,0),0)*1000</f>
        <v>1719077</v>
      </c>
      <c r="K116" s="241">
        <v>421060</v>
      </c>
      <c r="L116" s="181">
        <f>VLOOKUP($A116&amp;$B116,'KU Inputs'!$C$2:$J$530,MATCH('KU UtilityData'!L$1,'KU Inputs'!$C$1:$J$1,0),0)</f>
        <v>127650.806</v>
      </c>
      <c r="M116" s="181">
        <f>VLOOKUP($A116&amp;$B116,'KU Inputs'!$C$2:$J$530,MATCH('KU UtilityData'!M$1,'KU Inputs'!$C$1:$J$1,0),0)</f>
        <v>127891.93371358656</v>
      </c>
      <c r="N116" s="245">
        <v>0</v>
      </c>
      <c r="O116" s="245">
        <v>381.4</v>
      </c>
      <c r="P116" s="159">
        <v>4512</v>
      </c>
      <c r="Q116" s="159">
        <v>1455</v>
      </c>
      <c r="R116" s="271">
        <f t="shared" si="2"/>
        <v>0.39493989555123238</v>
      </c>
    </row>
    <row r="117" spans="1:18" x14ac:dyDescent="0.2">
      <c r="A117" s="147">
        <v>2010</v>
      </c>
      <c r="B117" s="147">
        <v>8</v>
      </c>
      <c r="C117" s="157">
        <v>639552.73400000005</v>
      </c>
      <c r="D117" s="166">
        <v>7.05998860191138</v>
      </c>
      <c r="E117" s="166">
        <v>7.05998860191138</v>
      </c>
      <c r="F117" s="166">
        <v>29.52</v>
      </c>
      <c r="G117" s="148">
        <v>3628.6529861111103</v>
      </c>
      <c r="H117" s="181">
        <f>VLOOKUP($A117&amp;$B117,'KU Inputs'!$C$2:$J$530,MATCH('KU UtilityData'!H$1,'KU Inputs'!$C$1:$J$1,0),0)*1000</f>
        <v>4351695</v>
      </c>
      <c r="I117" s="181">
        <f>VLOOKUP($A117&amp;$B117,'KU Inputs'!$C$2:$J$530,MATCH('KU UtilityData'!I$1,'KU Inputs'!$C$1:$J$1,0),0)*1000</f>
        <v>4352756</v>
      </c>
      <c r="J117" s="181">
        <f>VLOOKUP($A117&amp;$B117,'KU Inputs'!$C$2:$J$530,MATCH('KU UtilityData'!J$1,'KU Inputs'!$C$1:$J$1,0),0)*1000</f>
        <v>1719077</v>
      </c>
      <c r="K117" s="241">
        <v>422802</v>
      </c>
      <c r="L117" s="181">
        <f>VLOOKUP($A117&amp;$B117,'KU Inputs'!$C$2:$J$530,MATCH('KU UtilityData'!L$1,'KU Inputs'!$C$1:$J$1,0),0)</f>
        <v>127650.806</v>
      </c>
      <c r="M117" s="181">
        <f>VLOOKUP($A117&amp;$B117,'KU Inputs'!$C$2:$J$530,MATCH('KU UtilityData'!M$1,'KU Inputs'!$C$1:$J$1,0),0)</f>
        <v>127891.93371358656</v>
      </c>
      <c r="N117" s="245">
        <v>0</v>
      </c>
      <c r="O117" s="245">
        <v>435.95000000000005</v>
      </c>
      <c r="P117" s="159">
        <v>4512</v>
      </c>
      <c r="Q117" s="159">
        <v>1455</v>
      </c>
      <c r="R117" s="271">
        <f t="shared" si="2"/>
        <v>0.39493989555123238</v>
      </c>
    </row>
    <row r="118" spans="1:18" x14ac:dyDescent="0.2">
      <c r="A118" s="147">
        <v>2010</v>
      </c>
      <c r="B118" s="147">
        <v>9</v>
      </c>
      <c r="C118" s="157">
        <v>548693.46</v>
      </c>
      <c r="D118" s="166">
        <v>7.05998860191138</v>
      </c>
      <c r="E118" s="166">
        <v>7.05998860191138</v>
      </c>
      <c r="F118" s="166">
        <v>30.52</v>
      </c>
      <c r="G118" s="148">
        <v>3630.4564970238089</v>
      </c>
      <c r="H118" s="181">
        <f>VLOOKUP($A118&amp;$B118,'KU Inputs'!$C$2:$J$530,MATCH('KU UtilityData'!H$1,'KU Inputs'!$C$1:$J$1,0),0)*1000</f>
        <v>4351695</v>
      </c>
      <c r="I118" s="181">
        <f>VLOOKUP($A118&amp;$B118,'KU Inputs'!$C$2:$J$530,MATCH('KU UtilityData'!I$1,'KU Inputs'!$C$1:$J$1,0),0)*1000</f>
        <v>4352756</v>
      </c>
      <c r="J118" s="181">
        <f>VLOOKUP($A118&amp;$B118,'KU Inputs'!$C$2:$J$530,MATCH('KU UtilityData'!J$1,'KU Inputs'!$C$1:$J$1,0),0)*1000</f>
        <v>1719077</v>
      </c>
      <c r="K118" s="241">
        <v>421107</v>
      </c>
      <c r="L118" s="181">
        <f>VLOOKUP($A118&amp;$B118,'KU Inputs'!$C$2:$J$530,MATCH('KU UtilityData'!L$1,'KU Inputs'!$C$1:$J$1,0),0)</f>
        <v>127650.806</v>
      </c>
      <c r="M118" s="181">
        <f>VLOOKUP($A118&amp;$B118,'KU Inputs'!$C$2:$J$530,MATCH('KU UtilityData'!M$1,'KU Inputs'!$C$1:$J$1,0),0)</f>
        <v>127891.93371358656</v>
      </c>
      <c r="N118" s="245">
        <v>2.9</v>
      </c>
      <c r="O118" s="245">
        <v>327.5</v>
      </c>
      <c r="P118" s="159">
        <v>4512</v>
      </c>
      <c r="Q118" s="159">
        <v>1455</v>
      </c>
      <c r="R118" s="271">
        <f t="shared" si="2"/>
        <v>0.39493989555123238</v>
      </c>
    </row>
    <row r="119" spans="1:18" x14ac:dyDescent="0.2">
      <c r="A119" s="147">
        <v>2010</v>
      </c>
      <c r="B119" s="147">
        <v>10</v>
      </c>
      <c r="C119" s="157">
        <v>385659.34899999999</v>
      </c>
      <c r="D119" s="166">
        <v>7.05998860191138</v>
      </c>
      <c r="E119" s="166">
        <v>7.05998860191138</v>
      </c>
      <c r="F119" s="166">
        <v>29.62</v>
      </c>
      <c r="G119" s="148">
        <v>3632.2600079365075</v>
      </c>
      <c r="H119" s="181">
        <f>VLOOKUP($A119&amp;$B119,'KU Inputs'!$C$2:$J$530,MATCH('KU UtilityData'!H$1,'KU Inputs'!$C$1:$J$1,0),0)*1000</f>
        <v>4356735</v>
      </c>
      <c r="I119" s="181">
        <f>VLOOKUP($A119&amp;$B119,'KU Inputs'!$C$2:$J$530,MATCH('KU UtilityData'!I$1,'KU Inputs'!$C$1:$J$1,0),0)*1000</f>
        <v>4358290</v>
      </c>
      <c r="J119" s="181">
        <f>VLOOKUP($A119&amp;$B119,'KU Inputs'!$C$2:$J$530,MATCH('KU UtilityData'!J$1,'KU Inputs'!$C$1:$J$1,0),0)*1000</f>
        <v>1716024</v>
      </c>
      <c r="K119" s="241">
        <v>420489</v>
      </c>
      <c r="L119" s="181">
        <f>VLOOKUP($A119&amp;$B119,'KU Inputs'!$C$2:$J$530,MATCH('KU UtilityData'!L$1,'KU Inputs'!$C$1:$J$1,0),0)</f>
        <v>127503.515</v>
      </c>
      <c r="M119" s="181">
        <f>VLOOKUP($A119&amp;$B119,'KU Inputs'!$C$2:$J$530,MATCH('KU UtilityData'!M$1,'KU Inputs'!$C$1:$J$1,0),0)</f>
        <v>127723.24185018479</v>
      </c>
      <c r="N119" s="245">
        <v>100.1</v>
      </c>
      <c r="O119" s="245">
        <v>119.2</v>
      </c>
      <c r="P119" s="159">
        <v>4512</v>
      </c>
      <c r="Q119" s="159">
        <v>1455</v>
      </c>
      <c r="R119" s="271">
        <f t="shared" si="2"/>
        <v>0.39373791096966931</v>
      </c>
    </row>
    <row r="120" spans="1:18" x14ac:dyDescent="0.2">
      <c r="A120" s="147">
        <v>2010</v>
      </c>
      <c r="B120" s="147">
        <v>11</v>
      </c>
      <c r="C120" s="157">
        <v>364022.15299999999</v>
      </c>
      <c r="D120" s="166">
        <v>7.05998860191138</v>
      </c>
      <c r="E120" s="166">
        <v>7.05998860191138</v>
      </c>
      <c r="F120" s="166">
        <v>29.6</v>
      </c>
      <c r="G120" s="148">
        <v>3634.063518849206</v>
      </c>
      <c r="H120" s="181">
        <f>VLOOKUP($A120&amp;$B120,'KU Inputs'!$C$2:$J$530,MATCH('KU UtilityData'!H$1,'KU Inputs'!$C$1:$J$1,0),0)*1000</f>
        <v>4356735</v>
      </c>
      <c r="I120" s="181">
        <f>VLOOKUP($A120&amp;$B120,'KU Inputs'!$C$2:$J$530,MATCH('KU UtilityData'!I$1,'KU Inputs'!$C$1:$J$1,0),0)*1000</f>
        <v>4358290</v>
      </c>
      <c r="J120" s="181">
        <f>VLOOKUP($A120&amp;$B120,'KU Inputs'!$C$2:$J$530,MATCH('KU UtilityData'!J$1,'KU Inputs'!$C$1:$J$1,0),0)*1000</f>
        <v>1716024</v>
      </c>
      <c r="K120" s="241">
        <v>420832</v>
      </c>
      <c r="L120" s="181">
        <f>VLOOKUP($A120&amp;$B120,'KU Inputs'!$C$2:$J$530,MATCH('KU UtilityData'!L$1,'KU Inputs'!$C$1:$J$1,0),0)</f>
        <v>127503.515</v>
      </c>
      <c r="M120" s="181">
        <f>VLOOKUP($A120&amp;$B120,'KU Inputs'!$C$2:$J$530,MATCH('KU UtilityData'!M$1,'KU Inputs'!$C$1:$J$1,0),0)</f>
        <v>127723.24185018479</v>
      </c>
      <c r="N120" s="245">
        <v>321</v>
      </c>
      <c r="O120" s="245">
        <v>10</v>
      </c>
      <c r="P120" s="159">
        <v>4512</v>
      </c>
      <c r="Q120" s="159">
        <v>1455</v>
      </c>
      <c r="R120" s="271">
        <f t="shared" si="2"/>
        <v>0.39373791096966931</v>
      </c>
    </row>
    <row r="121" spans="1:18" x14ac:dyDescent="0.2">
      <c r="A121" s="147">
        <v>2010</v>
      </c>
      <c r="B121" s="147">
        <v>12</v>
      </c>
      <c r="C121" s="157">
        <v>640553.13399999996</v>
      </c>
      <c r="D121" s="166">
        <v>7.05998860191138</v>
      </c>
      <c r="E121" s="166">
        <v>7.05998860191138</v>
      </c>
      <c r="F121" s="166">
        <v>31.17</v>
      </c>
      <c r="G121" s="148">
        <v>3635.8670297619046</v>
      </c>
      <c r="H121" s="181">
        <f>VLOOKUP($A121&amp;$B121,'KU Inputs'!$C$2:$J$530,MATCH('KU UtilityData'!H$1,'KU Inputs'!$C$1:$J$1,0),0)*1000</f>
        <v>4356735</v>
      </c>
      <c r="I121" s="181">
        <f>VLOOKUP($A121&amp;$B121,'KU Inputs'!$C$2:$J$530,MATCH('KU UtilityData'!I$1,'KU Inputs'!$C$1:$J$1,0),0)*1000</f>
        <v>4358290</v>
      </c>
      <c r="J121" s="181">
        <f>VLOOKUP($A121&amp;$B121,'KU Inputs'!$C$2:$J$530,MATCH('KU UtilityData'!J$1,'KU Inputs'!$C$1:$J$1,0),0)*1000</f>
        <v>1716024</v>
      </c>
      <c r="K121" s="241">
        <v>420931</v>
      </c>
      <c r="L121" s="181">
        <f>VLOOKUP($A121&amp;$B121,'KU Inputs'!$C$2:$J$530,MATCH('KU UtilityData'!L$1,'KU Inputs'!$C$1:$J$1,0),0)</f>
        <v>127503.515</v>
      </c>
      <c r="M121" s="181">
        <f>VLOOKUP($A121&amp;$B121,'KU Inputs'!$C$2:$J$530,MATCH('KU UtilityData'!M$1,'KU Inputs'!$C$1:$J$1,0),0)</f>
        <v>127723.24185018479</v>
      </c>
      <c r="N121" s="245">
        <v>822.75</v>
      </c>
      <c r="O121" s="245">
        <v>0</v>
      </c>
      <c r="P121" s="159">
        <v>4512</v>
      </c>
      <c r="Q121" s="159">
        <v>1455</v>
      </c>
      <c r="R121" s="271">
        <f t="shared" si="2"/>
        <v>0.39373791096966931</v>
      </c>
    </row>
    <row r="122" spans="1:18" x14ac:dyDescent="0.2">
      <c r="A122" s="147">
        <v>2011</v>
      </c>
      <c r="B122" s="147">
        <v>1</v>
      </c>
      <c r="C122" s="232">
        <v>850990.94400000002</v>
      </c>
      <c r="D122" s="166">
        <v>7.05998860191138</v>
      </c>
      <c r="E122" s="166">
        <v>8.16</v>
      </c>
      <c r="F122" s="166">
        <v>32.71</v>
      </c>
      <c r="G122" s="148">
        <v>3637.6705406746037</v>
      </c>
      <c r="H122" s="181">
        <f>VLOOKUP($A122&amp;$B122,'KU Inputs'!$C$2:$J$530,MATCH('KU UtilityData'!H$1,'KU Inputs'!$C$1:$J$1,0),0)*1000</f>
        <v>4361774</v>
      </c>
      <c r="I122" s="181">
        <f>VLOOKUP($A122&amp;$B122,'KU Inputs'!$C$2:$J$530,MATCH('KU UtilityData'!I$1,'KU Inputs'!$C$1:$J$1,0),0)*1000</f>
        <v>4363823</v>
      </c>
      <c r="J122" s="181">
        <f>VLOOKUP($A122&amp;$B122,'KU Inputs'!$C$2:$J$530,MATCH('KU UtilityData'!J$1,'KU Inputs'!$C$1:$J$1,0),0)*1000</f>
        <v>1712972</v>
      </c>
      <c r="K122" s="241">
        <v>421768</v>
      </c>
      <c r="L122" s="181">
        <f>VLOOKUP($A122&amp;$B122,'KU Inputs'!$C$2:$J$530,MATCH('KU UtilityData'!L$1,'KU Inputs'!$C$1:$J$1,0),0)</f>
        <v>128893.008</v>
      </c>
      <c r="M122" s="181">
        <f>VLOOKUP($A122&amp;$B122,'KU Inputs'!$C$2:$J$530,MATCH('KU UtilityData'!M$1,'KU Inputs'!$C$1:$J$1,0),0)</f>
        <v>130619.67329545454</v>
      </c>
      <c r="N122" s="245">
        <v>1213.5999999999999</v>
      </c>
      <c r="O122" s="245">
        <v>0</v>
      </c>
      <c r="P122" s="159">
        <v>4512</v>
      </c>
      <c r="Q122" s="159">
        <v>1455</v>
      </c>
      <c r="R122" s="271">
        <f t="shared" si="2"/>
        <v>0.39253929410060856</v>
      </c>
    </row>
    <row r="123" spans="1:18" x14ac:dyDescent="0.2">
      <c r="A123" s="147">
        <v>2011</v>
      </c>
      <c r="B123" s="147">
        <v>2</v>
      </c>
      <c r="C123" s="232">
        <v>691197.25199999998</v>
      </c>
      <c r="D123" s="166">
        <v>7.05998860191138</v>
      </c>
      <c r="E123" s="166">
        <v>8.16</v>
      </c>
      <c r="F123" s="166">
        <v>29.81</v>
      </c>
      <c r="G123" s="148">
        <v>3639.4740515873023</v>
      </c>
      <c r="H123" s="181">
        <f>VLOOKUP($A123&amp;$B123,'KU Inputs'!$C$2:$J$530,MATCH('KU UtilityData'!H$1,'KU Inputs'!$C$1:$J$1,0),0)*1000</f>
        <v>4361774</v>
      </c>
      <c r="I123" s="181">
        <f>VLOOKUP($A123&amp;$B123,'KU Inputs'!$C$2:$J$530,MATCH('KU UtilityData'!I$1,'KU Inputs'!$C$1:$J$1,0),0)*1000</f>
        <v>4363823</v>
      </c>
      <c r="J123" s="181">
        <f>VLOOKUP($A123&amp;$B123,'KU Inputs'!$C$2:$J$530,MATCH('KU UtilityData'!J$1,'KU Inputs'!$C$1:$J$1,0),0)*1000</f>
        <v>1712972</v>
      </c>
      <c r="K123" s="241">
        <v>421555</v>
      </c>
      <c r="L123" s="181">
        <f>VLOOKUP($A123&amp;$B123,'KU Inputs'!$C$2:$J$530,MATCH('KU UtilityData'!L$1,'KU Inputs'!$C$1:$J$1,0),0)</f>
        <v>128893.008</v>
      </c>
      <c r="M123" s="181">
        <f>VLOOKUP($A123&amp;$B123,'KU Inputs'!$C$2:$J$530,MATCH('KU UtilityData'!M$1,'KU Inputs'!$C$1:$J$1,0),0)</f>
        <v>130619.67329545454</v>
      </c>
      <c r="N123" s="245">
        <v>949.84999999999991</v>
      </c>
      <c r="O123" s="245">
        <v>0</v>
      </c>
      <c r="P123" s="159">
        <v>4512</v>
      </c>
      <c r="Q123" s="159">
        <v>1455</v>
      </c>
      <c r="R123" s="271">
        <f t="shared" si="2"/>
        <v>0.39253929410060856</v>
      </c>
    </row>
    <row r="124" spans="1:18" x14ac:dyDescent="0.2">
      <c r="A124" s="147">
        <v>2011</v>
      </c>
      <c r="B124" s="147">
        <v>3</v>
      </c>
      <c r="C124" s="232">
        <v>532338.09699999995</v>
      </c>
      <c r="D124" s="166">
        <v>7.05998860191138</v>
      </c>
      <c r="E124" s="166">
        <v>8.16</v>
      </c>
      <c r="F124" s="166">
        <v>30.33</v>
      </c>
      <c r="G124" s="148">
        <v>3641.2775625000008</v>
      </c>
      <c r="H124" s="181">
        <f>VLOOKUP($A124&amp;$B124,'KU Inputs'!$C$2:$J$530,MATCH('KU UtilityData'!H$1,'KU Inputs'!$C$1:$J$1,0),0)*1000</f>
        <v>4361774</v>
      </c>
      <c r="I124" s="181">
        <f>VLOOKUP($A124&amp;$B124,'KU Inputs'!$C$2:$J$530,MATCH('KU UtilityData'!I$1,'KU Inputs'!$C$1:$J$1,0),0)*1000</f>
        <v>4363823</v>
      </c>
      <c r="J124" s="181">
        <f>VLOOKUP($A124&amp;$B124,'KU Inputs'!$C$2:$J$530,MATCH('KU UtilityData'!J$1,'KU Inputs'!$C$1:$J$1,0),0)*1000</f>
        <v>1712972</v>
      </c>
      <c r="K124" s="241">
        <v>421752</v>
      </c>
      <c r="L124" s="181">
        <f>VLOOKUP($A124&amp;$B124,'KU Inputs'!$C$2:$J$530,MATCH('KU UtilityData'!L$1,'KU Inputs'!$C$1:$J$1,0),0)</f>
        <v>128893.008</v>
      </c>
      <c r="M124" s="181">
        <f>VLOOKUP($A124&amp;$B124,'KU Inputs'!$C$2:$J$530,MATCH('KU UtilityData'!M$1,'KU Inputs'!$C$1:$J$1,0),0)</f>
        <v>130619.67329545454</v>
      </c>
      <c r="N124" s="245">
        <v>643.70000000000005</v>
      </c>
      <c r="O124" s="245">
        <v>1.1499999999999999</v>
      </c>
      <c r="P124" s="159">
        <v>4512</v>
      </c>
      <c r="Q124" s="159">
        <v>1455</v>
      </c>
      <c r="R124" s="271">
        <f t="shared" si="2"/>
        <v>0.39253929410060856</v>
      </c>
    </row>
    <row r="125" spans="1:18" x14ac:dyDescent="0.2">
      <c r="A125" s="147">
        <v>2011</v>
      </c>
      <c r="B125" s="147">
        <v>4</v>
      </c>
      <c r="C125" s="232">
        <v>438271.37699999998</v>
      </c>
      <c r="D125" s="166">
        <v>7.05998860191138</v>
      </c>
      <c r="E125" s="166">
        <v>8.16</v>
      </c>
      <c r="F125" s="166">
        <v>29.86</v>
      </c>
      <c r="G125" s="148">
        <v>3643.0810734126994</v>
      </c>
      <c r="H125" s="181">
        <f>VLOOKUP($A125&amp;$B125,'KU Inputs'!$C$2:$J$530,MATCH('KU UtilityData'!H$1,'KU Inputs'!$C$1:$J$1,0),0)*1000</f>
        <v>4366814</v>
      </c>
      <c r="I125" s="181">
        <f>VLOOKUP($A125&amp;$B125,'KU Inputs'!$C$2:$J$530,MATCH('KU UtilityData'!I$1,'KU Inputs'!$C$1:$J$1,0),0)*1000</f>
        <v>4369356</v>
      </c>
      <c r="J125" s="181">
        <f>VLOOKUP($A125&amp;$B125,'KU Inputs'!$C$2:$J$530,MATCH('KU UtilityData'!J$1,'KU Inputs'!$C$1:$J$1,0),0)*1000</f>
        <v>1709920</v>
      </c>
      <c r="K125" s="241">
        <v>420307</v>
      </c>
      <c r="L125" s="181">
        <f>VLOOKUP($A125&amp;$B125,'KU Inputs'!$C$2:$J$530,MATCH('KU UtilityData'!L$1,'KU Inputs'!$C$1:$J$1,0),0)</f>
        <v>129036.827</v>
      </c>
      <c r="M125" s="181">
        <f>VLOOKUP($A125&amp;$B125,'KU Inputs'!$C$2:$J$530,MATCH('KU UtilityData'!M$1,'KU Inputs'!$C$1:$J$1,0),0)</f>
        <v>130512.26316298962</v>
      </c>
      <c r="N125" s="245">
        <v>443.45</v>
      </c>
      <c r="O125" s="245">
        <v>12.65</v>
      </c>
      <c r="P125" s="159">
        <v>4512</v>
      </c>
      <c r="Q125" s="159">
        <v>1455</v>
      </c>
      <c r="R125" s="271">
        <f t="shared" si="2"/>
        <v>0.39134371289498954</v>
      </c>
    </row>
    <row r="126" spans="1:18" x14ac:dyDescent="0.2">
      <c r="A126" s="147">
        <v>2011</v>
      </c>
      <c r="B126" s="147">
        <v>5</v>
      </c>
      <c r="C126" s="232">
        <v>360909.25599999999</v>
      </c>
      <c r="D126" s="166">
        <v>7.05998860191138</v>
      </c>
      <c r="E126" s="166">
        <v>8.16</v>
      </c>
      <c r="F126" s="166">
        <v>30.48</v>
      </c>
      <c r="G126" s="148">
        <v>3644.8845843253985</v>
      </c>
      <c r="H126" s="181">
        <f>VLOOKUP($A126&amp;$B126,'KU Inputs'!$C$2:$J$530,MATCH('KU UtilityData'!H$1,'KU Inputs'!$C$1:$J$1,0),0)*1000</f>
        <v>4366814</v>
      </c>
      <c r="I126" s="181">
        <f>VLOOKUP($A126&amp;$B126,'KU Inputs'!$C$2:$J$530,MATCH('KU UtilityData'!I$1,'KU Inputs'!$C$1:$J$1,0),0)*1000</f>
        <v>4369356</v>
      </c>
      <c r="J126" s="181">
        <f>VLOOKUP($A126&amp;$B126,'KU Inputs'!$C$2:$J$530,MATCH('KU UtilityData'!J$1,'KU Inputs'!$C$1:$J$1,0),0)*1000</f>
        <v>1709920</v>
      </c>
      <c r="K126" s="241">
        <v>421495</v>
      </c>
      <c r="L126" s="181">
        <f>VLOOKUP($A126&amp;$B126,'KU Inputs'!$C$2:$J$530,MATCH('KU UtilityData'!L$1,'KU Inputs'!$C$1:$J$1,0),0)</f>
        <v>129036.827</v>
      </c>
      <c r="M126" s="181">
        <f>VLOOKUP($A126&amp;$B126,'KU Inputs'!$C$2:$J$530,MATCH('KU UtilityData'!M$1,'KU Inputs'!$C$1:$J$1,0),0)</f>
        <v>130512.26316298962</v>
      </c>
      <c r="N126" s="245">
        <v>195.89999999999998</v>
      </c>
      <c r="O126" s="245">
        <v>43.5</v>
      </c>
      <c r="P126" s="159">
        <v>4512</v>
      </c>
      <c r="Q126" s="159">
        <v>1455</v>
      </c>
      <c r="R126" s="271">
        <f t="shared" si="2"/>
        <v>0.39134371289498954</v>
      </c>
    </row>
    <row r="127" spans="1:18" x14ac:dyDescent="0.2">
      <c r="A127" s="147">
        <v>2011</v>
      </c>
      <c r="B127" s="147">
        <v>6</v>
      </c>
      <c r="C127" s="232">
        <v>486266.201</v>
      </c>
      <c r="D127" s="166">
        <v>7.05998860191138</v>
      </c>
      <c r="E127" s="166">
        <v>8.16</v>
      </c>
      <c r="F127" s="166">
        <v>30.67</v>
      </c>
      <c r="G127" s="148">
        <v>3646.6880952380948</v>
      </c>
      <c r="H127" s="181">
        <f>VLOOKUP($A127&amp;$B127,'KU Inputs'!$C$2:$J$530,MATCH('KU UtilityData'!H$1,'KU Inputs'!$C$1:$J$1,0),0)*1000</f>
        <v>4366814</v>
      </c>
      <c r="I127" s="181">
        <f>VLOOKUP($A127&amp;$B127,'KU Inputs'!$C$2:$J$530,MATCH('KU UtilityData'!I$1,'KU Inputs'!$C$1:$J$1,0),0)*1000</f>
        <v>4369356</v>
      </c>
      <c r="J127" s="181">
        <f>VLOOKUP($A127&amp;$B127,'KU Inputs'!$C$2:$J$530,MATCH('KU UtilityData'!J$1,'KU Inputs'!$C$1:$J$1,0),0)*1000</f>
        <v>1709920</v>
      </c>
      <c r="K127" s="241">
        <v>420875</v>
      </c>
      <c r="L127" s="181">
        <f>VLOOKUP($A127&amp;$B127,'KU Inputs'!$C$2:$J$530,MATCH('KU UtilityData'!L$1,'KU Inputs'!$C$1:$J$1,0),0)</f>
        <v>129036.827</v>
      </c>
      <c r="M127" s="181">
        <f>VLOOKUP($A127&amp;$B127,'KU Inputs'!$C$2:$J$530,MATCH('KU UtilityData'!M$1,'KU Inputs'!$C$1:$J$1,0),0)</f>
        <v>130512.26316298962</v>
      </c>
      <c r="N127" s="245">
        <v>53.85</v>
      </c>
      <c r="O127" s="245">
        <v>224.7</v>
      </c>
      <c r="P127" s="159">
        <v>4512</v>
      </c>
      <c r="Q127" s="159">
        <v>1455</v>
      </c>
      <c r="R127" s="271">
        <f t="shared" si="2"/>
        <v>0.39134371289498954</v>
      </c>
    </row>
    <row r="128" spans="1:18" x14ac:dyDescent="0.2">
      <c r="A128" s="147">
        <v>2011</v>
      </c>
      <c r="B128" s="147">
        <v>7</v>
      </c>
      <c r="C128" s="232">
        <v>539548.81999999995</v>
      </c>
      <c r="D128" s="166">
        <v>7.05998860191138</v>
      </c>
      <c r="E128" s="166">
        <v>8.16</v>
      </c>
      <c r="F128" s="166">
        <v>30.71</v>
      </c>
      <c r="G128" s="148">
        <v>3648.6168561507934</v>
      </c>
      <c r="H128" s="181">
        <f>VLOOKUP($A128&amp;$B128,'KU Inputs'!$C$2:$J$530,MATCH('KU UtilityData'!H$1,'KU Inputs'!$C$1:$J$1,0),0)*1000</f>
        <v>4370210</v>
      </c>
      <c r="I128" s="181">
        <f>VLOOKUP($A128&amp;$B128,'KU Inputs'!$C$2:$J$530,MATCH('KU UtilityData'!I$1,'KU Inputs'!$C$1:$J$1,0),0)*1000</f>
        <v>4375233</v>
      </c>
      <c r="J128" s="181">
        <f>VLOOKUP($A128&amp;$B128,'KU Inputs'!$C$2:$J$530,MATCH('KU UtilityData'!J$1,'KU Inputs'!$C$1:$J$1,0),0)*1000</f>
        <v>1712452</v>
      </c>
      <c r="K128" s="241">
        <v>420192</v>
      </c>
      <c r="L128" s="181">
        <f>VLOOKUP($A128&amp;$B128,'KU Inputs'!$C$2:$J$530,MATCH('KU UtilityData'!L$1,'KU Inputs'!$C$1:$J$1,0),0)</f>
        <v>128885.583</v>
      </c>
      <c r="M128" s="181">
        <f>VLOOKUP($A128&amp;$B128,'KU Inputs'!$C$2:$J$530,MATCH('KU UtilityData'!M$1,'KU Inputs'!$C$1:$J$1,0),0)</f>
        <v>130388.56272912602</v>
      </c>
      <c r="N128" s="245">
        <v>0</v>
      </c>
      <c r="O128" s="245">
        <v>307.14999999999998</v>
      </c>
      <c r="P128" s="159">
        <v>4512</v>
      </c>
      <c r="Q128" s="159">
        <v>1455</v>
      </c>
      <c r="R128" s="271">
        <f t="shared" si="2"/>
        <v>0.39139675532708773</v>
      </c>
    </row>
    <row r="129" spans="1:18" x14ac:dyDescent="0.2">
      <c r="A129" s="147">
        <v>2011</v>
      </c>
      <c r="B129" s="147">
        <v>8</v>
      </c>
      <c r="C129" s="232">
        <v>631263.21</v>
      </c>
      <c r="D129" s="166">
        <v>7.05998860191138</v>
      </c>
      <c r="E129" s="166">
        <v>8.16</v>
      </c>
      <c r="F129" s="166">
        <v>29.52</v>
      </c>
      <c r="G129" s="148">
        <v>3650.545617063492</v>
      </c>
      <c r="H129" s="181">
        <f>VLOOKUP($A129&amp;$B129,'KU Inputs'!$C$2:$J$530,MATCH('KU UtilityData'!H$1,'KU Inputs'!$C$1:$J$1,0),0)*1000</f>
        <v>4370210</v>
      </c>
      <c r="I129" s="181">
        <f>VLOOKUP($A129&amp;$B129,'KU Inputs'!$C$2:$J$530,MATCH('KU UtilityData'!I$1,'KU Inputs'!$C$1:$J$1,0),0)*1000</f>
        <v>4375233</v>
      </c>
      <c r="J129" s="181">
        <f>VLOOKUP($A129&amp;$B129,'KU Inputs'!$C$2:$J$530,MATCH('KU UtilityData'!J$1,'KU Inputs'!$C$1:$J$1,0),0)*1000</f>
        <v>1712452</v>
      </c>
      <c r="K129" s="241">
        <v>422280</v>
      </c>
      <c r="L129" s="181">
        <f>VLOOKUP($A129&amp;$B129,'KU Inputs'!$C$2:$J$530,MATCH('KU UtilityData'!L$1,'KU Inputs'!$C$1:$J$1,0),0)</f>
        <v>128885.583</v>
      </c>
      <c r="M129" s="181">
        <f>VLOOKUP($A129&amp;$B129,'KU Inputs'!$C$2:$J$530,MATCH('KU UtilityData'!M$1,'KU Inputs'!$C$1:$J$1,0),0)</f>
        <v>130388.56272912602</v>
      </c>
      <c r="N129" s="245">
        <v>0</v>
      </c>
      <c r="O129" s="245">
        <v>427.1</v>
      </c>
      <c r="P129" s="159">
        <v>4512</v>
      </c>
      <c r="Q129" s="159">
        <v>1455</v>
      </c>
      <c r="R129" s="271">
        <f t="shared" si="2"/>
        <v>0.39139675532708773</v>
      </c>
    </row>
    <row r="130" spans="1:18" x14ac:dyDescent="0.2">
      <c r="A130" s="147">
        <v>2011</v>
      </c>
      <c r="B130" s="147">
        <v>9</v>
      </c>
      <c r="C130" s="232">
        <v>511784.92800000001</v>
      </c>
      <c r="D130" s="166">
        <v>7.05998860191138</v>
      </c>
      <c r="E130" s="166">
        <v>8.16</v>
      </c>
      <c r="F130" s="166">
        <v>30.52</v>
      </c>
      <c r="G130" s="148">
        <v>3652.4743779761907</v>
      </c>
      <c r="H130" s="181">
        <f>VLOOKUP($A130&amp;$B130,'KU Inputs'!$C$2:$J$530,MATCH('KU UtilityData'!H$1,'KU Inputs'!$C$1:$J$1,0),0)*1000</f>
        <v>4370210</v>
      </c>
      <c r="I130" s="181">
        <f>VLOOKUP($A130&amp;$B130,'KU Inputs'!$C$2:$J$530,MATCH('KU UtilityData'!I$1,'KU Inputs'!$C$1:$J$1,0),0)*1000</f>
        <v>4375233</v>
      </c>
      <c r="J130" s="181">
        <f>VLOOKUP($A130&amp;$B130,'KU Inputs'!$C$2:$J$530,MATCH('KU UtilityData'!J$1,'KU Inputs'!$C$1:$J$1,0),0)*1000</f>
        <v>1712452</v>
      </c>
      <c r="K130" s="241">
        <v>419766</v>
      </c>
      <c r="L130" s="181">
        <f>VLOOKUP($A130&amp;$B130,'KU Inputs'!$C$2:$J$530,MATCH('KU UtilityData'!L$1,'KU Inputs'!$C$1:$J$1,0),0)</f>
        <v>128885.583</v>
      </c>
      <c r="M130" s="181">
        <f>VLOOKUP($A130&amp;$B130,'KU Inputs'!$C$2:$J$530,MATCH('KU UtilityData'!M$1,'KU Inputs'!$C$1:$J$1,0),0)</f>
        <v>130388.56272912602</v>
      </c>
      <c r="N130" s="245">
        <v>27.9</v>
      </c>
      <c r="O130" s="245">
        <v>254.25</v>
      </c>
      <c r="P130" s="159">
        <v>4512</v>
      </c>
      <c r="Q130" s="159">
        <v>1455</v>
      </c>
      <c r="R130" s="271">
        <f t="shared" si="2"/>
        <v>0.39139675532708773</v>
      </c>
    </row>
    <row r="131" spans="1:18" x14ac:dyDescent="0.2">
      <c r="A131" s="147">
        <v>2011</v>
      </c>
      <c r="B131" s="147">
        <v>10</v>
      </c>
      <c r="C131" s="232">
        <v>345989.92599999998</v>
      </c>
      <c r="D131" s="166">
        <v>7.05998860191138</v>
      </c>
      <c r="E131" s="166">
        <v>8.16</v>
      </c>
      <c r="F131" s="166">
        <v>29.62</v>
      </c>
      <c r="G131" s="148">
        <v>3654.4031388888893</v>
      </c>
      <c r="H131" s="181">
        <f>VLOOKUP($A131&amp;$B131,'KU Inputs'!$C$2:$J$530,MATCH('KU UtilityData'!H$1,'KU Inputs'!$C$1:$J$1,0),0)*1000</f>
        <v>4373609</v>
      </c>
      <c r="I131" s="181">
        <f>VLOOKUP($A131&amp;$B131,'KU Inputs'!$C$2:$J$530,MATCH('KU UtilityData'!I$1,'KU Inputs'!$C$1:$J$1,0),0)*1000</f>
        <v>4381482</v>
      </c>
      <c r="J131" s="181">
        <f>VLOOKUP($A131&amp;$B131,'KU Inputs'!$C$2:$J$530,MATCH('KU UtilityData'!J$1,'KU Inputs'!$C$1:$J$1,0),0)*1000</f>
        <v>1714989</v>
      </c>
      <c r="K131" s="241">
        <v>419584</v>
      </c>
      <c r="L131" s="181">
        <f>VLOOKUP($A131&amp;$B131,'KU Inputs'!$C$2:$J$530,MATCH('KU UtilityData'!L$1,'KU Inputs'!$C$1:$J$1,0),0)</f>
        <v>129177.128</v>
      </c>
      <c r="M131" s="181">
        <f>VLOOKUP($A131&amp;$B131,'KU Inputs'!$C$2:$J$530,MATCH('KU UtilityData'!M$1,'KU Inputs'!$C$1:$J$1,0),0)</f>
        <v>130530.66068608029</v>
      </c>
      <c r="N131" s="245">
        <v>155.5</v>
      </c>
      <c r="O131" s="245">
        <v>39.65</v>
      </c>
      <c r="P131" s="159">
        <v>4512</v>
      </c>
      <c r="Q131" s="159">
        <v>1455</v>
      </c>
      <c r="R131" s="271">
        <f t="shared" ref="R131:R194" si="3">J131/I131</f>
        <v>0.39141756145523365</v>
      </c>
    </row>
    <row r="132" spans="1:18" x14ac:dyDescent="0.2">
      <c r="A132" s="147">
        <v>2011</v>
      </c>
      <c r="B132" s="147">
        <v>11</v>
      </c>
      <c r="C132" s="232">
        <v>367820.48100000003</v>
      </c>
      <c r="D132" s="166">
        <v>7.05998860191138</v>
      </c>
      <c r="E132" s="166">
        <v>8.16</v>
      </c>
      <c r="F132" s="166">
        <v>29.95</v>
      </c>
      <c r="G132" s="148">
        <v>3656.331899801588</v>
      </c>
      <c r="H132" s="181">
        <f>VLOOKUP($A132&amp;$B132,'KU Inputs'!$C$2:$J$530,MATCH('KU UtilityData'!H$1,'KU Inputs'!$C$1:$J$1,0),0)*1000</f>
        <v>4373609</v>
      </c>
      <c r="I132" s="181">
        <f>VLOOKUP($A132&amp;$B132,'KU Inputs'!$C$2:$J$530,MATCH('KU UtilityData'!I$1,'KU Inputs'!$C$1:$J$1,0),0)*1000</f>
        <v>4381482</v>
      </c>
      <c r="J132" s="181">
        <f>VLOOKUP($A132&amp;$B132,'KU Inputs'!$C$2:$J$530,MATCH('KU UtilityData'!J$1,'KU Inputs'!$C$1:$J$1,0),0)*1000</f>
        <v>1714989</v>
      </c>
      <c r="K132" s="241">
        <v>418506</v>
      </c>
      <c r="L132" s="181">
        <f>VLOOKUP($A132&amp;$B132,'KU Inputs'!$C$2:$J$530,MATCH('KU UtilityData'!L$1,'KU Inputs'!$C$1:$J$1,0),0)</f>
        <v>129177.128</v>
      </c>
      <c r="M132" s="181">
        <f>VLOOKUP($A132&amp;$B132,'KU Inputs'!$C$2:$J$530,MATCH('KU UtilityData'!M$1,'KU Inputs'!$C$1:$J$1,0),0)</f>
        <v>130530.66068608029</v>
      </c>
      <c r="N132" s="245">
        <v>378.85</v>
      </c>
      <c r="O132" s="245">
        <v>2.0500000000000003</v>
      </c>
      <c r="P132" s="159">
        <v>4512</v>
      </c>
      <c r="Q132" s="159">
        <v>1455</v>
      </c>
      <c r="R132" s="271">
        <f t="shared" si="3"/>
        <v>0.39141756145523365</v>
      </c>
    </row>
    <row r="133" spans="1:18" x14ac:dyDescent="0.2">
      <c r="A133" s="147">
        <v>2011</v>
      </c>
      <c r="B133" s="147">
        <v>12</v>
      </c>
      <c r="C133" s="232">
        <v>508652.88299999997</v>
      </c>
      <c r="D133" s="166">
        <v>7.05998860191138</v>
      </c>
      <c r="E133" s="166">
        <v>8.16</v>
      </c>
      <c r="F133" s="166">
        <v>31.24</v>
      </c>
      <c r="G133" s="148">
        <v>3658.260660714287</v>
      </c>
      <c r="H133" s="181">
        <f>VLOOKUP($A133&amp;$B133,'KU Inputs'!$C$2:$J$530,MATCH('KU UtilityData'!H$1,'KU Inputs'!$C$1:$J$1,0),0)*1000</f>
        <v>4373609</v>
      </c>
      <c r="I133" s="181">
        <f>VLOOKUP($A133&amp;$B133,'KU Inputs'!$C$2:$J$530,MATCH('KU UtilityData'!I$1,'KU Inputs'!$C$1:$J$1,0),0)*1000</f>
        <v>4381482</v>
      </c>
      <c r="J133" s="181">
        <f>VLOOKUP($A133&amp;$B133,'KU Inputs'!$C$2:$J$530,MATCH('KU UtilityData'!J$1,'KU Inputs'!$C$1:$J$1,0),0)*1000</f>
        <v>1714989</v>
      </c>
      <c r="K133" s="241">
        <v>418702</v>
      </c>
      <c r="L133" s="181">
        <f>VLOOKUP($A133&amp;$B133,'KU Inputs'!$C$2:$J$530,MATCH('KU UtilityData'!L$1,'KU Inputs'!$C$1:$J$1,0),0)</f>
        <v>129177.128</v>
      </c>
      <c r="M133" s="181">
        <f>VLOOKUP($A133&amp;$B133,'KU Inputs'!$C$2:$J$530,MATCH('KU UtilityData'!M$1,'KU Inputs'!$C$1:$J$1,0),0)</f>
        <v>130530.66068608029</v>
      </c>
      <c r="N133" s="245">
        <v>592.15</v>
      </c>
      <c r="O133" s="245">
        <v>0.55000000000000004</v>
      </c>
      <c r="P133" s="159">
        <v>4512</v>
      </c>
      <c r="Q133" s="159">
        <v>1455</v>
      </c>
      <c r="R133" s="271">
        <f t="shared" si="3"/>
        <v>0.39141756145523365</v>
      </c>
    </row>
    <row r="134" spans="1:18" x14ac:dyDescent="0.2">
      <c r="A134" s="147">
        <v>2012</v>
      </c>
      <c r="B134" s="147">
        <v>1</v>
      </c>
      <c r="C134" s="232">
        <v>669739.03099999996</v>
      </c>
      <c r="D134" s="257" t="e">
        <f>HLOOKUP($A134,#REF!,26,0)*100</f>
        <v>#REF!</v>
      </c>
      <c r="E134" s="256" t="e">
        <f>HLOOKUP($A134,#REF!,11,0)*100</f>
        <v>#REF!</v>
      </c>
      <c r="F134" s="166">
        <v>32.549999999999997</v>
      </c>
      <c r="G134" s="148">
        <v>3660.1894216269857</v>
      </c>
      <c r="H134" s="181">
        <f>VLOOKUP($A134&amp;$B134,'KU Inputs'!$C$2:$J$530,MATCH('KU UtilityData'!H$1,'KU Inputs'!$C$1:$J$1,0),0)*1000</f>
        <v>4377011</v>
      </c>
      <c r="I134" s="181">
        <f>VLOOKUP($A134&amp;$B134,'KU Inputs'!$C$2:$J$530,MATCH('KU UtilityData'!I$1,'KU Inputs'!$C$1:$J$1,0),0)*1000</f>
        <v>4387829</v>
      </c>
      <c r="J134" s="181">
        <f>VLOOKUP($A134&amp;$B134,'KU Inputs'!$C$2:$J$530,MATCH('KU UtilityData'!J$1,'KU Inputs'!$C$1:$J$1,0),0)*1000</f>
        <v>1717530</v>
      </c>
      <c r="K134" s="241">
        <v>419980</v>
      </c>
      <c r="L134" s="181">
        <f>VLOOKUP($A134&amp;$B134,'KU Inputs'!$C$2:$J$530,MATCH('KU UtilityData'!L$1,'KU Inputs'!$C$1:$J$1,0),0)</f>
        <v>129516.13400000001</v>
      </c>
      <c r="M134" s="181">
        <f>VLOOKUP($A134&amp;$B134,'KU Inputs'!$C$2:$J$530,MATCH('KU UtilityData'!M$1,'KU Inputs'!$C$1:$J$1,0),0)</f>
        <v>131895.05637467475</v>
      </c>
      <c r="N134" s="245">
        <v>867.75</v>
      </c>
      <c r="O134" s="245">
        <v>0</v>
      </c>
      <c r="P134" s="159">
        <v>4512</v>
      </c>
      <c r="Q134" s="159">
        <v>1455</v>
      </c>
      <c r="R134" s="271">
        <f t="shared" si="3"/>
        <v>0.39143047734996056</v>
      </c>
    </row>
    <row r="135" spans="1:18" x14ac:dyDescent="0.2">
      <c r="A135" s="147">
        <v>2012</v>
      </c>
      <c r="B135" s="147">
        <v>2</v>
      </c>
      <c r="C135" s="232">
        <v>592845.11499999999</v>
      </c>
      <c r="D135" s="257" t="e">
        <f>HLOOKUP($A135,#REF!,26,0)*100</f>
        <v>#REF!</v>
      </c>
      <c r="E135" s="256" t="e">
        <f>HLOOKUP($A135,#REF!,11,0)*100</f>
        <v>#REF!</v>
      </c>
      <c r="F135" s="166">
        <v>29.75</v>
      </c>
      <c r="G135" s="148">
        <v>3662.1181825396843</v>
      </c>
      <c r="H135" s="181">
        <f>VLOOKUP($A135&amp;$B135,'KU Inputs'!$C$2:$J$530,MATCH('KU UtilityData'!H$1,'KU Inputs'!$C$1:$J$1,0),0)*1000</f>
        <v>4377011</v>
      </c>
      <c r="I135" s="181">
        <f>VLOOKUP($A135&amp;$B135,'KU Inputs'!$C$2:$J$530,MATCH('KU UtilityData'!I$1,'KU Inputs'!$C$1:$J$1,0),0)*1000</f>
        <v>4387829</v>
      </c>
      <c r="J135" s="181">
        <f>VLOOKUP($A135&amp;$B135,'KU Inputs'!$C$2:$J$530,MATCH('KU UtilityData'!J$1,'KU Inputs'!$C$1:$J$1,0),0)*1000</f>
        <v>1717530</v>
      </c>
      <c r="K135" s="241">
        <v>419853</v>
      </c>
      <c r="L135" s="181">
        <f>VLOOKUP($A135&amp;$B135,'KU Inputs'!$C$2:$J$530,MATCH('KU UtilityData'!L$1,'KU Inputs'!$C$1:$J$1,0),0)</f>
        <v>129516.13400000001</v>
      </c>
      <c r="M135" s="181">
        <f>VLOOKUP($A135&amp;$B135,'KU Inputs'!$C$2:$J$530,MATCH('KU UtilityData'!M$1,'KU Inputs'!$C$1:$J$1,0),0)</f>
        <v>131895.05637467475</v>
      </c>
      <c r="N135" s="245">
        <v>777.09999999999991</v>
      </c>
      <c r="O135" s="245">
        <v>0</v>
      </c>
      <c r="P135" s="159">
        <v>4512</v>
      </c>
      <c r="Q135" s="159">
        <v>1455</v>
      </c>
      <c r="R135" s="271">
        <f t="shared" si="3"/>
        <v>0.39143047734996056</v>
      </c>
    </row>
    <row r="136" spans="1:18" x14ac:dyDescent="0.2">
      <c r="A136" s="147">
        <v>2012</v>
      </c>
      <c r="B136" s="147">
        <v>3</v>
      </c>
      <c r="C136" s="232">
        <v>491154.14399999997</v>
      </c>
      <c r="D136" s="257" t="e">
        <f>HLOOKUP($A136,#REF!,26,0)*100</f>
        <v>#REF!</v>
      </c>
      <c r="E136" s="256" t="e">
        <f>HLOOKUP($A136,#REF!,11,0)*100</f>
        <v>#REF!</v>
      </c>
      <c r="F136" s="166">
        <v>30.38</v>
      </c>
      <c r="G136" s="148">
        <v>3664.0469434523829</v>
      </c>
      <c r="H136" s="181">
        <f>VLOOKUP($A136&amp;$B136,'KU Inputs'!$C$2:$J$530,MATCH('KU UtilityData'!H$1,'KU Inputs'!$C$1:$J$1,0),0)*1000</f>
        <v>4377011</v>
      </c>
      <c r="I136" s="181">
        <f>VLOOKUP($A136&amp;$B136,'KU Inputs'!$C$2:$J$530,MATCH('KU UtilityData'!I$1,'KU Inputs'!$C$1:$J$1,0),0)*1000</f>
        <v>4387829</v>
      </c>
      <c r="J136" s="181">
        <f>VLOOKUP($A136&amp;$B136,'KU Inputs'!$C$2:$J$530,MATCH('KU UtilityData'!J$1,'KU Inputs'!$C$1:$J$1,0),0)*1000</f>
        <v>1717530</v>
      </c>
      <c r="K136" s="241">
        <v>419754</v>
      </c>
      <c r="L136" s="181">
        <f>VLOOKUP($A136&amp;$B136,'KU Inputs'!$C$2:$J$530,MATCH('KU UtilityData'!L$1,'KU Inputs'!$C$1:$J$1,0),0)</f>
        <v>129516.13400000001</v>
      </c>
      <c r="M136" s="181">
        <f>VLOOKUP($A136&amp;$B136,'KU Inputs'!$C$2:$J$530,MATCH('KU UtilityData'!M$1,'KU Inputs'!$C$1:$J$1,0),0)</f>
        <v>131895.05637467475</v>
      </c>
      <c r="N136" s="245">
        <v>558.75</v>
      </c>
      <c r="O136" s="245">
        <v>9.4499999999999993</v>
      </c>
      <c r="P136" s="159">
        <v>4512</v>
      </c>
      <c r="Q136" s="159">
        <v>1455</v>
      </c>
      <c r="R136" s="271">
        <f t="shared" si="3"/>
        <v>0.39143047734996056</v>
      </c>
    </row>
    <row r="137" spans="1:18" x14ac:dyDescent="0.2">
      <c r="A137" s="147">
        <v>2012</v>
      </c>
      <c r="B137" s="147">
        <v>4</v>
      </c>
      <c r="C137" s="232">
        <v>350190.57299999997</v>
      </c>
      <c r="D137" s="257" t="e">
        <f>HLOOKUP($A137,#REF!,26,0)*100</f>
        <v>#REF!</v>
      </c>
      <c r="E137" s="256" t="e">
        <f>HLOOKUP($A137,#REF!,11,0)*100</f>
        <v>#REF!</v>
      </c>
      <c r="F137" s="166">
        <v>30.67</v>
      </c>
      <c r="G137" s="148">
        <v>3665.9757043650816</v>
      </c>
      <c r="H137" s="181">
        <f>VLOOKUP($A137&amp;$B137,'KU Inputs'!$C$2:$J$530,MATCH('KU UtilityData'!H$1,'KU Inputs'!$C$1:$J$1,0),0)*1000</f>
        <v>4380415</v>
      </c>
      <c r="I137" s="181">
        <f>VLOOKUP($A137&amp;$B137,'KU Inputs'!$C$2:$J$530,MATCH('KU UtilityData'!I$1,'KU Inputs'!$C$1:$J$1,0),0)*1000</f>
        <v>4394317</v>
      </c>
      <c r="J137" s="181">
        <f>VLOOKUP($A137&amp;$B137,'KU Inputs'!$C$2:$J$530,MATCH('KU UtilityData'!J$1,'KU Inputs'!$C$1:$J$1,0),0)*1000</f>
        <v>1720075</v>
      </c>
      <c r="K137" s="241">
        <v>419898</v>
      </c>
      <c r="L137" s="181">
        <f>VLOOKUP($A137&amp;$B137,'KU Inputs'!$C$2:$J$530,MATCH('KU UtilityData'!L$1,'KU Inputs'!$C$1:$J$1,0),0)</f>
        <v>130403.818</v>
      </c>
      <c r="M137" s="181">
        <f>VLOOKUP($A137&amp;$B137,'KU Inputs'!$C$2:$J$530,MATCH('KU UtilityData'!M$1,'KU Inputs'!$C$1:$J$1,0),0)</f>
        <v>132479.04689339892</v>
      </c>
      <c r="N137" s="245">
        <v>250</v>
      </c>
      <c r="O137" s="245">
        <v>31</v>
      </c>
      <c r="P137" s="159">
        <v>4512</v>
      </c>
      <c r="Q137" s="159">
        <v>1455</v>
      </c>
      <c r="R137" s="271">
        <f t="shared" si="3"/>
        <v>0.39143170599663157</v>
      </c>
    </row>
    <row r="138" spans="1:18" x14ac:dyDescent="0.2">
      <c r="A138" s="147">
        <v>2012</v>
      </c>
      <c r="B138" s="147">
        <v>5</v>
      </c>
      <c r="C138" s="232">
        <v>378938.06800000003</v>
      </c>
      <c r="D138" s="257" t="e">
        <f>HLOOKUP($A138,#REF!,26,0)*100</f>
        <v>#REF!</v>
      </c>
      <c r="E138" s="256" t="e">
        <f>HLOOKUP($A138,#REF!,11,0)*100</f>
        <v>#REF!</v>
      </c>
      <c r="F138" s="166">
        <v>29.71</v>
      </c>
      <c r="G138" s="148">
        <v>3667.9044652777802</v>
      </c>
      <c r="H138" s="181">
        <f>VLOOKUP($A138&amp;$B138,'KU Inputs'!$C$2:$J$530,MATCH('KU UtilityData'!H$1,'KU Inputs'!$C$1:$J$1,0),0)*1000</f>
        <v>4380415</v>
      </c>
      <c r="I138" s="181">
        <f>VLOOKUP($A138&amp;$B138,'KU Inputs'!$C$2:$J$530,MATCH('KU UtilityData'!I$1,'KU Inputs'!$C$1:$J$1,0),0)*1000</f>
        <v>4394317</v>
      </c>
      <c r="J138" s="181">
        <f>VLOOKUP($A138&amp;$B138,'KU Inputs'!$C$2:$J$530,MATCH('KU UtilityData'!J$1,'KU Inputs'!$C$1:$J$1,0),0)*1000</f>
        <v>1720075</v>
      </c>
      <c r="K138" s="265">
        <v>420263</v>
      </c>
      <c r="L138" s="181">
        <f>VLOOKUP($A138&amp;$B138,'KU Inputs'!$C$2:$J$530,MATCH('KU UtilityData'!L$1,'KU Inputs'!$C$1:$J$1,0),0)</f>
        <v>130403.818</v>
      </c>
      <c r="M138" s="181">
        <f>VLOOKUP($A138&amp;$B138,'KU Inputs'!$C$2:$J$530,MATCH('KU UtilityData'!M$1,'KU Inputs'!$C$1:$J$1,0),0)</f>
        <v>132479.04689339892</v>
      </c>
      <c r="N138" s="245">
        <v>173.5</v>
      </c>
      <c r="O138" s="245">
        <v>66.2</v>
      </c>
      <c r="P138" s="159">
        <v>4512</v>
      </c>
      <c r="Q138" s="159">
        <v>1455</v>
      </c>
      <c r="R138" s="271">
        <f t="shared" si="3"/>
        <v>0.39143170599663157</v>
      </c>
    </row>
    <row r="139" spans="1:18" x14ac:dyDescent="0.2">
      <c r="A139" s="147">
        <v>2012</v>
      </c>
      <c r="B139" s="147">
        <v>6</v>
      </c>
      <c r="C139" s="232">
        <v>460295.98</v>
      </c>
      <c r="D139" s="257" t="e">
        <f>HLOOKUP($A139,#REF!,26,0)*100</f>
        <v>#REF!</v>
      </c>
      <c r="E139" s="256" t="e">
        <f>HLOOKUP($A139,#REF!,11,0)*100</f>
        <v>#REF!</v>
      </c>
      <c r="F139" s="166">
        <v>30.62</v>
      </c>
      <c r="G139" s="148">
        <v>3669.8332261904766</v>
      </c>
      <c r="H139" s="181">
        <f>VLOOKUP($A139&amp;$B139,'KU Inputs'!$C$2:$J$530,MATCH('KU UtilityData'!H$1,'KU Inputs'!$C$1:$J$1,0),0)*1000</f>
        <v>4380415</v>
      </c>
      <c r="I139" s="181">
        <f>VLOOKUP($A139&amp;$B139,'KU Inputs'!$C$2:$J$530,MATCH('KU UtilityData'!I$1,'KU Inputs'!$C$1:$J$1,0),0)*1000</f>
        <v>4394317</v>
      </c>
      <c r="J139" s="181">
        <f>VLOOKUP($A139&amp;$B139,'KU Inputs'!$C$2:$J$530,MATCH('KU UtilityData'!J$1,'KU Inputs'!$C$1:$J$1,0),0)*1000</f>
        <v>1720075</v>
      </c>
      <c r="K139" s="265">
        <v>419991</v>
      </c>
      <c r="L139" s="181">
        <f>VLOOKUP($A139&amp;$B139,'KU Inputs'!$C$2:$J$530,MATCH('KU UtilityData'!L$1,'KU Inputs'!$C$1:$J$1,0),0)</f>
        <v>130403.818</v>
      </c>
      <c r="M139" s="181">
        <f>VLOOKUP($A139&amp;$B139,'KU Inputs'!$C$2:$J$530,MATCH('KU UtilityData'!M$1,'KU Inputs'!$C$1:$J$1,0),0)</f>
        <v>132479.04689339892</v>
      </c>
      <c r="N139" s="245">
        <v>29.25</v>
      </c>
      <c r="O139" s="245">
        <v>165.14999999999998</v>
      </c>
      <c r="P139" s="159">
        <v>4512</v>
      </c>
      <c r="Q139" s="159">
        <v>1455</v>
      </c>
      <c r="R139" s="271">
        <f t="shared" si="3"/>
        <v>0.39143170599663157</v>
      </c>
    </row>
    <row r="140" spans="1:18" x14ac:dyDescent="0.2">
      <c r="A140" s="147">
        <v>2012</v>
      </c>
      <c r="B140" s="147">
        <v>7</v>
      </c>
      <c r="C140" s="232">
        <v>610018.90599999996</v>
      </c>
      <c r="D140" s="257" t="e">
        <f>HLOOKUP($A140,#REF!,26,0)*100</f>
        <v>#REF!</v>
      </c>
      <c r="E140" s="256" t="e">
        <f>HLOOKUP($A140,#REF!,11,0)*100</f>
        <v>#REF!</v>
      </c>
      <c r="F140" s="166">
        <v>30.76</v>
      </c>
      <c r="G140" s="148">
        <v>3671.9181537698414</v>
      </c>
      <c r="H140" s="181">
        <f>VLOOKUP($A140&amp;$B140,'KU Inputs'!$C$2:$J$530,MATCH('KU UtilityData'!H$1,'KU Inputs'!$C$1:$J$1,0),0)*1000</f>
        <v>4384090</v>
      </c>
      <c r="I140" s="181">
        <f>VLOOKUP($A140&amp;$B140,'KU Inputs'!$C$2:$J$530,MATCH('KU UtilityData'!I$1,'KU Inputs'!$C$1:$J$1,0),0)*1000</f>
        <v>4400950</v>
      </c>
      <c r="J140" s="181">
        <f>VLOOKUP($A140&amp;$B140,'KU Inputs'!$C$2:$J$530,MATCH('KU UtilityData'!J$1,'KU Inputs'!$C$1:$J$1,0),0)*1000</f>
        <v>1722731</v>
      </c>
      <c r="K140" s="265">
        <v>421922</v>
      </c>
      <c r="L140" s="181">
        <f>VLOOKUP($A140&amp;$B140,'KU Inputs'!$C$2:$J$530,MATCH('KU UtilityData'!L$1,'KU Inputs'!$C$1:$J$1,0),0)</f>
        <v>131166.87299999999</v>
      </c>
      <c r="M140" s="181">
        <f>VLOOKUP($A140&amp;$B140,'KU Inputs'!$C$2:$J$530,MATCH('KU UtilityData'!M$1,'KU Inputs'!$C$1:$J$1,0),0)</f>
        <v>132178.83262039465</v>
      </c>
      <c r="N140" s="245">
        <v>1.5</v>
      </c>
      <c r="O140" s="245">
        <v>420.1</v>
      </c>
      <c r="P140" s="159">
        <v>4512</v>
      </c>
      <c r="Q140" s="159">
        <v>1455</v>
      </c>
      <c r="R140" s="271">
        <f t="shared" si="3"/>
        <v>0.39144525613787934</v>
      </c>
    </row>
    <row r="141" spans="1:18" x14ac:dyDescent="0.2">
      <c r="A141" s="147">
        <v>2012</v>
      </c>
      <c r="B141" s="147">
        <v>8</v>
      </c>
      <c r="C141" s="232">
        <v>586895.88100000005</v>
      </c>
      <c r="D141" s="257" t="e">
        <f>HLOOKUP($A141,#REF!,26,0)*100</f>
        <v>#REF!</v>
      </c>
      <c r="E141" s="256" t="e">
        <f>HLOOKUP($A141,#REF!,11,0)*100</f>
        <v>#REF!</v>
      </c>
      <c r="F141" s="166">
        <v>29.48</v>
      </c>
      <c r="G141" s="148">
        <v>3674.0030813492062</v>
      </c>
      <c r="H141" s="181">
        <f>VLOOKUP($A141&amp;$B141,'KU Inputs'!$C$2:$J$530,MATCH('KU UtilityData'!H$1,'KU Inputs'!$C$1:$J$1,0),0)*1000</f>
        <v>4384090</v>
      </c>
      <c r="I141" s="181">
        <f>VLOOKUP($A141&amp;$B141,'KU Inputs'!$C$2:$J$530,MATCH('KU UtilityData'!I$1,'KU Inputs'!$C$1:$J$1,0),0)*1000</f>
        <v>4400950</v>
      </c>
      <c r="J141" s="181">
        <f>VLOOKUP($A141&amp;$B141,'KU Inputs'!$C$2:$J$530,MATCH('KU UtilityData'!J$1,'KU Inputs'!$C$1:$J$1,0),0)*1000</f>
        <v>1722731</v>
      </c>
      <c r="K141" s="265">
        <v>421764</v>
      </c>
      <c r="L141" s="181">
        <f>VLOOKUP($A141&amp;$B141,'KU Inputs'!$C$2:$J$530,MATCH('KU UtilityData'!L$1,'KU Inputs'!$C$1:$J$1,0),0)</f>
        <v>131166.87299999999</v>
      </c>
      <c r="M141" s="181">
        <f>VLOOKUP($A141&amp;$B141,'KU Inputs'!$C$2:$J$530,MATCH('KU UtilityData'!M$1,'KU Inputs'!$C$1:$J$1,0),0)</f>
        <v>132178.83262039465</v>
      </c>
      <c r="N141" s="245">
        <v>0</v>
      </c>
      <c r="O141" s="245">
        <v>381</v>
      </c>
      <c r="P141" s="159">
        <v>4512</v>
      </c>
      <c r="Q141" s="159">
        <v>1455</v>
      </c>
      <c r="R141" s="271">
        <f t="shared" si="3"/>
        <v>0.39144525613787934</v>
      </c>
    </row>
    <row r="142" spans="1:18" x14ac:dyDescent="0.2">
      <c r="A142" s="147">
        <v>2012</v>
      </c>
      <c r="B142" s="147">
        <v>9</v>
      </c>
      <c r="C142" s="232">
        <v>497203.87900000002</v>
      </c>
      <c r="D142" s="257" t="e">
        <f>HLOOKUP($A142,#REF!,26,0)*100</f>
        <v>#REF!</v>
      </c>
      <c r="E142" s="256" t="e">
        <f>HLOOKUP($A142,#REF!,11,0)*100</f>
        <v>#REF!</v>
      </c>
      <c r="F142" s="166">
        <v>30.57</v>
      </c>
      <c r="G142" s="148">
        <v>3676.0880089285711</v>
      </c>
      <c r="H142" s="181">
        <f>VLOOKUP($A142&amp;$B142,'KU Inputs'!$C$2:$J$530,MATCH('KU UtilityData'!H$1,'KU Inputs'!$C$1:$J$1,0),0)*1000</f>
        <v>4384090</v>
      </c>
      <c r="I142" s="181">
        <f>VLOOKUP($A142&amp;$B142,'KU Inputs'!$C$2:$J$530,MATCH('KU UtilityData'!I$1,'KU Inputs'!$C$1:$J$1,0),0)*1000</f>
        <v>4400950</v>
      </c>
      <c r="J142" s="181">
        <f>VLOOKUP($A142&amp;$B142,'KU Inputs'!$C$2:$J$530,MATCH('KU UtilityData'!J$1,'KU Inputs'!$C$1:$J$1,0),0)*1000</f>
        <v>1722731</v>
      </c>
      <c r="K142" s="265">
        <v>420330</v>
      </c>
      <c r="L142" s="181">
        <f>VLOOKUP($A142&amp;$B142,'KU Inputs'!$C$2:$J$530,MATCH('KU UtilityData'!L$1,'KU Inputs'!$C$1:$J$1,0),0)</f>
        <v>131166.87299999999</v>
      </c>
      <c r="M142" s="181">
        <f>VLOOKUP($A142&amp;$B142,'KU Inputs'!$C$2:$J$530,MATCH('KU UtilityData'!M$1,'KU Inputs'!$C$1:$J$1,0),0)</f>
        <v>132178.83262039465</v>
      </c>
      <c r="N142" s="245">
        <v>18.05</v>
      </c>
      <c r="O142" s="245">
        <v>246.6</v>
      </c>
      <c r="P142" s="159">
        <v>4512</v>
      </c>
      <c r="Q142" s="159">
        <v>1455</v>
      </c>
      <c r="R142" s="271">
        <f t="shared" si="3"/>
        <v>0.39144525613787934</v>
      </c>
    </row>
    <row r="143" spans="1:18" x14ac:dyDescent="0.2">
      <c r="A143" s="147">
        <v>2012</v>
      </c>
      <c r="B143" s="147">
        <v>10</v>
      </c>
      <c r="C143" s="232">
        <v>340830.522</v>
      </c>
      <c r="D143" s="257" t="e">
        <f>HLOOKUP($A143,#REF!,26,0)*100</f>
        <v>#REF!</v>
      </c>
      <c r="E143" s="256" t="e">
        <f>HLOOKUP($A143,#REF!,11,0)*100</f>
        <v>#REF!</v>
      </c>
      <c r="F143" s="166">
        <v>29.67</v>
      </c>
      <c r="G143" s="148">
        <v>3678.1729365079354</v>
      </c>
      <c r="H143" s="181">
        <f>VLOOKUP($A143&amp;$B143,'KU Inputs'!$C$2:$J$530,MATCH('KU UtilityData'!H$1,'KU Inputs'!$C$1:$J$1,0),0)*1000</f>
        <v>4388065</v>
      </c>
      <c r="I143" s="181">
        <f>VLOOKUP($A143&amp;$B143,'KU Inputs'!$C$2:$J$530,MATCH('KU UtilityData'!I$1,'KU Inputs'!$C$1:$J$1,0),0)*1000</f>
        <v>4407728</v>
      </c>
      <c r="J143" s="181">
        <f>VLOOKUP($A143&amp;$B143,'KU Inputs'!$C$2:$J$530,MATCH('KU UtilityData'!J$1,'KU Inputs'!$C$1:$J$1,0),0)*1000</f>
        <v>1725054</v>
      </c>
      <c r="K143" s="265">
        <v>421267</v>
      </c>
      <c r="L143" s="181">
        <f>VLOOKUP($A143&amp;$B143,'KU Inputs'!$C$2:$J$530,MATCH('KU UtilityData'!L$1,'KU Inputs'!$C$1:$J$1,0),0)</f>
        <v>132095.09099999999</v>
      </c>
      <c r="M143" s="181">
        <f>VLOOKUP($A143&amp;$B143,'KU Inputs'!$C$2:$J$530,MATCH('KU UtilityData'!M$1,'KU Inputs'!$C$1:$J$1,0),0)</f>
        <v>133690.68480912619</v>
      </c>
      <c r="N143" s="245">
        <v>177.4</v>
      </c>
      <c r="O143" s="245">
        <v>37.400000000000006</v>
      </c>
      <c r="P143" s="159">
        <v>4512</v>
      </c>
      <c r="Q143" s="159">
        <v>1455</v>
      </c>
      <c r="R143" s="271">
        <f t="shared" si="3"/>
        <v>0.39137033864158588</v>
      </c>
    </row>
    <row r="144" spans="1:18" x14ac:dyDescent="0.2">
      <c r="A144" s="147">
        <v>2012</v>
      </c>
      <c r="B144" s="147">
        <v>11</v>
      </c>
      <c r="C144" s="232">
        <v>418739.08</v>
      </c>
      <c r="D144" s="257" t="e">
        <f>HLOOKUP($A144,#REF!,26,0)*100</f>
        <v>#REF!</v>
      </c>
      <c r="E144" s="256" t="e">
        <f>HLOOKUP($A144,#REF!,11,0)*100</f>
        <v>#REF!</v>
      </c>
      <c r="F144" s="166">
        <v>29.95</v>
      </c>
      <c r="G144" s="148">
        <v>3680.2578640873003</v>
      </c>
      <c r="H144" s="181">
        <f>VLOOKUP($A144&amp;$B144,'KU Inputs'!$C$2:$J$530,MATCH('KU UtilityData'!H$1,'KU Inputs'!$C$1:$J$1,0),0)*1000</f>
        <v>4388065</v>
      </c>
      <c r="I144" s="181">
        <f>VLOOKUP($A144&amp;$B144,'KU Inputs'!$C$2:$J$530,MATCH('KU UtilityData'!I$1,'KU Inputs'!$C$1:$J$1,0),0)*1000</f>
        <v>4407728</v>
      </c>
      <c r="J144" s="181">
        <f>VLOOKUP($A144&amp;$B144,'KU Inputs'!$C$2:$J$530,MATCH('KU UtilityData'!J$1,'KU Inputs'!$C$1:$J$1,0),0)*1000</f>
        <v>1725054</v>
      </c>
      <c r="K144" s="265">
        <v>419905</v>
      </c>
      <c r="L144" s="181">
        <f>VLOOKUP($A144&amp;$B144,'KU Inputs'!$C$2:$J$530,MATCH('KU UtilityData'!L$1,'KU Inputs'!$C$1:$J$1,0),0)</f>
        <v>132095.09099999999</v>
      </c>
      <c r="M144" s="181">
        <f>VLOOKUP($A144&amp;$B144,'KU Inputs'!$C$2:$J$530,MATCH('KU UtilityData'!M$1,'KU Inputs'!$C$1:$J$1,0),0)</f>
        <v>133690.68480912619</v>
      </c>
      <c r="N144" s="245">
        <v>474.05</v>
      </c>
      <c r="O144" s="245">
        <v>3.9</v>
      </c>
      <c r="P144" s="159">
        <v>4512</v>
      </c>
      <c r="Q144" s="159">
        <v>1455</v>
      </c>
      <c r="R144" s="271">
        <f t="shared" si="3"/>
        <v>0.39137033864158588</v>
      </c>
    </row>
    <row r="145" spans="1:18" x14ac:dyDescent="0.2">
      <c r="A145" s="147">
        <v>2012</v>
      </c>
      <c r="B145" s="147">
        <v>12</v>
      </c>
      <c r="C145" s="232">
        <v>518023.935</v>
      </c>
      <c r="D145" s="257" t="e">
        <f>HLOOKUP($A145,#REF!,26,0)*100</f>
        <v>#REF!</v>
      </c>
      <c r="E145" s="256" t="e">
        <f>HLOOKUP($A145,#REF!,11,0)*100</f>
        <v>#REF!</v>
      </c>
      <c r="F145" s="166">
        <v>31.1</v>
      </c>
      <c r="G145" s="148">
        <v>3682.3427916666651</v>
      </c>
      <c r="H145" s="181">
        <f>VLOOKUP($A145&amp;$B145,'KU Inputs'!$C$2:$J$530,MATCH('KU UtilityData'!H$1,'KU Inputs'!$C$1:$J$1,0),0)*1000</f>
        <v>4388065</v>
      </c>
      <c r="I145" s="181">
        <f>VLOOKUP($A145&amp;$B145,'KU Inputs'!$C$2:$J$530,MATCH('KU UtilityData'!I$1,'KU Inputs'!$C$1:$J$1,0),0)*1000</f>
        <v>4407728</v>
      </c>
      <c r="J145" s="181">
        <f>VLOOKUP($A145&amp;$B145,'KU Inputs'!$C$2:$J$530,MATCH('KU UtilityData'!J$1,'KU Inputs'!$C$1:$J$1,0),0)*1000</f>
        <v>1725054</v>
      </c>
      <c r="K145" s="265">
        <v>419738</v>
      </c>
      <c r="L145" s="181">
        <f>VLOOKUP($A145&amp;$B145,'KU Inputs'!$C$2:$J$530,MATCH('KU UtilityData'!L$1,'KU Inputs'!$C$1:$J$1,0),0)</f>
        <v>132095.09099999999</v>
      </c>
      <c r="M145" s="181">
        <f>VLOOKUP($A145&amp;$B145,'KU Inputs'!$C$2:$J$530,MATCH('KU UtilityData'!M$1,'KU Inputs'!$C$1:$J$1,0),0)</f>
        <v>133690.68480912619</v>
      </c>
      <c r="N145" s="245">
        <v>625.70000000000005</v>
      </c>
      <c r="O145" s="245">
        <v>0</v>
      </c>
      <c r="P145" s="159">
        <v>4512</v>
      </c>
      <c r="Q145" s="159">
        <v>1455</v>
      </c>
      <c r="R145" s="271">
        <f t="shared" si="3"/>
        <v>0.39137033864158588</v>
      </c>
    </row>
    <row r="146" spans="1:18" x14ac:dyDescent="0.2">
      <c r="A146" s="147">
        <v>2013</v>
      </c>
      <c r="B146" s="147">
        <v>1</v>
      </c>
      <c r="C146" s="232">
        <v>686481.99699999997</v>
      </c>
      <c r="D146" s="257" t="e">
        <f>HLOOKUP($A146,#REF!,26,0)*100</f>
        <v>#REF!</v>
      </c>
      <c r="E146" s="256" t="e">
        <f>HLOOKUP($A146,#REF!,11,0)*100</f>
        <v>#REF!</v>
      </c>
      <c r="F146" s="166">
        <v>32.71</v>
      </c>
      <c r="G146" s="148">
        <v>3684.4277192460299</v>
      </c>
      <c r="H146" s="181">
        <f>VLOOKUP($A146&amp;$B146,'KU Inputs'!$C$2:$J$530,MATCH('KU UtilityData'!H$1,'KU Inputs'!$C$1:$J$1,0),0)*1000</f>
        <v>4392338</v>
      </c>
      <c r="I146" s="181">
        <f>VLOOKUP($A146&amp;$B146,'KU Inputs'!$C$2:$J$530,MATCH('KU UtilityData'!I$1,'KU Inputs'!$C$1:$J$1,0),0)*1000</f>
        <v>4414694</v>
      </c>
      <c r="J146" s="181">
        <f>VLOOKUP($A146&amp;$B146,'KU Inputs'!$C$2:$J$530,MATCH('KU UtilityData'!J$1,'KU Inputs'!$C$1:$J$1,0),0)*1000</f>
        <v>1728127</v>
      </c>
      <c r="K146" s="265">
        <v>421027</v>
      </c>
      <c r="L146" s="181">
        <f>VLOOKUP($A146&amp;$B146,'KU Inputs'!$C$2:$J$530,MATCH('KU UtilityData'!L$1,'KU Inputs'!$C$1:$J$1,0),0)</f>
        <v>132729.997</v>
      </c>
      <c r="M146" s="181">
        <f>VLOOKUP($A146&amp;$B146,'KU Inputs'!$C$2:$J$530,MATCH('KU UtilityData'!M$1,'KU Inputs'!$C$1:$J$1,0),0)</f>
        <v>132634.41351828325</v>
      </c>
      <c r="N146" s="245">
        <v>1009.8</v>
      </c>
      <c r="O146" s="245">
        <v>0</v>
      </c>
      <c r="P146" s="159">
        <v>4512</v>
      </c>
      <c r="Q146" s="159">
        <v>1455</v>
      </c>
      <c r="R146" s="271">
        <f t="shared" si="3"/>
        <v>0.39144887505226861</v>
      </c>
    </row>
    <row r="147" spans="1:18" x14ac:dyDescent="0.2">
      <c r="A147" s="147">
        <v>2013</v>
      </c>
      <c r="B147" s="147">
        <v>2</v>
      </c>
      <c r="C147" s="232">
        <v>655747.93099999998</v>
      </c>
      <c r="D147" s="257" t="e">
        <f>HLOOKUP($A147,#REF!,26,0)*100</f>
        <v>#REF!</v>
      </c>
      <c r="E147" s="256" t="e">
        <f>HLOOKUP($A147,#REF!,11,0)*100</f>
        <v>#REF!</v>
      </c>
      <c r="F147" s="166">
        <v>29.9</v>
      </c>
      <c r="G147" s="148">
        <v>3686.5126468253948</v>
      </c>
      <c r="H147" s="181">
        <f>VLOOKUP($A147&amp;$B147,'KU Inputs'!$C$2:$J$530,MATCH('KU UtilityData'!H$1,'KU Inputs'!$C$1:$J$1,0),0)*1000</f>
        <v>4392338</v>
      </c>
      <c r="I147" s="181">
        <f>VLOOKUP($A147&amp;$B147,'KU Inputs'!$C$2:$J$530,MATCH('KU UtilityData'!I$1,'KU Inputs'!$C$1:$J$1,0),0)*1000</f>
        <v>4414694</v>
      </c>
      <c r="J147" s="181">
        <f>VLOOKUP($A147&amp;$B147,'KU Inputs'!$C$2:$J$530,MATCH('KU UtilityData'!J$1,'KU Inputs'!$C$1:$J$1,0),0)*1000</f>
        <v>1728127</v>
      </c>
      <c r="K147" s="265">
        <v>420650</v>
      </c>
      <c r="L147" s="181">
        <f>VLOOKUP($A147&amp;$B147,'KU Inputs'!$C$2:$J$530,MATCH('KU UtilityData'!L$1,'KU Inputs'!$C$1:$J$1,0),0)</f>
        <v>132729.997</v>
      </c>
      <c r="M147" s="181">
        <f>VLOOKUP($A147&amp;$B147,'KU Inputs'!$C$2:$J$530,MATCH('KU UtilityData'!M$1,'KU Inputs'!$C$1:$J$1,0),0)</f>
        <v>132634.41351828325</v>
      </c>
      <c r="N147" s="245">
        <v>841.7</v>
      </c>
      <c r="O147" s="245">
        <v>0</v>
      </c>
      <c r="P147" s="159">
        <v>4512</v>
      </c>
      <c r="Q147" s="159">
        <v>1455</v>
      </c>
      <c r="R147" s="271">
        <f t="shared" si="3"/>
        <v>0.39144887505226861</v>
      </c>
    </row>
    <row r="148" spans="1:18" x14ac:dyDescent="0.2">
      <c r="A148" s="147">
        <v>2013</v>
      </c>
      <c r="B148" s="147">
        <v>3</v>
      </c>
      <c r="C148" s="232">
        <v>606814.25</v>
      </c>
      <c r="D148" s="257" t="e">
        <f>HLOOKUP($A148,#REF!,26,0)*100</f>
        <v>#REF!</v>
      </c>
      <c r="E148" s="256" t="e">
        <f>HLOOKUP($A148,#REF!,11,0)*100</f>
        <v>#REF!</v>
      </c>
      <c r="F148" s="166">
        <v>30.52</v>
      </c>
      <c r="G148" s="148">
        <v>3688.5975744047591</v>
      </c>
      <c r="H148" s="181">
        <f>VLOOKUP($A148&amp;$B148,'KU Inputs'!$C$2:$J$530,MATCH('KU UtilityData'!H$1,'KU Inputs'!$C$1:$J$1,0),0)*1000</f>
        <v>4392338</v>
      </c>
      <c r="I148" s="181">
        <f>VLOOKUP($A148&amp;$B148,'KU Inputs'!$C$2:$J$530,MATCH('KU UtilityData'!I$1,'KU Inputs'!$C$1:$J$1,0),0)*1000</f>
        <v>4414694</v>
      </c>
      <c r="J148" s="181">
        <f>VLOOKUP($A148&amp;$B148,'KU Inputs'!$C$2:$J$530,MATCH('KU UtilityData'!J$1,'KU Inputs'!$C$1:$J$1,0),0)*1000</f>
        <v>1728127</v>
      </c>
      <c r="K148" s="265">
        <v>421370</v>
      </c>
      <c r="L148" s="181">
        <f>VLOOKUP($A148&amp;$B148,'KU Inputs'!$C$2:$J$530,MATCH('KU UtilityData'!L$1,'KU Inputs'!$C$1:$J$1,0),0)</f>
        <v>132729.997</v>
      </c>
      <c r="M148" s="181">
        <f>VLOOKUP($A148&amp;$B148,'KU Inputs'!$C$2:$J$530,MATCH('KU UtilityData'!M$1,'KU Inputs'!$C$1:$J$1,0),0)</f>
        <v>132634.41351828325</v>
      </c>
      <c r="N148" s="245">
        <v>767.59999999999991</v>
      </c>
      <c r="O148" s="245">
        <v>0</v>
      </c>
      <c r="P148" s="159">
        <v>4512</v>
      </c>
      <c r="Q148" s="159">
        <v>1455</v>
      </c>
      <c r="R148" s="271">
        <f t="shared" si="3"/>
        <v>0.39144887505226861</v>
      </c>
    </row>
    <row r="149" spans="1:18" x14ac:dyDescent="0.2">
      <c r="A149" s="147">
        <v>2013</v>
      </c>
      <c r="B149" s="147">
        <v>4</v>
      </c>
      <c r="C149" s="161">
        <v>492581</v>
      </c>
      <c r="D149" s="257" t="e">
        <f>HLOOKUP($A149,#REF!,26,0)*100</f>
        <v>#REF!</v>
      </c>
      <c r="E149" s="256" t="e">
        <f>HLOOKUP($A149,#REF!,11,0)*100</f>
        <v>#REF!</v>
      </c>
      <c r="F149" s="166">
        <v>30.57</v>
      </c>
      <c r="G149" s="148">
        <v>3690.682501984124</v>
      </c>
      <c r="H149" s="181">
        <f>VLOOKUP($A149&amp;$B149,'KU Inputs'!$C$2:$J$530,MATCH('KU UtilityData'!H$1,'KU Inputs'!$C$1:$J$1,0),0)*1000</f>
        <v>4396873</v>
      </c>
      <c r="I149" s="181">
        <f>VLOOKUP($A149&amp;$B149,'KU Inputs'!$C$2:$J$530,MATCH('KU UtilityData'!I$1,'KU Inputs'!$C$1:$J$1,0),0)*1000</f>
        <v>4421845</v>
      </c>
      <c r="J149" s="181">
        <f>VLOOKUP($A149&amp;$B149,'KU Inputs'!$C$2:$J$530,MATCH('KU UtilityData'!J$1,'KU Inputs'!$C$1:$J$1,0),0)*1000</f>
        <v>1731874</v>
      </c>
      <c r="K149" s="265">
        <v>422203</v>
      </c>
      <c r="L149" s="181">
        <f>VLOOKUP($A149&amp;$B149,'KU Inputs'!$C$2:$J$530,MATCH('KU UtilityData'!L$1,'KU Inputs'!$C$1:$J$1,0),0)</f>
        <v>133712.25599999999</v>
      </c>
      <c r="M149" s="181">
        <f>VLOOKUP($A149&amp;$B149,'KU Inputs'!$C$2:$J$530,MATCH('KU UtilityData'!M$1,'KU Inputs'!$C$1:$J$1,0),0)</f>
        <v>133793.329456562</v>
      </c>
      <c r="N149" s="266">
        <v>555</v>
      </c>
      <c r="O149" s="266">
        <v>17</v>
      </c>
      <c r="P149" s="159">
        <v>4512</v>
      </c>
      <c r="Q149" s="159">
        <v>1455</v>
      </c>
      <c r="R149" s="271">
        <f t="shared" si="3"/>
        <v>0.39166320845710334</v>
      </c>
    </row>
    <row r="150" spans="1:18" x14ac:dyDescent="0.2">
      <c r="A150" s="147">
        <v>2013</v>
      </c>
      <c r="B150" s="147">
        <v>5</v>
      </c>
      <c r="C150" s="161"/>
      <c r="D150" s="257" t="e">
        <f>HLOOKUP($A150,#REF!,26,0)*100</f>
        <v>#REF!</v>
      </c>
      <c r="E150" s="256" t="e">
        <f>HLOOKUP($A150,#REF!,11,0)*100</f>
        <v>#REF!</v>
      </c>
      <c r="F150" s="166">
        <v>29.57</v>
      </c>
      <c r="G150" s="148">
        <v>3692.7674295634888</v>
      </c>
      <c r="H150" s="181">
        <f>VLOOKUP($A150&amp;$B150,'KU Inputs'!$C$2:$J$530,MATCH('KU UtilityData'!H$1,'KU Inputs'!$C$1:$J$1,0),0)*1000</f>
        <v>4396873</v>
      </c>
      <c r="I150" s="181">
        <f>VLOOKUP($A150&amp;$B150,'KU Inputs'!$C$2:$J$530,MATCH('KU UtilityData'!I$1,'KU Inputs'!$C$1:$J$1,0),0)*1000</f>
        <v>4421845</v>
      </c>
      <c r="J150" s="181">
        <f>VLOOKUP($A150&amp;$B150,'KU Inputs'!$C$2:$J$530,MATCH('KU UtilityData'!J$1,'KU Inputs'!$C$1:$J$1,0),0)*1000</f>
        <v>1731874</v>
      </c>
      <c r="K150" s="231">
        <v>425822.96</v>
      </c>
      <c r="L150" s="181">
        <f>VLOOKUP($A150&amp;$B150,'KU Inputs'!$C$2:$J$530,MATCH('KU UtilityData'!L$1,'KU Inputs'!$C$1:$J$1,0),0)</f>
        <v>133712.25599999999</v>
      </c>
      <c r="M150" s="181">
        <f>VLOOKUP($A150&amp;$B150,'KU Inputs'!$C$2:$J$530,MATCH('KU UtilityData'!M$1,'KU Inputs'!$C$1:$J$1,0),0)</f>
        <v>133793.329456562</v>
      </c>
      <c r="N150" s="157">
        <v>189.125</v>
      </c>
      <c r="O150" s="157">
        <v>46.06</v>
      </c>
      <c r="P150" s="159">
        <v>4512</v>
      </c>
      <c r="Q150" s="159">
        <v>1455</v>
      </c>
      <c r="R150" s="271">
        <f t="shared" si="3"/>
        <v>0.39166320845710334</v>
      </c>
    </row>
    <row r="151" spans="1:18" x14ac:dyDescent="0.2">
      <c r="A151" s="147">
        <v>2013</v>
      </c>
      <c r="B151" s="147">
        <v>6</v>
      </c>
      <c r="C151" s="161"/>
      <c r="D151" s="257" t="e">
        <f>HLOOKUP($A151,#REF!,26,0)*100</f>
        <v>#REF!</v>
      </c>
      <c r="E151" s="256" t="e">
        <f>HLOOKUP($A151,#REF!,11,0)*100</f>
        <v>#REF!</v>
      </c>
      <c r="F151" s="166">
        <v>30.67</v>
      </c>
      <c r="G151" s="148">
        <v>3694.852357142855</v>
      </c>
      <c r="H151" s="181">
        <f>VLOOKUP($A151&amp;$B151,'KU Inputs'!$C$2:$J$530,MATCH('KU UtilityData'!H$1,'KU Inputs'!$C$1:$J$1,0),0)*1000</f>
        <v>4396873</v>
      </c>
      <c r="I151" s="181">
        <f>VLOOKUP($A151&amp;$B151,'KU Inputs'!$C$2:$J$530,MATCH('KU UtilityData'!I$1,'KU Inputs'!$C$1:$J$1,0),0)*1000</f>
        <v>4421845</v>
      </c>
      <c r="J151" s="181">
        <f>VLOOKUP($A151&amp;$B151,'KU Inputs'!$C$2:$J$530,MATCH('KU UtilityData'!J$1,'KU Inputs'!$C$1:$J$1,0),0)*1000</f>
        <v>1731874</v>
      </c>
      <c r="K151" s="231">
        <v>425888.36</v>
      </c>
      <c r="L151" s="181">
        <f>VLOOKUP($A151&amp;$B151,'KU Inputs'!$C$2:$J$530,MATCH('KU UtilityData'!L$1,'KU Inputs'!$C$1:$J$1,0),0)</f>
        <v>133712.25599999999</v>
      </c>
      <c r="M151" s="181">
        <f>VLOOKUP($A151&amp;$B151,'KU Inputs'!$C$2:$J$530,MATCH('KU UtilityData'!M$1,'KU Inputs'!$C$1:$J$1,0),0)</f>
        <v>133793.329456562</v>
      </c>
      <c r="N151" s="157">
        <v>50.362499999999997</v>
      </c>
      <c r="O151" s="157">
        <v>166.4075</v>
      </c>
      <c r="P151" s="159">
        <v>4512</v>
      </c>
      <c r="Q151" s="159">
        <v>1455</v>
      </c>
      <c r="R151" s="271">
        <f t="shared" si="3"/>
        <v>0.39166320845710334</v>
      </c>
    </row>
    <row r="152" spans="1:18" x14ac:dyDescent="0.2">
      <c r="A152" s="147">
        <v>2013</v>
      </c>
      <c r="B152" s="147">
        <v>7</v>
      </c>
      <c r="C152" s="161"/>
      <c r="D152" s="257" t="e">
        <f>HLOOKUP($A152,#REF!,26,0)*100</f>
        <v>#REF!</v>
      </c>
      <c r="E152" s="256" t="e">
        <f>HLOOKUP($A152,#REF!,11,0)*100</f>
        <v>#REF!</v>
      </c>
      <c r="F152" s="166">
        <v>30.67</v>
      </c>
      <c r="G152" s="148">
        <v>3697.0577013888865</v>
      </c>
      <c r="H152" s="181">
        <f>VLOOKUP($A152&amp;$B152,'KU Inputs'!$C$2:$J$530,MATCH('KU UtilityData'!H$1,'KU Inputs'!$C$1:$J$1,0),0)*1000</f>
        <v>4401670</v>
      </c>
      <c r="I152" s="181">
        <f>VLOOKUP($A152&amp;$B152,'KU Inputs'!$C$2:$J$530,MATCH('KU UtilityData'!I$1,'KU Inputs'!$C$1:$J$1,0),0)*1000</f>
        <v>4429177</v>
      </c>
      <c r="J152" s="181">
        <f>VLOOKUP($A152&amp;$B152,'KU Inputs'!$C$2:$J$530,MATCH('KU UtilityData'!J$1,'KU Inputs'!$C$1:$J$1,0),0)*1000</f>
        <v>1735721</v>
      </c>
      <c r="K152" s="231">
        <v>426581.64</v>
      </c>
      <c r="L152" s="181">
        <f>VLOOKUP($A152&amp;$B152,'KU Inputs'!$C$2:$J$530,MATCH('KU UtilityData'!L$1,'KU Inputs'!$C$1:$J$1,0),0)</f>
        <v>134397.17499999999</v>
      </c>
      <c r="M152" s="181">
        <f>VLOOKUP($A152&amp;$B152,'KU Inputs'!$C$2:$J$530,MATCH('KU UtilityData'!M$1,'KU Inputs'!$C$1:$J$1,0),0)</f>
        <v>134725.28851443794</v>
      </c>
      <c r="N152" s="157">
        <v>1.625</v>
      </c>
      <c r="O152" s="157">
        <v>326.005</v>
      </c>
      <c r="P152" s="159">
        <v>4512</v>
      </c>
      <c r="Q152" s="159">
        <v>1455</v>
      </c>
      <c r="R152" s="271">
        <f t="shared" si="3"/>
        <v>0.39188341310360819</v>
      </c>
    </row>
    <row r="153" spans="1:18" x14ac:dyDescent="0.2">
      <c r="A153" s="147">
        <v>2013</v>
      </c>
      <c r="B153" s="147">
        <v>8</v>
      </c>
      <c r="C153" s="161"/>
      <c r="D153" s="257" t="e">
        <f>HLOOKUP($A153,#REF!,26,0)*100</f>
        <v>#REF!</v>
      </c>
      <c r="E153" s="256" t="e">
        <f>HLOOKUP($A153,#REF!,11,0)*100</f>
        <v>#REF!</v>
      </c>
      <c r="F153" s="166">
        <v>29.48</v>
      </c>
      <c r="G153" s="148">
        <v>3699.2630456349184</v>
      </c>
      <c r="H153" s="181">
        <f>VLOOKUP($A153&amp;$B153,'KU Inputs'!$C$2:$J$530,MATCH('KU UtilityData'!H$1,'KU Inputs'!$C$1:$J$1,0),0)*1000</f>
        <v>4401670</v>
      </c>
      <c r="I153" s="181">
        <f>VLOOKUP($A153&amp;$B153,'KU Inputs'!$C$2:$J$530,MATCH('KU UtilityData'!I$1,'KU Inputs'!$C$1:$J$1,0),0)*1000</f>
        <v>4429177</v>
      </c>
      <c r="J153" s="181">
        <f>VLOOKUP($A153&amp;$B153,'KU Inputs'!$C$2:$J$530,MATCH('KU UtilityData'!J$1,'KU Inputs'!$C$1:$J$1,0),0)*1000</f>
        <v>1735721</v>
      </c>
      <c r="K153" s="231">
        <v>426630.82</v>
      </c>
      <c r="L153" s="181">
        <f>VLOOKUP($A153&amp;$B153,'KU Inputs'!$C$2:$J$530,MATCH('KU UtilityData'!L$1,'KU Inputs'!$C$1:$J$1,0),0)</f>
        <v>134397.17499999999</v>
      </c>
      <c r="M153" s="181">
        <f>VLOOKUP($A153&amp;$B153,'KU Inputs'!$C$2:$J$530,MATCH('KU UtilityData'!M$1,'KU Inputs'!$C$1:$J$1,0),0)</f>
        <v>134725.28851443794</v>
      </c>
      <c r="N153" s="157">
        <v>0.75</v>
      </c>
      <c r="O153" s="157">
        <v>348.8175</v>
      </c>
      <c r="P153" s="159">
        <v>4512</v>
      </c>
      <c r="Q153" s="159">
        <v>1455</v>
      </c>
      <c r="R153" s="271">
        <f t="shared" si="3"/>
        <v>0.39188341310360819</v>
      </c>
    </row>
    <row r="154" spans="1:18" x14ac:dyDescent="0.2">
      <c r="A154" s="147">
        <v>2013</v>
      </c>
      <c r="B154" s="147">
        <v>9</v>
      </c>
      <c r="C154" s="161"/>
      <c r="D154" s="257" t="e">
        <f>HLOOKUP($A154,#REF!,26,0)*100</f>
        <v>#REF!</v>
      </c>
      <c r="E154" s="256" t="e">
        <f>HLOOKUP($A154,#REF!,11,0)*100</f>
        <v>#REF!</v>
      </c>
      <c r="F154" s="166">
        <v>30.71</v>
      </c>
      <c r="G154" s="148">
        <v>3701.4683898809499</v>
      </c>
      <c r="H154" s="181">
        <f>VLOOKUP($A154&amp;$B154,'KU Inputs'!$C$2:$J$530,MATCH('KU UtilityData'!H$1,'KU Inputs'!$C$1:$J$1,0),0)*1000</f>
        <v>4401670</v>
      </c>
      <c r="I154" s="181">
        <f>VLOOKUP($A154&amp;$B154,'KU Inputs'!$C$2:$J$530,MATCH('KU UtilityData'!I$1,'KU Inputs'!$C$1:$J$1,0),0)*1000</f>
        <v>4429177</v>
      </c>
      <c r="J154" s="181">
        <f>VLOOKUP($A154&amp;$B154,'KU Inputs'!$C$2:$J$530,MATCH('KU UtilityData'!J$1,'KU Inputs'!$C$1:$J$1,0),0)*1000</f>
        <v>1735721</v>
      </c>
      <c r="K154" s="231">
        <v>426673.47</v>
      </c>
      <c r="L154" s="181">
        <f>VLOOKUP($A154&amp;$B154,'KU Inputs'!$C$2:$J$530,MATCH('KU UtilityData'!L$1,'KU Inputs'!$C$1:$J$1,0),0)</f>
        <v>134397.17499999999</v>
      </c>
      <c r="M154" s="181">
        <f>VLOOKUP($A154&amp;$B154,'KU Inputs'!$C$2:$J$530,MATCH('KU UtilityData'!M$1,'KU Inputs'!$C$1:$J$1,0),0)</f>
        <v>134725.28851443794</v>
      </c>
      <c r="N154" s="157">
        <v>11.752500000000001</v>
      </c>
      <c r="O154" s="157">
        <v>258.88</v>
      </c>
      <c r="P154" s="159">
        <v>4512</v>
      </c>
      <c r="Q154" s="159">
        <v>1455</v>
      </c>
      <c r="R154" s="271">
        <f t="shared" si="3"/>
        <v>0.39188341310360819</v>
      </c>
    </row>
    <row r="155" spans="1:18" x14ac:dyDescent="0.2">
      <c r="A155" s="147">
        <v>2013</v>
      </c>
      <c r="B155" s="147">
        <v>10</v>
      </c>
      <c r="C155" s="161"/>
      <c r="D155" s="257" t="e">
        <f>HLOOKUP($A155,#REF!,26,0)*100</f>
        <v>#REF!</v>
      </c>
      <c r="E155" s="256" t="e">
        <f>HLOOKUP($A155,#REF!,11,0)*100</f>
        <v>#REF!</v>
      </c>
      <c r="F155" s="166">
        <v>29.52</v>
      </c>
      <c r="G155" s="148">
        <v>3703.6737341269818</v>
      </c>
      <c r="H155" s="181">
        <f>VLOOKUP($A155&amp;$B155,'KU Inputs'!$C$2:$J$530,MATCH('KU UtilityData'!H$1,'KU Inputs'!$C$1:$J$1,0),0)*1000</f>
        <v>4406728</v>
      </c>
      <c r="I155" s="181">
        <f>VLOOKUP($A155&amp;$B155,'KU Inputs'!$C$2:$J$530,MATCH('KU UtilityData'!I$1,'KU Inputs'!$C$1:$J$1,0),0)*1000</f>
        <v>4436708</v>
      </c>
      <c r="J155" s="181">
        <f>VLOOKUP($A155&amp;$B155,'KU Inputs'!$C$2:$J$530,MATCH('KU UtilityData'!J$1,'KU Inputs'!$C$1:$J$1,0),0)*1000</f>
        <v>1739767</v>
      </c>
      <c r="K155" s="231">
        <v>427443.89</v>
      </c>
      <c r="L155" s="181">
        <f>VLOOKUP($A155&amp;$B155,'KU Inputs'!$C$2:$J$530,MATCH('KU UtilityData'!L$1,'KU Inputs'!$C$1:$J$1,0),0)</f>
        <v>135147.93599999999</v>
      </c>
      <c r="M155" s="181">
        <f>VLOOKUP($A155&amp;$B155,'KU Inputs'!$C$2:$J$530,MATCH('KU UtilityData'!M$1,'KU Inputs'!$C$1:$J$1,0),0)</f>
        <v>136078.24768430213</v>
      </c>
      <c r="N155" s="157">
        <v>134.87</v>
      </c>
      <c r="O155" s="157">
        <v>71.42</v>
      </c>
      <c r="P155" s="159">
        <v>4512</v>
      </c>
      <c r="Q155" s="159">
        <v>1455</v>
      </c>
      <c r="R155" s="271">
        <f t="shared" si="3"/>
        <v>0.39213015596248391</v>
      </c>
    </row>
    <row r="156" spans="1:18" x14ac:dyDescent="0.2">
      <c r="A156" s="147">
        <v>2013</v>
      </c>
      <c r="B156" s="147">
        <v>11</v>
      </c>
      <c r="C156" s="161"/>
      <c r="D156" s="257" t="e">
        <f>HLOOKUP($A156,#REF!,26,0)*100</f>
        <v>#REF!</v>
      </c>
      <c r="E156" s="256" t="e">
        <f>HLOOKUP($A156,#REF!,11,0)*100</f>
        <v>#REF!</v>
      </c>
      <c r="F156" s="166">
        <v>29.38</v>
      </c>
      <c r="G156" s="148">
        <v>3705.8790783730137</v>
      </c>
      <c r="H156" s="181">
        <f>VLOOKUP($A156&amp;$B156,'KU Inputs'!$C$2:$J$530,MATCH('KU UtilityData'!H$1,'KU Inputs'!$C$1:$J$1,0),0)*1000</f>
        <v>4406728</v>
      </c>
      <c r="I156" s="181">
        <f>VLOOKUP($A156&amp;$B156,'KU Inputs'!$C$2:$J$530,MATCH('KU UtilityData'!I$1,'KU Inputs'!$C$1:$J$1,0),0)*1000</f>
        <v>4436708</v>
      </c>
      <c r="J156" s="181">
        <f>VLOOKUP($A156&amp;$B156,'KU Inputs'!$C$2:$J$530,MATCH('KU UtilityData'!J$1,'KU Inputs'!$C$1:$J$1,0),0)*1000</f>
        <v>1739767</v>
      </c>
      <c r="K156" s="231">
        <v>427475.96</v>
      </c>
      <c r="L156" s="181">
        <f>VLOOKUP($A156&amp;$B156,'KU Inputs'!$C$2:$J$530,MATCH('KU UtilityData'!L$1,'KU Inputs'!$C$1:$J$1,0),0)</f>
        <v>135147.93599999999</v>
      </c>
      <c r="M156" s="181">
        <f>VLOOKUP($A156&amp;$B156,'KU Inputs'!$C$2:$J$530,MATCH('KU UtilityData'!M$1,'KU Inputs'!$C$1:$J$1,0),0)</f>
        <v>136078.24768430213</v>
      </c>
      <c r="N156" s="157">
        <v>396.30250000000001</v>
      </c>
      <c r="O156" s="157">
        <v>6.6950000000000003</v>
      </c>
      <c r="P156" s="159">
        <v>4512</v>
      </c>
      <c r="Q156" s="159">
        <v>1455</v>
      </c>
      <c r="R156" s="271">
        <f t="shared" si="3"/>
        <v>0.39213015596248391</v>
      </c>
    </row>
    <row r="157" spans="1:18" x14ac:dyDescent="0.2">
      <c r="A157" s="147">
        <v>2013</v>
      </c>
      <c r="B157" s="147">
        <v>12</v>
      </c>
      <c r="C157" s="161"/>
      <c r="D157" s="257" t="e">
        <f>HLOOKUP($A157,#REF!,26,0)*100</f>
        <v>#REF!</v>
      </c>
      <c r="E157" s="256" t="e">
        <f>HLOOKUP($A157,#REF!,11,0)*100</f>
        <v>#REF!</v>
      </c>
      <c r="F157" s="166">
        <v>32.049999999999997</v>
      </c>
      <c r="G157" s="148">
        <v>3708.0844226190452</v>
      </c>
      <c r="H157" s="181">
        <f>VLOOKUP($A157&amp;$B157,'KU Inputs'!$C$2:$J$530,MATCH('KU UtilityData'!H$1,'KU Inputs'!$C$1:$J$1,0),0)*1000</f>
        <v>4406728</v>
      </c>
      <c r="I157" s="181">
        <f>VLOOKUP($A157&amp;$B157,'KU Inputs'!$C$2:$J$530,MATCH('KU UtilityData'!I$1,'KU Inputs'!$C$1:$J$1,0),0)*1000</f>
        <v>4436708</v>
      </c>
      <c r="J157" s="181">
        <f>VLOOKUP($A157&amp;$B157,'KU Inputs'!$C$2:$J$530,MATCH('KU UtilityData'!J$1,'KU Inputs'!$C$1:$J$1,0),0)*1000</f>
        <v>1739767</v>
      </c>
      <c r="K157" s="231">
        <v>427503.77</v>
      </c>
      <c r="L157" s="181">
        <f>VLOOKUP($A157&amp;$B157,'KU Inputs'!$C$2:$J$530,MATCH('KU UtilityData'!L$1,'KU Inputs'!$C$1:$J$1,0),0)</f>
        <v>135147.93599999999</v>
      </c>
      <c r="M157" s="181">
        <f>VLOOKUP($A157&amp;$B157,'KU Inputs'!$C$2:$J$530,MATCH('KU UtilityData'!M$1,'KU Inputs'!$C$1:$J$1,0),0)</f>
        <v>136078.24768430213</v>
      </c>
      <c r="N157" s="157">
        <v>714.28500000000008</v>
      </c>
      <c r="O157" s="157">
        <v>0.25</v>
      </c>
      <c r="P157" s="159">
        <v>4512</v>
      </c>
      <c r="Q157" s="159">
        <v>1455</v>
      </c>
      <c r="R157" s="271">
        <f t="shared" si="3"/>
        <v>0.39213015596248391</v>
      </c>
    </row>
    <row r="158" spans="1:18" x14ac:dyDescent="0.2">
      <c r="A158" s="147">
        <v>2014</v>
      </c>
      <c r="B158" s="147">
        <v>1</v>
      </c>
      <c r="C158" s="161"/>
      <c r="D158" s="257" t="e">
        <f>HLOOKUP($A158,#REF!,26,0)*100</f>
        <v>#REF!</v>
      </c>
      <c r="E158" s="256" t="e">
        <f>HLOOKUP($A158,#REF!,11,0)*100</f>
        <v>#REF!</v>
      </c>
      <c r="F158" s="166">
        <v>32.33</v>
      </c>
      <c r="G158" s="148">
        <v>3710.2897668650771</v>
      </c>
      <c r="H158" s="181">
        <f>VLOOKUP($A158&amp;$B158,'KU Inputs'!$C$2:$J$530,MATCH('KU UtilityData'!H$1,'KU Inputs'!$C$1:$J$1,0),0)*1000</f>
        <v>4412046</v>
      </c>
      <c r="I158" s="181">
        <f>VLOOKUP($A158&amp;$B158,'KU Inputs'!$C$2:$J$530,MATCH('KU UtilityData'!I$1,'KU Inputs'!$C$1:$J$1,0),0)*1000</f>
        <v>4444359</v>
      </c>
      <c r="J158" s="181">
        <f>VLOOKUP($A158&amp;$B158,'KU Inputs'!$C$2:$J$530,MATCH('KU UtilityData'!J$1,'KU Inputs'!$C$1:$J$1,0),0)*1000</f>
        <v>1744053</v>
      </c>
      <c r="K158" s="231">
        <v>428256.29</v>
      </c>
      <c r="L158" s="181">
        <f>VLOOKUP($A158&amp;$B158,'KU Inputs'!$C$2:$J$530,MATCH('KU UtilityData'!L$1,'KU Inputs'!$C$1:$J$1,0),0)</f>
        <v>136646.935</v>
      </c>
      <c r="M158" s="181">
        <f>VLOOKUP($A158&amp;$B158,'KU Inputs'!$C$2:$J$530,MATCH('KU UtilityData'!M$1,'KU Inputs'!$C$1:$J$1,0),0)</f>
        <v>137729.87198391245</v>
      </c>
      <c r="N158" s="157">
        <v>991.4375</v>
      </c>
      <c r="O158" s="157">
        <v>0</v>
      </c>
      <c r="P158" s="159">
        <v>4512</v>
      </c>
      <c r="Q158" s="159">
        <v>1455</v>
      </c>
      <c r="R158" s="271">
        <f t="shared" si="3"/>
        <v>0.39241946926429661</v>
      </c>
    </row>
    <row r="159" spans="1:18" x14ac:dyDescent="0.2">
      <c r="A159" s="147">
        <v>2014</v>
      </c>
      <c r="B159" s="147">
        <v>2</v>
      </c>
      <c r="C159" s="161"/>
      <c r="D159" s="257" t="e">
        <f>HLOOKUP($A159,#REF!,26,0)*100</f>
        <v>#REF!</v>
      </c>
      <c r="E159" s="256" t="e">
        <f>HLOOKUP($A159,#REF!,11,0)*100</f>
        <v>#REF!</v>
      </c>
      <c r="F159" s="166">
        <v>30.05</v>
      </c>
      <c r="G159" s="148">
        <v>3712.4951111111086</v>
      </c>
      <c r="H159" s="181">
        <f>VLOOKUP($A159&amp;$B159,'KU Inputs'!$C$2:$J$530,MATCH('KU UtilityData'!H$1,'KU Inputs'!$C$1:$J$1,0),0)*1000</f>
        <v>4412046</v>
      </c>
      <c r="I159" s="181">
        <f>VLOOKUP($A159&amp;$B159,'KU Inputs'!$C$2:$J$530,MATCH('KU UtilityData'!I$1,'KU Inputs'!$C$1:$J$1,0),0)*1000</f>
        <v>4444359</v>
      </c>
      <c r="J159" s="181">
        <f>VLOOKUP($A159&amp;$B159,'KU Inputs'!$C$2:$J$530,MATCH('KU UtilityData'!J$1,'KU Inputs'!$C$1:$J$1,0),0)*1000</f>
        <v>1744053</v>
      </c>
      <c r="K159" s="231">
        <v>428277.2</v>
      </c>
      <c r="L159" s="181">
        <f>VLOOKUP($A159&amp;$B159,'KU Inputs'!$C$2:$J$530,MATCH('KU UtilityData'!L$1,'KU Inputs'!$C$1:$J$1,0),0)</f>
        <v>136646.935</v>
      </c>
      <c r="M159" s="181">
        <f>VLOOKUP($A159&amp;$B159,'KU Inputs'!$C$2:$J$530,MATCH('KU UtilityData'!M$1,'KU Inputs'!$C$1:$J$1,0),0)</f>
        <v>137729.87198391245</v>
      </c>
      <c r="N159" s="157">
        <v>890.05499999999995</v>
      </c>
      <c r="O159" s="157">
        <v>0</v>
      </c>
      <c r="P159" s="159">
        <v>4512</v>
      </c>
      <c r="Q159" s="159">
        <v>1455</v>
      </c>
      <c r="R159" s="271">
        <f t="shared" si="3"/>
        <v>0.39241946926429661</v>
      </c>
    </row>
    <row r="160" spans="1:18" x14ac:dyDescent="0.2">
      <c r="A160" s="147">
        <v>2014</v>
      </c>
      <c r="B160" s="147">
        <v>3</v>
      </c>
      <c r="C160" s="161"/>
      <c r="D160" s="257" t="e">
        <f>HLOOKUP($A160,#REF!,26,0)*100</f>
        <v>#REF!</v>
      </c>
      <c r="E160" s="256" t="e">
        <f>HLOOKUP($A160,#REF!,11,0)*100</f>
        <v>#REF!</v>
      </c>
      <c r="F160" s="166">
        <v>30.19</v>
      </c>
      <c r="G160" s="148">
        <v>3714.7004553571405</v>
      </c>
      <c r="H160" s="181">
        <f>VLOOKUP($A160&amp;$B160,'KU Inputs'!$C$2:$J$530,MATCH('KU UtilityData'!H$1,'KU Inputs'!$C$1:$J$1,0),0)*1000</f>
        <v>4412046</v>
      </c>
      <c r="I160" s="181">
        <f>VLOOKUP($A160&amp;$B160,'KU Inputs'!$C$2:$J$530,MATCH('KU UtilityData'!I$1,'KU Inputs'!$C$1:$J$1,0),0)*1000</f>
        <v>4444359</v>
      </c>
      <c r="J160" s="181">
        <f>VLOOKUP($A160&amp;$B160,'KU Inputs'!$C$2:$J$530,MATCH('KU UtilityData'!J$1,'KU Inputs'!$C$1:$J$1,0),0)*1000</f>
        <v>1744053</v>
      </c>
      <c r="K160" s="231">
        <v>428295.34</v>
      </c>
      <c r="L160" s="181">
        <f>VLOOKUP($A160&amp;$B160,'KU Inputs'!$C$2:$J$530,MATCH('KU UtilityData'!L$1,'KU Inputs'!$C$1:$J$1,0),0)</f>
        <v>136646.935</v>
      </c>
      <c r="M160" s="181">
        <f>VLOOKUP($A160&amp;$B160,'KU Inputs'!$C$2:$J$530,MATCH('KU UtilityData'!M$1,'KU Inputs'!$C$1:$J$1,0),0)</f>
        <v>137729.87198391245</v>
      </c>
      <c r="N160" s="157">
        <v>724.63750000000005</v>
      </c>
      <c r="O160" s="157">
        <v>0.92249999999999999</v>
      </c>
      <c r="P160" s="159">
        <v>4512</v>
      </c>
      <c r="Q160" s="159">
        <v>1455</v>
      </c>
      <c r="R160" s="271">
        <f t="shared" si="3"/>
        <v>0.39241946926429661</v>
      </c>
    </row>
    <row r="161" spans="1:18" x14ac:dyDescent="0.2">
      <c r="A161" s="147">
        <v>2014</v>
      </c>
      <c r="B161" s="147">
        <v>4</v>
      </c>
      <c r="C161" s="161"/>
      <c r="D161" s="257" t="e">
        <f>HLOOKUP($A161,#REF!,26,0)*100</f>
        <v>#REF!</v>
      </c>
      <c r="E161" s="256" t="e">
        <f>HLOOKUP($A161,#REF!,11,0)*100</f>
        <v>#REF!</v>
      </c>
      <c r="F161" s="166">
        <v>30</v>
      </c>
      <c r="G161" s="148">
        <v>3716.905799603172</v>
      </c>
      <c r="H161" s="181">
        <f>VLOOKUP($A161&amp;$B161,'KU Inputs'!$C$2:$J$530,MATCH('KU UtilityData'!H$1,'KU Inputs'!$C$1:$J$1,0),0)*1000</f>
        <v>4417623</v>
      </c>
      <c r="I161" s="181">
        <f>VLOOKUP($A161&amp;$B161,'KU Inputs'!$C$2:$J$530,MATCH('KU UtilityData'!I$1,'KU Inputs'!$C$1:$J$1,0),0)*1000</f>
        <v>4452112</v>
      </c>
      <c r="J161" s="181">
        <f>VLOOKUP($A161&amp;$B161,'KU Inputs'!$C$2:$J$530,MATCH('KU UtilityData'!J$1,'KU Inputs'!$C$1:$J$1,0),0)*1000</f>
        <v>1748413</v>
      </c>
      <c r="K161" s="231">
        <v>429028.97</v>
      </c>
      <c r="L161" s="181">
        <f>VLOOKUP($A161&amp;$B161,'KU Inputs'!$C$2:$J$530,MATCH('KU UtilityData'!L$1,'KU Inputs'!$C$1:$J$1,0),0)</f>
        <v>137566.70699999999</v>
      </c>
      <c r="M161" s="181">
        <f>VLOOKUP($A161&amp;$B161,'KU Inputs'!$C$2:$J$530,MATCH('KU UtilityData'!M$1,'KU Inputs'!$C$1:$J$1,0),0)</f>
        <v>138587.15317635782</v>
      </c>
      <c r="N161" s="157">
        <v>433.4375</v>
      </c>
      <c r="O161" s="157">
        <v>13.477500000000001</v>
      </c>
      <c r="P161" s="159">
        <v>4512</v>
      </c>
      <c r="Q161" s="159">
        <v>1455</v>
      </c>
      <c r="R161" s="271">
        <f t="shared" si="3"/>
        <v>0.39271541237057828</v>
      </c>
    </row>
    <row r="162" spans="1:18" x14ac:dyDescent="0.2">
      <c r="A162" s="147">
        <v>2014</v>
      </c>
      <c r="B162" s="147">
        <v>5</v>
      </c>
      <c r="C162" s="161"/>
      <c r="D162" s="257" t="e">
        <f>HLOOKUP($A162,#REF!,26,0)*100</f>
        <v>#REF!</v>
      </c>
      <c r="E162" s="256" t="e">
        <f>HLOOKUP($A162,#REF!,11,0)*100</f>
        <v>#REF!</v>
      </c>
      <c r="F162" s="166">
        <v>30.48</v>
      </c>
      <c r="G162" s="148">
        <v>3719.1111438492039</v>
      </c>
      <c r="H162" s="181">
        <f>VLOOKUP($A162&amp;$B162,'KU Inputs'!$C$2:$J$530,MATCH('KU UtilityData'!H$1,'KU Inputs'!$C$1:$J$1,0),0)*1000</f>
        <v>4417623</v>
      </c>
      <c r="I162" s="181">
        <f>VLOOKUP($A162&amp;$B162,'KU Inputs'!$C$2:$J$530,MATCH('KU UtilityData'!I$1,'KU Inputs'!$C$1:$J$1,0),0)*1000</f>
        <v>4452112</v>
      </c>
      <c r="J162" s="181">
        <f>VLOOKUP($A162&amp;$B162,'KU Inputs'!$C$2:$J$530,MATCH('KU UtilityData'!J$1,'KU Inputs'!$C$1:$J$1,0),0)*1000</f>
        <v>1748413</v>
      </c>
      <c r="K162" s="231">
        <v>429042.61</v>
      </c>
      <c r="L162" s="181">
        <f>VLOOKUP($A162&amp;$B162,'KU Inputs'!$C$2:$J$530,MATCH('KU UtilityData'!L$1,'KU Inputs'!$C$1:$J$1,0),0)</f>
        <v>137566.70699999999</v>
      </c>
      <c r="M162" s="181">
        <f>VLOOKUP($A162&amp;$B162,'KU Inputs'!$C$2:$J$530,MATCH('KU UtilityData'!M$1,'KU Inputs'!$C$1:$J$1,0),0)</f>
        <v>138587.15317635782</v>
      </c>
      <c r="N162" s="157">
        <v>189.125</v>
      </c>
      <c r="O162" s="157">
        <v>46.06</v>
      </c>
      <c r="P162" s="159">
        <v>4512</v>
      </c>
      <c r="Q162" s="159">
        <v>1455</v>
      </c>
      <c r="R162" s="271">
        <f t="shared" si="3"/>
        <v>0.39271541237057828</v>
      </c>
    </row>
    <row r="163" spans="1:18" x14ac:dyDescent="0.2">
      <c r="A163" s="147">
        <v>2014</v>
      </c>
      <c r="B163" s="147">
        <v>6</v>
      </c>
      <c r="C163" s="161"/>
      <c r="D163" s="257" t="e">
        <f>HLOOKUP($A163,#REF!,26,0)*100</f>
        <v>#REF!</v>
      </c>
      <c r="E163" s="256" t="e">
        <f>HLOOKUP($A163,#REF!,11,0)*100</f>
        <v>#REF!</v>
      </c>
      <c r="F163" s="166">
        <v>30.52</v>
      </c>
      <c r="G163" s="148">
        <v>3721.3164880952368</v>
      </c>
      <c r="H163" s="181">
        <f>VLOOKUP($A163&amp;$B163,'KU Inputs'!$C$2:$J$530,MATCH('KU UtilityData'!H$1,'KU Inputs'!$C$1:$J$1,0),0)*1000</f>
        <v>4417623</v>
      </c>
      <c r="I163" s="181">
        <f>VLOOKUP($A163&amp;$B163,'KU Inputs'!$C$2:$J$530,MATCH('KU UtilityData'!I$1,'KU Inputs'!$C$1:$J$1,0),0)*1000</f>
        <v>4452112</v>
      </c>
      <c r="J163" s="181">
        <f>VLOOKUP($A163&amp;$B163,'KU Inputs'!$C$2:$J$530,MATCH('KU UtilityData'!J$1,'KU Inputs'!$C$1:$J$1,0),0)*1000</f>
        <v>1748413</v>
      </c>
      <c r="K163" s="231">
        <v>429054.43</v>
      </c>
      <c r="L163" s="181">
        <f>VLOOKUP($A163&amp;$B163,'KU Inputs'!$C$2:$J$530,MATCH('KU UtilityData'!L$1,'KU Inputs'!$C$1:$J$1,0),0)</f>
        <v>137566.70699999999</v>
      </c>
      <c r="M163" s="181">
        <f>VLOOKUP($A163&amp;$B163,'KU Inputs'!$C$2:$J$530,MATCH('KU UtilityData'!M$1,'KU Inputs'!$C$1:$J$1,0),0)</f>
        <v>138587.15317635782</v>
      </c>
      <c r="N163" s="157">
        <v>50.362499999999997</v>
      </c>
      <c r="O163" s="157">
        <v>166.4075</v>
      </c>
      <c r="P163" s="159">
        <v>4512</v>
      </c>
      <c r="Q163" s="159">
        <v>1455</v>
      </c>
      <c r="R163" s="271">
        <f t="shared" si="3"/>
        <v>0.39271541237057828</v>
      </c>
    </row>
    <row r="164" spans="1:18" x14ac:dyDescent="0.2">
      <c r="A164" s="147">
        <v>2014</v>
      </c>
      <c r="B164" s="147">
        <v>7</v>
      </c>
      <c r="C164" s="161"/>
      <c r="D164" s="257" t="e">
        <f>HLOOKUP($A164,#REF!,26,0)*100</f>
        <v>#REF!</v>
      </c>
      <c r="E164" s="256" t="e">
        <f>HLOOKUP($A164,#REF!,11,0)*100</f>
        <v>#REF!</v>
      </c>
      <c r="F164" s="166">
        <v>30.67</v>
      </c>
      <c r="G164" s="148">
        <v>3723.5414990079353</v>
      </c>
      <c r="H164" s="181">
        <f>VLOOKUP($A164&amp;$B164,'KU Inputs'!$C$2:$J$530,MATCH('KU UtilityData'!H$1,'KU Inputs'!$C$1:$J$1,0),0)*1000</f>
        <v>4423458</v>
      </c>
      <c r="I164" s="181">
        <f>VLOOKUP($A164&amp;$B164,'KU Inputs'!$C$2:$J$530,MATCH('KU UtilityData'!I$1,'KU Inputs'!$C$1:$J$1,0),0)*1000</f>
        <v>4459964</v>
      </c>
      <c r="J164" s="181">
        <f>VLOOKUP($A164&amp;$B164,'KU Inputs'!$C$2:$J$530,MATCH('KU UtilityData'!J$1,'KU Inputs'!$C$1:$J$1,0),0)*1000</f>
        <v>1752981</v>
      </c>
      <c r="K164" s="231">
        <v>429860.67</v>
      </c>
      <c r="L164" s="181">
        <f>VLOOKUP($A164&amp;$B164,'KU Inputs'!$C$2:$J$530,MATCH('KU UtilityData'!L$1,'KU Inputs'!$C$1:$J$1,0),0)</f>
        <v>138505.228</v>
      </c>
      <c r="M164" s="181">
        <f>VLOOKUP($A164&amp;$B164,'KU Inputs'!$C$2:$J$530,MATCH('KU UtilityData'!M$1,'KU Inputs'!$C$1:$J$1,0),0)</f>
        <v>139504.7139044202</v>
      </c>
      <c r="N164" s="157">
        <v>1.625</v>
      </c>
      <c r="O164" s="157">
        <v>326.005</v>
      </c>
      <c r="P164" s="159">
        <v>4512</v>
      </c>
      <c r="Q164" s="159">
        <v>1455</v>
      </c>
      <c r="R164" s="271">
        <f t="shared" si="3"/>
        <v>0.39304823985126336</v>
      </c>
    </row>
    <row r="165" spans="1:18" x14ac:dyDescent="0.2">
      <c r="A165" s="147">
        <v>2014</v>
      </c>
      <c r="B165" s="147">
        <v>8</v>
      </c>
      <c r="C165" s="161"/>
      <c r="D165" s="257" t="e">
        <f>HLOOKUP($A165,#REF!,26,0)*100</f>
        <v>#REF!</v>
      </c>
      <c r="E165" s="256" t="e">
        <f>HLOOKUP($A165,#REF!,11,0)*100</f>
        <v>#REF!</v>
      </c>
      <c r="F165" s="166">
        <v>29.48</v>
      </c>
      <c r="G165" s="148">
        <v>3725.7665099206333</v>
      </c>
      <c r="H165" s="181">
        <f>VLOOKUP($A165&amp;$B165,'KU Inputs'!$C$2:$J$530,MATCH('KU UtilityData'!H$1,'KU Inputs'!$C$1:$J$1,0),0)*1000</f>
        <v>4423458</v>
      </c>
      <c r="I165" s="181">
        <f>VLOOKUP($A165&amp;$B165,'KU Inputs'!$C$2:$J$530,MATCH('KU UtilityData'!I$1,'KU Inputs'!$C$1:$J$1,0),0)*1000</f>
        <v>4459964</v>
      </c>
      <c r="J165" s="181">
        <f>VLOOKUP($A165&amp;$B165,'KU Inputs'!$C$2:$J$530,MATCH('KU UtilityData'!J$1,'KU Inputs'!$C$1:$J$1,0),0)*1000</f>
        <v>1752981</v>
      </c>
      <c r="K165" s="231">
        <v>429869.56</v>
      </c>
      <c r="L165" s="181">
        <f>VLOOKUP($A165&amp;$B165,'KU Inputs'!$C$2:$J$530,MATCH('KU UtilityData'!L$1,'KU Inputs'!$C$1:$J$1,0),0)</f>
        <v>138505.228</v>
      </c>
      <c r="M165" s="181">
        <f>VLOOKUP($A165&amp;$B165,'KU Inputs'!$C$2:$J$530,MATCH('KU UtilityData'!M$1,'KU Inputs'!$C$1:$J$1,0),0)</f>
        <v>139504.7139044202</v>
      </c>
      <c r="N165" s="157">
        <v>0.75</v>
      </c>
      <c r="O165" s="157">
        <v>348.8175</v>
      </c>
      <c r="P165" s="159">
        <v>4512</v>
      </c>
      <c r="Q165" s="159">
        <v>1455</v>
      </c>
      <c r="R165" s="271">
        <f t="shared" si="3"/>
        <v>0.39304823985126336</v>
      </c>
    </row>
    <row r="166" spans="1:18" x14ac:dyDescent="0.2">
      <c r="A166" s="147">
        <v>2014</v>
      </c>
      <c r="B166" s="147">
        <v>9</v>
      </c>
      <c r="C166" s="161"/>
      <c r="D166" s="257" t="e">
        <f>HLOOKUP($A166,#REF!,26,0)*100</f>
        <v>#REF!</v>
      </c>
      <c r="E166" s="256" t="e">
        <f>HLOOKUP($A166,#REF!,11,0)*100</f>
        <v>#REF!</v>
      </c>
      <c r="F166" s="166">
        <v>30.86</v>
      </c>
      <c r="G166" s="148">
        <v>3727.9915208333318</v>
      </c>
      <c r="H166" s="181">
        <f>VLOOKUP($A166&amp;$B166,'KU Inputs'!$C$2:$J$530,MATCH('KU UtilityData'!H$1,'KU Inputs'!$C$1:$J$1,0),0)*1000</f>
        <v>4423458</v>
      </c>
      <c r="I166" s="181">
        <f>VLOOKUP($A166&amp;$B166,'KU Inputs'!$C$2:$J$530,MATCH('KU UtilityData'!I$1,'KU Inputs'!$C$1:$J$1,0),0)*1000</f>
        <v>4459964</v>
      </c>
      <c r="J166" s="181">
        <f>VLOOKUP($A166&amp;$B166,'KU Inputs'!$C$2:$J$530,MATCH('KU UtilityData'!J$1,'KU Inputs'!$C$1:$J$1,0),0)*1000</f>
        <v>1752981</v>
      </c>
      <c r="K166" s="231">
        <v>429877.27</v>
      </c>
      <c r="L166" s="181">
        <f>VLOOKUP($A166&amp;$B166,'KU Inputs'!$C$2:$J$530,MATCH('KU UtilityData'!L$1,'KU Inputs'!$C$1:$J$1,0),0)</f>
        <v>138505.228</v>
      </c>
      <c r="M166" s="181">
        <f>VLOOKUP($A166&amp;$B166,'KU Inputs'!$C$2:$J$530,MATCH('KU UtilityData'!M$1,'KU Inputs'!$C$1:$J$1,0),0)</f>
        <v>139504.7139044202</v>
      </c>
      <c r="N166" s="157">
        <v>11.752500000000001</v>
      </c>
      <c r="O166" s="157">
        <v>258.88</v>
      </c>
      <c r="P166" s="159">
        <v>4512</v>
      </c>
      <c r="Q166" s="159">
        <v>1455</v>
      </c>
      <c r="R166" s="271">
        <f t="shared" si="3"/>
        <v>0.39304823985126336</v>
      </c>
    </row>
    <row r="167" spans="1:18" x14ac:dyDescent="0.2">
      <c r="A167" s="147">
        <v>2014</v>
      </c>
      <c r="B167" s="147">
        <v>10</v>
      </c>
      <c r="C167" s="161"/>
      <c r="D167" s="257" t="e">
        <f>HLOOKUP($A167,#REF!,26,0)*100</f>
        <v>#REF!</v>
      </c>
      <c r="E167" s="256" t="e">
        <f>HLOOKUP($A167,#REF!,11,0)*100</f>
        <v>#REF!</v>
      </c>
      <c r="F167" s="166">
        <v>29.38</v>
      </c>
      <c r="G167" s="148">
        <v>3730.2165317460299</v>
      </c>
      <c r="H167" s="181">
        <f>VLOOKUP($A167&amp;$B167,'KU Inputs'!$C$2:$J$530,MATCH('KU UtilityData'!H$1,'KU Inputs'!$C$1:$J$1,0),0)*1000</f>
        <v>4429549</v>
      </c>
      <c r="I167" s="181">
        <f>VLOOKUP($A167&amp;$B167,'KU Inputs'!$C$2:$J$530,MATCH('KU UtilityData'!I$1,'KU Inputs'!$C$1:$J$1,0),0)*1000</f>
        <v>4467912</v>
      </c>
      <c r="J167" s="181">
        <f>VLOOKUP($A167&amp;$B167,'KU Inputs'!$C$2:$J$530,MATCH('KU UtilityData'!J$1,'KU Inputs'!$C$1:$J$1,0),0)*1000</f>
        <v>1757552</v>
      </c>
      <c r="K167" s="231">
        <v>430651.51</v>
      </c>
      <c r="L167" s="181">
        <f>VLOOKUP($A167&amp;$B167,'KU Inputs'!$C$2:$J$530,MATCH('KU UtilityData'!L$1,'KU Inputs'!$C$1:$J$1,0),0)</f>
        <v>139445.223</v>
      </c>
      <c r="M167" s="181">
        <f>VLOOKUP($A167&amp;$B167,'KU Inputs'!$C$2:$J$530,MATCH('KU UtilityData'!M$1,'KU Inputs'!$C$1:$J$1,0),0)</f>
        <v>140534.52334076585</v>
      </c>
      <c r="N167" s="157">
        <v>134.87</v>
      </c>
      <c r="O167" s="157">
        <v>71.42</v>
      </c>
      <c r="P167" s="159">
        <v>4512</v>
      </c>
      <c r="Q167" s="159">
        <v>1455</v>
      </c>
      <c r="R167" s="271">
        <f t="shared" si="3"/>
        <v>0.39337211655019166</v>
      </c>
    </row>
    <row r="168" spans="1:18" x14ac:dyDescent="0.2">
      <c r="A168" s="147">
        <v>2014</v>
      </c>
      <c r="B168" s="147">
        <v>11</v>
      </c>
      <c r="C168" s="161"/>
      <c r="D168" s="257" t="e">
        <f>HLOOKUP($A168,#REF!,26,0)*100</f>
        <v>#REF!</v>
      </c>
      <c r="E168" s="256" t="e">
        <f>HLOOKUP($A168,#REF!,11,0)*100</f>
        <v>#REF!</v>
      </c>
      <c r="F168" s="166">
        <v>29.57</v>
      </c>
      <c r="G168" s="148">
        <v>3732.4415426587279</v>
      </c>
      <c r="H168" s="181">
        <f>VLOOKUP($A168&amp;$B168,'KU Inputs'!$C$2:$J$530,MATCH('KU UtilityData'!H$1,'KU Inputs'!$C$1:$J$1,0),0)*1000</f>
        <v>4429549</v>
      </c>
      <c r="I168" s="181">
        <f>VLOOKUP($A168&amp;$B168,'KU Inputs'!$C$2:$J$530,MATCH('KU UtilityData'!I$1,'KU Inputs'!$C$1:$J$1,0),0)*1000</f>
        <v>4467912</v>
      </c>
      <c r="J168" s="181">
        <f>VLOOKUP($A168&amp;$B168,'KU Inputs'!$C$2:$J$530,MATCH('KU UtilityData'!J$1,'KU Inputs'!$C$1:$J$1,0),0)*1000</f>
        <v>1757552</v>
      </c>
      <c r="K168" s="231">
        <v>430657.31</v>
      </c>
      <c r="L168" s="181">
        <f>VLOOKUP($A168&amp;$B168,'KU Inputs'!$C$2:$J$530,MATCH('KU UtilityData'!L$1,'KU Inputs'!$C$1:$J$1,0),0)</f>
        <v>139445.223</v>
      </c>
      <c r="M168" s="181">
        <f>VLOOKUP($A168&amp;$B168,'KU Inputs'!$C$2:$J$530,MATCH('KU UtilityData'!M$1,'KU Inputs'!$C$1:$J$1,0),0)</f>
        <v>140534.52334076585</v>
      </c>
      <c r="N168" s="157">
        <v>396.30250000000001</v>
      </c>
      <c r="O168" s="157">
        <v>6.6950000000000003</v>
      </c>
      <c r="P168" s="159">
        <v>4512</v>
      </c>
      <c r="Q168" s="159">
        <v>1455</v>
      </c>
      <c r="R168" s="271">
        <f t="shared" si="3"/>
        <v>0.39337211655019166</v>
      </c>
    </row>
    <row r="169" spans="1:18" x14ac:dyDescent="0.2">
      <c r="A169" s="147">
        <v>2014</v>
      </c>
      <c r="B169" s="147">
        <v>12</v>
      </c>
      <c r="C169" s="161"/>
      <c r="D169" s="257" t="e">
        <f>HLOOKUP($A169,#REF!,26,0)*100</f>
        <v>#REF!</v>
      </c>
      <c r="E169" s="256" t="e">
        <f>HLOOKUP($A169,#REF!,11,0)*100</f>
        <v>#REF!</v>
      </c>
      <c r="F169" s="166">
        <v>31.81</v>
      </c>
      <c r="G169" s="148">
        <v>3734.6665535714264</v>
      </c>
      <c r="H169" s="181">
        <f>VLOOKUP($A169&amp;$B169,'KU Inputs'!$C$2:$J$530,MATCH('KU UtilityData'!H$1,'KU Inputs'!$C$1:$J$1,0),0)*1000</f>
        <v>4429549</v>
      </c>
      <c r="I169" s="181">
        <f>VLOOKUP($A169&amp;$B169,'KU Inputs'!$C$2:$J$530,MATCH('KU UtilityData'!I$1,'KU Inputs'!$C$1:$J$1,0),0)*1000</f>
        <v>4467912</v>
      </c>
      <c r="J169" s="181">
        <f>VLOOKUP($A169&amp;$B169,'KU Inputs'!$C$2:$J$530,MATCH('KU UtilityData'!J$1,'KU Inputs'!$C$1:$J$1,0),0)*1000</f>
        <v>1757552</v>
      </c>
      <c r="K169" s="231">
        <v>430662.34</v>
      </c>
      <c r="L169" s="181">
        <f>VLOOKUP($A169&amp;$B169,'KU Inputs'!$C$2:$J$530,MATCH('KU UtilityData'!L$1,'KU Inputs'!$C$1:$J$1,0),0)</f>
        <v>139445.223</v>
      </c>
      <c r="M169" s="181">
        <f>VLOOKUP($A169&amp;$B169,'KU Inputs'!$C$2:$J$530,MATCH('KU UtilityData'!M$1,'KU Inputs'!$C$1:$J$1,0),0)</f>
        <v>140534.52334076585</v>
      </c>
      <c r="N169" s="157">
        <v>714.28500000000008</v>
      </c>
      <c r="O169" s="157">
        <v>0.25</v>
      </c>
      <c r="P169" s="159">
        <v>4512</v>
      </c>
      <c r="Q169" s="159">
        <v>1455</v>
      </c>
      <c r="R169" s="271">
        <f t="shared" si="3"/>
        <v>0.39337211655019166</v>
      </c>
    </row>
    <row r="170" spans="1:18" x14ac:dyDescent="0.2">
      <c r="A170" s="147">
        <v>2015</v>
      </c>
      <c r="B170" s="147">
        <v>1</v>
      </c>
      <c r="C170" s="161"/>
      <c r="D170" s="257" t="e">
        <f>HLOOKUP($A170,#REF!,26,0)*100</f>
        <v>#REF!</v>
      </c>
      <c r="E170" s="256" t="e">
        <f>HLOOKUP($A170,#REF!,11,0)*100</f>
        <v>#REF!</v>
      </c>
      <c r="F170" s="166">
        <v>32.380000000000003</v>
      </c>
      <c r="G170" s="148">
        <v>3736.8915644841245</v>
      </c>
      <c r="H170" s="181">
        <f>VLOOKUP($A170&amp;$B170,'KU Inputs'!$C$2:$J$530,MATCH('KU UtilityData'!H$1,'KU Inputs'!$C$1:$J$1,0),0)*1000</f>
        <v>4435782</v>
      </c>
      <c r="I170" s="181">
        <f>VLOOKUP($A170&amp;$B170,'KU Inputs'!$C$2:$J$530,MATCH('KU UtilityData'!I$1,'KU Inputs'!$C$1:$J$1,0),0)*1000</f>
        <v>4475968</v>
      </c>
      <c r="J170" s="181">
        <f>VLOOKUP($A170&amp;$B170,'KU Inputs'!$C$2:$J$530,MATCH('KU UtilityData'!J$1,'KU Inputs'!$C$1:$J$1,0),0)*1000</f>
        <v>1762186</v>
      </c>
      <c r="K170" s="231">
        <v>431491.33</v>
      </c>
      <c r="L170" s="181">
        <f>VLOOKUP($A170&amp;$B170,'KU Inputs'!$C$2:$J$530,MATCH('KU UtilityData'!L$1,'KU Inputs'!$C$1:$J$1,0),0)</f>
        <v>140510.76300000001</v>
      </c>
      <c r="M170" s="181">
        <f>VLOOKUP($A170&amp;$B170,'KU Inputs'!$C$2:$J$530,MATCH('KU UtilityData'!M$1,'KU Inputs'!$C$1:$J$1,0),0)</f>
        <v>142116.67062181202</v>
      </c>
      <c r="N170" s="246">
        <f t="shared" ref="N170:O177" si="4">N158</f>
        <v>991.4375</v>
      </c>
      <c r="O170" s="246">
        <f t="shared" si="4"/>
        <v>0</v>
      </c>
      <c r="P170" s="159">
        <v>4512</v>
      </c>
      <c r="Q170" s="159">
        <v>1455</v>
      </c>
      <c r="R170" s="271">
        <f t="shared" si="3"/>
        <v>0.39369941876260062</v>
      </c>
    </row>
    <row r="171" spans="1:18" x14ac:dyDescent="0.2">
      <c r="A171" s="147">
        <v>2015</v>
      </c>
      <c r="B171" s="147">
        <v>2</v>
      </c>
      <c r="C171" s="161"/>
      <c r="D171" s="257" t="e">
        <f>HLOOKUP($A171,#REF!,26,0)*100</f>
        <v>#REF!</v>
      </c>
      <c r="E171" s="256" t="e">
        <f>HLOOKUP($A171,#REF!,11,0)*100</f>
        <v>#REF!</v>
      </c>
      <c r="F171" s="166">
        <v>30.19</v>
      </c>
      <c r="G171" s="148">
        <v>3739.1165753968226</v>
      </c>
      <c r="H171" s="181">
        <f>VLOOKUP($A171&amp;$B171,'KU Inputs'!$C$2:$J$530,MATCH('KU UtilityData'!H$1,'KU Inputs'!$C$1:$J$1,0),0)*1000</f>
        <v>4435782</v>
      </c>
      <c r="I171" s="181">
        <f>VLOOKUP($A171&amp;$B171,'KU Inputs'!$C$2:$J$530,MATCH('KU UtilityData'!I$1,'KU Inputs'!$C$1:$J$1,0),0)*1000</f>
        <v>4475968</v>
      </c>
      <c r="J171" s="181">
        <f>VLOOKUP($A171&amp;$B171,'KU Inputs'!$C$2:$J$530,MATCH('KU UtilityData'!J$1,'KU Inputs'!$C$1:$J$1,0),0)*1000</f>
        <v>1762186</v>
      </c>
      <c r="K171" s="231">
        <v>431495.11</v>
      </c>
      <c r="L171" s="181">
        <f>VLOOKUP($A171&amp;$B171,'KU Inputs'!$C$2:$J$530,MATCH('KU UtilityData'!L$1,'KU Inputs'!$C$1:$J$1,0),0)</f>
        <v>140510.76300000001</v>
      </c>
      <c r="M171" s="181">
        <f>VLOOKUP($A171&amp;$B171,'KU Inputs'!$C$2:$J$530,MATCH('KU UtilityData'!M$1,'KU Inputs'!$C$1:$J$1,0),0)</f>
        <v>142116.67062181202</v>
      </c>
      <c r="N171" s="246">
        <f t="shared" si="4"/>
        <v>890.05499999999995</v>
      </c>
      <c r="O171" s="246">
        <f t="shared" si="4"/>
        <v>0</v>
      </c>
      <c r="P171" s="159">
        <v>4512</v>
      </c>
      <c r="Q171" s="159">
        <v>1455</v>
      </c>
      <c r="R171" s="271">
        <f t="shared" si="3"/>
        <v>0.39369941876260062</v>
      </c>
    </row>
    <row r="172" spans="1:18" x14ac:dyDescent="0.2">
      <c r="A172" s="147">
        <v>2015</v>
      </c>
      <c r="B172" s="147">
        <v>3</v>
      </c>
      <c r="C172" s="161"/>
      <c r="D172" s="257" t="e">
        <f>HLOOKUP($A172,#REF!,26,0)*100</f>
        <v>#REF!</v>
      </c>
      <c r="E172" s="256" t="e">
        <f>HLOOKUP($A172,#REF!,11,0)*100</f>
        <v>#REF!</v>
      </c>
      <c r="F172" s="166">
        <v>30.05</v>
      </c>
      <c r="G172" s="148">
        <v>3741.3415863095211</v>
      </c>
      <c r="H172" s="181">
        <f>VLOOKUP($A172&amp;$B172,'KU Inputs'!$C$2:$J$530,MATCH('KU UtilityData'!H$1,'KU Inputs'!$C$1:$J$1,0),0)*1000</f>
        <v>4435782</v>
      </c>
      <c r="I172" s="181">
        <f>VLOOKUP($A172&amp;$B172,'KU Inputs'!$C$2:$J$530,MATCH('KU UtilityData'!I$1,'KU Inputs'!$C$1:$J$1,0),0)*1000</f>
        <v>4475968</v>
      </c>
      <c r="J172" s="181">
        <f>VLOOKUP($A172&amp;$B172,'KU Inputs'!$C$2:$J$530,MATCH('KU UtilityData'!J$1,'KU Inputs'!$C$1:$J$1,0),0)*1000</f>
        <v>1762186</v>
      </c>
      <c r="K172" s="231">
        <v>431498.39</v>
      </c>
      <c r="L172" s="181">
        <f>VLOOKUP($A172&amp;$B172,'KU Inputs'!$C$2:$J$530,MATCH('KU UtilityData'!L$1,'KU Inputs'!$C$1:$J$1,0),0)</f>
        <v>140510.76300000001</v>
      </c>
      <c r="M172" s="181">
        <f>VLOOKUP($A172&amp;$B172,'KU Inputs'!$C$2:$J$530,MATCH('KU UtilityData'!M$1,'KU Inputs'!$C$1:$J$1,0),0)</f>
        <v>142116.67062181202</v>
      </c>
      <c r="N172" s="246">
        <f t="shared" si="4"/>
        <v>724.63750000000005</v>
      </c>
      <c r="O172" s="246">
        <f t="shared" si="4"/>
        <v>0.92249999999999999</v>
      </c>
      <c r="P172" s="159">
        <v>4512</v>
      </c>
      <c r="Q172" s="159">
        <v>1455</v>
      </c>
      <c r="R172" s="271">
        <f t="shared" si="3"/>
        <v>0.39369941876260062</v>
      </c>
    </row>
    <row r="173" spans="1:18" x14ac:dyDescent="0.2">
      <c r="A173" s="147">
        <v>2015</v>
      </c>
      <c r="B173" s="147">
        <v>4</v>
      </c>
      <c r="C173" s="161"/>
      <c r="D173" s="257" t="e">
        <f>HLOOKUP($A173,#REF!,26,0)*100</f>
        <v>#REF!</v>
      </c>
      <c r="E173" s="256" t="e">
        <f>HLOOKUP($A173,#REF!,11,0)*100</f>
        <v>#REF!</v>
      </c>
      <c r="F173" s="166">
        <v>30.71</v>
      </c>
      <c r="G173" s="148">
        <v>3743.5665972222191</v>
      </c>
      <c r="H173" s="181">
        <f>VLOOKUP($A173&amp;$B173,'KU Inputs'!$C$2:$J$530,MATCH('KU UtilityData'!H$1,'KU Inputs'!$C$1:$J$1,0),0)*1000</f>
        <v>4442158</v>
      </c>
      <c r="I173" s="181">
        <f>VLOOKUP($A173&amp;$B173,'KU Inputs'!$C$2:$J$530,MATCH('KU UtilityData'!I$1,'KU Inputs'!$C$1:$J$1,0),0)*1000</f>
        <v>4484131</v>
      </c>
      <c r="J173" s="181">
        <f>VLOOKUP($A173&amp;$B173,'KU Inputs'!$C$2:$J$530,MATCH('KU UtilityData'!J$1,'KU Inputs'!$C$1:$J$1,0),0)*1000</f>
        <v>1766858</v>
      </c>
      <c r="K173" s="231">
        <v>432375.93</v>
      </c>
      <c r="L173" s="181">
        <f>VLOOKUP($A173&amp;$B173,'KU Inputs'!$C$2:$J$530,MATCH('KU UtilityData'!L$1,'KU Inputs'!$C$1:$J$1,0),0)</f>
        <v>141224.63399999999</v>
      </c>
      <c r="M173" s="181">
        <f>VLOOKUP($A173&amp;$B173,'KU Inputs'!$C$2:$J$530,MATCH('KU UtilityData'!M$1,'KU Inputs'!$C$1:$J$1,0),0)</f>
        <v>142965.68227593292</v>
      </c>
      <c r="N173" s="246">
        <f t="shared" si="4"/>
        <v>433.4375</v>
      </c>
      <c r="O173" s="246">
        <f t="shared" si="4"/>
        <v>13.477500000000001</v>
      </c>
      <c r="P173" s="159">
        <v>4512</v>
      </c>
      <c r="Q173" s="159">
        <v>1455</v>
      </c>
      <c r="R173" s="271">
        <f t="shared" si="3"/>
        <v>0.39402461703282088</v>
      </c>
    </row>
    <row r="174" spans="1:18" x14ac:dyDescent="0.2">
      <c r="A174" s="147">
        <v>2015</v>
      </c>
      <c r="B174" s="147">
        <v>5</v>
      </c>
      <c r="C174" s="161"/>
      <c r="D174" s="257" t="e">
        <f>HLOOKUP($A174,#REF!,26,0)*100</f>
        <v>#REF!</v>
      </c>
      <c r="E174" s="256" t="e">
        <f>HLOOKUP($A174,#REF!,11,0)*100</f>
        <v>#REF!</v>
      </c>
      <c r="F174" s="166">
        <v>29.9</v>
      </c>
      <c r="G174" s="148">
        <v>3745.7916081349176</v>
      </c>
      <c r="H174" s="181">
        <f>VLOOKUP($A174&amp;$B174,'KU Inputs'!$C$2:$J$530,MATCH('KU UtilityData'!H$1,'KU Inputs'!$C$1:$J$1,0),0)*1000</f>
        <v>4442158</v>
      </c>
      <c r="I174" s="181">
        <f>VLOOKUP($A174&amp;$B174,'KU Inputs'!$C$2:$J$530,MATCH('KU UtilityData'!I$1,'KU Inputs'!$C$1:$J$1,0),0)*1000</f>
        <v>4484131</v>
      </c>
      <c r="J174" s="181">
        <f>VLOOKUP($A174&amp;$B174,'KU Inputs'!$C$2:$J$530,MATCH('KU UtilityData'!J$1,'KU Inputs'!$C$1:$J$1,0),0)*1000</f>
        <v>1766858</v>
      </c>
      <c r="K174" s="231">
        <v>432378.4</v>
      </c>
      <c r="L174" s="181">
        <f>VLOOKUP($A174&amp;$B174,'KU Inputs'!$C$2:$J$530,MATCH('KU UtilityData'!L$1,'KU Inputs'!$C$1:$J$1,0),0)</f>
        <v>141224.63399999999</v>
      </c>
      <c r="M174" s="181">
        <f>VLOOKUP($A174&amp;$B174,'KU Inputs'!$C$2:$J$530,MATCH('KU UtilityData'!M$1,'KU Inputs'!$C$1:$J$1,0),0)</f>
        <v>142965.68227593292</v>
      </c>
      <c r="N174" s="246">
        <f t="shared" si="4"/>
        <v>189.125</v>
      </c>
      <c r="O174" s="246">
        <f t="shared" si="4"/>
        <v>46.06</v>
      </c>
      <c r="P174" s="159">
        <v>4512</v>
      </c>
      <c r="Q174" s="159">
        <v>1455</v>
      </c>
      <c r="R174" s="271">
        <f t="shared" si="3"/>
        <v>0.39402461703282088</v>
      </c>
    </row>
    <row r="175" spans="1:18" x14ac:dyDescent="0.2">
      <c r="A175" s="147">
        <v>2015</v>
      </c>
      <c r="B175" s="147">
        <v>6</v>
      </c>
      <c r="C175" s="161"/>
      <c r="D175" s="257" t="e">
        <f>HLOOKUP($A175,#REF!,26,0)*100</f>
        <v>#REF!</v>
      </c>
      <c r="E175" s="256" t="e">
        <f>HLOOKUP($A175,#REF!,11,0)*100</f>
        <v>#REF!</v>
      </c>
      <c r="F175" s="166">
        <v>30.38</v>
      </c>
      <c r="G175" s="148">
        <v>3748.016619047617</v>
      </c>
      <c r="H175" s="181">
        <f>VLOOKUP($A175&amp;$B175,'KU Inputs'!$C$2:$J$530,MATCH('KU UtilityData'!H$1,'KU Inputs'!$C$1:$J$1,0),0)*1000</f>
        <v>4442158</v>
      </c>
      <c r="I175" s="181">
        <f>VLOOKUP($A175&amp;$B175,'KU Inputs'!$C$2:$J$530,MATCH('KU UtilityData'!I$1,'KU Inputs'!$C$1:$J$1,0),0)*1000</f>
        <v>4484131</v>
      </c>
      <c r="J175" s="181">
        <f>VLOOKUP($A175&amp;$B175,'KU Inputs'!$C$2:$J$530,MATCH('KU UtilityData'!J$1,'KU Inputs'!$C$1:$J$1,0),0)*1000</f>
        <v>1766858</v>
      </c>
      <c r="K175" s="231">
        <v>432380.54</v>
      </c>
      <c r="L175" s="181">
        <f>VLOOKUP($A175&amp;$B175,'KU Inputs'!$C$2:$J$530,MATCH('KU UtilityData'!L$1,'KU Inputs'!$C$1:$J$1,0),0)</f>
        <v>141224.63399999999</v>
      </c>
      <c r="M175" s="181">
        <f>VLOOKUP($A175&amp;$B175,'KU Inputs'!$C$2:$J$530,MATCH('KU UtilityData'!M$1,'KU Inputs'!$C$1:$J$1,0),0)</f>
        <v>142965.68227593292</v>
      </c>
      <c r="N175" s="246">
        <f t="shared" si="4"/>
        <v>50.362499999999997</v>
      </c>
      <c r="O175" s="246">
        <f t="shared" si="4"/>
        <v>166.4075</v>
      </c>
      <c r="P175" s="159">
        <v>4512</v>
      </c>
      <c r="Q175" s="159">
        <v>1455</v>
      </c>
      <c r="R175" s="271">
        <f t="shared" si="3"/>
        <v>0.39402461703282088</v>
      </c>
    </row>
    <row r="176" spans="1:18" x14ac:dyDescent="0.2">
      <c r="A176" s="147">
        <v>2015</v>
      </c>
      <c r="B176" s="147">
        <v>7</v>
      </c>
      <c r="C176" s="161"/>
      <c r="D176" s="257" t="e">
        <f>HLOOKUP($A176,#REF!,26,0)*100</f>
        <v>#REF!</v>
      </c>
      <c r="E176" s="256" t="e">
        <f>HLOOKUP($A176,#REF!,11,0)*100</f>
        <v>#REF!</v>
      </c>
      <c r="F176" s="166">
        <v>30.71</v>
      </c>
      <c r="G176" s="148">
        <v>3750.2684354753933</v>
      </c>
      <c r="H176" s="181">
        <f>VLOOKUP($A176&amp;$B176,'KU Inputs'!$C$2:$J$530,MATCH('KU UtilityData'!H$1,'KU Inputs'!$C$1:$J$1,0),0)*1000</f>
        <v>4448678</v>
      </c>
      <c r="I176" s="181">
        <f>VLOOKUP($A176&amp;$B176,'KU Inputs'!$C$2:$J$530,MATCH('KU UtilityData'!I$1,'KU Inputs'!$C$1:$J$1,0),0)*1000</f>
        <v>4492400</v>
      </c>
      <c r="J176" s="181">
        <f>VLOOKUP($A176&amp;$B176,'KU Inputs'!$C$2:$J$530,MATCH('KU UtilityData'!J$1,'KU Inputs'!$C$1:$J$1,0),0)*1000</f>
        <v>1771377</v>
      </c>
      <c r="K176" s="231">
        <v>433226.92</v>
      </c>
      <c r="L176" s="181">
        <f>VLOOKUP($A176&amp;$B176,'KU Inputs'!$C$2:$J$530,MATCH('KU UtilityData'!L$1,'KU Inputs'!$C$1:$J$1,0),0)</f>
        <v>141992.24600000001</v>
      </c>
      <c r="M176" s="181">
        <f>VLOOKUP($A176&amp;$B176,'KU Inputs'!$C$2:$J$530,MATCH('KU UtilityData'!M$1,'KU Inputs'!$C$1:$J$1,0),0)</f>
        <v>143852.26078152558</v>
      </c>
      <c r="N176" s="246">
        <f t="shared" si="4"/>
        <v>1.625</v>
      </c>
      <c r="O176" s="246">
        <f t="shared" si="4"/>
        <v>326.005</v>
      </c>
      <c r="P176" s="159">
        <v>4512</v>
      </c>
      <c r="Q176" s="159">
        <v>1455</v>
      </c>
      <c r="R176" s="271">
        <f t="shared" si="3"/>
        <v>0.39430527112456593</v>
      </c>
    </row>
    <row r="177" spans="1:18" x14ac:dyDescent="0.2">
      <c r="A177" s="147">
        <v>2015</v>
      </c>
      <c r="B177" s="147">
        <v>8</v>
      </c>
      <c r="C177" s="161"/>
      <c r="D177" s="257" t="e">
        <f>HLOOKUP($A177,#REF!,26,0)*100</f>
        <v>#REF!</v>
      </c>
      <c r="E177" s="256" t="e">
        <f>HLOOKUP($A177,#REF!,11,0)*100</f>
        <v>#REF!</v>
      </c>
      <c r="F177" s="166">
        <v>29.52</v>
      </c>
      <c r="G177" s="148">
        <v>3752.5202519031695</v>
      </c>
      <c r="H177" s="181">
        <f>VLOOKUP($A177&amp;$B177,'KU Inputs'!$C$2:$J$530,MATCH('KU UtilityData'!H$1,'KU Inputs'!$C$1:$J$1,0),0)*1000</f>
        <v>4448678</v>
      </c>
      <c r="I177" s="181">
        <f>VLOOKUP($A177&amp;$B177,'KU Inputs'!$C$2:$J$530,MATCH('KU UtilityData'!I$1,'KU Inputs'!$C$1:$J$1,0),0)*1000</f>
        <v>4492400</v>
      </c>
      <c r="J177" s="181">
        <f>VLOOKUP($A177&amp;$B177,'KU Inputs'!$C$2:$J$530,MATCH('KU UtilityData'!J$1,'KU Inputs'!$C$1:$J$1,0),0)*1000</f>
        <v>1771377</v>
      </c>
      <c r="K177" s="231">
        <v>433228.53</v>
      </c>
      <c r="L177" s="181">
        <f>VLOOKUP($A177&amp;$B177,'KU Inputs'!$C$2:$J$530,MATCH('KU UtilityData'!L$1,'KU Inputs'!$C$1:$J$1,0),0)</f>
        <v>141992.24600000001</v>
      </c>
      <c r="M177" s="181">
        <f>VLOOKUP($A177&amp;$B177,'KU Inputs'!$C$2:$J$530,MATCH('KU UtilityData'!M$1,'KU Inputs'!$C$1:$J$1,0),0)</f>
        <v>143852.26078152558</v>
      </c>
      <c r="N177" s="246">
        <f t="shared" si="4"/>
        <v>0.75</v>
      </c>
      <c r="O177" s="246">
        <f t="shared" si="4"/>
        <v>348.8175</v>
      </c>
      <c r="P177" s="159">
        <v>4512</v>
      </c>
      <c r="Q177" s="159">
        <v>1455</v>
      </c>
      <c r="R177" s="271">
        <f t="shared" si="3"/>
        <v>0.39430527112456593</v>
      </c>
    </row>
    <row r="178" spans="1:18" x14ac:dyDescent="0.2">
      <c r="A178" s="147">
        <v>2015</v>
      </c>
      <c r="B178" s="147">
        <v>9</v>
      </c>
      <c r="C178" s="161"/>
      <c r="D178" s="257" t="e">
        <f>HLOOKUP($A178,#REF!,26,0)*100</f>
        <v>#REF!</v>
      </c>
      <c r="E178" s="256" t="e">
        <f>HLOOKUP($A178,#REF!,11,0)*100</f>
        <v>#REF!</v>
      </c>
      <c r="F178" s="166">
        <v>30.48</v>
      </c>
      <c r="G178" s="148">
        <v>3754.7720683309453</v>
      </c>
      <c r="H178" s="181">
        <f>VLOOKUP($A178&amp;$B178,'KU Inputs'!$C$2:$J$530,MATCH('KU UtilityData'!H$1,'KU Inputs'!$C$1:$J$1,0),0)*1000</f>
        <v>4448678</v>
      </c>
      <c r="I178" s="181">
        <f>VLOOKUP($A178&amp;$B178,'KU Inputs'!$C$2:$J$530,MATCH('KU UtilityData'!I$1,'KU Inputs'!$C$1:$J$1,0),0)*1000</f>
        <v>4492400</v>
      </c>
      <c r="J178" s="181">
        <f>VLOOKUP($A178&amp;$B178,'KU Inputs'!$C$2:$J$530,MATCH('KU UtilityData'!J$1,'KU Inputs'!$C$1:$J$1,0),0)*1000</f>
        <v>1771377</v>
      </c>
      <c r="K178" s="231">
        <v>433229.92</v>
      </c>
      <c r="L178" s="181">
        <f>VLOOKUP($A178&amp;$B178,'KU Inputs'!$C$2:$J$530,MATCH('KU UtilityData'!L$1,'KU Inputs'!$C$1:$J$1,0),0)</f>
        <v>141992.24600000001</v>
      </c>
      <c r="M178" s="181">
        <f>VLOOKUP($A178&amp;$B178,'KU Inputs'!$C$2:$J$530,MATCH('KU UtilityData'!M$1,'KU Inputs'!$C$1:$J$1,0),0)</f>
        <v>143852.26078152558</v>
      </c>
      <c r="N178" s="246">
        <f t="shared" ref="N178:O197" si="5">N166</f>
        <v>11.752500000000001</v>
      </c>
      <c r="O178" s="246">
        <f t="shared" si="5"/>
        <v>258.88</v>
      </c>
      <c r="P178" s="159">
        <v>4512</v>
      </c>
      <c r="Q178" s="159">
        <v>1455</v>
      </c>
      <c r="R178" s="271">
        <f t="shared" si="3"/>
        <v>0.39430527112456593</v>
      </c>
    </row>
    <row r="179" spans="1:18" x14ac:dyDescent="0.2">
      <c r="A179" s="147">
        <v>2015</v>
      </c>
      <c r="B179" s="147">
        <v>10</v>
      </c>
      <c r="C179" s="161"/>
      <c r="D179" s="257" t="e">
        <f>HLOOKUP($A179,#REF!,26,0)*100</f>
        <v>#REF!</v>
      </c>
      <c r="E179" s="256" t="e">
        <f>HLOOKUP($A179,#REF!,11,0)*100</f>
        <v>#REF!</v>
      </c>
      <c r="F179" s="166">
        <v>29.67</v>
      </c>
      <c r="G179" s="148">
        <v>3757.0238847587216</v>
      </c>
      <c r="H179" s="181">
        <f>VLOOKUP($A179&amp;$B179,'KU Inputs'!$C$2:$J$530,MATCH('KU UtilityData'!H$1,'KU Inputs'!$C$1:$J$1,0),0)*1000</f>
        <v>4455342</v>
      </c>
      <c r="I179" s="181">
        <f>VLOOKUP($A179&amp;$B179,'KU Inputs'!$C$2:$J$530,MATCH('KU UtilityData'!I$1,'KU Inputs'!$C$1:$J$1,0),0)*1000</f>
        <v>4500777</v>
      </c>
      <c r="J179" s="181">
        <f>VLOOKUP($A179&amp;$B179,'KU Inputs'!$C$2:$J$530,MATCH('KU UtilityData'!J$1,'KU Inputs'!$C$1:$J$1,0),0)*1000</f>
        <v>1776053</v>
      </c>
      <c r="K179" s="231">
        <v>434056.63</v>
      </c>
      <c r="L179" s="181">
        <f>VLOOKUP($A179&amp;$B179,'KU Inputs'!$C$2:$J$530,MATCH('KU UtilityData'!L$1,'KU Inputs'!$C$1:$J$1,0),0)</f>
        <v>142772.34400000001</v>
      </c>
      <c r="M179" s="181">
        <f>VLOOKUP($A179&amp;$B179,'KU Inputs'!$C$2:$J$530,MATCH('KU UtilityData'!M$1,'KU Inputs'!$C$1:$J$1,0),0)</f>
        <v>144607.8510273135</v>
      </c>
      <c r="N179" s="246">
        <f t="shared" si="5"/>
        <v>134.87</v>
      </c>
      <c r="O179" s="246">
        <f t="shared" si="5"/>
        <v>71.42</v>
      </c>
      <c r="P179" s="159">
        <v>4512</v>
      </c>
      <c r="Q179" s="159">
        <v>1455</v>
      </c>
      <c r="R179" s="271">
        <f t="shared" si="3"/>
        <v>0.3946103083978611</v>
      </c>
    </row>
    <row r="180" spans="1:18" x14ac:dyDescent="0.2">
      <c r="A180" s="147">
        <v>2015</v>
      </c>
      <c r="B180" s="147">
        <v>11</v>
      </c>
      <c r="C180" s="161"/>
      <c r="D180" s="257" t="e">
        <f>HLOOKUP($A180,#REF!,26,0)*100</f>
        <v>#REF!</v>
      </c>
      <c r="E180" s="256" t="e">
        <f>HLOOKUP($A180,#REF!,11,0)*100</f>
        <v>#REF!</v>
      </c>
      <c r="F180" s="166">
        <v>29.76</v>
      </c>
      <c r="G180" s="148">
        <v>3759.2757011864978</v>
      </c>
      <c r="H180" s="181">
        <f>VLOOKUP($A180&amp;$B180,'KU Inputs'!$C$2:$J$530,MATCH('KU UtilityData'!H$1,'KU Inputs'!$C$1:$J$1,0),0)*1000</f>
        <v>4455342</v>
      </c>
      <c r="I180" s="181">
        <f>VLOOKUP($A180&amp;$B180,'KU Inputs'!$C$2:$J$530,MATCH('KU UtilityData'!I$1,'KU Inputs'!$C$1:$J$1,0),0)*1000</f>
        <v>4500777</v>
      </c>
      <c r="J180" s="181">
        <f>VLOOKUP($A180&amp;$B180,'KU Inputs'!$C$2:$J$530,MATCH('KU UtilityData'!J$1,'KU Inputs'!$C$1:$J$1,0),0)*1000</f>
        <v>1776053</v>
      </c>
      <c r="K180" s="231">
        <v>434057.68</v>
      </c>
      <c r="L180" s="181">
        <f>VLOOKUP($A180&amp;$B180,'KU Inputs'!$C$2:$J$530,MATCH('KU UtilityData'!L$1,'KU Inputs'!$C$1:$J$1,0),0)</f>
        <v>142772.34400000001</v>
      </c>
      <c r="M180" s="181">
        <f>VLOOKUP($A180&amp;$B180,'KU Inputs'!$C$2:$J$530,MATCH('KU UtilityData'!M$1,'KU Inputs'!$C$1:$J$1,0),0)</f>
        <v>144607.8510273135</v>
      </c>
      <c r="N180" s="246">
        <f t="shared" si="5"/>
        <v>396.30250000000001</v>
      </c>
      <c r="O180" s="246">
        <f t="shared" si="5"/>
        <v>6.6950000000000003</v>
      </c>
      <c r="P180" s="159">
        <v>4512</v>
      </c>
      <c r="Q180" s="159">
        <v>1455</v>
      </c>
      <c r="R180" s="271">
        <f t="shared" si="3"/>
        <v>0.3946103083978611</v>
      </c>
    </row>
    <row r="181" spans="1:18" x14ac:dyDescent="0.2">
      <c r="A181" s="147">
        <v>2015</v>
      </c>
      <c r="B181" s="147">
        <v>12</v>
      </c>
      <c r="C181" s="161"/>
      <c r="D181" s="257" t="e">
        <f>HLOOKUP($A181,#REF!,26,0)*100</f>
        <v>#REF!</v>
      </c>
      <c r="E181" s="256" t="e">
        <f>HLOOKUP($A181,#REF!,11,0)*100</f>
        <v>#REF!</v>
      </c>
      <c r="F181" s="166">
        <v>31.57</v>
      </c>
      <c r="G181" s="148">
        <v>3761.5275176142736</v>
      </c>
      <c r="H181" s="181">
        <f>VLOOKUP($A181&amp;$B181,'KU Inputs'!$C$2:$J$530,MATCH('KU UtilityData'!H$1,'KU Inputs'!$C$1:$J$1,0),0)*1000</f>
        <v>4455342</v>
      </c>
      <c r="I181" s="181">
        <f>VLOOKUP($A181&amp;$B181,'KU Inputs'!$C$2:$J$530,MATCH('KU UtilityData'!I$1,'KU Inputs'!$C$1:$J$1,0),0)*1000</f>
        <v>4500777</v>
      </c>
      <c r="J181" s="181">
        <f>VLOOKUP($A181&amp;$B181,'KU Inputs'!$C$2:$J$530,MATCH('KU UtilityData'!J$1,'KU Inputs'!$C$1:$J$1,0),0)*1000</f>
        <v>1776053</v>
      </c>
      <c r="K181" s="231">
        <v>434058.59</v>
      </c>
      <c r="L181" s="181">
        <f>VLOOKUP($A181&amp;$B181,'KU Inputs'!$C$2:$J$530,MATCH('KU UtilityData'!L$1,'KU Inputs'!$C$1:$J$1,0),0)</f>
        <v>142772.34400000001</v>
      </c>
      <c r="M181" s="181">
        <f>VLOOKUP($A181&amp;$B181,'KU Inputs'!$C$2:$J$530,MATCH('KU UtilityData'!M$1,'KU Inputs'!$C$1:$J$1,0),0)</f>
        <v>144607.8510273135</v>
      </c>
      <c r="N181" s="246">
        <f t="shared" si="5"/>
        <v>714.28500000000008</v>
      </c>
      <c r="O181" s="246">
        <f t="shared" si="5"/>
        <v>0.25</v>
      </c>
      <c r="P181" s="159">
        <v>4512</v>
      </c>
      <c r="Q181" s="159">
        <v>1455</v>
      </c>
      <c r="R181" s="271">
        <f t="shared" si="3"/>
        <v>0.3946103083978611</v>
      </c>
    </row>
    <row r="182" spans="1:18" x14ac:dyDescent="0.2">
      <c r="A182" s="147">
        <v>2016</v>
      </c>
      <c r="B182" s="147">
        <v>1</v>
      </c>
      <c r="C182" s="161"/>
      <c r="D182" s="257" t="e">
        <f>HLOOKUP($A182,#REF!,26,0)*100</f>
        <v>#REF!</v>
      </c>
      <c r="E182" s="256" t="e">
        <f>HLOOKUP($A182,#REF!,11,0)*100</f>
        <v>#REF!</v>
      </c>
      <c r="F182" s="166">
        <v>32.520000000000003</v>
      </c>
      <c r="G182" s="148">
        <v>3763.7793340420499</v>
      </c>
      <c r="H182" s="181">
        <f>VLOOKUP($A182&amp;$B182,'KU Inputs'!$C$2:$J$530,MATCH('KU UtilityData'!H$1,'KU Inputs'!$C$1:$J$1,0),0)*1000</f>
        <v>4462148</v>
      </c>
      <c r="I182" s="181">
        <f>VLOOKUP($A182&amp;$B182,'KU Inputs'!$C$2:$J$530,MATCH('KU UtilityData'!I$1,'KU Inputs'!$C$1:$J$1,0),0)*1000</f>
        <v>4509174</v>
      </c>
      <c r="J182" s="181">
        <f>VLOOKUP($A182&amp;$B182,'KU Inputs'!$C$2:$J$530,MATCH('KU UtilityData'!J$1,'KU Inputs'!$C$1:$J$1,0),0)*1000</f>
        <v>1780728</v>
      </c>
      <c r="K182" s="231">
        <v>434861.27</v>
      </c>
      <c r="L182" s="181">
        <f>VLOOKUP($A182&amp;$B182,'KU Inputs'!$C$2:$J$530,MATCH('KU UtilityData'!L$1,'KU Inputs'!$C$1:$J$1,0),0)</f>
        <v>144227.636</v>
      </c>
      <c r="M182" s="181">
        <f>VLOOKUP($A182&amp;$B182,'KU Inputs'!$C$2:$J$530,MATCH('KU UtilityData'!M$1,'KU Inputs'!$C$1:$J$1,0),0)</f>
        <v>146296.92551622883</v>
      </c>
      <c r="N182" s="246">
        <f t="shared" si="5"/>
        <v>991.4375</v>
      </c>
      <c r="O182" s="246">
        <f t="shared" si="5"/>
        <v>0</v>
      </c>
      <c r="P182" s="159">
        <v>4512</v>
      </c>
      <c r="Q182" s="159">
        <v>1455</v>
      </c>
      <c r="R182" s="271">
        <f t="shared" si="3"/>
        <v>0.3949122389155974</v>
      </c>
    </row>
    <row r="183" spans="1:18" x14ac:dyDescent="0.2">
      <c r="A183" s="147">
        <v>2016</v>
      </c>
      <c r="B183" s="147">
        <v>2</v>
      </c>
      <c r="C183" s="161"/>
      <c r="D183" s="257" t="e">
        <f>HLOOKUP($A183,#REF!,26,0)*100</f>
        <v>#REF!</v>
      </c>
      <c r="E183" s="256" t="e">
        <f>HLOOKUP($A183,#REF!,11,0)*100</f>
        <v>#REF!</v>
      </c>
      <c r="F183" s="166">
        <v>30.14</v>
      </c>
      <c r="G183" s="148">
        <v>3766.0311504698261</v>
      </c>
      <c r="H183" s="181">
        <f>VLOOKUP($A183&amp;$B183,'KU Inputs'!$C$2:$J$530,MATCH('KU UtilityData'!H$1,'KU Inputs'!$C$1:$J$1,0),0)*1000</f>
        <v>4462148</v>
      </c>
      <c r="I183" s="181">
        <f>VLOOKUP($A183&amp;$B183,'KU Inputs'!$C$2:$J$530,MATCH('KU UtilityData'!I$1,'KU Inputs'!$C$1:$J$1,0),0)*1000</f>
        <v>4509174</v>
      </c>
      <c r="J183" s="181">
        <f>VLOOKUP($A183&amp;$B183,'KU Inputs'!$C$2:$J$530,MATCH('KU UtilityData'!J$1,'KU Inputs'!$C$1:$J$1,0),0)*1000</f>
        <v>1780728</v>
      </c>
      <c r="K183" s="231">
        <v>434861.95</v>
      </c>
      <c r="L183" s="181">
        <f>VLOOKUP($A183&amp;$B183,'KU Inputs'!$C$2:$J$530,MATCH('KU UtilityData'!L$1,'KU Inputs'!$C$1:$J$1,0),0)</f>
        <v>144227.636</v>
      </c>
      <c r="M183" s="181">
        <f>VLOOKUP($A183&amp;$B183,'KU Inputs'!$C$2:$J$530,MATCH('KU UtilityData'!M$1,'KU Inputs'!$C$1:$J$1,0),0)</f>
        <v>146296.92551622883</v>
      </c>
      <c r="N183" s="246">
        <f t="shared" si="5"/>
        <v>890.05499999999995</v>
      </c>
      <c r="O183" s="246">
        <f t="shared" si="5"/>
        <v>0</v>
      </c>
      <c r="P183" s="159">
        <v>4512</v>
      </c>
      <c r="Q183" s="159">
        <v>1455</v>
      </c>
      <c r="R183" s="271">
        <f t="shared" si="3"/>
        <v>0.3949122389155974</v>
      </c>
    </row>
    <row r="184" spans="1:18" x14ac:dyDescent="0.2">
      <c r="A184" s="147">
        <v>2016</v>
      </c>
      <c r="B184" s="147">
        <v>3</v>
      </c>
      <c r="C184" s="161"/>
      <c r="D184" s="257" t="e">
        <f>HLOOKUP($A184,#REF!,26,0)*100</f>
        <v>#REF!</v>
      </c>
      <c r="E184" s="256" t="e">
        <f>HLOOKUP($A184,#REF!,11,0)*100</f>
        <v>#REF!</v>
      </c>
      <c r="F184" s="166">
        <v>30.33</v>
      </c>
      <c r="G184" s="148">
        <v>3768.2829668976024</v>
      </c>
      <c r="H184" s="181">
        <f>VLOOKUP($A184&amp;$B184,'KU Inputs'!$C$2:$J$530,MATCH('KU UtilityData'!H$1,'KU Inputs'!$C$1:$J$1,0),0)*1000</f>
        <v>4462148</v>
      </c>
      <c r="I184" s="181">
        <f>VLOOKUP($A184&amp;$B184,'KU Inputs'!$C$2:$J$530,MATCH('KU UtilityData'!I$1,'KU Inputs'!$C$1:$J$1,0),0)*1000</f>
        <v>4509174</v>
      </c>
      <c r="J184" s="181">
        <f>VLOOKUP($A184&amp;$B184,'KU Inputs'!$C$2:$J$530,MATCH('KU UtilityData'!J$1,'KU Inputs'!$C$1:$J$1,0),0)*1000</f>
        <v>1780728</v>
      </c>
      <c r="K184" s="231">
        <v>434862.54</v>
      </c>
      <c r="L184" s="181">
        <f>VLOOKUP($A184&amp;$B184,'KU Inputs'!$C$2:$J$530,MATCH('KU UtilityData'!L$1,'KU Inputs'!$C$1:$J$1,0),0)</f>
        <v>144227.636</v>
      </c>
      <c r="M184" s="181">
        <f>VLOOKUP($A184&amp;$B184,'KU Inputs'!$C$2:$J$530,MATCH('KU UtilityData'!M$1,'KU Inputs'!$C$1:$J$1,0),0)</f>
        <v>146296.92551622883</v>
      </c>
      <c r="N184" s="246">
        <f t="shared" si="5"/>
        <v>724.63750000000005</v>
      </c>
      <c r="O184" s="246">
        <f t="shared" si="5"/>
        <v>0.92249999999999999</v>
      </c>
      <c r="P184" s="159">
        <v>4512</v>
      </c>
      <c r="Q184" s="159">
        <v>1455</v>
      </c>
      <c r="R184" s="271">
        <f t="shared" si="3"/>
        <v>0.3949122389155974</v>
      </c>
    </row>
    <row r="185" spans="1:18" x14ac:dyDescent="0.2">
      <c r="A185" s="147">
        <v>2016</v>
      </c>
      <c r="B185" s="147">
        <v>4</v>
      </c>
      <c r="C185" s="161"/>
      <c r="D185" s="257" t="e">
        <f>HLOOKUP($A185,#REF!,26,0)*100</f>
        <v>#REF!</v>
      </c>
      <c r="E185" s="256" t="e">
        <f>HLOOKUP($A185,#REF!,11,0)*100</f>
        <v>#REF!</v>
      </c>
      <c r="F185" s="166">
        <v>30.52</v>
      </c>
      <c r="G185" s="148">
        <v>3770.5347833253782</v>
      </c>
      <c r="H185" s="181">
        <f>VLOOKUP($A185&amp;$B185,'KU Inputs'!$C$2:$J$530,MATCH('KU UtilityData'!H$1,'KU Inputs'!$C$1:$J$1,0),0)*1000</f>
        <v>4468982</v>
      </c>
      <c r="I185" s="181">
        <f>VLOOKUP($A185&amp;$B185,'KU Inputs'!$C$2:$J$530,MATCH('KU UtilityData'!I$1,'KU Inputs'!$C$1:$J$1,0),0)*1000</f>
        <v>4517592</v>
      </c>
      <c r="J185" s="181">
        <f>VLOOKUP($A185&amp;$B185,'KU Inputs'!$C$2:$J$530,MATCH('KU UtilityData'!J$1,'KU Inputs'!$C$1:$J$1,0),0)*1000</f>
        <v>1785376</v>
      </c>
      <c r="K185" s="231">
        <v>435657.51</v>
      </c>
      <c r="L185" s="181">
        <f>VLOOKUP($A185&amp;$B185,'KU Inputs'!$C$2:$J$530,MATCH('KU UtilityData'!L$1,'KU Inputs'!$C$1:$J$1,0),0)</f>
        <v>145000.861</v>
      </c>
      <c r="M185" s="181">
        <f>VLOOKUP($A185&amp;$B185,'KU Inputs'!$C$2:$J$530,MATCH('KU UtilityData'!M$1,'KU Inputs'!$C$1:$J$1,0),0)</f>
        <v>147022.06988722185</v>
      </c>
      <c r="N185" s="246">
        <f t="shared" si="5"/>
        <v>433.4375</v>
      </c>
      <c r="O185" s="246">
        <f t="shared" si="5"/>
        <v>13.477500000000001</v>
      </c>
      <c r="P185" s="159">
        <v>4512</v>
      </c>
      <c r="Q185" s="159">
        <v>1455</v>
      </c>
      <c r="R185" s="271">
        <f t="shared" si="3"/>
        <v>0.39520523323044665</v>
      </c>
    </row>
    <row r="186" spans="1:18" x14ac:dyDescent="0.2">
      <c r="A186" s="147">
        <v>2016</v>
      </c>
      <c r="B186" s="147">
        <v>5</v>
      </c>
      <c r="C186" s="161"/>
      <c r="D186" s="257" t="e">
        <f>HLOOKUP($A186,#REF!,26,0)*100</f>
        <v>#REF!</v>
      </c>
      <c r="E186" s="256" t="e">
        <f>HLOOKUP($A186,#REF!,11,0)*100</f>
        <v>#REF!</v>
      </c>
      <c r="F186" s="166">
        <v>29.48</v>
      </c>
      <c r="G186" s="148">
        <v>3772.7865997531544</v>
      </c>
      <c r="H186" s="181">
        <f>VLOOKUP($A186&amp;$B186,'KU Inputs'!$C$2:$J$530,MATCH('KU UtilityData'!H$1,'KU Inputs'!$C$1:$J$1,0),0)*1000</f>
        <v>4468982</v>
      </c>
      <c r="I186" s="181">
        <f>VLOOKUP($A186&amp;$B186,'KU Inputs'!$C$2:$J$530,MATCH('KU UtilityData'!I$1,'KU Inputs'!$C$1:$J$1,0),0)*1000</f>
        <v>4517592</v>
      </c>
      <c r="J186" s="181">
        <f>VLOOKUP($A186&amp;$B186,'KU Inputs'!$C$2:$J$530,MATCH('KU UtilityData'!J$1,'KU Inputs'!$C$1:$J$1,0),0)*1000</f>
        <v>1785376</v>
      </c>
      <c r="K186" s="231">
        <v>435657.95</v>
      </c>
      <c r="L186" s="181">
        <f>VLOOKUP($A186&amp;$B186,'KU Inputs'!$C$2:$J$530,MATCH('KU UtilityData'!L$1,'KU Inputs'!$C$1:$J$1,0),0)</f>
        <v>145000.861</v>
      </c>
      <c r="M186" s="181">
        <f>VLOOKUP($A186&amp;$B186,'KU Inputs'!$C$2:$J$530,MATCH('KU UtilityData'!M$1,'KU Inputs'!$C$1:$J$1,0),0)</f>
        <v>147022.06988722185</v>
      </c>
      <c r="N186" s="246">
        <f t="shared" si="5"/>
        <v>189.125</v>
      </c>
      <c r="O186" s="246">
        <f t="shared" si="5"/>
        <v>46.06</v>
      </c>
      <c r="P186" s="159">
        <v>4512</v>
      </c>
      <c r="Q186" s="159">
        <v>1455</v>
      </c>
      <c r="R186" s="271">
        <f t="shared" si="3"/>
        <v>0.39520523323044665</v>
      </c>
    </row>
    <row r="187" spans="1:18" x14ac:dyDescent="0.2">
      <c r="A187" s="147">
        <v>2016</v>
      </c>
      <c r="B187" s="147">
        <v>6</v>
      </c>
      <c r="C187" s="161"/>
      <c r="D187" s="257" t="e">
        <f>HLOOKUP($A187,#REF!,26,0)*100</f>
        <v>#REF!</v>
      </c>
      <c r="E187" s="256" t="e">
        <f>HLOOKUP($A187,#REF!,11,0)*100</f>
        <v>#REF!</v>
      </c>
      <c r="F187" s="166">
        <v>30.67</v>
      </c>
      <c r="G187" s="148">
        <v>3775.0384161809293</v>
      </c>
      <c r="H187" s="181">
        <f>VLOOKUP($A187&amp;$B187,'KU Inputs'!$C$2:$J$530,MATCH('KU UtilityData'!H$1,'KU Inputs'!$C$1:$J$1,0),0)*1000</f>
        <v>4468982</v>
      </c>
      <c r="I187" s="181">
        <f>VLOOKUP($A187&amp;$B187,'KU Inputs'!$C$2:$J$530,MATCH('KU UtilityData'!I$1,'KU Inputs'!$C$1:$J$1,0),0)*1000</f>
        <v>4517592</v>
      </c>
      <c r="J187" s="181">
        <f>VLOOKUP($A187&amp;$B187,'KU Inputs'!$C$2:$J$530,MATCH('KU UtilityData'!J$1,'KU Inputs'!$C$1:$J$1,0),0)*1000</f>
        <v>1785376</v>
      </c>
      <c r="K187" s="231">
        <v>435658.34</v>
      </c>
      <c r="L187" s="181">
        <f>VLOOKUP($A187&amp;$B187,'KU Inputs'!$C$2:$J$530,MATCH('KU UtilityData'!L$1,'KU Inputs'!$C$1:$J$1,0),0)</f>
        <v>145000.861</v>
      </c>
      <c r="M187" s="181">
        <f>VLOOKUP($A187&amp;$B187,'KU Inputs'!$C$2:$J$530,MATCH('KU UtilityData'!M$1,'KU Inputs'!$C$1:$J$1,0),0)</f>
        <v>147022.06988722185</v>
      </c>
      <c r="N187" s="246">
        <f t="shared" si="5"/>
        <v>50.362499999999997</v>
      </c>
      <c r="O187" s="246">
        <f t="shared" si="5"/>
        <v>166.4075</v>
      </c>
      <c r="P187" s="159">
        <v>4512</v>
      </c>
      <c r="Q187" s="159">
        <v>1455</v>
      </c>
      <c r="R187" s="271">
        <f t="shared" si="3"/>
        <v>0.39520523323044665</v>
      </c>
    </row>
    <row r="188" spans="1:18" x14ac:dyDescent="0.2">
      <c r="A188" s="147">
        <v>2016</v>
      </c>
      <c r="B188" s="147">
        <v>7</v>
      </c>
      <c r="C188" s="161"/>
      <c r="D188" s="257" t="e">
        <f>HLOOKUP($A188,#REF!,26,0)*100</f>
        <v>#REF!</v>
      </c>
      <c r="E188" s="256" t="e">
        <f>HLOOKUP($A188,#REF!,11,0)*100</f>
        <v>#REF!</v>
      </c>
      <c r="F188" s="166">
        <v>30.71</v>
      </c>
      <c r="G188" s="148">
        <v>3777.3023081798965</v>
      </c>
      <c r="H188" s="181">
        <f>VLOOKUP($A188&amp;$B188,'KU Inputs'!$C$2:$J$530,MATCH('KU UtilityData'!H$1,'KU Inputs'!$C$1:$J$1,0),0)*1000</f>
        <v>4475848</v>
      </c>
      <c r="I188" s="181">
        <f>VLOOKUP($A188&amp;$B188,'KU Inputs'!$C$2:$J$530,MATCH('KU UtilityData'!I$1,'KU Inputs'!$C$1:$J$1,0),0)*1000</f>
        <v>4526031</v>
      </c>
      <c r="J188" s="181">
        <f>VLOOKUP($A188&amp;$B188,'KU Inputs'!$C$2:$J$530,MATCH('KU UtilityData'!J$1,'KU Inputs'!$C$1:$J$1,0),0)*1000</f>
        <v>1790032</v>
      </c>
      <c r="K188" s="231">
        <v>436452.03</v>
      </c>
      <c r="L188" s="181">
        <f>VLOOKUP($A188&amp;$B188,'KU Inputs'!$C$2:$J$530,MATCH('KU UtilityData'!L$1,'KU Inputs'!$C$1:$J$1,0),0)</f>
        <v>145740.07199999999</v>
      </c>
      <c r="M188" s="181">
        <f>VLOOKUP($A188&amp;$B188,'KU Inputs'!$C$2:$J$530,MATCH('KU UtilityData'!M$1,'KU Inputs'!$C$1:$J$1,0),0)</f>
        <v>147730.40867742006</v>
      </c>
      <c r="N188" s="246">
        <f t="shared" si="5"/>
        <v>1.625</v>
      </c>
      <c r="O188" s="246">
        <f t="shared" si="5"/>
        <v>326.005</v>
      </c>
      <c r="P188" s="159">
        <v>4512</v>
      </c>
      <c r="Q188" s="159">
        <v>1455</v>
      </c>
      <c r="R188" s="271">
        <f t="shared" si="3"/>
        <v>0.39549707017031038</v>
      </c>
    </row>
    <row r="189" spans="1:18" x14ac:dyDescent="0.2">
      <c r="A189" s="147">
        <v>2016</v>
      </c>
      <c r="B189" s="147">
        <v>8</v>
      </c>
      <c r="C189" s="161"/>
      <c r="D189" s="257" t="e">
        <f>HLOOKUP($A189,#REF!,26,0)*100</f>
        <v>#REF!</v>
      </c>
      <c r="E189" s="256" t="e">
        <f>HLOOKUP($A189,#REF!,11,0)*100</f>
        <v>#REF!</v>
      </c>
      <c r="F189" s="166">
        <v>29.52</v>
      </c>
      <c r="G189" s="148">
        <v>3779.5662001788633</v>
      </c>
      <c r="H189" s="181">
        <f>VLOOKUP($A189&amp;$B189,'KU Inputs'!$C$2:$J$530,MATCH('KU UtilityData'!H$1,'KU Inputs'!$C$1:$J$1,0),0)*1000</f>
        <v>4475848</v>
      </c>
      <c r="I189" s="181">
        <f>VLOOKUP($A189&amp;$B189,'KU Inputs'!$C$2:$J$530,MATCH('KU UtilityData'!I$1,'KU Inputs'!$C$1:$J$1,0),0)*1000</f>
        <v>4526031</v>
      </c>
      <c r="J189" s="181">
        <f>VLOOKUP($A189&amp;$B189,'KU Inputs'!$C$2:$J$530,MATCH('KU UtilityData'!J$1,'KU Inputs'!$C$1:$J$1,0),0)*1000</f>
        <v>1790032</v>
      </c>
      <c r="K189" s="231">
        <v>436452.32</v>
      </c>
      <c r="L189" s="181">
        <f>VLOOKUP($A189&amp;$B189,'KU Inputs'!$C$2:$J$530,MATCH('KU UtilityData'!L$1,'KU Inputs'!$C$1:$J$1,0),0)</f>
        <v>145740.07199999999</v>
      </c>
      <c r="M189" s="181">
        <f>VLOOKUP($A189&amp;$B189,'KU Inputs'!$C$2:$J$530,MATCH('KU UtilityData'!M$1,'KU Inputs'!$C$1:$J$1,0),0)</f>
        <v>147730.40867742006</v>
      </c>
      <c r="N189" s="246">
        <f t="shared" si="5"/>
        <v>0.75</v>
      </c>
      <c r="O189" s="246">
        <f t="shared" si="5"/>
        <v>348.8175</v>
      </c>
      <c r="P189" s="159">
        <v>4512</v>
      </c>
      <c r="Q189" s="159">
        <v>1455</v>
      </c>
      <c r="R189" s="271">
        <f t="shared" si="3"/>
        <v>0.39549707017031038</v>
      </c>
    </row>
    <row r="190" spans="1:18" x14ac:dyDescent="0.2">
      <c r="A190" s="147">
        <v>2016</v>
      </c>
      <c r="B190" s="147">
        <v>9</v>
      </c>
      <c r="C190" s="161"/>
      <c r="D190" s="257" t="e">
        <f>HLOOKUP($A190,#REF!,26,0)*100</f>
        <v>#REF!</v>
      </c>
      <c r="E190" s="256" t="e">
        <f>HLOOKUP($A190,#REF!,11,0)*100</f>
        <v>#REF!</v>
      </c>
      <c r="F190" s="166">
        <v>30.52</v>
      </c>
      <c r="G190" s="148">
        <v>3781.8300921778305</v>
      </c>
      <c r="H190" s="181">
        <f>VLOOKUP($A190&amp;$B190,'KU Inputs'!$C$2:$J$530,MATCH('KU UtilityData'!H$1,'KU Inputs'!$C$1:$J$1,0),0)*1000</f>
        <v>4475848</v>
      </c>
      <c r="I190" s="181">
        <f>VLOOKUP($A190&amp;$B190,'KU Inputs'!$C$2:$J$530,MATCH('KU UtilityData'!I$1,'KU Inputs'!$C$1:$J$1,0),0)*1000</f>
        <v>4526031</v>
      </c>
      <c r="J190" s="181">
        <f>VLOOKUP($A190&amp;$B190,'KU Inputs'!$C$2:$J$530,MATCH('KU UtilityData'!J$1,'KU Inputs'!$C$1:$J$1,0),0)*1000</f>
        <v>1790032</v>
      </c>
      <c r="K190" s="231">
        <v>436452.58</v>
      </c>
      <c r="L190" s="181">
        <f>VLOOKUP($A190&amp;$B190,'KU Inputs'!$C$2:$J$530,MATCH('KU UtilityData'!L$1,'KU Inputs'!$C$1:$J$1,0),0)</f>
        <v>145740.07199999999</v>
      </c>
      <c r="M190" s="181">
        <f>VLOOKUP($A190&amp;$B190,'KU Inputs'!$C$2:$J$530,MATCH('KU UtilityData'!M$1,'KU Inputs'!$C$1:$J$1,0),0)</f>
        <v>147730.40867742006</v>
      </c>
      <c r="N190" s="246">
        <f t="shared" si="5"/>
        <v>11.752500000000001</v>
      </c>
      <c r="O190" s="246">
        <f t="shared" si="5"/>
        <v>258.88</v>
      </c>
      <c r="P190" s="159">
        <v>4512</v>
      </c>
      <c r="Q190" s="159">
        <v>1455</v>
      </c>
      <c r="R190" s="271">
        <f t="shared" si="3"/>
        <v>0.39549707017031038</v>
      </c>
    </row>
    <row r="191" spans="1:18" x14ac:dyDescent="0.2">
      <c r="A191" s="147">
        <v>2016</v>
      </c>
      <c r="B191" s="147">
        <v>10</v>
      </c>
      <c r="C191" s="161"/>
      <c r="D191" s="257" t="e">
        <f>HLOOKUP($A191,#REF!,26,0)*100</f>
        <v>#REF!</v>
      </c>
      <c r="E191" s="256" t="e">
        <f>HLOOKUP($A191,#REF!,11,0)*100</f>
        <v>#REF!</v>
      </c>
      <c r="F191" s="166">
        <v>29.62</v>
      </c>
      <c r="G191" s="148">
        <v>3784.0939841767977</v>
      </c>
      <c r="H191" s="181">
        <f>VLOOKUP($A191&amp;$B191,'KU Inputs'!$C$2:$J$530,MATCH('KU UtilityData'!H$1,'KU Inputs'!$C$1:$J$1,0),0)*1000</f>
        <v>4482697</v>
      </c>
      <c r="I191" s="181">
        <f>VLOOKUP($A191&amp;$B191,'KU Inputs'!$C$2:$J$530,MATCH('KU UtilityData'!I$1,'KU Inputs'!$C$1:$J$1,0),0)*1000</f>
        <v>4534489</v>
      </c>
      <c r="J191" s="181">
        <f>VLOOKUP($A191&amp;$B191,'KU Inputs'!$C$2:$J$530,MATCH('KU UtilityData'!J$1,'KU Inputs'!$C$1:$J$1,0),0)*1000</f>
        <v>1794642</v>
      </c>
      <c r="K191" s="231">
        <v>437249.87</v>
      </c>
      <c r="L191" s="181">
        <f>VLOOKUP($A191&amp;$B191,'KU Inputs'!$C$2:$J$530,MATCH('KU UtilityData'!L$1,'KU Inputs'!$C$1:$J$1,0),0)</f>
        <v>146638.23699999999</v>
      </c>
      <c r="M191" s="181">
        <f>VLOOKUP($A191&amp;$B191,'KU Inputs'!$C$2:$J$530,MATCH('KU UtilityData'!M$1,'KU Inputs'!$C$1:$J$1,0),0)</f>
        <v>148618.41551285889</v>
      </c>
      <c r="N191" s="246">
        <f t="shared" si="5"/>
        <v>134.87</v>
      </c>
      <c r="O191" s="246">
        <f t="shared" si="5"/>
        <v>71.42</v>
      </c>
      <c r="P191" s="159">
        <v>4512</v>
      </c>
      <c r="Q191" s="159">
        <v>1455</v>
      </c>
      <c r="R191" s="271">
        <f t="shared" si="3"/>
        <v>0.39577601798129847</v>
      </c>
    </row>
    <row r="192" spans="1:18" x14ac:dyDescent="0.2">
      <c r="A192" s="147">
        <v>2016</v>
      </c>
      <c r="B192" s="147">
        <v>11</v>
      </c>
      <c r="C192" s="161"/>
      <c r="D192" s="257" t="e">
        <f>HLOOKUP($A192,#REF!,26,0)*100</f>
        <v>#REF!</v>
      </c>
      <c r="E192" s="256" t="e">
        <f>HLOOKUP($A192,#REF!,11,0)*100</f>
        <v>#REF!</v>
      </c>
      <c r="F192" s="166">
        <v>29.95</v>
      </c>
      <c r="G192" s="148">
        <v>3786.3578761757649</v>
      </c>
      <c r="H192" s="181">
        <f>VLOOKUP($A192&amp;$B192,'KU Inputs'!$C$2:$J$530,MATCH('KU UtilityData'!H$1,'KU Inputs'!$C$1:$J$1,0),0)*1000</f>
        <v>4482697</v>
      </c>
      <c r="I192" s="181">
        <f>VLOOKUP($A192&amp;$B192,'KU Inputs'!$C$2:$J$530,MATCH('KU UtilityData'!I$1,'KU Inputs'!$C$1:$J$1,0),0)*1000</f>
        <v>4534489</v>
      </c>
      <c r="J192" s="181">
        <f>VLOOKUP($A192&amp;$B192,'KU Inputs'!$C$2:$J$530,MATCH('KU UtilityData'!J$1,'KU Inputs'!$C$1:$J$1,0),0)*1000</f>
        <v>1794642</v>
      </c>
      <c r="K192" s="231">
        <v>437250.06</v>
      </c>
      <c r="L192" s="181">
        <f>VLOOKUP($A192&amp;$B192,'KU Inputs'!$C$2:$J$530,MATCH('KU UtilityData'!L$1,'KU Inputs'!$C$1:$J$1,0),0)</f>
        <v>146638.23699999999</v>
      </c>
      <c r="M192" s="181">
        <f>VLOOKUP($A192&amp;$B192,'KU Inputs'!$C$2:$J$530,MATCH('KU UtilityData'!M$1,'KU Inputs'!$C$1:$J$1,0),0)</f>
        <v>148618.41551285889</v>
      </c>
      <c r="N192" s="246">
        <f t="shared" si="5"/>
        <v>396.30250000000001</v>
      </c>
      <c r="O192" s="246">
        <f t="shared" si="5"/>
        <v>6.6950000000000003</v>
      </c>
      <c r="P192" s="159">
        <v>4512</v>
      </c>
      <c r="Q192" s="159">
        <v>1455</v>
      </c>
      <c r="R192" s="271">
        <f t="shared" si="3"/>
        <v>0.39577601798129847</v>
      </c>
    </row>
    <row r="193" spans="1:18" x14ac:dyDescent="0.2">
      <c r="A193" s="147">
        <v>2016</v>
      </c>
      <c r="B193" s="147">
        <v>12</v>
      </c>
      <c r="C193" s="161"/>
      <c r="D193" s="257" t="e">
        <f>HLOOKUP($A193,#REF!,26,0)*100</f>
        <v>#REF!</v>
      </c>
      <c r="E193" s="256" t="e">
        <f>HLOOKUP($A193,#REF!,11,0)*100</f>
        <v>#REF!</v>
      </c>
      <c r="F193" s="166">
        <v>31.24</v>
      </c>
      <c r="G193" s="148">
        <v>3788.6217681747321</v>
      </c>
      <c r="H193" s="181">
        <f>VLOOKUP($A193&amp;$B193,'KU Inputs'!$C$2:$J$530,MATCH('KU UtilityData'!H$1,'KU Inputs'!$C$1:$J$1,0),0)*1000</f>
        <v>4482697</v>
      </c>
      <c r="I193" s="181">
        <f>VLOOKUP($A193&amp;$B193,'KU Inputs'!$C$2:$J$530,MATCH('KU UtilityData'!I$1,'KU Inputs'!$C$1:$J$1,0),0)*1000</f>
        <v>4534489</v>
      </c>
      <c r="J193" s="181">
        <f>VLOOKUP($A193&amp;$B193,'KU Inputs'!$C$2:$J$530,MATCH('KU UtilityData'!J$1,'KU Inputs'!$C$1:$J$1,0),0)*1000</f>
        <v>1794642</v>
      </c>
      <c r="K193" s="231">
        <v>437250.22</v>
      </c>
      <c r="L193" s="181">
        <f>VLOOKUP($A193&amp;$B193,'KU Inputs'!$C$2:$J$530,MATCH('KU UtilityData'!L$1,'KU Inputs'!$C$1:$J$1,0),0)</f>
        <v>146638.23699999999</v>
      </c>
      <c r="M193" s="181">
        <f>VLOOKUP($A193&amp;$B193,'KU Inputs'!$C$2:$J$530,MATCH('KU UtilityData'!M$1,'KU Inputs'!$C$1:$J$1,0),0)</f>
        <v>148618.41551285889</v>
      </c>
      <c r="N193" s="246">
        <f t="shared" si="5"/>
        <v>714.28500000000008</v>
      </c>
      <c r="O193" s="246">
        <f t="shared" si="5"/>
        <v>0.25</v>
      </c>
      <c r="P193" s="159">
        <v>4512</v>
      </c>
      <c r="Q193" s="159">
        <v>1455</v>
      </c>
      <c r="R193" s="271">
        <f t="shared" si="3"/>
        <v>0.39577601798129847</v>
      </c>
    </row>
    <row r="194" spans="1:18" x14ac:dyDescent="0.2">
      <c r="A194" s="147">
        <v>2017</v>
      </c>
      <c r="B194" s="147">
        <v>1</v>
      </c>
      <c r="C194" s="161"/>
      <c r="D194" s="258" t="e">
        <f>D182*(1+0.02)</f>
        <v>#REF!</v>
      </c>
      <c r="E194" s="256" t="e">
        <f>HLOOKUP($A194,#REF!,11,0)*100</f>
        <v>#REF!</v>
      </c>
      <c r="F194" s="166">
        <v>32.67</v>
      </c>
      <c r="G194" s="148">
        <v>3790.8856601736993</v>
      </c>
      <c r="H194" s="181">
        <f>VLOOKUP($A194&amp;$B194,'KU Inputs'!$C$2:$J$530,MATCH('KU UtilityData'!H$1,'KU Inputs'!$C$1:$J$1,0),0)*1000</f>
        <v>4489502</v>
      </c>
      <c r="I194" s="181">
        <f>VLOOKUP($A194&amp;$B194,'KU Inputs'!$C$2:$J$530,MATCH('KU UtilityData'!I$1,'KU Inputs'!$C$1:$J$1,0),0)*1000</f>
        <v>4542939</v>
      </c>
      <c r="J194" s="181">
        <f>VLOOKUP($A194&amp;$B194,'KU Inputs'!$C$2:$J$530,MATCH('KU UtilityData'!J$1,'KU Inputs'!$C$1:$J$1,0),0)*1000</f>
        <v>1799248</v>
      </c>
      <c r="K194" s="231">
        <v>437805.15</v>
      </c>
      <c r="L194" s="181">
        <f>VLOOKUP($A194&amp;$B194,'KU Inputs'!$C$2:$J$530,MATCH('KU UtilityData'!L$1,'KU Inputs'!$C$1:$J$1,0),0)</f>
        <v>147397.973</v>
      </c>
      <c r="M194" s="181">
        <f>VLOOKUP($A194&amp;$B194,'KU Inputs'!$C$2:$J$530,MATCH('KU UtilityData'!M$1,'KU Inputs'!$C$1:$J$1,0),0)</f>
        <v>149938.26865747903</v>
      </c>
      <c r="N194" s="246">
        <f t="shared" si="5"/>
        <v>991.4375</v>
      </c>
      <c r="O194" s="246">
        <f t="shared" si="5"/>
        <v>0</v>
      </c>
      <c r="P194" s="159">
        <v>4512</v>
      </c>
      <c r="Q194" s="159">
        <v>1455</v>
      </c>
      <c r="R194" s="271">
        <f t="shared" si="3"/>
        <v>0.39605374406303939</v>
      </c>
    </row>
    <row r="195" spans="1:18" x14ac:dyDescent="0.2">
      <c r="A195" s="147">
        <v>2017</v>
      </c>
      <c r="B195" s="147">
        <v>2</v>
      </c>
      <c r="C195" s="161"/>
      <c r="D195" s="258" t="e">
        <f t="shared" ref="D195:D258" si="6">D183*(1+0.02)</f>
        <v>#REF!</v>
      </c>
      <c r="E195" s="256" t="e">
        <f>HLOOKUP($A195,#REF!,11,0)*100</f>
        <v>#REF!</v>
      </c>
      <c r="F195" s="166">
        <v>29.86</v>
      </c>
      <c r="G195" s="148">
        <v>3793.1495521726665</v>
      </c>
      <c r="H195" s="181">
        <f>VLOOKUP($A195&amp;$B195,'KU Inputs'!$C$2:$J$530,MATCH('KU UtilityData'!H$1,'KU Inputs'!$C$1:$J$1,0),0)*1000</f>
        <v>4489502</v>
      </c>
      <c r="I195" s="181">
        <f>VLOOKUP($A195&amp;$B195,'KU Inputs'!$C$2:$J$530,MATCH('KU UtilityData'!I$1,'KU Inputs'!$C$1:$J$1,0),0)*1000</f>
        <v>4542939</v>
      </c>
      <c r="J195" s="181">
        <f>VLOOKUP($A195&amp;$B195,'KU Inputs'!$C$2:$J$530,MATCH('KU UtilityData'!J$1,'KU Inputs'!$C$1:$J$1,0),0)*1000</f>
        <v>1799248</v>
      </c>
      <c r="K195" s="231">
        <v>437805.27</v>
      </c>
      <c r="L195" s="181">
        <f>VLOOKUP($A195&amp;$B195,'KU Inputs'!$C$2:$J$530,MATCH('KU UtilityData'!L$1,'KU Inputs'!$C$1:$J$1,0),0)</f>
        <v>147397.973</v>
      </c>
      <c r="M195" s="181">
        <f>VLOOKUP($A195&amp;$B195,'KU Inputs'!$C$2:$J$530,MATCH('KU UtilityData'!M$1,'KU Inputs'!$C$1:$J$1,0),0)</f>
        <v>149938.26865747903</v>
      </c>
      <c r="N195" s="246">
        <f t="shared" si="5"/>
        <v>890.05499999999995</v>
      </c>
      <c r="O195" s="246">
        <f t="shared" si="5"/>
        <v>0</v>
      </c>
      <c r="P195" s="159">
        <v>4512</v>
      </c>
      <c r="Q195" s="159">
        <v>1455</v>
      </c>
      <c r="R195" s="271">
        <f t="shared" ref="R195:R258" si="7">J195/I195</f>
        <v>0.39605374406303939</v>
      </c>
    </row>
    <row r="196" spans="1:18" x14ac:dyDescent="0.2">
      <c r="A196" s="147">
        <v>2017</v>
      </c>
      <c r="B196" s="147">
        <v>3</v>
      </c>
      <c r="C196" s="161"/>
      <c r="D196" s="258" t="e">
        <f t="shared" si="6"/>
        <v>#REF!</v>
      </c>
      <c r="E196" s="256" t="e">
        <f>HLOOKUP($A196,#REF!,11,0)*100</f>
        <v>#REF!</v>
      </c>
      <c r="F196" s="166">
        <v>30.29</v>
      </c>
      <c r="G196" s="148">
        <v>3795.4134441716337</v>
      </c>
      <c r="H196" s="181">
        <f>VLOOKUP($A196&amp;$B196,'KU Inputs'!$C$2:$J$530,MATCH('KU UtilityData'!H$1,'KU Inputs'!$C$1:$J$1,0),0)*1000</f>
        <v>4489502</v>
      </c>
      <c r="I196" s="181">
        <f>VLOOKUP($A196&amp;$B196,'KU Inputs'!$C$2:$J$530,MATCH('KU UtilityData'!I$1,'KU Inputs'!$C$1:$J$1,0),0)*1000</f>
        <v>4542939</v>
      </c>
      <c r="J196" s="181">
        <f>VLOOKUP($A196&amp;$B196,'KU Inputs'!$C$2:$J$530,MATCH('KU UtilityData'!J$1,'KU Inputs'!$C$1:$J$1,0),0)*1000</f>
        <v>1799248</v>
      </c>
      <c r="K196" s="231">
        <v>437805.38</v>
      </c>
      <c r="L196" s="181">
        <f>VLOOKUP($A196&amp;$B196,'KU Inputs'!$C$2:$J$530,MATCH('KU UtilityData'!L$1,'KU Inputs'!$C$1:$J$1,0),0)</f>
        <v>147397.973</v>
      </c>
      <c r="M196" s="181">
        <f>VLOOKUP($A196&amp;$B196,'KU Inputs'!$C$2:$J$530,MATCH('KU UtilityData'!M$1,'KU Inputs'!$C$1:$J$1,0),0)</f>
        <v>149938.26865747903</v>
      </c>
      <c r="N196" s="246">
        <f t="shared" si="5"/>
        <v>724.63750000000005</v>
      </c>
      <c r="O196" s="246">
        <f t="shared" si="5"/>
        <v>0.92249999999999999</v>
      </c>
      <c r="P196" s="159">
        <v>4512</v>
      </c>
      <c r="Q196" s="159">
        <v>1455</v>
      </c>
      <c r="R196" s="271">
        <f t="shared" si="7"/>
        <v>0.39605374406303939</v>
      </c>
    </row>
    <row r="197" spans="1:18" x14ac:dyDescent="0.2">
      <c r="A197" s="147">
        <v>2017</v>
      </c>
      <c r="B197" s="147">
        <v>4</v>
      </c>
      <c r="C197" s="161"/>
      <c r="D197" s="258" t="e">
        <f t="shared" si="6"/>
        <v>#REF!</v>
      </c>
      <c r="E197" s="256" t="e">
        <f>HLOOKUP($A197,#REF!,11,0)*100</f>
        <v>#REF!</v>
      </c>
      <c r="F197" s="166">
        <v>30.33</v>
      </c>
      <c r="G197" s="148">
        <v>3797.6773361706009</v>
      </c>
      <c r="H197" s="181">
        <f>VLOOKUP($A197&amp;$B197,'KU Inputs'!$C$2:$J$530,MATCH('KU UtilityData'!H$1,'KU Inputs'!$C$1:$J$1,0),0)*1000</f>
        <v>4496267</v>
      </c>
      <c r="I197" s="181">
        <f>VLOOKUP($A197&amp;$B197,'KU Inputs'!$C$2:$J$530,MATCH('KU UtilityData'!I$1,'KU Inputs'!$C$1:$J$1,0),0)*1000</f>
        <v>4551380</v>
      </c>
      <c r="J197" s="181">
        <f>VLOOKUP($A197&amp;$B197,'KU Inputs'!$C$2:$J$530,MATCH('KU UtilityData'!J$1,'KU Inputs'!$C$1:$J$1,0),0)*1000</f>
        <v>1803860</v>
      </c>
      <c r="K197" s="231">
        <v>438364.41</v>
      </c>
      <c r="L197" s="181">
        <f>VLOOKUP($A197&amp;$B197,'KU Inputs'!$C$2:$J$530,MATCH('KU UtilityData'!L$1,'KU Inputs'!$C$1:$J$1,0),0)</f>
        <v>148169.18</v>
      </c>
      <c r="M197" s="181">
        <f>VLOOKUP($A197&amp;$B197,'KU Inputs'!$C$2:$J$530,MATCH('KU UtilityData'!M$1,'KU Inputs'!$C$1:$J$1,0),0)</f>
        <v>150944.25327886257</v>
      </c>
      <c r="N197" s="246">
        <f t="shared" si="5"/>
        <v>433.4375</v>
      </c>
      <c r="O197" s="246">
        <f t="shared" si="5"/>
        <v>13.477500000000001</v>
      </c>
      <c r="P197" s="159">
        <v>4512</v>
      </c>
      <c r="Q197" s="159">
        <v>1455</v>
      </c>
      <c r="R197" s="271">
        <f t="shared" si="7"/>
        <v>0.39633254089968317</v>
      </c>
    </row>
    <row r="198" spans="1:18" x14ac:dyDescent="0.2">
      <c r="A198" s="147">
        <v>2017</v>
      </c>
      <c r="B198" s="147">
        <v>5</v>
      </c>
      <c r="C198" s="161"/>
      <c r="D198" s="258" t="e">
        <f t="shared" si="6"/>
        <v>#REF!</v>
      </c>
      <c r="E198" s="256" t="e">
        <f>HLOOKUP($A198,#REF!,11,0)*100</f>
        <v>#REF!</v>
      </c>
      <c r="F198" s="166">
        <v>30.05</v>
      </c>
      <c r="G198" s="148">
        <v>3799.9412281695677</v>
      </c>
      <c r="H198" s="181">
        <f>VLOOKUP($A198&amp;$B198,'KU Inputs'!$C$2:$J$530,MATCH('KU UtilityData'!H$1,'KU Inputs'!$C$1:$J$1,0),0)*1000</f>
        <v>4496267</v>
      </c>
      <c r="I198" s="181">
        <f>VLOOKUP($A198&amp;$B198,'KU Inputs'!$C$2:$J$530,MATCH('KU UtilityData'!I$1,'KU Inputs'!$C$1:$J$1,0),0)*1000</f>
        <v>4551380</v>
      </c>
      <c r="J198" s="181">
        <f>VLOOKUP($A198&amp;$B198,'KU Inputs'!$C$2:$J$530,MATCH('KU UtilityData'!J$1,'KU Inputs'!$C$1:$J$1,0),0)*1000</f>
        <v>1803860</v>
      </c>
      <c r="K198" s="231">
        <v>438364.49</v>
      </c>
      <c r="L198" s="181">
        <f>VLOOKUP($A198&amp;$B198,'KU Inputs'!$C$2:$J$530,MATCH('KU UtilityData'!L$1,'KU Inputs'!$C$1:$J$1,0),0)</f>
        <v>148169.18</v>
      </c>
      <c r="M198" s="181">
        <f>VLOOKUP($A198&amp;$B198,'KU Inputs'!$C$2:$J$530,MATCH('KU UtilityData'!M$1,'KU Inputs'!$C$1:$J$1,0),0)</f>
        <v>150944.25327886257</v>
      </c>
      <c r="N198" s="246">
        <f t="shared" ref="N198:O217" si="8">N186</f>
        <v>189.125</v>
      </c>
      <c r="O198" s="246">
        <f t="shared" si="8"/>
        <v>46.06</v>
      </c>
      <c r="P198" s="159">
        <v>4512</v>
      </c>
      <c r="Q198" s="159">
        <v>1455</v>
      </c>
      <c r="R198" s="271">
        <f t="shared" si="7"/>
        <v>0.39633254089968317</v>
      </c>
    </row>
    <row r="199" spans="1:18" x14ac:dyDescent="0.2">
      <c r="A199" s="147">
        <v>2017</v>
      </c>
      <c r="B199" s="147">
        <v>6</v>
      </c>
      <c r="C199" s="161"/>
      <c r="D199" s="258" t="e">
        <f t="shared" si="6"/>
        <v>#REF!</v>
      </c>
      <c r="E199" s="256" t="e">
        <f>HLOOKUP($A199,#REF!,11,0)*100</f>
        <v>#REF!</v>
      </c>
      <c r="F199" s="166">
        <v>30.62</v>
      </c>
      <c r="G199" s="148">
        <v>3802.2051201685322</v>
      </c>
      <c r="H199" s="181">
        <f>VLOOKUP($A199&amp;$B199,'KU Inputs'!$C$2:$J$530,MATCH('KU UtilityData'!H$1,'KU Inputs'!$C$1:$J$1,0),0)*1000</f>
        <v>4496267</v>
      </c>
      <c r="I199" s="181">
        <f>VLOOKUP($A199&amp;$B199,'KU Inputs'!$C$2:$J$530,MATCH('KU UtilityData'!I$1,'KU Inputs'!$C$1:$J$1,0),0)*1000</f>
        <v>4551380</v>
      </c>
      <c r="J199" s="181">
        <f>VLOOKUP($A199&amp;$B199,'KU Inputs'!$C$2:$J$530,MATCH('KU UtilityData'!J$1,'KU Inputs'!$C$1:$J$1,0),0)*1000</f>
        <v>1803860</v>
      </c>
      <c r="K199" s="231">
        <v>438364.56</v>
      </c>
      <c r="L199" s="181">
        <f>VLOOKUP($A199&amp;$B199,'KU Inputs'!$C$2:$J$530,MATCH('KU UtilityData'!L$1,'KU Inputs'!$C$1:$J$1,0),0)</f>
        <v>148169.18</v>
      </c>
      <c r="M199" s="181">
        <f>VLOOKUP($A199&amp;$B199,'KU Inputs'!$C$2:$J$530,MATCH('KU UtilityData'!M$1,'KU Inputs'!$C$1:$J$1,0),0)</f>
        <v>150944.25327886257</v>
      </c>
      <c r="N199" s="246">
        <f t="shared" si="8"/>
        <v>50.362499999999997</v>
      </c>
      <c r="O199" s="246">
        <f t="shared" si="8"/>
        <v>166.4075</v>
      </c>
      <c r="P199" s="159">
        <v>4512</v>
      </c>
      <c r="Q199" s="159">
        <v>1455</v>
      </c>
      <c r="R199" s="271">
        <f t="shared" si="7"/>
        <v>0.39633254089968317</v>
      </c>
    </row>
    <row r="200" spans="1:18" x14ac:dyDescent="0.2">
      <c r="A200" s="147">
        <v>2017</v>
      </c>
      <c r="B200" s="147">
        <v>7</v>
      </c>
      <c r="C200" s="161"/>
      <c r="D200" s="258" t="e">
        <f t="shared" si="6"/>
        <v>#REF!</v>
      </c>
      <c r="E200" s="256" t="e">
        <f>HLOOKUP($A200,#REF!,11,0)*100</f>
        <v>#REF!</v>
      </c>
      <c r="F200" s="166">
        <v>30.81</v>
      </c>
      <c r="G200" s="148">
        <v>3804.4647787775989</v>
      </c>
      <c r="H200" s="181">
        <f>VLOOKUP($A200&amp;$B200,'KU Inputs'!$C$2:$J$530,MATCH('KU UtilityData'!H$1,'KU Inputs'!$C$1:$J$1,0),0)*1000</f>
        <v>4502992</v>
      </c>
      <c r="I200" s="181">
        <f>VLOOKUP($A200&amp;$B200,'KU Inputs'!$C$2:$J$530,MATCH('KU UtilityData'!I$1,'KU Inputs'!$C$1:$J$1,0),0)*1000</f>
        <v>4559813</v>
      </c>
      <c r="J200" s="181">
        <f>VLOOKUP($A200&amp;$B200,'KU Inputs'!$C$2:$J$530,MATCH('KU UtilityData'!J$1,'KU Inputs'!$C$1:$J$1,0),0)*1000</f>
        <v>1808479</v>
      </c>
      <c r="K200" s="231">
        <v>438919.62</v>
      </c>
      <c r="L200" s="181">
        <f>VLOOKUP($A200&amp;$B200,'KU Inputs'!$C$2:$J$530,MATCH('KU UtilityData'!L$1,'KU Inputs'!$C$1:$J$1,0),0)</f>
        <v>149003.10200000001</v>
      </c>
      <c r="M200" s="181">
        <f>VLOOKUP($A200&amp;$B200,'KU Inputs'!$C$2:$J$530,MATCH('KU UtilityData'!M$1,'KU Inputs'!$C$1:$J$1,0),0)</f>
        <v>151980.08033488106</v>
      </c>
      <c r="N200" s="246">
        <f t="shared" si="8"/>
        <v>1.625</v>
      </c>
      <c r="O200" s="246">
        <f t="shared" si="8"/>
        <v>326.005</v>
      </c>
      <c r="P200" s="159">
        <v>4512</v>
      </c>
      <c r="Q200" s="159">
        <v>1455</v>
      </c>
      <c r="R200" s="271">
        <f t="shared" si="7"/>
        <v>0.39661253652287931</v>
      </c>
    </row>
    <row r="201" spans="1:18" x14ac:dyDescent="0.2">
      <c r="A201" s="147">
        <v>2017</v>
      </c>
      <c r="B201" s="147">
        <v>8</v>
      </c>
      <c r="C201" s="161"/>
      <c r="D201" s="258" t="e">
        <f t="shared" si="6"/>
        <v>#REF!</v>
      </c>
      <c r="E201" s="256" t="e">
        <f>HLOOKUP($A201,#REF!,11,0)*100</f>
        <v>#REF!</v>
      </c>
      <c r="F201" s="166">
        <v>29.43</v>
      </c>
      <c r="G201" s="148">
        <v>3806.7244373866656</v>
      </c>
      <c r="H201" s="181">
        <f>VLOOKUP($A201&amp;$B201,'KU Inputs'!$C$2:$J$530,MATCH('KU UtilityData'!H$1,'KU Inputs'!$C$1:$J$1,0),0)*1000</f>
        <v>4502992</v>
      </c>
      <c r="I201" s="181">
        <f>VLOOKUP($A201&amp;$B201,'KU Inputs'!$C$2:$J$530,MATCH('KU UtilityData'!I$1,'KU Inputs'!$C$1:$J$1,0),0)*1000</f>
        <v>4559813</v>
      </c>
      <c r="J201" s="181">
        <f>VLOOKUP($A201&amp;$B201,'KU Inputs'!$C$2:$J$530,MATCH('KU UtilityData'!J$1,'KU Inputs'!$C$1:$J$1,0),0)*1000</f>
        <v>1808479</v>
      </c>
      <c r="K201" s="231">
        <v>438919.67</v>
      </c>
      <c r="L201" s="181">
        <f>VLOOKUP($A201&amp;$B201,'KU Inputs'!$C$2:$J$530,MATCH('KU UtilityData'!L$1,'KU Inputs'!$C$1:$J$1,0),0)</f>
        <v>149003.10200000001</v>
      </c>
      <c r="M201" s="181">
        <f>VLOOKUP($A201&amp;$B201,'KU Inputs'!$C$2:$J$530,MATCH('KU UtilityData'!M$1,'KU Inputs'!$C$1:$J$1,0),0)</f>
        <v>151980.08033488106</v>
      </c>
      <c r="N201" s="246">
        <f t="shared" si="8"/>
        <v>0.75</v>
      </c>
      <c r="O201" s="246">
        <f t="shared" si="8"/>
        <v>348.8175</v>
      </c>
      <c r="P201" s="159">
        <v>4512</v>
      </c>
      <c r="Q201" s="159">
        <v>1455</v>
      </c>
      <c r="R201" s="271">
        <f t="shared" si="7"/>
        <v>0.39661253652287931</v>
      </c>
    </row>
    <row r="202" spans="1:18" x14ac:dyDescent="0.2">
      <c r="A202" s="147">
        <v>2017</v>
      </c>
      <c r="B202" s="147">
        <v>9</v>
      </c>
      <c r="C202" s="161"/>
      <c r="D202" s="258" t="e">
        <f t="shared" si="6"/>
        <v>#REF!</v>
      </c>
      <c r="E202" s="256" t="e">
        <f>HLOOKUP($A202,#REF!,11,0)*100</f>
        <v>#REF!</v>
      </c>
      <c r="F202" s="166">
        <v>30.57</v>
      </c>
      <c r="G202" s="148">
        <v>3808.9840959957323</v>
      </c>
      <c r="H202" s="181">
        <f>VLOOKUP($A202&amp;$B202,'KU Inputs'!$C$2:$J$530,MATCH('KU UtilityData'!H$1,'KU Inputs'!$C$1:$J$1,0),0)*1000</f>
        <v>4502992</v>
      </c>
      <c r="I202" s="181">
        <f>VLOOKUP($A202&amp;$B202,'KU Inputs'!$C$2:$J$530,MATCH('KU UtilityData'!I$1,'KU Inputs'!$C$1:$J$1,0),0)*1000</f>
        <v>4559813</v>
      </c>
      <c r="J202" s="181">
        <f>VLOOKUP($A202&amp;$B202,'KU Inputs'!$C$2:$J$530,MATCH('KU UtilityData'!J$1,'KU Inputs'!$C$1:$J$1,0),0)*1000</f>
        <v>1808479</v>
      </c>
      <c r="K202" s="231">
        <v>438919.72</v>
      </c>
      <c r="L202" s="181">
        <f>VLOOKUP($A202&amp;$B202,'KU Inputs'!$C$2:$J$530,MATCH('KU UtilityData'!L$1,'KU Inputs'!$C$1:$J$1,0),0)</f>
        <v>149003.10200000001</v>
      </c>
      <c r="M202" s="181">
        <f>VLOOKUP($A202&amp;$B202,'KU Inputs'!$C$2:$J$530,MATCH('KU UtilityData'!M$1,'KU Inputs'!$C$1:$J$1,0),0)</f>
        <v>151980.08033488106</v>
      </c>
      <c r="N202" s="246">
        <f t="shared" si="8"/>
        <v>11.752500000000001</v>
      </c>
      <c r="O202" s="246">
        <f t="shared" si="8"/>
        <v>258.88</v>
      </c>
      <c r="P202" s="159">
        <v>4512</v>
      </c>
      <c r="Q202" s="159">
        <v>1455</v>
      </c>
      <c r="R202" s="271">
        <f t="shared" si="7"/>
        <v>0.39661253652287931</v>
      </c>
    </row>
    <row r="203" spans="1:18" x14ac:dyDescent="0.2">
      <c r="A203" s="147">
        <v>2017</v>
      </c>
      <c r="B203" s="147">
        <v>10</v>
      </c>
      <c r="C203" s="161"/>
      <c r="D203" s="258" t="e">
        <f t="shared" si="6"/>
        <v>#REF!</v>
      </c>
      <c r="E203" s="256" t="e">
        <f>HLOOKUP($A203,#REF!,11,0)*100</f>
        <v>#REF!</v>
      </c>
      <c r="F203" s="166">
        <v>29.67</v>
      </c>
      <c r="G203" s="148">
        <v>3811.2437546047986</v>
      </c>
      <c r="H203" s="181">
        <f>VLOOKUP($A203&amp;$B203,'KU Inputs'!$C$2:$J$530,MATCH('KU UtilityData'!H$1,'KU Inputs'!$C$1:$J$1,0),0)*1000</f>
        <v>4509666</v>
      </c>
      <c r="I203" s="181">
        <f>VLOOKUP($A203&amp;$B203,'KU Inputs'!$C$2:$J$530,MATCH('KU UtilityData'!I$1,'KU Inputs'!$C$1:$J$1,0),0)*1000</f>
        <v>4568225</v>
      </c>
      <c r="J203" s="181">
        <f>VLOOKUP($A203&amp;$B203,'KU Inputs'!$C$2:$J$530,MATCH('KU UtilityData'!J$1,'KU Inputs'!$C$1:$J$1,0),0)*1000</f>
        <v>1813129</v>
      </c>
      <c r="K203" s="231">
        <v>439455.52</v>
      </c>
      <c r="L203" s="181">
        <f>VLOOKUP($A203&amp;$B203,'KU Inputs'!$C$2:$J$530,MATCH('KU UtilityData'!L$1,'KU Inputs'!$C$1:$J$1,0),0)</f>
        <v>149821.88399999999</v>
      </c>
      <c r="M203" s="181">
        <f>VLOOKUP($A203&amp;$B203,'KU Inputs'!$C$2:$J$530,MATCH('KU UtilityData'!M$1,'KU Inputs'!$C$1:$J$1,0),0)</f>
        <v>152964.93235419173</v>
      </c>
      <c r="N203" s="246">
        <f t="shared" si="8"/>
        <v>134.87</v>
      </c>
      <c r="O203" s="246">
        <f t="shared" si="8"/>
        <v>71.42</v>
      </c>
      <c r="P203" s="159">
        <v>4512</v>
      </c>
      <c r="Q203" s="159">
        <v>1455</v>
      </c>
      <c r="R203" s="271">
        <f t="shared" si="7"/>
        <v>0.39690010890444322</v>
      </c>
    </row>
    <row r="204" spans="1:18" x14ac:dyDescent="0.2">
      <c r="A204" s="147">
        <v>2017</v>
      </c>
      <c r="B204" s="147">
        <v>11</v>
      </c>
      <c r="C204" s="161"/>
      <c r="D204" s="258" t="e">
        <f t="shared" si="6"/>
        <v>#REF!</v>
      </c>
      <c r="E204" s="256" t="e">
        <f>HLOOKUP($A204,#REF!,11,0)*100</f>
        <v>#REF!</v>
      </c>
      <c r="F204" s="166">
        <v>30.05</v>
      </c>
      <c r="G204" s="148">
        <v>3813.5034132138653</v>
      </c>
      <c r="H204" s="181">
        <f>VLOOKUP($A204&amp;$B204,'KU Inputs'!$C$2:$J$530,MATCH('KU UtilityData'!H$1,'KU Inputs'!$C$1:$J$1,0),0)*1000</f>
        <v>4509666</v>
      </c>
      <c r="I204" s="181">
        <f>VLOOKUP($A204&amp;$B204,'KU Inputs'!$C$2:$J$530,MATCH('KU UtilityData'!I$1,'KU Inputs'!$C$1:$J$1,0),0)*1000</f>
        <v>4568225</v>
      </c>
      <c r="J204" s="181">
        <f>VLOOKUP($A204&amp;$B204,'KU Inputs'!$C$2:$J$530,MATCH('KU UtilityData'!J$1,'KU Inputs'!$C$1:$J$1,0),0)*1000</f>
        <v>1813129</v>
      </c>
      <c r="K204" s="231">
        <v>439455.55</v>
      </c>
      <c r="L204" s="181">
        <f>VLOOKUP($A204&amp;$B204,'KU Inputs'!$C$2:$J$530,MATCH('KU UtilityData'!L$1,'KU Inputs'!$C$1:$J$1,0),0)</f>
        <v>149821.88399999999</v>
      </c>
      <c r="M204" s="181">
        <f>VLOOKUP($A204&amp;$B204,'KU Inputs'!$C$2:$J$530,MATCH('KU UtilityData'!M$1,'KU Inputs'!$C$1:$J$1,0),0)</f>
        <v>152964.93235419173</v>
      </c>
      <c r="N204" s="246">
        <f t="shared" si="8"/>
        <v>396.30250000000001</v>
      </c>
      <c r="O204" s="246">
        <f t="shared" si="8"/>
        <v>6.6950000000000003</v>
      </c>
      <c r="P204" s="159">
        <v>4512</v>
      </c>
      <c r="Q204" s="159">
        <v>1455</v>
      </c>
      <c r="R204" s="271">
        <f t="shared" si="7"/>
        <v>0.39690010890444322</v>
      </c>
    </row>
    <row r="205" spans="1:18" x14ac:dyDescent="0.2">
      <c r="A205" s="147">
        <v>2017</v>
      </c>
      <c r="B205" s="147">
        <v>12</v>
      </c>
      <c r="C205" s="161"/>
      <c r="D205" s="258" t="e">
        <f t="shared" si="6"/>
        <v>#REF!</v>
      </c>
      <c r="E205" s="256" t="e">
        <f>HLOOKUP($A205,#REF!,11,0)*100</f>
        <v>#REF!</v>
      </c>
      <c r="F205" s="166">
        <v>30.67</v>
      </c>
      <c r="G205" s="148">
        <v>3815.763071822932</v>
      </c>
      <c r="H205" s="181">
        <f>VLOOKUP($A205&amp;$B205,'KU Inputs'!$C$2:$J$530,MATCH('KU UtilityData'!H$1,'KU Inputs'!$C$1:$J$1,0),0)*1000</f>
        <v>4509666</v>
      </c>
      <c r="I205" s="181">
        <f>VLOOKUP($A205&amp;$B205,'KU Inputs'!$C$2:$J$530,MATCH('KU UtilityData'!I$1,'KU Inputs'!$C$1:$J$1,0),0)*1000</f>
        <v>4568225</v>
      </c>
      <c r="J205" s="181">
        <f>VLOOKUP($A205&amp;$B205,'KU Inputs'!$C$2:$J$530,MATCH('KU UtilityData'!J$1,'KU Inputs'!$C$1:$J$1,0),0)*1000</f>
        <v>1813129</v>
      </c>
      <c r="K205" s="231">
        <v>439455.58</v>
      </c>
      <c r="L205" s="181">
        <f>VLOOKUP($A205&amp;$B205,'KU Inputs'!$C$2:$J$530,MATCH('KU UtilityData'!L$1,'KU Inputs'!$C$1:$J$1,0),0)</f>
        <v>149821.88399999999</v>
      </c>
      <c r="M205" s="181">
        <f>VLOOKUP($A205&amp;$B205,'KU Inputs'!$C$2:$J$530,MATCH('KU UtilityData'!M$1,'KU Inputs'!$C$1:$J$1,0),0)</f>
        <v>152964.93235419173</v>
      </c>
      <c r="N205" s="246">
        <f t="shared" si="8"/>
        <v>714.28500000000008</v>
      </c>
      <c r="O205" s="246">
        <f t="shared" si="8"/>
        <v>0.25</v>
      </c>
      <c r="P205" s="159">
        <v>4512</v>
      </c>
      <c r="Q205" s="159">
        <v>1455</v>
      </c>
      <c r="R205" s="271">
        <f t="shared" si="7"/>
        <v>0.39690010890444322</v>
      </c>
    </row>
    <row r="206" spans="1:18" x14ac:dyDescent="0.2">
      <c r="A206" s="147">
        <v>2018</v>
      </c>
      <c r="B206" s="147">
        <v>1</v>
      </c>
      <c r="C206" s="161"/>
      <c r="D206" s="258" t="e">
        <f t="shared" si="6"/>
        <v>#REF!</v>
      </c>
      <c r="E206" s="257" t="e">
        <f t="shared" ref="E206:E265" si="9">E194*(1.02)</f>
        <v>#REF!</v>
      </c>
      <c r="F206" s="166">
        <v>32.67</v>
      </c>
      <c r="G206" s="148">
        <v>3818.0227304319988</v>
      </c>
      <c r="H206" s="181">
        <f>VLOOKUP($A206&amp;$B206,'KU Inputs'!$C$2:$J$530,MATCH('KU UtilityData'!H$1,'KU Inputs'!$C$1:$J$1,0),0)*1000</f>
        <v>4516303</v>
      </c>
      <c r="I206" s="181">
        <f>VLOOKUP($A206&amp;$B206,'KU Inputs'!$C$2:$J$530,MATCH('KU UtilityData'!I$1,'KU Inputs'!$C$1:$J$1,0),0)*1000</f>
        <v>4576630</v>
      </c>
      <c r="J206" s="181">
        <f>VLOOKUP($A206&amp;$B206,'KU Inputs'!$C$2:$J$530,MATCH('KU UtilityData'!J$1,'KU Inputs'!$C$1:$J$1,0),0)*1000</f>
        <v>1817775</v>
      </c>
      <c r="K206" s="231">
        <v>440203.92</v>
      </c>
      <c r="L206" s="181">
        <f>VLOOKUP($A206&amp;$B206,'KU Inputs'!$C$2:$J$530,MATCH('KU UtilityData'!L$1,'KU Inputs'!$C$1:$J$1,0),0)</f>
        <v>151159.774</v>
      </c>
      <c r="M206" s="181">
        <f>VLOOKUP($A206&amp;$B206,'KU Inputs'!$C$2:$J$530,MATCH('KU UtilityData'!M$1,'KU Inputs'!$C$1:$J$1,0),0)</f>
        <v>154212.04835504587</v>
      </c>
      <c r="N206" s="246">
        <f t="shared" si="8"/>
        <v>991.4375</v>
      </c>
      <c r="O206" s="246">
        <f t="shared" si="8"/>
        <v>0</v>
      </c>
      <c r="P206" s="159">
        <v>4512</v>
      </c>
      <c r="Q206" s="159">
        <v>1455</v>
      </c>
      <c r="R206" s="271">
        <f t="shared" si="7"/>
        <v>0.39718635764743926</v>
      </c>
    </row>
    <row r="207" spans="1:18" x14ac:dyDescent="0.2">
      <c r="A207" s="147">
        <v>2018</v>
      </c>
      <c r="B207" s="147">
        <v>2</v>
      </c>
      <c r="C207" s="161"/>
      <c r="D207" s="258" t="e">
        <f t="shared" si="6"/>
        <v>#REF!</v>
      </c>
      <c r="E207" s="257" t="e">
        <f t="shared" si="9"/>
        <v>#REF!</v>
      </c>
      <c r="F207" s="166">
        <v>29.86</v>
      </c>
      <c r="G207" s="148">
        <v>3820.282389041065</v>
      </c>
      <c r="H207" s="181">
        <f>VLOOKUP($A207&amp;$B207,'KU Inputs'!$C$2:$J$530,MATCH('KU UtilityData'!H$1,'KU Inputs'!$C$1:$J$1,0),0)*1000</f>
        <v>4516303</v>
      </c>
      <c r="I207" s="181">
        <f>VLOOKUP($A207&amp;$B207,'KU Inputs'!$C$2:$J$530,MATCH('KU UtilityData'!I$1,'KU Inputs'!$C$1:$J$1,0),0)*1000</f>
        <v>4576630</v>
      </c>
      <c r="J207" s="181">
        <f>VLOOKUP($A207&amp;$B207,'KU Inputs'!$C$2:$J$530,MATCH('KU UtilityData'!J$1,'KU Inputs'!$C$1:$J$1,0),0)*1000</f>
        <v>1817775</v>
      </c>
      <c r="K207" s="231">
        <v>440203.94</v>
      </c>
      <c r="L207" s="181">
        <f>VLOOKUP($A207&amp;$B207,'KU Inputs'!$C$2:$J$530,MATCH('KU UtilityData'!L$1,'KU Inputs'!$C$1:$J$1,0),0)</f>
        <v>151159.774</v>
      </c>
      <c r="M207" s="181">
        <f>VLOOKUP($A207&amp;$B207,'KU Inputs'!$C$2:$J$530,MATCH('KU UtilityData'!M$1,'KU Inputs'!$C$1:$J$1,0),0)</f>
        <v>154212.04835504587</v>
      </c>
      <c r="N207" s="246">
        <f t="shared" si="8"/>
        <v>890.05499999999995</v>
      </c>
      <c r="O207" s="246">
        <f t="shared" si="8"/>
        <v>0</v>
      </c>
      <c r="P207" s="159">
        <v>4512</v>
      </c>
      <c r="Q207" s="159">
        <v>1455</v>
      </c>
      <c r="R207" s="271">
        <f t="shared" si="7"/>
        <v>0.39718635764743926</v>
      </c>
    </row>
    <row r="208" spans="1:18" x14ac:dyDescent="0.2">
      <c r="A208" s="147">
        <v>2018</v>
      </c>
      <c r="B208" s="147">
        <v>3</v>
      </c>
      <c r="C208" s="161"/>
      <c r="D208" s="258" t="e">
        <f t="shared" si="6"/>
        <v>#REF!</v>
      </c>
      <c r="E208" s="257" t="e">
        <f t="shared" si="9"/>
        <v>#REF!</v>
      </c>
      <c r="F208" s="166">
        <v>30.43</v>
      </c>
      <c r="G208" s="148">
        <v>3822.5420476501317</v>
      </c>
      <c r="H208" s="181">
        <f>VLOOKUP($A208&amp;$B208,'KU Inputs'!$C$2:$J$530,MATCH('KU UtilityData'!H$1,'KU Inputs'!$C$1:$J$1,0),0)*1000</f>
        <v>4516303</v>
      </c>
      <c r="I208" s="181">
        <f>VLOOKUP($A208&amp;$B208,'KU Inputs'!$C$2:$J$530,MATCH('KU UtilityData'!I$1,'KU Inputs'!$C$1:$J$1,0),0)*1000</f>
        <v>4576630</v>
      </c>
      <c r="J208" s="181">
        <f>VLOOKUP($A208&amp;$B208,'KU Inputs'!$C$2:$J$530,MATCH('KU UtilityData'!J$1,'KU Inputs'!$C$1:$J$1,0),0)*1000</f>
        <v>1817775</v>
      </c>
      <c r="K208" s="231">
        <v>440203.96</v>
      </c>
      <c r="L208" s="181">
        <f>VLOOKUP($A208&amp;$B208,'KU Inputs'!$C$2:$J$530,MATCH('KU UtilityData'!L$1,'KU Inputs'!$C$1:$J$1,0),0)</f>
        <v>151159.774</v>
      </c>
      <c r="M208" s="181">
        <f>VLOOKUP($A208&amp;$B208,'KU Inputs'!$C$2:$J$530,MATCH('KU UtilityData'!M$1,'KU Inputs'!$C$1:$J$1,0),0)</f>
        <v>154212.04835504587</v>
      </c>
      <c r="N208" s="246">
        <f t="shared" si="8"/>
        <v>724.63750000000005</v>
      </c>
      <c r="O208" s="246">
        <f t="shared" si="8"/>
        <v>0.92249999999999999</v>
      </c>
      <c r="P208" s="159">
        <v>4512</v>
      </c>
      <c r="Q208" s="159">
        <v>1455</v>
      </c>
      <c r="R208" s="271">
        <f t="shared" si="7"/>
        <v>0.39718635764743926</v>
      </c>
    </row>
    <row r="209" spans="1:18" x14ac:dyDescent="0.2">
      <c r="A209" s="147">
        <v>2018</v>
      </c>
      <c r="B209" s="147">
        <v>4</v>
      </c>
      <c r="C209" s="161"/>
      <c r="D209" s="258" t="e">
        <f t="shared" si="6"/>
        <v>#REF!</v>
      </c>
      <c r="E209" s="257" t="e">
        <f t="shared" si="9"/>
        <v>#REF!</v>
      </c>
      <c r="F209" s="166">
        <v>30.71</v>
      </c>
      <c r="G209" s="148">
        <v>3824.8017062591985</v>
      </c>
      <c r="H209" s="181">
        <f>VLOOKUP($A209&amp;$B209,'KU Inputs'!$C$2:$J$530,MATCH('KU UtilityData'!H$1,'KU Inputs'!$C$1:$J$1,0),0)*1000</f>
        <v>4522903</v>
      </c>
      <c r="I209" s="181">
        <f>VLOOKUP($A209&amp;$B209,'KU Inputs'!$C$2:$J$530,MATCH('KU UtilityData'!I$1,'KU Inputs'!$C$1:$J$1,0),0)*1000</f>
        <v>4585030</v>
      </c>
      <c r="J209" s="181">
        <f>VLOOKUP($A209&amp;$B209,'KU Inputs'!$C$2:$J$530,MATCH('KU UtilityData'!J$1,'KU Inputs'!$C$1:$J$1,0),0)*1000</f>
        <v>1822423</v>
      </c>
      <c r="K209" s="231">
        <v>440942.66</v>
      </c>
      <c r="L209" s="181">
        <f>VLOOKUP($A209&amp;$B209,'KU Inputs'!$C$2:$J$530,MATCH('KU UtilityData'!L$1,'KU Inputs'!$C$1:$J$1,0),0)</f>
        <v>152014.81099999999</v>
      </c>
      <c r="M209" s="181">
        <f>VLOOKUP($A209&amp;$B209,'KU Inputs'!$C$2:$J$530,MATCH('KU UtilityData'!M$1,'KU Inputs'!$C$1:$J$1,0),0)</f>
        <v>155100.12846503858</v>
      </c>
      <c r="N209" s="246">
        <f t="shared" si="8"/>
        <v>433.4375</v>
      </c>
      <c r="O209" s="246">
        <f t="shared" si="8"/>
        <v>13.477500000000001</v>
      </c>
      <c r="P209" s="159">
        <v>4512</v>
      </c>
      <c r="Q209" s="159">
        <v>1455</v>
      </c>
      <c r="R209" s="271">
        <f t="shared" si="7"/>
        <v>0.39747242657081849</v>
      </c>
    </row>
    <row r="210" spans="1:18" x14ac:dyDescent="0.2">
      <c r="A210" s="147">
        <v>2018</v>
      </c>
      <c r="B210" s="147">
        <v>5</v>
      </c>
      <c r="C210" s="161"/>
      <c r="D210" s="258" t="e">
        <f t="shared" si="6"/>
        <v>#REF!</v>
      </c>
      <c r="E210" s="257" t="e">
        <f t="shared" si="9"/>
        <v>#REF!</v>
      </c>
      <c r="F210" s="166">
        <v>29.52</v>
      </c>
      <c r="G210" s="148">
        <v>3827.0613648682652</v>
      </c>
      <c r="H210" s="181">
        <f>VLOOKUP($A210&amp;$B210,'KU Inputs'!$C$2:$J$530,MATCH('KU UtilityData'!H$1,'KU Inputs'!$C$1:$J$1,0),0)*1000</f>
        <v>4522903</v>
      </c>
      <c r="I210" s="181">
        <f>VLOOKUP($A210&amp;$B210,'KU Inputs'!$C$2:$J$530,MATCH('KU UtilityData'!I$1,'KU Inputs'!$C$1:$J$1,0),0)*1000</f>
        <v>4585030</v>
      </c>
      <c r="J210" s="181">
        <f>VLOOKUP($A210&amp;$B210,'KU Inputs'!$C$2:$J$530,MATCH('KU UtilityData'!J$1,'KU Inputs'!$C$1:$J$1,0),0)*1000</f>
        <v>1822423</v>
      </c>
      <c r="K210" s="231">
        <v>440942.68</v>
      </c>
      <c r="L210" s="181">
        <f>VLOOKUP($A210&amp;$B210,'KU Inputs'!$C$2:$J$530,MATCH('KU UtilityData'!L$1,'KU Inputs'!$C$1:$J$1,0),0)</f>
        <v>152014.81099999999</v>
      </c>
      <c r="M210" s="181">
        <f>VLOOKUP($A210&amp;$B210,'KU Inputs'!$C$2:$J$530,MATCH('KU UtilityData'!M$1,'KU Inputs'!$C$1:$J$1,0),0)</f>
        <v>155100.12846503858</v>
      </c>
      <c r="N210" s="246">
        <f t="shared" si="8"/>
        <v>189.125</v>
      </c>
      <c r="O210" s="246">
        <f t="shared" si="8"/>
        <v>46.06</v>
      </c>
      <c r="P210" s="159">
        <v>4512</v>
      </c>
      <c r="Q210" s="159">
        <v>1455</v>
      </c>
      <c r="R210" s="271">
        <f t="shared" si="7"/>
        <v>0.39747242657081849</v>
      </c>
    </row>
    <row r="211" spans="1:18" x14ac:dyDescent="0.2">
      <c r="A211" s="147">
        <v>2018</v>
      </c>
      <c r="B211" s="147">
        <v>6</v>
      </c>
      <c r="C211" s="161"/>
      <c r="D211" s="258" t="e">
        <f t="shared" si="6"/>
        <v>#REF!</v>
      </c>
      <c r="E211" s="257" t="e">
        <f t="shared" si="9"/>
        <v>#REF!</v>
      </c>
      <c r="F211" s="166">
        <v>30.62</v>
      </c>
      <c r="G211" s="148">
        <v>3829.3210234773323</v>
      </c>
      <c r="H211" s="181">
        <f>VLOOKUP($A211&amp;$B211,'KU Inputs'!$C$2:$J$530,MATCH('KU UtilityData'!H$1,'KU Inputs'!$C$1:$J$1,0),0)*1000</f>
        <v>4522903</v>
      </c>
      <c r="I211" s="181">
        <f>VLOOKUP($A211&amp;$B211,'KU Inputs'!$C$2:$J$530,MATCH('KU UtilityData'!I$1,'KU Inputs'!$C$1:$J$1,0),0)*1000</f>
        <v>4585030</v>
      </c>
      <c r="J211" s="181">
        <f>VLOOKUP($A211&amp;$B211,'KU Inputs'!$C$2:$J$530,MATCH('KU UtilityData'!J$1,'KU Inputs'!$C$1:$J$1,0),0)*1000</f>
        <v>1822423</v>
      </c>
      <c r="K211" s="231">
        <v>440942.69</v>
      </c>
      <c r="L211" s="181">
        <f>VLOOKUP($A211&amp;$B211,'KU Inputs'!$C$2:$J$530,MATCH('KU UtilityData'!L$1,'KU Inputs'!$C$1:$J$1,0),0)</f>
        <v>152014.81099999999</v>
      </c>
      <c r="M211" s="181">
        <f>VLOOKUP($A211&amp;$B211,'KU Inputs'!$C$2:$J$530,MATCH('KU UtilityData'!M$1,'KU Inputs'!$C$1:$J$1,0),0)</f>
        <v>155100.12846503858</v>
      </c>
      <c r="N211" s="246">
        <f t="shared" si="8"/>
        <v>50.362499999999997</v>
      </c>
      <c r="O211" s="246">
        <f t="shared" si="8"/>
        <v>166.4075</v>
      </c>
      <c r="P211" s="159">
        <v>4512</v>
      </c>
      <c r="Q211" s="159">
        <v>1455</v>
      </c>
      <c r="R211" s="271">
        <f t="shared" si="7"/>
        <v>0.39747242657081849</v>
      </c>
    </row>
    <row r="212" spans="1:18" x14ac:dyDescent="0.2">
      <c r="A212" s="147">
        <v>2018</v>
      </c>
      <c r="B212" s="147">
        <v>7</v>
      </c>
      <c r="C212" s="161"/>
      <c r="D212" s="258" t="e">
        <f t="shared" si="6"/>
        <v>#REF!</v>
      </c>
      <c r="E212" s="257" t="e">
        <f t="shared" si="9"/>
        <v>#REF!</v>
      </c>
      <c r="F212" s="166">
        <v>30.76</v>
      </c>
      <c r="G212" s="148">
        <v>3831.5749219001409</v>
      </c>
      <c r="H212" s="181">
        <f>VLOOKUP($A212&amp;$B212,'KU Inputs'!$C$2:$J$530,MATCH('KU UtilityData'!H$1,'KU Inputs'!$C$1:$J$1,0),0)*1000</f>
        <v>4529466</v>
      </c>
      <c r="I212" s="181">
        <f>VLOOKUP($A212&amp;$B212,'KU Inputs'!$C$2:$J$530,MATCH('KU UtilityData'!I$1,'KU Inputs'!$C$1:$J$1,0),0)*1000</f>
        <v>4593423</v>
      </c>
      <c r="J212" s="181">
        <f>VLOOKUP($A212&amp;$B212,'KU Inputs'!$C$2:$J$530,MATCH('KU UtilityData'!J$1,'KU Inputs'!$C$1:$J$1,0),0)*1000</f>
        <v>1827065</v>
      </c>
      <c r="K212" s="231">
        <v>441682.27</v>
      </c>
      <c r="L212" s="181">
        <f>VLOOKUP($A212&amp;$B212,'KU Inputs'!$C$2:$J$530,MATCH('KU UtilityData'!L$1,'KU Inputs'!$C$1:$J$1,0),0)</f>
        <v>152840.09</v>
      </c>
      <c r="M212" s="181">
        <f>VLOOKUP($A212&amp;$B212,'KU Inputs'!$C$2:$J$530,MATCH('KU UtilityData'!M$1,'KU Inputs'!$C$1:$J$1,0),0)</f>
        <v>155927.40730593662</v>
      </c>
      <c r="N212" s="246">
        <f t="shared" si="8"/>
        <v>1.625</v>
      </c>
      <c r="O212" s="246">
        <f t="shared" si="8"/>
        <v>326.005</v>
      </c>
      <c r="P212" s="159">
        <v>4512</v>
      </c>
      <c r="Q212" s="159">
        <v>1455</v>
      </c>
      <c r="R212" s="271">
        <f t="shared" si="7"/>
        <v>0.39775674916070214</v>
      </c>
    </row>
    <row r="213" spans="1:18" x14ac:dyDescent="0.2">
      <c r="A213" s="147">
        <v>2018</v>
      </c>
      <c r="B213" s="147">
        <v>8</v>
      </c>
      <c r="C213" s="161"/>
      <c r="D213" s="258" t="e">
        <f t="shared" si="6"/>
        <v>#REF!</v>
      </c>
      <c r="E213" s="257" t="e">
        <f t="shared" si="9"/>
        <v>#REF!</v>
      </c>
      <c r="F213" s="166">
        <v>29.48</v>
      </c>
      <c r="G213" s="148">
        <v>3833.8288203229499</v>
      </c>
      <c r="H213" s="181">
        <f>VLOOKUP($A213&amp;$B213,'KU Inputs'!$C$2:$J$530,MATCH('KU UtilityData'!H$1,'KU Inputs'!$C$1:$J$1,0),0)*1000</f>
        <v>4529466</v>
      </c>
      <c r="I213" s="181">
        <f>VLOOKUP($A213&amp;$B213,'KU Inputs'!$C$2:$J$530,MATCH('KU UtilityData'!I$1,'KU Inputs'!$C$1:$J$1,0),0)*1000</f>
        <v>4593423</v>
      </c>
      <c r="J213" s="181">
        <f>VLOOKUP($A213&amp;$B213,'KU Inputs'!$C$2:$J$530,MATCH('KU UtilityData'!J$1,'KU Inputs'!$C$1:$J$1,0),0)*1000</f>
        <v>1827065</v>
      </c>
      <c r="K213" s="231">
        <v>441682.27</v>
      </c>
      <c r="L213" s="181">
        <f>VLOOKUP($A213&amp;$B213,'KU Inputs'!$C$2:$J$530,MATCH('KU UtilityData'!L$1,'KU Inputs'!$C$1:$J$1,0),0)</f>
        <v>152840.09</v>
      </c>
      <c r="M213" s="181">
        <f>VLOOKUP($A213&amp;$B213,'KU Inputs'!$C$2:$J$530,MATCH('KU UtilityData'!M$1,'KU Inputs'!$C$1:$J$1,0),0)</f>
        <v>155927.40730593662</v>
      </c>
      <c r="N213" s="246">
        <f t="shared" si="8"/>
        <v>0.75</v>
      </c>
      <c r="O213" s="246">
        <f t="shared" si="8"/>
        <v>348.8175</v>
      </c>
      <c r="P213" s="159">
        <v>4512</v>
      </c>
      <c r="Q213" s="159">
        <v>1455</v>
      </c>
      <c r="R213" s="271">
        <f t="shared" si="7"/>
        <v>0.39775674916070214</v>
      </c>
    </row>
    <row r="214" spans="1:18" x14ac:dyDescent="0.2">
      <c r="A214" s="147">
        <v>2018</v>
      </c>
      <c r="B214" s="147">
        <v>9</v>
      </c>
      <c r="C214" s="161"/>
      <c r="D214" s="258" t="e">
        <f t="shared" si="6"/>
        <v>#REF!</v>
      </c>
      <c r="E214" s="257" t="e">
        <f t="shared" si="9"/>
        <v>#REF!</v>
      </c>
      <c r="F214" s="166">
        <v>30.57</v>
      </c>
      <c r="G214" s="148">
        <v>3836.0827187457589</v>
      </c>
      <c r="H214" s="181">
        <f>VLOOKUP($A214&amp;$B214,'KU Inputs'!$C$2:$J$530,MATCH('KU UtilityData'!H$1,'KU Inputs'!$C$1:$J$1,0),0)*1000</f>
        <v>4529466</v>
      </c>
      <c r="I214" s="181">
        <f>VLOOKUP($A214&amp;$B214,'KU Inputs'!$C$2:$J$530,MATCH('KU UtilityData'!I$1,'KU Inputs'!$C$1:$J$1,0),0)*1000</f>
        <v>4593423</v>
      </c>
      <c r="J214" s="181">
        <f>VLOOKUP($A214&amp;$B214,'KU Inputs'!$C$2:$J$530,MATCH('KU UtilityData'!J$1,'KU Inputs'!$C$1:$J$1,0),0)*1000</f>
        <v>1827065</v>
      </c>
      <c r="K214" s="231">
        <v>441682.28</v>
      </c>
      <c r="L214" s="181">
        <f>VLOOKUP($A214&amp;$B214,'KU Inputs'!$C$2:$J$530,MATCH('KU UtilityData'!L$1,'KU Inputs'!$C$1:$J$1,0),0)</f>
        <v>152840.09</v>
      </c>
      <c r="M214" s="181">
        <f>VLOOKUP($A214&amp;$B214,'KU Inputs'!$C$2:$J$530,MATCH('KU UtilityData'!M$1,'KU Inputs'!$C$1:$J$1,0),0)</f>
        <v>155927.40730593662</v>
      </c>
      <c r="N214" s="246">
        <f t="shared" si="8"/>
        <v>11.752500000000001</v>
      </c>
      <c r="O214" s="246">
        <f t="shared" si="8"/>
        <v>258.88</v>
      </c>
      <c r="P214" s="159">
        <v>4512</v>
      </c>
      <c r="Q214" s="159">
        <v>1455</v>
      </c>
      <c r="R214" s="271">
        <f t="shared" si="7"/>
        <v>0.39775674916070214</v>
      </c>
    </row>
    <row r="215" spans="1:18" x14ac:dyDescent="0.2">
      <c r="A215" s="147">
        <v>2018</v>
      </c>
      <c r="B215" s="147">
        <v>10</v>
      </c>
      <c r="C215" s="161"/>
      <c r="D215" s="258" t="e">
        <f t="shared" si="6"/>
        <v>#REF!</v>
      </c>
      <c r="E215" s="257" t="e">
        <f t="shared" si="9"/>
        <v>#REF!</v>
      </c>
      <c r="F215" s="166">
        <v>29.67</v>
      </c>
      <c r="G215" s="148">
        <v>3838.3366171685675</v>
      </c>
      <c r="H215" s="181">
        <f>VLOOKUP($A215&amp;$B215,'KU Inputs'!$C$2:$J$530,MATCH('KU UtilityData'!H$1,'KU Inputs'!$C$1:$J$1,0),0)*1000</f>
        <v>4535991</v>
      </c>
      <c r="I215" s="181">
        <f>VLOOKUP($A215&amp;$B215,'KU Inputs'!$C$2:$J$530,MATCH('KU UtilityData'!I$1,'KU Inputs'!$C$1:$J$1,0),0)*1000</f>
        <v>4601809</v>
      </c>
      <c r="J215" s="181">
        <f>VLOOKUP($A215&amp;$B215,'KU Inputs'!$C$2:$J$530,MATCH('KU UtilityData'!J$1,'KU Inputs'!$C$1:$J$1,0),0)*1000</f>
        <v>1831710</v>
      </c>
      <c r="K215" s="231">
        <v>442419.01</v>
      </c>
      <c r="L215" s="181">
        <f>VLOOKUP($A215&amp;$B215,'KU Inputs'!$C$2:$J$530,MATCH('KU UtilityData'!L$1,'KU Inputs'!$C$1:$J$1,0),0)</f>
        <v>153691.45300000001</v>
      </c>
      <c r="M215" s="181">
        <f>VLOOKUP($A215&amp;$B215,'KU Inputs'!$C$2:$J$530,MATCH('KU UtilityData'!M$1,'KU Inputs'!$C$1:$J$1,0),0)</f>
        <v>156771.37492461284</v>
      </c>
      <c r="N215" s="246">
        <f t="shared" si="8"/>
        <v>134.87</v>
      </c>
      <c r="O215" s="246">
        <f t="shared" si="8"/>
        <v>71.42</v>
      </c>
      <c r="P215" s="159">
        <v>4512</v>
      </c>
      <c r="Q215" s="159">
        <v>1455</v>
      </c>
      <c r="R215" s="271">
        <f t="shared" si="7"/>
        <v>0.39804129202233296</v>
      </c>
    </row>
    <row r="216" spans="1:18" x14ac:dyDescent="0.2">
      <c r="A216" s="147">
        <v>2018</v>
      </c>
      <c r="B216" s="147">
        <v>11</v>
      </c>
      <c r="C216" s="161"/>
      <c r="D216" s="258" t="e">
        <f t="shared" si="6"/>
        <v>#REF!</v>
      </c>
      <c r="E216" s="257" t="e">
        <f t="shared" si="9"/>
        <v>#REF!</v>
      </c>
      <c r="F216" s="166">
        <v>29.95</v>
      </c>
      <c r="G216" s="148">
        <v>3840.5905155913765</v>
      </c>
      <c r="H216" s="181">
        <f>VLOOKUP($A216&amp;$B216,'KU Inputs'!$C$2:$J$530,MATCH('KU UtilityData'!H$1,'KU Inputs'!$C$1:$J$1,0),0)*1000</f>
        <v>4535991</v>
      </c>
      <c r="I216" s="181">
        <f>VLOOKUP($A216&amp;$B216,'KU Inputs'!$C$2:$J$530,MATCH('KU UtilityData'!I$1,'KU Inputs'!$C$1:$J$1,0),0)*1000</f>
        <v>4601809</v>
      </c>
      <c r="J216" s="181">
        <f>VLOOKUP($A216&amp;$B216,'KU Inputs'!$C$2:$J$530,MATCH('KU UtilityData'!J$1,'KU Inputs'!$C$1:$J$1,0),0)*1000</f>
        <v>1831710</v>
      </c>
      <c r="K216" s="231">
        <v>442419.02</v>
      </c>
      <c r="L216" s="181">
        <f>VLOOKUP($A216&amp;$B216,'KU Inputs'!$C$2:$J$530,MATCH('KU UtilityData'!L$1,'KU Inputs'!$C$1:$J$1,0),0)</f>
        <v>153691.45300000001</v>
      </c>
      <c r="M216" s="181">
        <f>VLOOKUP($A216&amp;$B216,'KU Inputs'!$C$2:$J$530,MATCH('KU UtilityData'!M$1,'KU Inputs'!$C$1:$J$1,0),0)</f>
        <v>156771.37492461284</v>
      </c>
      <c r="N216" s="246">
        <f t="shared" si="8"/>
        <v>396.30250000000001</v>
      </c>
      <c r="O216" s="246">
        <f t="shared" si="8"/>
        <v>6.6950000000000003</v>
      </c>
      <c r="P216" s="159">
        <v>4512</v>
      </c>
      <c r="Q216" s="159">
        <v>1455</v>
      </c>
      <c r="R216" s="271">
        <f t="shared" si="7"/>
        <v>0.39804129202233296</v>
      </c>
    </row>
    <row r="217" spans="1:18" x14ac:dyDescent="0.2">
      <c r="A217" s="147">
        <v>2018</v>
      </c>
      <c r="B217" s="147">
        <v>12</v>
      </c>
      <c r="C217" s="161"/>
      <c r="D217" s="258" t="e">
        <f t="shared" si="6"/>
        <v>#REF!</v>
      </c>
      <c r="E217" s="257" t="e">
        <f t="shared" si="9"/>
        <v>#REF!</v>
      </c>
      <c r="F217" s="166">
        <v>31.1</v>
      </c>
      <c r="G217" s="148">
        <v>3842.8444140141855</v>
      </c>
      <c r="H217" s="181">
        <f>VLOOKUP($A217&amp;$B217,'KU Inputs'!$C$2:$J$530,MATCH('KU UtilityData'!H$1,'KU Inputs'!$C$1:$J$1,0),0)*1000</f>
        <v>4535991</v>
      </c>
      <c r="I217" s="181">
        <f>VLOOKUP($A217&amp;$B217,'KU Inputs'!$C$2:$J$530,MATCH('KU UtilityData'!I$1,'KU Inputs'!$C$1:$J$1,0),0)*1000</f>
        <v>4601809</v>
      </c>
      <c r="J217" s="181">
        <f>VLOOKUP($A217&amp;$B217,'KU Inputs'!$C$2:$J$530,MATCH('KU UtilityData'!J$1,'KU Inputs'!$C$1:$J$1,0),0)*1000</f>
        <v>1831710</v>
      </c>
      <c r="K217" s="231">
        <v>442419.02</v>
      </c>
      <c r="L217" s="181">
        <f>VLOOKUP($A217&amp;$B217,'KU Inputs'!$C$2:$J$530,MATCH('KU UtilityData'!L$1,'KU Inputs'!$C$1:$J$1,0),0)</f>
        <v>153691.45300000001</v>
      </c>
      <c r="M217" s="181">
        <f>VLOOKUP($A217&amp;$B217,'KU Inputs'!$C$2:$J$530,MATCH('KU UtilityData'!M$1,'KU Inputs'!$C$1:$J$1,0),0)</f>
        <v>156771.37492461284</v>
      </c>
      <c r="N217" s="246">
        <f t="shared" si="8"/>
        <v>714.28500000000008</v>
      </c>
      <c r="O217" s="246">
        <f t="shared" si="8"/>
        <v>0.25</v>
      </c>
      <c r="P217" s="159">
        <v>4512</v>
      </c>
      <c r="Q217" s="159">
        <v>1455</v>
      </c>
      <c r="R217" s="271">
        <f t="shared" si="7"/>
        <v>0.39804129202233296</v>
      </c>
    </row>
    <row r="218" spans="1:18" x14ac:dyDescent="0.2">
      <c r="A218" s="147">
        <v>2019</v>
      </c>
      <c r="B218" s="147">
        <v>1</v>
      </c>
      <c r="C218" s="161"/>
      <c r="D218" s="258" t="e">
        <f t="shared" si="6"/>
        <v>#REF!</v>
      </c>
      <c r="E218" s="257" t="e">
        <f t="shared" si="9"/>
        <v>#REF!</v>
      </c>
      <c r="F218" s="166">
        <v>32.71</v>
      </c>
      <c r="G218" s="148">
        <v>3845.0983124369941</v>
      </c>
      <c r="H218" s="181">
        <f>VLOOKUP($A218&amp;$B218,'KU Inputs'!$C$2:$J$530,MATCH('KU UtilityData'!H$1,'KU Inputs'!$C$1:$J$1,0),0)*1000</f>
        <v>4542478</v>
      </c>
      <c r="I218" s="181">
        <f>VLOOKUP($A218&amp;$B218,'KU Inputs'!$C$2:$J$530,MATCH('KU UtilityData'!I$1,'KU Inputs'!$C$1:$J$1,0),0)*1000</f>
        <v>4610188</v>
      </c>
      <c r="J218" s="181">
        <f>VLOOKUP($A218&amp;$B218,'KU Inputs'!$C$2:$J$530,MATCH('KU UtilityData'!J$1,'KU Inputs'!$C$1:$J$1,0),0)*1000</f>
        <v>1835561</v>
      </c>
      <c r="K218" s="231">
        <v>443157.72</v>
      </c>
      <c r="L218" s="181">
        <f>VLOOKUP($A218&amp;$B218,'KU Inputs'!$C$2:$J$530,MATCH('KU UtilityData'!L$1,'KU Inputs'!$C$1:$J$1,0),0)</f>
        <v>155062.20000000001</v>
      </c>
      <c r="M218" s="181">
        <f>VLOOKUP($A218&amp;$B218,'KU Inputs'!$C$2:$J$530,MATCH('KU UtilityData'!M$1,'KU Inputs'!$C$1:$J$1,0),0)</f>
        <v>158291.77883579931</v>
      </c>
      <c r="N218" s="246">
        <f t="shared" ref="N218:O237" si="10">N206</f>
        <v>991.4375</v>
      </c>
      <c r="O218" s="246">
        <f t="shared" si="10"/>
        <v>0</v>
      </c>
      <c r="P218" s="159">
        <v>4512</v>
      </c>
      <c r="Q218" s="159">
        <v>1455</v>
      </c>
      <c r="R218" s="271">
        <f t="shared" si="7"/>
        <v>0.39815317726739125</v>
      </c>
    </row>
    <row r="219" spans="1:18" x14ac:dyDescent="0.2">
      <c r="A219" s="147">
        <v>2019</v>
      </c>
      <c r="B219" s="147">
        <v>2</v>
      </c>
      <c r="C219" s="161"/>
      <c r="D219" s="258" t="e">
        <f t="shared" si="6"/>
        <v>#REF!</v>
      </c>
      <c r="E219" s="257" t="e">
        <f t="shared" si="9"/>
        <v>#REF!</v>
      </c>
      <c r="F219" s="166">
        <v>29.9</v>
      </c>
      <c r="G219" s="148">
        <v>3847.3522108598031</v>
      </c>
      <c r="H219" s="181">
        <f>VLOOKUP($A219&amp;$B219,'KU Inputs'!$C$2:$J$530,MATCH('KU UtilityData'!H$1,'KU Inputs'!$C$1:$J$1,0),0)*1000</f>
        <v>4542478</v>
      </c>
      <c r="I219" s="181">
        <f>VLOOKUP($A219&amp;$B219,'KU Inputs'!$C$2:$J$530,MATCH('KU UtilityData'!I$1,'KU Inputs'!$C$1:$J$1,0),0)*1000</f>
        <v>4610188</v>
      </c>
      <c r="J219" s="181">
        <f>VLOOKUP($A219&amp;$B219,'KU Inputs'!$C$2:$J$530,MATCH('KU UtilityData'!J$1,'KU Inputs'!$C$1:$J$1,0),0)*1000</f>
        <v>1835561</v>
      </c>
      <c r="K219" s="231">
        <v>443157.72</v>
      </c>
      <c r="L219" s="181">
        <f>VLOOKUP($A219&amp;$B219,'KU Inputs'!$C$2:$J$530,MATCH('KU UtilityData'!L$1,'KU Inputs'!$C$1:$J$1,0),0)</f>
        <v>155062.20000000001</v>
      </c>
      <c r="M219" s="181">
        <f>VLOOKUP($A219&amp;$B219,'KU Inputs'!$C$2:$J$530,MATCH('KU UtilityData'!M$1,'KU Inputs'!$C$1:$J$1,0),0)</f>
        <v>158291.77883579931</v>
      </c>
      <c r="N219" s="246">
        <f t="shared" si="10"/>
        <v>890.05499999999995</v>
      </c>
      <c r="O219" s="246">
        <f t="shared" si="10"/>
        <v>0</v>
      </c>
      <c r="P219" s="159">
        <v>4512</v>
      </c>
      <c r="Q219" s="159">
        <v>1455</v>
      </c>
      <c r="R219" s="271">
        <f t="shared" si="7"/>
        <v>0.39815317726739125</v>
      </c>
    </row>
    <row r="220" spans="1:18" x14ac:dyDescent="0.2">
      <c r="A220" s="147">
        <v>2019</v>
      </c>
      <c r="B220" s="147">
        <v>3</v>
      </c>
      <c r="C220" s="161"/>
      <c r="D220" s="258" t="e">
        <f t="shared" si="6"/>
        <v>#REF!</v>
      </c>
      <c r="E220" s="257" t="e">
        <f t="shared" si="9"/>
        <v>#REF!</v>
      </c>
      <c r="F220" s="166">
        <v>30.33</v>
      </c>
      <c r="G220" s="148">
        <v>3849.6061092826117</v>
      </c>
      <c r="H220" s="181">
        <f>VLOOKUP($A220&amp;$B220,'KU Inputs'!$C$2:$J$530,MATCH('KU UtilityData'!H$1,'KU Inputs'!$C$1:$J$1,0),0)*1000</f>
        <v>4542478</v>
      </c>
      <c r="I220" s="181">
        <f>VLOOKUP($A220&amp;$B220,'KU Inputs'!$C$2:$J$530,MATCH('KU UtilityData'!I$1,'KU Inputs'!$C$1:$J$1,0),0)*1000</f>
        <v>4610188</v>
      </c>
      <c r="J220" s="181">
        <f>VLOOKUP($A220&amp;$B220,'KU Inputs'!$C$2:$J$530,MATCH('KU UtilityData'!J$1,'KU Inputs'!$C$1:$J$1,0),0)*1000</f>
        <v>1835561</v>
      </c>
      <c r="K220" s="231">
        <v>443157.72</v>
      </c>
      <c r="L220" s="181">
        <f>VLOOKUP($A220&amp;$B220,'KU Inputs'!$C$2:$J$530,MATCH('KU UtilityData'!L$1,'KU Inputs'!$C$1:$J$1,0),0)</f>
        <v>155062.20000000001</v>
      </c>
      <c r="M220" s="181">
        <f>VLOOKUP($A220&amp;$B220,'KU Inputs'!$C$2:$J$530,MATCH('KU UtilityData'!M$1,'KU Inputs'!$C$1:$J$1,0),0)</f>
        <v>158291.77883579931</v>
      </c>
      <c r="N220" s="246">
        <f t="shared" si="10"/>
        <v>724.63750000000005</v>
      </c>
      <c r="O220" s="246">
        <f t="shared" si="10"/>
        <v>0.92249999999999999</v>
      </c>
      <c r="P220" s="159">
        <v>4512</v>
      </c>
      <c r="Q220" s="159">
        <v>1455</v>
      </c>
      <c r="R220" s="271">
        <f t="shared" si="7"/>
        <v>0.39815317726739125</v>
      </c>
    </row>
    <row r="221" spans="1:18" x14ac:dyDescent="0.2">
      <c r="A221" s="147">
        <v>2019</v>
      </c>
      <c r="B221" s="147">
        <v>4</v>
      </c>
      <c r="C221" s="161"/>
      <c r="D221" s="258" t="e">
        <f t="shared" si="6"/>
        <v>#REF!</v>
      </c>
      <c r="E221" s="257" t="e">
        <f t="shared" si="9"/>
        <v>#REF!</v>
      </c>
      <c r="F221" s="166">
        <v>29.95</v>
      </c>
      <c r="G221" s="148">
        <v>3851.8600077054207</v>
      </c>
      <c r="H221" s="181">
        <f>VLOOKUP($A221&amp;$B221,'KU Inputs'!$C$2:$J$530,MATCH('KU UtilityData'!H$1,'KU Inputs'!$C$1:$J$1,0),0)*1000</f>
        <v>4548927</v>
      </c>
      <c r="I221" s="181">
        <f>VLOOKUP($A221&amp;$B221,'KU Inputs'!$C$2:$J$530,MATCH('KU UtilityData'!I$1,'KU Inputs'!$C$1:$J$1,0),0)*1000</f>
        <v>4618558</v>
      </c>
      <c r="J221" s="181">
        <f>VLOOKUP($A221&amp;$B221,'KU Inputs'!$C$2:$J$530,MATCH('KU UtilityData'!J$1,'KU Inputs'!$C$1:$J$1,0),0)*1000</f>
        <v>1839490</v>
      </c>
      <c r="K221" s="231">
        <v>443893.14</v>
      </c>
      <c r="L221" s="181">
        <f>VLOOKUP($A221&amp;$B221,'KU Inputs'!$C$2:$J$530,MATCH('KU UtilityData'!L$1,'KU Inputs'!$C$1:$J$1,0),0)</f>
        <v>155893.33300000001</v>
      </c>
      <c r="M221" s="181">
        <f>VLOOKUP($A221&amp;$B221,'KU Inputs'!$C$2:$J$530,MATCH('KU UtilityData'!M$1,'KU Inputs'!$C$1:$J$1,0),0)</f>
        <v>159230.34596708155</v>
      </c>
      <c r="N221" s="246">
        <f t="shared" si="10"/>
        <v>433.4375</v>
      </c>
      <c r="O221" s="246">
        <f t="shared" si="10"/>
        <v>13.477500000000001</v>
      </c>
      <c r="P221" s="159">
        <v>4512</v>
      </c>
      <c r="Q221" s="159">
        <v>1455</v>
      </c>
      <c r="R221" s="271">
        <f t="shared" si="7"/>
        <v>0.3982823210188115</v>
      </c>
    </row>
    <row r="222" spans="1:18" x14ac:dyDescent="0.2">
      <c r="A222" s="147">
        <v>2019</v>
      </c>
      <c r="B222" s="147">
        <v>5</v>
      </c>
      <c r="C222" s="161"/>
      <c r="D222" s="258" t="e">
        <f t="shared" si="6"/>
        <v>#REF!</v>
      </c>
      <c r="E222" s="257" t="e">
        <f t="shared" si="9"/>
        <v>#REF!</v>
      </c>
      <c r="F222" s="166">
        <v>30.38</v>
      </c>
      <c r="G222" s="148">
        <v>3854.1139061282297</v>
      </c>
      <c r="H222" s="181">
        <f>VLOOKUP($A222&amp;$B222,'KU Inputs'!$C$2:$J$530,MATCH('KU UtilityData'!H$1,'KU Inputs'!$C$1:$J$1,0),0)*1000</f>
        <v>4548927</v>
      </c>
      <c r="I222" s="181">
        <f>VLOOKUP($A222&amp;$B222,'KU Inputs'!$C$2:$J$530,MATCH('KU UtilityData'!I$1,'KU Inputs'!$C$1:$J$1,0),0)*1000</f>
        <v>4618558</v>
      </c>
      <c r="J222" s="181">
        <f>VLOOKUP($A222&amp;$B222,'KU Inputs'!$C$2:$J$530,MATCH('KU UtilityData'!J$1,'KU Inputs'!$C$1:$J$1,0),0)*1000</f>
        <v>1839490</v>
      </c>
      <c r="K222" s="231">
        <v>443893.14</v>
      </c>
      <c r="L222" s="181">
        <f>VLOOKUP($A222&amp;$B222,'KU Inputs'!$C$2:$J$530,MATCH('KU UtilityData'!L$1,'KU Inputs'!$C$1:$J$1,0),0)</f>
        <v>155893.33300000001</v>
      </c>
      <c r="M222" s="181">
        <f>VLOOKUP($A222&amp;$B222,'KU Inputs'!$C$2:$J$530,MATCH('KU UtilityData'!M$1,'KU Inputs'!$C$1:$J$1,0),0)</f>
        <v>159230.34596708155</v>
      </c>
      <c r="N222" s="246">
        <f t="shared" si="10"/>
        <v>189.125</v>
      </c>
      <c r="O222" s="246">
        <f t="shared" si="10"/>
        <v>46.06</v>
      </c>
      <c r="P222" s="159">
        <v>4512</v>
      </c>
      <c r="Q222" s="159">
        <v>1455</v>
      </c>
      <c r="R222" s="271">
        <f t="shared" si="7"/>
        <v>0.3982823210188115</v>
      </c>
    </row>
    <row r="223" spans="1:18" x14ac:dyDescent="0.2">
      <c r="A223" s="147">
        <v>2019</v>
      </c>
      <c r="B223" s="147">
        <v>6</v>
      </c>
      <c r="C223" s="161"/>
      <c r="D223" s="258" t="e">
        <f t="shared" si="6"/>
        <v>#REF!</v>
      </c>
      <c r="E223" s="257" t="e">
        <f t="shared" si="9"/>
        <v>#REF!</v>
      </c>
      <c r="F223" s="166">
        <v>30.67</v>
      </c>
      <c r="G223" s="148">
        <v>3856.3678045510387</v>
      </c>
      <c r="H223" s="181">
        <f>VLOOKUP($A223&amp;$B223,'KU Inputs'!$C$2:$J$530,MATCH('KU UtilityData'!H$1,'KU Inputs'!$C$1:$J$1,0),0)*1000</f>
        <v>4548927</v>
      </c>
      <c r="I223" s="181">
        <f>VLOOKUP($A223&amp;$B223,'KU Inputs'!$C$2:$J$530,MATCH('KU UtilityData'!I$1,'KU Inputs'!$C$1:$J$1,0),0)*1000</f>
        <v>4618558</v>
      </c>
      <c r="J223" s="181">
        <f>VLOOKUP($A223&amp;$B223,'KU Inputs'!$C$2:$J$530,MATCH('KU UtilityData'!J$1,'KU Inputs'!$C$1:$J$1,0),0)*1000</f>
        <v>1839490</v>
      </c>
      <c r="K223" s="231">
        <v>443893.14</v>
      </c>
      <c r="L223" s="181">
        <f>VLOOKUP($A223&amp;$B223,'KU Inputs'!$C$2:$J$530,MATCH('KU UtilityData'!L$1,'KU Inputs'!$C$1:$J$1,0),0)</f>
        <v>155893.33300000001</v>
      </c>
      <c r="M223" s="181">
        <f>VLOOKUP($A223&amp;$B223,'KU Inputs'!$C$2:$J$530,MATCH('KU UtilityData'!M$1,'KU Inputs'!$C$1:$J$1,0),0)</f>
        <v>159230.34596708155</v>
      </c>
      <c r="N223" s="246">
        <f t="shared" si="10"/>
        <v>50.362499999999997</v>
      </c>
      <c r="O223" s="246">
        <f t="shared" si="10"/>
        <v>166.4075</v>
      </c>
      <c r="P223" s="159">
        <v>4512</v>
      </c>
      <c r="Q223" s="159">
        <v>1455</v>
      </c>
      <c r="R223" s="271">
        <f t="shared" si="7"/>
        <v>0.3982823210188115</v>
      </c>
    </row>
    <row r="224" spans="1:18" x14ac:dyDescent="0.2">
      <c r="A224" s="147">
        <v>2019</v>
      </c>
      <c r="B224" s="147">
        <v>7</v>
      </c>
      <c r="C224" s="161"/>
      <c r="D224" s="258" t="e">
        <f t="shared" si="6"/>
        <v>#REF!</v>
      </c>
      <c r="E224" s="257" t="e">
        <f t="shared" si="9"/>
        <v>#REF!</v>
      </c>
      <c r="F224" s="166">
        <v>30.67</v>
      </c>
      <c r="G224" s="148">
        <v>3858.6123339961996</v>
      </c>
      <c r="H224" s="181">
        <f>VLOOKUP($A224&amp;$B224,'KU Inputs'!$C$2:$J$530,MATCH('KU UtilityData'!H$1,'KU Inputs'!$C$1:$J$1,0),0)*1000</f>
        <v>4555326</v>
      </c>
      <c r="I224" s="181">
        <f>VLOOKUP($A224&amp;$B224,'KU Inputs'!$C$2:$J$530,MATCH('KU UtilityData'!I$1,'KU Inputs'!$C$1:$J$1,0),0)*1000</f>
        <v>4626907</v>
      </c>
      <c r="J224" s="181">
        <f>VLOOKUP($A224&amp;$B224,'KU Inputs'!$C$2:$J$530,MATCH('KU UtilityData'!J$1,'KU Inputs'!$C$1:$J$1,0),0)*1000</f>
        <v>1843323</v>
      </c>
      <c r="K224" s="231">
        <v>444626.58</v>
      </c>
      <c r="L224" s="181">
        <f>VLOOKUP($A224&amp;$B224,'KU Inputs'!$C$2:$J$530,MATCH('KU UtilityData'!L$1,'KU Inputs'!$C$1:$J$1,0),0)</f>
        <v>156697.22099999999</v>
      </c>
      <c r="M224" s="181">
        <f>VLOOKUP($A224&amp;$B224,'KU Inputs'!$C$2:$J$530,MATCH('KU UtilityData'!M$1,'KU Inputs'!$C$1:$J$1,0),0)</f>
        <v>160108.3311445929</v>
      </c>
      <c r="N224" s="246">
        <f t="shared" si="10"/>
        <v>1.625</v>
      </c>
      <c r="O224" s="246">
        <f t="shared" si="10"/>
        <v>326.005</v>
      </c>
      <c r="P224" s="159">
        <v>4512</v>
      </c>
      <c r="Q224" s="159">
        <v>1455</v>
      </c>
      <c r="R224" s="271">
        <f t="shared" si="7"/>
        <v>0.39839205758836305</v>
      </c>
    </row>
    <row r="225" spans="1:18" x14ac:dyDescent="0.2">
      <c r="A225" s="147">
        <v>2019</v>
      </c>
      <c r="B225" s="147">
        <v>8</v>
      </c>
      <c r="C225" s="161"/>
      <c r="D225" s="258" t="e">
        <f t="shared" si="6"/>
        <v>#REF!</v>
      </c>
      <c r="E225" s="257" t="e">
        <f t="shared" si="9"/>
        <v>#REF!</v>
      </c>
      <c r="F225" s="166">
        <v>29.48</v>
      </c>
      <c r="G225" s="148">
        <v>3860.85686344136</v>
      </c>
      <c r="H225" s="181">
        <f>VLOOKUP($A225&amp;$B225,'KU Inputs'!$C$2:$J$530,MATCH('KU UtilityData'!H$1,'KU Inputs'!$C$1:$J$1,0),0)*1000</f>
        <v>4555326</v>
      </c>
      <c r="I225" s="181">
        <f>VLOOKUP($A225&amp;$B225,'KU Inputs'!$C$2:$J$530,MATCH('KU UtilityData'!I$1,'KU Inputs'!$C$1:$J$1,0),0)*1000</f>
        <v>4626907</v>
      </c>
      <c r="J225" s="181">
        <f>VLOOKUP($A225&amp;$B225,'KU Inputs'!$C$2:$J$530,MATCH('KU UtilityData'!J$1,'KU Inputs'!$C$1:$J$1,0),0)*1000</f>
        <v>1843323</v>
      </c>
      <c r="K225" s="231">
        <v>444626.59</v>
      </c>
      <c r="L225" s="181">
        <f>VLOOKUP($A225&amp;$B225,'KU Inputs'!$C$2:$J$530,MATCH('KU UtilityData'!L$1,'KU Inputs'!$C$1:$J$1,0),0)</f>
        <v>156697.22099999999</v>
      </c>
      <c r="M225" s="181">
        <f>VLOOKUP($A225&amp;$B225,'KU Inputs'!$C$2:$J$530,MATCH('KU UtilityData'!M$1,'KU Inputs'!$C$1:$J$1,0),0)</f>
        <v>160108.3311445929</v>
      </c>
      <c r="N225" s="246">
        <f t="shared" si="10"/>
        <v>0.75</v>
      </c>
      <c r="O225" s="246">
        <f t="shared" si="10"/>
        <v>348.8175</v>
      </c>
      <c r="P225" s="159">
        <v>4512</v>
      </c>
      <c r="Q225" s="159">
        <v>1455</v>
      </c>
      <c r="R225" s="271">
        <f t="shared" si="7"/>
        <v>0.39839205758836305</v>
      </c>
    </row>
    <row r="226" spans="1:18" x14ac:dyDescent="0.2">
      <c r="A226" s="147">
        <v>2019</v>
      </c>
      <c r="B226" s="147">
        <v>9</v>
      </c>
      <c r="C226" s="161"/>
      <c r="D226" s="258" t="e">
        <f t="shared" si="6"/>
        <v>#REF!</v>
      </c>
      <c r="E226" s="257" t="e">
        <f t="shared" si="9"/>
        <v>#REF!</v>
      </c>
      <c r="F226" s="166">
        <v>30.71</v>
      </c>
      <c r="G226" s="148">
        <v>3863.1013928865209</v>
      </c>
      <c r="H226" s="181">
        <f>VLOOKUP($A226&amp;$B226,'KU Inputs'!$C$2:$J$530,MATCH('KU UtilityData'!H$1,'KU Inputs'!$C$1:$J$1,0),0)*1000</f>
        <v>4555326</v>
      </c>
      <c r="I226" s="181">
        <f>VLOOKUP($A226&amp;$B226,'KU Inputs'!$C$2:$J$530,MATCH('KU UtilityData'!I$1,'KU Inputs'!$C$1:$J$1,0),0)*1000</f>
        <v>4626907</v>
      </c>
      <c r="J226" s="181">
        <f>VLOOKUP($A226&amp;$B226,'KU Inputs'!$C$2:$J$530,MATCH('KU UtilityData'!J$1,'KU Inputs'!$C$1:$J$1,0),0)*1000</f>
        <v>1843323</v>
      </c>
      <c r="K226" s="231">
        <v>444626.59</v>
      </c>
      <c r="L226" s="181">
        <f>VLOOKUP($A226&amp;$B226,'KU Inputs'!$C$2:$J$530,MATCH('KU UtilityData'!L$1,'KU Inputs'!$C$1:$J$1,0),0)</f>
        <v>156697.22099999999</v>
      </c>
      <c r="M226" s="181">
        <f>VLOOKUP($A226&amp;$B226,'KU Inputs'!$C$2:$J$530,MATCH('KU UtilityData'!M$1,'KU Inputs'!$C$1:$J$1,0),0)</f>
        <v>160108.3311445929</v>
      </c>
      <c r="N226" s="246">
        <f t="shared" si="10"/>
        <v>11.752500000000001</v>
      </c>
      <c r="O226" s="246">
        <f t="shared" si="10"/>
        <v>258.88</v>
      </c>
      <c r="P226" s="159">
        <v>4512</v>
      </c>
      <c r="Q226" s="159">
        <v>1455</v>
      </c>
      <c r="R226" s="271">
        <f t="shared" si="7"/>
        <v>0.39839205758836305</v>
      </c>
    </row>
    <row r="227" spans="1:18" x14ac:dyDescent="0.2">
      <c r="A227" s="147">
        <v>2019</v>
      </c>
      <c r="B227" s="147">
        <v>10</v>
      </c>
      <c r="C227" s="161"/>
      <c r="D227" s="258" t="e">
        <f t="shared" si="6"/>
        <v>#REF!</v>
      </c>
      <c r="E227" s="257" t="e">
        <f t="shared" si="9"/>
        <v>#REF!</v>
      </c>
      <c r="F227" s="166">
        <v>29.52</v>
      </c>
      <c r="G227" s="148">
        <v>3865.3459223316813</v>
      </c>
      <c r="H227" s="181">
        <f>VLOOKUP($A227&amp;$B227,'KU Inputs'!$C$2:$J$530,MATCH('KU UtilityData'!H$1,'KU Inputs'!$C$1:$J$1,0),0)*1000</f>
        <v>4561686</v>
      </c>
      <c r="I227" s="181">
        <f>VLOOKUP($A227&amp;$B227,'KU Inputs'!$C$2:$J$530,MATCH('KU UtilityData'!I$1,'KU Inputs'!$C$1:$J$1,0),0)*1000</f>
        <v>4635247</v>
      </c>
      <c r="J227" s="181">
        <f>VLOOKUP($A227&amp;$B227,'KU Inputs'!$C$2:$J$530,MATCH('KU UtilityData'!J$1,'KU Inputs'!$C$1:$J$1,0),0)*1000</f>
        <v>1847130</v>
      </c>
      <c r="K227" s="231">
        <v>445355.22</v>
      </c>
      <c r="L227" s="181">
        <f>VLOOKUP($A227&amp;$B227,'KU Inputs'!$C$2:$J$530,MATCH('KU UtilityData'!L$1,'KU Inputs'!$C$1:$J$1,0),0)</f>
        <v>157503.777</v>
      </c>
      <c r="M227" s="181">
        <f>VLOOKUP($A227&amp;$B227,'KU Inputs'!$C$2:$J$530,MATCH('KU UtilityData'!M$1,'KU Inputs'!$C$1:$J$1,0),0)</f>
        <v>160936.89801138837</v>
      </c>
      <c r="N227" s="246">
        <f t="shared" si="10"/>
        <v>134.87</v>
      </c>
      <c r="O227" s="246">
        <f t="shared" si="10"/>
        <v>71.42</v>
      </c>
      <c r="P227" s="159">
        <v>4512</v>
      </c>
      <c r="Q227" s="159">
        <v>1455</v>
      </c>
      <c r="R227" s="271">
        <f t="shared" si="7"/>
        <v>0.39849656339780815</v>
      </c>
    </row>
    <row r="228" spans="1:18" x14ac:dyDescent="0.2">
      <c r="A228" s="147">
        <v>2019</v>
      </c>
      <c r="B228" s="147">
        <v>11</v>
      </c>
      <c r="C228" s="161"/>
      <c r="D228" s="258" t="e">
        <f t="shared" si="6"/>
        <v>#REF!</v>
      </c>
      <c r="E228" s="257" t="e">
        <f t="shared" si="9"/>
        <v>#REF!</v>
      </c>
      <c r="F228" s="166">
        <v>29.38</v>
      </c>
      <c r="G228" s="148">
        <v>3867.5904517768422</v>
      </c>
      <c r="H228" s="181">
        <f>VLOOKUP($A228&amp;$B228,'KU Inputs'!$C$2:$J$530,MATCH('KU UtilityData'!H$1,'KU Inputs'!$C$1:$J$1,0),0)*1000</f>
        <v>4561686</v>
      </c>
      <c r="I228" s="181">
        <f>VLOOKUP($A228&amp;$B228,'KU Inputs'!$C$2:$J$530,MATCH('KU UtilityData'!I$1,'KU Inputs'!$C$1:$J$1,0),0)*1000</f>
        <v>4635247</v>
      </c>
      <c r="J228" s="181">
        <f>VLOOKUP($A228&amp;$B228,'KU Inputs'!$C$2:$J$530,MATCH('KU UtilityData'!J$1,'KU Inputs'!$C$1:$J$1,0),0)*1000</f>
        <v>1847130</v>
      </c>
      <c r="K228" s="231">
        <v>445355.22</v>
      </c>
      <c r="L228" s="181">
        <f>VLOOKUP($A228&amp;$B228,'KU Inputs'!$C$2:$J$530,MATCH('KU UtilityData'!L$1,'KU Inputs'!$C$1:$J$1,0),0)</f>
        <v>157503.777</v>
      </c>
      <c r="M228" s="181">
        <f>VLOOKUP($A228&amp;$B228,'KU Inputs'!$C$2:$J$530,MATCH('KU UtilityData'!M$1,'KU Inputs'!$C$1:$J$1,0),0)</f>
        <v>160936.89801138837</v>
      </c>
      <c r="N228" s="246">
        <f t="shared" si="10"/>
        <v>396.30250000000001</v>
      </c>
      <c r="O228" s="246">
        <f t="shared" si="10"/>
        <v>6.6950000000000003</v>
      </c>
      <c r="P228" s="159">
        <v>4512</v>
      </c>
      <c r="Q228" s="159">
        <v>1455</v>
      </c>
      <c r="R228" s="271">
        <f t="shared" si="7"/>
        <v>0.39849656339780815</v>
      </c>
    </row>
    <row r="229" spans="1:18" x14ac:dyDescent="0.2">
      <c r="A229" s="147">
        <v>2019</v>
      </c>
      <c r="B229" s="147">
        <v>12</v>
      </c>
      <c r="C229" s="161"/>
      <c r="D229" s="258" t="e">
        <f t="shared" si="6"/>
        <v>#REF!</v>
      </c>
      <c r="E229" s="257" t="e">
        <f t="shared" si="9"/>
        <v>#REF!</v>
      </c>
      <c r="F229" s="166">
        <v>32.049999999999997</v>
      </c>
      <c r="G229" s="148">
        <v>3869.8349812220026</v>
      </c>
      <c r="H229" s="181">
        <f>VLOOKUP($A229&amp;$B229,'KU Inputs'!$C$2:$J$530,MATCH('KU UtilityData'!H$1,'KU Inputs'!$C$1:$J$1,0),0)*1000</f>
        <v>4561686</v>
      </c>
      <c r="I229" s="181">
        <f>VLOOKUP($A229&amp;$B229,'KU Inputs'!$C$2:$J$530,MATCH('KU UtilityData'!I$1,'KU Inputs'!$C$1:$J$1,0),0)*1000</f>
        <v>4635247</v>
      </c>
      <c r="J229" s="181">
        <f>VLOOKUP($A229&amp;$B229,'KU Inputs'!$C$2:$J$530,MATCH('KU UtilityData'!J$1,'KU Inputs'!$C$1:$J$1,0),0)*1000</f>
        <v>1847130</v>
      </c>
      <c r="K229" s="231">
        <v>445355.22</v>
      </c>
      <c r="L229" s="181">
        <f>VLOOKUP($A229&amp;$B229,'KU Inputs'!$C$2:$J$530,MATCH('KU UtilityData'!L$1,'KU Inputs'!$C$1:$J$1,0),0)</f>
        <v>157503.777</v>
      </c>
      <c r="M229" s="181">
        <f>VLOOKUP($A229&amp;$B229,'KU Inputs'!$C$2:$J$530,MATCH('KU UtilityData'!M$1,'KU Inputs'!$C$1:$J$1,0),0)</f>
        <v>160936.89801138837</v>
      </c>
      <c r="N229" s="246">
        <f t="shared" si="10"/>
        <v>714.28500000000008</v>
      </c>
      <c r="O229" s="246">
        <f t="shared" si="10"/>
        <v>0.25</v>
      </c>
      <c r="P229" s="159">
        <v>4512</v>
      </c>
      <c r="Q229" s="159">
        <v>1455</v>
      </c>
      <c r="R229" s="271">
        <f t="shared" si="7"/>
        <v>0.39849656339780815</v>
      </c>
    </row>
    <row r="230" spans="1:18" x14ac:dyDescent="0.2">
      <c r="A230" s="147">
        <v>2020</v>
      </c>
      <c r="B230" s="147">
        <v>1</v>
      </c>
      <c r="C230" s="161"/>
      <c r="D230" s="258" t="e">
        <f t="shared" si="6"/>
        <v>#REF!</v>
      </c>
      <c r="E230" s="257" t="e">
        <f t="shared" si="9"/>
        <v>#REF!</v>
      </c>
      <c r="F230" s="166">
        <v>32.33</v>
      </c>
      <c r="G230" s="148">
        <v>3872.0795106671635</v>
      </c>
      <c r="H230" s="181">
        <f>VLOOKUP($A230&amp;$B230,'KU Inputs'!$C$2:$J$530,MATCH('KU UtilityData'!H$1,'KU Inputs'!$C$1:$J$1,0),0)*1000</f>
        <v>4568006</v>
      </c>
      <c r="I230" s="181">
        <f>VLOOKUP($A230&amp;$B230,'KU Inputs'!$C$2:$J$530,MATCH('KU UtilityData'!I$1,'KU Inputs'!$C$1:$J$1,0),0)*1000</f>
        <v>4643577</v>
      </c>
      <c r="J230" s="181">
        <f>VLOOKUP($A230&amp;$B230,'KU Inputs'!$C$2:$J$530,MATCH('KU UtilityData'!J$1,'KU Inputs'!$C$1:$J$1,0),0)*1000</f>
        <v>1850925</v>
      </c>
      <c r="K230" s="231">
        <v>446087.13</v>
      </c>
      <c r="L230" s="181">
        <f>VLOOKUP($A230&amp;$B230,'KU Inputs'!$C$2:$J$530,MATCH('KU UtilityData'!L$1,'KU Inputs'!$C$1:$J$1,0),0)</f>
        <v>158898.726</v>
      </c>
      <c r="M230" s="181">
        <f>VLOOKUP($A230&amp;$B230,'KU Inputs'!$C$2:$J$530,MATCH('KU UtilityData'!M$1,'KU Inputs'!$C$1:$J$1,0),0)</f>
        <v>162345.66322771218</v>
      </c>
      <c r="N230" s="246">
        <f t="shared" si="10"/>
        <v>991.4375</v>
      </c>
      <c r="O230" s="246">
        <f t="shared" si="10"/>
        <v>0</v>
      </c>
      <c r="P230" s="159">
        <v>4512</v>
      </c>
      <c r="Q230" s="159">
        <v>1455</v>
      </c>
      <c r="R230" s="271">
        <f t="shared" si="7"/>
        <v>0.39859896799385475</v>
      </c>
    </row>
    <row r="231" spans="1:18" x14ac:dyDescent="0.2">
      <c r="A231" s="147">
        <v>2020</v>
      </c>
      <c r="B231" s="147">
        <v>2</v>
      </c>
      <c r="C231" s="161"/>
      <c r="D231" s="258" t="e">
        <f t="shared" si="6"/>
        <v>#REF!</v>
      </c>
      <c r="E231" s="257" t="e">
        <f t="shared" si="9"/>
        <v>#REF!</v>
      </c>
      <c r="F231" s="166">
        <v>30.05</v>
      </c>
      <c r="G231" s="148">
        <v>3874.3240401123239</v>
      </c>
      <c r="H231" s="181">
        <f>VLOOKUP($A231&amp;$B231,'KU Inputs'!$C$2:$J$530,MATCH('KU UtilityData'!H$1,'KU Inputs'!$C$1:$J$1,0),0)*1000</f>
        <v>4568006</v>
      </c>
      <c r="I231" s="181">
        <f>VLOOKUP($A231&amp;$B231,'KU Inputs'!$C$2:$J$530,MATCH('KU UtilityData'!I$1,'KU Inputs'!$C$1:$J$1,0),0)*1000</f>
        <v>4643577</v>
      </c>
      <c r="J231" s="181">
        <f>VLOOKUP($A231&amp;$B231,'KU Inputs'!$C$2:$J$530,MATCH('KU UtilityData'!J$1,'KU Inputs'!$C$1:$J$1,0),0)*1000</f>
        <v>1850925</v>
      </c>
      <c r="K231" s="231">
        <v>446087.13</v>
      </c>
      <c r="L231" s="181">
        <f>VLOOKUP($A231&amp;$B231,'KU Inputs'!$C$2:$J$530,MATCH('KU UtilityData'!L$1,'KU Inputs'!$C$1:$J$1,0),0)</f>
        <v>158898.726</v>
      </c>
      <c r="M231" s="181">
        <f>VLOOKUP($A231&amp;$B231,'KU Inputs'!$C$2:$J$530,MATCH('KU UtilityData'!M$1,'KU Inputs'!$C$1:$J$1,0),0)</f>
        <v>162345.66322771218</v>
      </c>
      <c r="N231" s="246">
        <f t="shared" si="10"/>
        <v>890.05499999999995</v>
      </c>
      <c r="O231" s="246">
        <f t="shared" si="10"/>
        <v>0</v>
      </c>
      <c r="P231" s="159">
        <v>4512</v>
      </c>
      <c r="Q231" s="159">
        <v>1455</v>
      </c>
      <c r="R231" s="271">
        <f t="shared" si="7"/>
        <v>0.39859896799385475</v>
      </c>
    </row>
    <row r="232" spans="1:18" x14ac:dyDescent="0.2">
      <c r="A232" s="147">
        <v>2020</v>
      </c>
      <c r="B232" s="147">
        <v>3</v>
      </c>
      <c r="C232" s="161"/>
      <c r="D232" s="258" t="e">
        <f t="shared" si="6"/>
        <v>#REF!</v>
      </c>
      <c r="E232" s="257" t="e">
        <f t="shared" si="9"/>
        <v>#REF!</v>
      </c>
      <c r="F232" s="166">
        <v>30.19</v>
      </c>
      <c r="G232" s="148">
        <v>3876.5685695574848</v>
      </c>
      <c r="H232" s="181">
        <f>VLOOKUP($A232&amp;$B232,'KU Inputs'!$C$2:$J$530,MATCH('KU UtilityData'!H$1,'KU Inputs'!$C$1:$J$1,0),0)*1000</f>
        <v>4568006</v>
      </c>
      <c r="I232" s="181">
        <f>VLOOKUP($A232&amp;$B232,'KU Inputs'!$C$2:$J$530,MATCH('KU UtilityData'!I$1,'KU Inputs'!$C$1:$J$1,0),0)*1000</f>
        <v>4643577</v>
      </c>
      <c r="J232" s="181">
        <f>VLOOKUP($A232&amp;$B232,'KU Inputs'!$C$2:$J$530,MATCH('KU UtilityData'!J$1,'KU Inputs'!$C$1:$J$1,0),0)*1000</f>
        <v>1850925</v>
      </c>
      <c r="K232" s="231">
        <v>446087.13</v>
      </c>
      <c r="L232" s="181">
        <f>VLOOKUP($A232&amp;$B232,'KU Inputs'!$C$2:$J$530,MATCH('KU UtilityData'!L$1,'KU Inputs'!$C$1:$J$1,0),0)</f>
        <v>158898.726</v>
      </c>
      <c r="M232" s="181">
        <f>VLOOKUP($A232&amp;$B232,'KU Inputs'!$C$2:$J$530,MATCH('KU UtilityData'!M$1,'KU Inputs'!$C$1:$J$1,0),0)</f>
        <v>162345.66322771218</v>
      </c>
      <c r="N232" s="246">
        <f t="shared" si="10"/>
        <v>724.63750000000005</v>
      </c>
      <c r="O232" s="246">
        <f t="shared" si="10"/>
        <v>0.92249999999999999</v>
      </c>
      <c r="P232" s="159">
        <v>4512</v>
      </c>
      <c r="Q232" s="159">
        <v>1455</v>
      </c>
      <c r="R232" s="271">
        <f t="shared" si="7"/>
        <v>0.39859896799385475</v>
      </c>
    </row>
    <row r="233" spans="1:18" x14ac:dyDescent="0.2">
      <c r="A233" s="147">
        <v>2020</v>
      </c>
      <c r="B233" s="147">
        <v>4</v>
      </c>
      <c r="C233" s="161"/>
      <c r="D233" s="258" t="e">
        <f t="shared" si="6"/>
        <v>#REF!</v>
      </c>
      <c r="E233" s="257" t="e">
        <f t="shared" si="9"/>
        <v>#REF!</v>
      </c>
      <c r="F233" s="166">
        <v>30.33</v>
      </c>
      <c r="G233" s="148">
        <v>3878.8130990026452</v>
      </c>
      <c r="H233" s="181">
        <f>VLOOKUP($A233&amp;$B233,'KU Inputs'!$C$2:$J$530,MATCH('KU UtilityData'!H$1,'KU Inputs'!$C$1:$J$1,0),0)*1000</f>
        <v>4574287</v>
      </c>
      <c r="I233" s="181">
        <f>VLOOKUP($A233&amp;$B233,'KU Inputs'!$C$2:$J$530,MATCH('KU UtilityData'!I$1,'KU Inputs'!$C$1:$J$1,0),0)*1000</f>
        <v>4651897</v>
      </c>
      <c r="J233" s="181">
        <f>VLOOKUP($A233&amp;$B233,'KU Inputs'!$C$2:$J$530,MATCH('KU UtilityData'!J$1,'KU Inputs'!$C$1:$J$1,0),0)*1000</f>
        <v>1854689</v>
      </c>
      <c r="K233" s="231">
        <v>446766.12</v>
      </c>
      <c r="L233" s="181">
        <f>VLOOKUP($A233&amp;$B233,'KU Inputs'!$C$2:$J$530,MATCH('KU UtilityData'!L$1,'KU Inputs'!$C$1:$J$1,0),0)</f>
        <v>159849.41</v>
      </c>
      <c r="M233" s="181">
        <f>VLOOKUP($A233&amp;$B233,'KU Inputs'!$C$2:$J$530,MATCH('KU UtilityData'!M$1,'KU Inputs'!$C$1:$J$1,0),0)</f>
        <v>163364.39585983477</v>
      </c>
      <c r="N233" s="246">
        <f t="shared" si="10"/>
        <v>433.4375</v>
      </c>
      <c r="O233" s="246">
        <f t="shared" si="10"/>
        <v>13.477500000000001</v>
      </c>
      <c r="P233" s="159">
        <v>4512</v>
      </c>
      <c r="Q233" s="159">
        <v>1455</v>
      </c>
      <c r="R233" s="271">
        <f t="shared" si="7"/>
        <v>0.39869519896936667</v>
      </c>
    </row>
    <row r="234" spans="1:18" x14ac:dyDescent="0.2">
      <c r="A234" s="147">
        <v>2020</v>
      </c>
      <c r="B234" s="147">
        <v>5</v>
      </c>
      <c r="C234" s="161"/>
      <c r="D234" s="258" t="e">
        <f t="shared" si="6"/>
        <v>#REF!</v>
      </c>
      <c r="E234" s="257" t="e">
        <f t="shared" si="9"/>
        <v>#REF!</v>
      </c>
      <c r="F234" s="166">
        <v>30.14</v>
      </c>
      <c r="G234" s="148">
        <v>3881.0576284478061</v>
      </c>
      <c r="H234" s="181">
        <f>VLOOKUP($A234&amp;$B234,'KU Inputs'!$C$2:$J$530,MATCH('KU UtilityData'!H$1,'KU Inputs'!$C$1:$J$1,0),0)*1000</f>
        <v>4574287</v>
      </c>
      <c r="I234" s="181">
        <f>VLOOKUP($A234&amp;$B234,'KU Inputs'!$C$2:$J$530,MATCH('KU UtilityData'!I$1,'KU Inputs'!$C$1:$J$1,0),0)*1000</f>
        <v>4651897</v>
      </c>
      <c r="J234" s="181">
        <f>VLOOKUP($A234&amp;$B234,'KU Inputs'!$C$2:$J$530,MATCH('KU UtilityData'!J$1,'KU Inputs'!$C$1:$J$1,0),0)*1000</f>
        <v>1854689</v>
      </c>
      <c r="K234" s="231">
        <v>446766.12</v>
      </c>
      <c r="L234" s="181">
        <f>VLOOKUP($A234&amp;$B234,'KU Inputs'!$C$2:$J$530,MATCH('KU UtilityData'!L$1,'KU Inputs'!$C$1:$J$1,0),0)</f>
        <v>159849.41</v>
      </c>
      <c r="M234" s="181">
        <f>VLOOKUP($A234&amp;$B234,'KU Inputs'!$C$2:$J$530,MATCH('KU UtilityData'!M$1,'KU Inputs'!$C$1:$J$1,0),0)</f>
        <v>163364.39585983477</v>
      </c>
      <c r="N234" s="246">
        <f t="shared" si="10"/>
        <v>189.125</v>
      </c>
      <c r="O234" s="246">
        <f t="shared" si="10"/>
        <v>46.06</v>
      </c>
      <c r="P234" s="159">
        <v>4512</v>
      </c>
      <c r="Q234" s="159">
        <v>1455</v>
      </c>
      <c r="R234" s="271">
        <f t="shared" si="7"/>
        <v>0.39869519896936667</v>
      </c>
    </row>
    <row r="235" spans="1:18" x14ac:dyDescent="0.2">
      <c r="A235" s="147">
        <v>2020</v>
      </c>
      <c r="B235" s="147">
        <v>6</v>
      </c>
      <c r="C235" s="161"/>
      <c r="D235" s="258" t="e">
        <f t="shared" si="6"/>
        <v>#REF!</v>
      </c>
      <c r="E235" s="257" t="e">
        <f t="shared" si="9"/>
        <v>#REF!</v>
      </c>
      <c r="F235" s="166">
        <v>30.52</v>
      </c>
      <c r="G235" s="148">
        <v>3883.3021578929679</v>
      </c>
      <c r="H235" s="181">
        <f>VLOOKUP($A235&amp;$B235,'KU Inputs'!$C$2:$J$530,MATCH('KU UtilityData'!H$1,'KU Inputs'!$C$1:$J$1,0),0)*1000</f>
        <v>4574287</v>
      </c>
      <c r="I235" s="181">
        <f>VLOOKUP($A235&amp;$B235,'KU Inputs'!$C$2:$J$530,MATCH('KU UtilityData'!I$1,'KU Inputs'!$C$1:$J$1,0),0)*1000</f>
        <v>4651897</v>
      </c>
      <c r="J235" s="181">
        <f>VLOOKUP($A235&amp;$B235,'KU Inputs'!$C$2:$J$530,MATCH('KU UtilityData'!J$1,'KU Inputs'!$C$1:$J$1,0),0)*1000</f>
        <v>1854689</v>
      </c>
      <c r="K235" s="231">
        <v>446766.12</v>
      </c>
      <c r="L235" s="181">
        <f>VLOOKUP($A235&amp;$B235,'KU Inputs'!$C$2:$J$530,MATCH('KU UtilityData'!L$1,'KU Inputs'!$C$1:$J$1,0),0)</f>
        <v>159849.41</v>
      </c>
      <c r="M235" s="181">
        <f>VLOOKUP($A235&amp;$B235,'KU Inputs'!$C$2:$J$530,MATCH('KU UtilityData'!M$1,'KU Inputs'!$C$1:$J$1,0),0)</f>
        <v>163364.39585983477</v>
      </c>
      <c r="N235" s="246">
        <f t="shared" si="10"/>
        <v>50.362499999999997</v>
      </c>
      <c r="O235" s="246">
        <f t="shared" si="10"/>
        <v>166.4075</v>
      </c>
      <c r="P235" s="159">
        <v>4512</v>
      </c>
      <c r="Q235" s="159">
        <v>1455</v>
      </c>
      <c r="R235" s="271">
        <f t="shared" si="7"/>
        <v>0.39869519896936667</v>
      </c>
    </row>
    <row r="236" spans="1:18" x14ac:dyDescent="0.2">
      <c r="A236" s="147">
        <v>2020</v>
      </c>
      <c r="B236" s="147">
        <v>7</v>
      </c>
      <c r="C236" s="161"/>
      <c r="D236" s="258" t="e">
        <f t="shared" si="6"/>
        <v>#REF!</v>
      </c>
      <c r="E236" s="257" t="e">
        <f t="shared" si="9"/>
        <v>#REF!</v>
      </c>
      <c r="F236" s="166">
        <v>30.67</v>
      </c>
      <c r="G236" s="148">
        <v>3885.535930363792</v>
      </c>
      <c r="H236" s="181">
        <f>VLOOKUP($A236&amp;$B236,'KU Inputs'!$C$2:$J$530,MATCH('KU UtilityData'!H$1,'KU Inputs'!$C$1:$J$1,0),0)*1000</f>
        <v>4580526</v>
      </c>
      <c r="I236" s="181">
        <f>VLOOKUP($A236&amp;$B236,'KU Inputs'!$C$2:$J$530,MATCH('KU UtilityData'!I$1,'KU Inputs'!$C$1:$J$1,0),0)*1000</f>
        <v>4660206</v>
      </c>
      <c r="J236" s="181">
        <f>VLOOKUP($A236&amp;$B236,'KU Inputs'!$C$2:$J$530,MATCH('KU UtilityData'!J$1,'KU Inputs'!$C$1:$J$1,0),0)*1000</f>
        <v>1858519</v>
      </c>
      <c r="K236" s="231">
        <v>447440.74</v>
      </c>
      <c r="L236" s="181">
        <f>VLOOKUP($A236&amp;$B236,'KU Inputs'!$C$2:$J$530,MATCH('KU UtilityData'!L$1,'KU Inputs'!$C$1:$J$1,0),0)</f>
        <v>160644.163</v>
      </c>
      <c r="M236" s="181">
        <f>VLOOKUP($A236&amp;$B236,'KU Inputs'!$C$2:$J$530,MATCH('KU UtilityData'!M$1,'KU Inputs'!$C$1:$J$1,0),0)</f>
        <v>164150.30890120674</v>
      </c>
      <c r="N236" s="246">
        <f t="shared" si="10"/>
        <v>1.625</v>
      </c>
      <c r="O236" s="246">
        <f t="shared" si="10"/>
        <v>326.005</v>
      </c>
      <c r="P236" s="159">
        <v>4512</v>
      </c>
      <c r="Q236" s="159">
        <v>1455</v>
      </c>
      <c r="R236" s="271">
        <f t="shared" si="7"/>
        <v>0.39880619011262591</v>
      </c>
    </row>
    <row r="237" spans="1:18" x14ac:dyDescent="0.2">
      <c r="A237" s="147">
        <v>2020</v>
      </c>
      <c r="B237" s="147">
        <v>8</v>
      </c>
      <c r="C237" s="161"/>
      <c r="D237" s="258" t="e">
        <f t="shared" si="6"/>
        <v>#REF!</v>
      </c>
      <c r="E237" s="257" t="e">
        <f t="shared" si="9"/>
        <v>#REF!</v>
      </c>
      <c r="F237" s="166">
        <v>29.48</v>
      </c>
      <c r="G237" s="148">
        <v>3887.7697028346161</v>
      </c>
      <c r="H237" s="181">
        <f>VLOOKUP($A237&amp;$B237,'KU Inputs'!$C$2:$J$530,MATCH('KU UtilityData'!H$1,'KU Inputs'!$C$1:$J$1,0),0)*1000</f>
        <v>4580526</v>
      </c>
      <c r="I237" s="181">
        <f>VLOOKUP($A237&amp;$B237,'KU Inputs'!$C$2:$J$530,MATCH('KU UtilityData'!I$1,'KU Inputs'!$C$1:$J$1,0),0)*1000</f>
        <v>4660206</v>
      </c>
      <c r="J237" s="181">
        <f>VLOOKUP($A237&amp;$B237,'KU Inputs'!$C$2:$J$530,MATCH('KU UtilityData'!J$1,'KU Inputs'!$C$1:$J$1,0),0)*1000</f>
        <v>1858519</v>
      </c>
      <c r="K237" s="231">
        <v>447440.74</v>
      </c>
      <c r="L237" s="181">
        <f>VLOOKUP($A237&amp;$B237,'KU Inputs'!$C$2:$J$530,MATCH('KU UtilityData'!L$1,'KU Inputs'!$C$1:$J$1,0),0)</f>
        <v>160644.163</v>
      </c>
      <c r="M237" s="181">
        <f>VLOOKUP($A237&amp;$B237,'KU Inputs'!$C$2:$J$530,MATCH('KU UtilityData'!M$1,'KU Inputs'!$C$1:$J$1,0),0)</f>
        <v>164150.30890120674</v>
      </c>
      <c r="N237" s="246">
        <f t="shared" si="10"/>
        <v>0.75</v>
      </c>
      <c r="O237" s="246">
        <f t="shared" si="10"/>
        <v>348.8175</v>
      </c>
      <c r="P237" s="159">
        <v>4512</v>
      </c>
      <c r="Q237" s="159">
        <v>1455</v>
      </c>
      <c r="R237" s="271">
        <f t="shared" si="7"/>
        <v>0.39880619011262591</v>
      </c>
    </row>
    <row r="238" spans="1:18" x14ac:dyDescent="0.2">
      <c r="A238" s="147">
        <v>2020</v>
      </c>
      <c r="B238" s="147">
        <v>9</v>
      </c>
      <c r="C238" s="161"/>
      <c r="D238" s="258" t="e">
        <f t="shared" si="6"/>
        <v>#REF!</v>
      </c>
      <c r="E238" s="257" t="e">
        <f t="shared" si="9"/>
        <v>#REF!</v>
      </c>
      <c r="F238" s="166">
        <v>30.52</v>
      </c>
      <c r="G238" s="148">
        <v>3890.0034753054397</v>
      </c>
      <c r="H238" s="181">
        <f>VLOOKUP($A238&amp;$B238,'KU Inputs'!$C$2:$J$530,MATCH('KU UtilityData'!H$1,'KU Inputs'!$C$1:$J$1,0),0)*1000</f>
        <v>4580526</v>
      </c>
      <c r="I238" s="181">
        <f>VLOOKUP($A238&amp;$B238,'KU Inputs'!$C$2:$J$530,MATCH('KU UtilityData'!I$1,'KU Inputs'!$C$1:$J$1,0),0)*1000</f>
        <v>4660206</v>
      </c>
      <c r="J238" s="181">
        <f>VLOOKUP($A238&amp;$B238,'KU Inputs'!$C$2:$J$530,MATCH('KU UtilityData'!J$1,'KU Inputs'!$C$1:$J$1,0),0)*1000</f>
        <v>1858519</v>
      </c>
      <c r="K238" s="231">
        <v>447440.74</v>
      </c>
      <c r="L238" s="181">
        <f>VLOOKUP($A238&amp;$B238,'KU Inputs'!$C$2:$J$530,MATCH('KU UtilityData'!L$1,'KU Inputs'!$C$1:$J$1,0),0)</f>
        <v>160644.163</v>
      </c>
      <c r="M238" s="181">
        <f>VLOOKUP($A238&amp;$B238,'KU Inputs'!$C$2:$J$530,MATCH('KU UtilityData'!M$1,'KU Inputs'!$C$1:$J$1,0),0)</f>
        <v>164150.30890120674</v>
      </c>
      <c r="N238" s="246">
        <f t="shared" ref="N238:O257" si="11">N226</f>
        <v>11.752500000000001</v>
      </c>
      <c r="O238" s="246">
        <f t="shared" si="11"/>
        <v>258.88</v>
      </c>
      <c r="P238" s="159">
        <v>4512</v>
      </c>
      <c r="Q238" s="159">
        <v>1455</v>
      </c>
      <c r="R238" s="271">
        <f t="shared" si="7"/>
        <v>0.39880619011262591</v>
      </c>
    </row>
    <row r="239" spans="1:18" x14ac:dyDescent="0.2">
      <c r="A239" s="147">
        <v>2020</v>
      </c>
      <c r="B239" s="147">
        <v>10</v>
      </c>
      <c r="C239" s="161"/>
      <c r="D239" s="258" t="e">
        <f t="shared" si="6"/>
        <v>#REF!</v>
      </c>
      <c r="E239" s="257" t="e">
        <f t="shared" si="9"/>
        <v>#REF!</v>
      </c>
      <c r="F239" s="166">
        <v>29.71</v>
      </c>
      <c r="G239" s="148">
        <v>3892.2372477762638</v>
      </c>
      <c r="H239" s="181">
        <f>VLOOKUP($A239&amp;$B239,'KU Inputs'!$C$2:$J$530,MATCH('KU UtilityData'!H$1,'KU Inputs'!$C$1:$J$1,0),0)*1000</f>
        <v>4586725</v>
      </c>
      <c r="I239" s="181">
        <f>VLOOKUP($A239&amp;$B239,'KU Inputs'!$C$2:$J$530,MATCH('KU UtilityData'!I$1,'KU Inputs'!$C$1:$J$1,0),0)*1000</f>
        <v>4668504</v>
      </c>
      <c r="J239" s="181">
        <f>VLOOKUP($A239&amp;$B239,'KU Inputs'!$C$2:$J$530,MATCH('KU UtilityData'!J$1,'KU Inputs'!$C$1:$J$1,0),0)*1000</f>
        <v>1862254</v>
      </c>
      <c r="K239" s="231">
        <v>448112.73</v>
      </c>
      <c r="L239" s="181">
        <f>VLOOKUP($A239&amp;$B239,'KU Inputs'!$C$2:$J$530,MATCH('KU UtilityData'!L$1,'KU Inputs'!$C$1:$J$1,0),0)</f>
        <v>161348.13399999999</v>
      </c>
      <c r="M239" s="181">
        <f>VLOOKUP($A239&amp;$B239,'KU Inputs'!$C$2:$J$530,MATCH('KU UtilityData'!M$1,'KU Inputs'!$C$1:$J$1,0),0)</f>
        <v>164769.80057959011</v>
      </c>
      <c r="N239" s="246">
        <f t="shared" si="11"/>
        <v>134.87</v>
      </c>
      <c r="O239" s="246">
        <f t="shared" si="11"/>
        <v>71.42</v>
      </c>
      <c r="P239" s="159">
        <v>4512</v>
      </c>
      <c r="Q239" s="159">
        <v>1455</v>
      </c>
      <c r="R239" s="271">
        <f t="shared" si="7"/>
        <v>0.39889737697557931</v>
      </c>
    </row>
    <row r="240" spans="1:18" x14ac:dyDescent="0.2">
      <c r="A240" s="147">
        <v>2020</v>
      </c>
      <c r="B240" s="147">
        <v>11</v>
      </c>
      <c r="C240" s="161"/>
      <c r="D240" s="258" t="e">
        <f t="shared" si="6"/>
        <v>#REF!</v>
      </c>
      <c r="E240" s="257" t="e">
        <f t="shared" si="9"/>
        <v>#REF!</v>
      </c>
      <c r="F240" s="166">
        <v>29.57</v>
      </c>
      <c r="G240" s="148">
        <v>3894.4710202470878</v>
      </c>
      <c r="H240" s="181">
        <f>VLOOKUP($A240&amp;$B240,'KU Inputs'!$C$2:$J$530,MATCH('KU UtilityData'!H$1,'KU Inputs'!$C$1:$J$1,0),0)*1000</f>
        <v>4586725</v>
      </c>
      <c r="I240" s="181">
        <f>VLOOKUP($A240&amp;$B240,'KU Inputs'!$C$2:$J$530,MATCH('KU UtilityData'!I$1,'KU Inputs'!$C$1:$J$1,0),0)*1000</f>
        <v>4668504</v>
      </c>
      <c r="J240" s="181">
        <f>VLOOKUP($A240&amp;$B240,'KU Inputs'!$C$2:$J$530,MATCH('KU UtilityData'!J$1,'KU Inputs'!$C$1:$J$1,0),0)*1000</f>
        <v>1862254</v>
      </c>
      <c r="K240" s="231">
        <v>448112.73</v>
      </c>
      <c r="L240" s="181">
        <f>VLOOKUP($A240&amp;$B240,'KU Inputs'!$C$2:$J$530,MATCH('KU UtilityData'!L$1,'KU Inputs'!$C$1:$J$1,0),0)</f>
        <v>161348.13399999999</v>
      </c>
      <c r="M240" s="181">
        <f>VLOOKUP($A240&amp;$B240,'KU Inputs'!$C$2:$J$530,MATCH('KU UtilityData'!M$1,'KU Inputs'!$C$1:$J$1,0),0)</f>
        <v>164769.80057959011</v>
      </c>
      <c r="N240" s="246">
        <f t="shared" si="11"/>
        <v>396.30250000000001</v>
      </c>
      <c r="O240" s="246">
        <f t="shared" si="11"/>
        <v>6.6950000000000003</v>
      </c>
      <c r="P240" s="159">
        <v>4512</v>
      </c>
      <c r="Q240" s="159">
        <v>1455</v>
      </c>
      <c r="R240" s="271">
        <f t="shared" si="7"/>
        <v>0.39889737697557931</v>
      </c>
    </row>
    <row r="241" spans="1:18" x14ac:dyDescent="0.2">
      <c r="A241" s="147">
        <v>2020</v>
      </c>
      <c r="B241" s="147">
        <v>12</v>
      </c>
      <c r="C241" s="169"/>
      <c r="D241" s="258" t="e">
        <f t="shared" si="6"/>
        <v>#REF!</v>
      </c>
      <c r="E241" s="257" t="e">
        <f t="shared" si="9"/>
        <v>#REF!</v>
      </c>
      <c r="F241" s="166">
        <v>32.619999999999997</v>
      </c>
      <c r="G241" s="148">
        <v>3896.7047927179119</v>
      </c>
      <c r="H241" s="181">
        <f>VLOOKUP($A241&amp;$B241,'KU Inputs'!$C$2:$J$530,MATCH('KU UtilityData'!H$1,'KU Inputs'!$C$1:$J$1,0),0)*1000</f>
        <v>4586725</v>
      </c>
      <c r="I241" s="181">
        <f>VLOOKUP($A241&amp;$B241,'KU Inputs'!$C$2:$J$530,MATCH('KU UtilityData'!I$1,'KU Inputs'!$C$1:$J$1,0),0)*1000</f>
        <v>4668504</v>
      </c>
      <c r="J241" s="181">
        <f>VLOOKUP($A241&amp;$B241,'KU Inputs'!$C$2:$J$530,MATCH('KU UtilityData'!J$1,'KU Inputs'!$C$1:$J$1,0),0)*1000</f>
        <v>1862254</v>
      </c>
      <c r="K241" s="231">
        <v>448112.73</v>
      </c>
      <c r="L241" s="181">
        <f>VLOOKUP($A241&amp;$B241,'KU Inputs'!$C$2:$J$530,MATCH('KU UtilityData'!L$1,'KU Inputs'!$C$1:$J$1,0),0)</f>
        <v>161348.13399999999</v>
      </c>
      <c r="M241" s="181">
        <f>VLOOKUP($A241&amp;$B241,'KU Inputs'!$C$2:$J$530,MATCH('KU UtilityData'!M$1,'KU Inputs'!$C$1:$J$1,0),0)</f>
        <v>164769.80057959011</v>
      </c>
      <c r="N241" s="246">
        <f t="shared" si="11"/>
        <v>714.28500000000008</v>
      </c>
      <c r="O241" s="246">
        <f t="shared" si="11"/>
        <v>0.25</v>
      </c>
      <c r="P241" s="159">
        <v>4512</v>
      </c>
      <c r="Q241" s="159">
        <v>1455</v>
      </c>
      <c r="R241" s="271">
        <f t="shared" si="7"/>
        <v>0.39889737697557931</v>
      </c>
    </row>
    <row r="242" spans="1:18" x14ac:dyDescent="0.2">
      <c r="A242" s="147">
        <v>2021</v>
      </c>
      <c r="B242" s="147">
        <v>1</v>
      </c>
      <c r="C242" s="169"/>
      <c r="D242" s="258" t="e">
        <f t="shared" si="6"/>
        <v>#REF!</v>
      </c>
      <c r="E242" s="257" t="e">
        <f t="shared" si="9"/>
        <v>#REF!</v>
      </c>
      <c r="F242" s="166">
        <v>33.049999999999997</v>
      </c>
      <c r="G242" s="148">
        <v>3898.9385651887355</v>
      </c>
      <c r="H242" s="181">
        <f>VLOOKUP($A242&amp;$B242,'KU Inputs'!$C$2:$J$530,MATCH('KU UtilityData'!H$1,'KU Inputs'!$C$1:$J$1,0),0)*1000</f>
        <v>4592883</v>
      </c>
      <c r="I242" s="181">
        <f>VLOOKUP($A242&amp;$B242,'KU Inputs'!$C$2:$J$530,MATCH('KU UtilityData'!I$1,'KU Inputs'!$C$1:$J$1,0),0)*1000</f>
        <v>4676790</v>
      </c>
      <c r="J242" s="181">
        <f>VLOOKUP($A242&amp;$B242,'KU Inputs'!$C$2:$J$530,MATCH('KU UtilityData'!J$1,'KU Inputs'!$C$1:$J$1,0),0)*1000</f>
        <v>1865962</v>
      </c>
      <c r="K242" s="231">
        <v>448739.24</v>
      </c>
      <c r="L242" s="181">
        <f>VLOOKUP($A242&amp;$B242,'KU Inputs'!$C$2:$J$530,MATCH('KU UtilityData'!L$1,'KU Inputs'!$C$1:$J$1,0),0)</f>
        <v>162475.66899999999</v>
      </c>
      <c r="M242" s="181">
        <f>VLOOKUP($A242&amp;$B242,'KU Inputs'!$C$2:$J$530,MATCH('KU UtilityData'!M$1,'KU Inputs'!$C$1:$J$1,0),0)</f>
        <v>165937.30888812992</v>
      </c>
      <c r="N242" s="246">
        <f t="shared" si="11"/>
        <v>991.4375</v>
      </c>
      <c r="O242" s="246">
        <f t="shared" si="11"/>
        <v>0</v>
      </c>
      <c r="P242" s="159">
        <v>4512</v>
      </c>
      <c r="Q242" s="159">
        <v>1455</v>
      </c>
      <c r="R242" s="271">
        <f t="shared" si="7"/>
        <v>0.39898349081314322</v>
      </c>
    </row>
    <row r="243" spans="1:18" x14ac:dyDescent="0.2">
      <c r="A243" s="147">
        <v>2021</v>
      </c>
      <c r="B243" s="147">
        <v>2</v>
      </c>
      <c r="C243" s="169"/>
      <c r="D243" s="258" t="e">
        <f t="shared" si="6"/>
        <v>#REF!</v>
      </c>
      <c r="E243" s="257" t="e">
        <f t="shared" si="9"/>
        <v>#REF!</v>
      </c>
      <c r="F243" s="166">
        <v>30.14</v>
      </c>
      <c r="G243" s="148">
        <v>3901.1723376595596</v>
      </c>
      <c r="H243" s="181">
        <f>VLOOKUP($A243&amp;$B243,'KU Inputs'!$C$2:$J$530,MATCH('KU UtilityData'!H$1,'KU Inputs'!$C$1:$J$1,0),0)*1000</f>
        <v>4592883</v>
      </c>
      <c r="I243" s="181">
        <f>VLOOKUP($A243&amp;$B243,'KU Inputs'!$C$2:$J$530,MATCH('KU UtilityData'!I$1,'KU Inputs'!$C$1:$J$1,0),0)*1000</f>
        <v>4676790</v>
      </c>
      <c r="J243" s="181">
        <f>VLOOKUP($A243&amp;$B243,'KU Inputs'!$C$2:$J$530,MATCH('KU UtilityData'!J$1,'KU Inputs'!$C$1:$J$1,0),0)*1000</f>
        <v>1865962</v>
      </c>
      <c r="K243" s="231">
        <v>448739.24</v>
      </c>
      <c r="L243" s="181">
        <f>VLOOKUP($A243&amp;$B243,'KU Inputs'!$C$2:$J$530,MATCH('KU UtilityData'!L$1,'KU Inputs'!$C$1:$J$1,0),0)</f>
        <v>162475.66899999999</v>
      </c>
      <c r="M243" s="181">
        <f>VLOOKUP($A243&amp;$B243,'KU Inputs'!$C$2:$J$530,MATCH('KU UtilityData'!M$1,'KU Inputs'!$C$1:$J$1,0),0)</f>
        <v>165937.30888812992</v>
      </c>
      <c r="N243" s="246">
        <f t="shared" si="11"/>
        <v>890.05499999999995</v>
      </c>
      <c r="O243" s="246">
        <f t="shared" si="11"/>
        <v>0</v>
      </c>
      <c r="P243" s="159">
        <v>4512</v>
      </c>
      <c r="Q243" s="159">
        <v>1455</v>
      </c>
      <c r="R243" s="271">
        <f t="shared" si="7"/>
        <v>0.39898349081314322</v>
      </c>
    </row>
    <row r="244" spans="1:18" x14ac:dyDescent="0.2">
      <c r="A244" s="147">
        <v>2021</v>
      </c>
      <c r="B244" s="147">
        <v>3</v>
      </c>
      <c r="C244" s="169"/>
      <c r="D244" s="258" t="e">
        <f t="shared" si="6"/>
        <v>#REF!</v>
      </c>
      <c r="E244" s="257" t="e">
        <f t="shared" si="9"/>
        <v>#REF!</v>
      </c>
      <c r="F244" s="166">
        <v>30</v>
      </c>
      <c r="G244" s="148">
        <v>3903.4061101303837</v>
      </c>
      <c r="H244" s="181">
        <f>VLOOKUP($A244&amp;$B244,'KU Inputs'!$C$2:$J$530,MATCH('KU UtilityData'!H$1,'KU Inputs'!$C$1:$J$1,0),0)*1000</f>
        <v>4592883</v>
      </c>
      <c r="I244" s="181">
        <f>VLOOKUP($A244&amp;$B244,'KU Inputs'!$C$2:$J$530,MATCH('KU UtilityData'!I$1,'KU Inputs'!$C$1:$J$1,0),0)*1000</f>
        <v>4676790</v>
      </c>
      <c r="J244" s="181">
        <f>VLOOKUP($A244&amp;$B244,'KU Inputs'!$C$2:$J$530,MATCH('KU UtilityData'!J$1,'KU Inputs'!$C$1:$J$1,0),0)*1000</f>
        <v>1865962</v>
      </c>
      <c r="K244" s="231">
        <v>448739.24</v>
      </c>
      <c r="L244" s="181">
        <f>VLOOKUP($A244&amp;$B244,'KU Inputs'!$C$2:$J$530,MATCH('KU UtilityData'!L$1,'KU Inputs'!$C$1:$J$1,0),0)</f>
        <v>162475.66899999999</v>
      </c>
      <c r="M244" s="181">
        <f>VLOOKUP($A244&amp;$B244,'KU Inputs'!$C$2:$J$530,MATCH('KU UtilityData'!M$1,'KU Inputs'!$C$1:$J$1,0),0)</f>
        <v>165937.30888812992</v>
      </c>
      <c r="N244" s="246">
        <f t="shared" si="11"/>
        <v>724.63750000000005</v>
      </c>
      <c r="O244" s="246">
        <f t="shared" si="11"/>
        <v>0.92249999999999999</v>
      </c>
      <c r="P244" s="159">
        <v>4512</v>
      </c>
      <c r="Q244" s="159">
        <v>1455</v>
      </c>
      <c r="R244" s="271">
        <f t="shared" si="7"/>
        <v>0.39898349081314322</v>
      </c>
    </row>
    <row r="245" spans="1:18" x14ac:dyDescent="0.2">
      <c r="A245" s="147">
        <v>2021</v>
      </c>
      <c r="B245" s="147">
        <v>4</v>
      </c>
      <c r="C245" s="169"/>
      <c r="D245" s="258" t="e">
        <f t="shared" si="6"/>
        <v>#REF!</v>
      </c>
      <c r="E245" s="257" t="e">
        <f t="shared" si="9"/>
        <v>#REF!</v>
      </c>
      <c r="F245" s="166">
        <v>30.86</v>
      </c>
      <c r="G245" s="148">
        <v>3905.6398826012078</v>
      </c>
      <c r="H245" s="181">
        <f>VLOOKUP($A245&amp;$B245,'KU Inputs'!$C$2:$J$530,MATCH('KU UtilityData'!H$1,'KU Inputs'!$C$1:$J$1,0),0)*1000</f>
        <v>4598987</v>
      </c>
      <c r="I245" s="181">
        <f>VLOOKUP($A245&amp;$B245,'KU Inputs'!$C$2:$J$530,MATCH('KU UtilityData'!I$1,'KU Inputs'!$C$1:$J$1,0),0)*1000</f>
        <v>4685051</v>
      </c>
      <c r="J245" s="181">
        <f>VLOOKUP($A245&amp;$B245,'KU Inputs'!$C$2:$J$530,MATCH('KU UtilityData'!J$1,'KU Inputs'!$C$1:$J$1,0),0)*1000</f>
        <v>1869652</v>
      </c>
      <c r="K245" s="231">
        <v>449384.34</v>
      </c>
      <c r="L245" s="181">
        <f>VLOOKUP($A245&amp;$B245,'KU Inputs'!$C$2:$J$530,MATCH('KU UtilityData'!L$1,'KU Inputs'!$C$1:$J$1,0),0)</f>
        <v>163161.704</v>
      </c>
      <c r="M245" s="181">
        <f>VLOOKUP($A245&amp;$B245,'KU Inputs'!$C$2:$J$530,MATCH('KU UtilityData'!M$1,'KU Inputs'!$C$1:$J$1,0),0)</f>
        <v>166704.94952080987</v>
      </c>
      <c r="N245" s="246">
        <f t="shared" si="11"/>
        <v>433.4375</v>
      </c>
      <c r="O245" s="246">
        <f t="shared" si="11"/>
        <v>13.477500000000001</v>
      </c>
      <c r="P245" s="159">
        <v>4512</v>
      </c>
      <c r="Q245" s="159">
        <v>1455</v>
      </c>
      <c r="R245" s="271">
        <f t="shared" si="7"/>
        <v>0.39906758752466087</v>
      </c>
    </row>
    <row r="246" spans="1:18" x14ac:dyDescent="0.2">
      <c r="A246" s="147">
        <v>2021</v>
      </c>
      <c r="B246" s="147">
        <v>5</v>
      </c>
      <c r="C246" s="169"/>
      <c r="D246" s="258" t="e">
        <f t="shared" si="6"/>
        <v>#REF!</v>
      </c>
      <c r="E246" s="257" t="e">
        <f t="shared" si="9"/>
        <v>#REF!</v>
      </c>
      <c r="F246" s="166">
        <v>29.48</v>
      </c>
      <c r="G246" s="148">
        <v>3907.8736550720314</v>
      </c>
      <c r="H246" s="181">
        <f>VLOOKUP($A246&amp;$B246,'KU Inputs'!$C$2:$J$530,MATCH('KU UtilityData'!H$1,'KU Inputs'!$C$1:$J$1,0),0)*1000</f>
        <v>4598987</v>
      </c>
      <c r="I246" s="181">
        <f>VLOOKUP($A246&amp;$B246,'KU Inputs'!$C$2:$J$530,MATCH('KU UtilityData'!I$1,'KU Inputs'!$C$1:$J$1,0),0)*1000</f>
        <v>4685051</v>
      </c>
      <c r="J246" s="181">
        <f>VLOOKUP($A246&amp;$B246,'KU Inputs'!$C$2:$J$530,MATCH('KU UtilityData'!J$1,'KU Inputs'!$C$1:$J$1,0),0)*1000</f>
        <v>1869652</v>
      </c>
      <c r="K246" s="231">
        <v>449384.34</v>
      </c>
      <c r="L246" s="181">
        <f>VLOOKUP($A246&amp;$B246,'KU Inputs'!$C$2:$J$530,MATCH('KU UtilityData'!L$1,'KU Inputs'!$C$1:$J$1,0),0)</f>
        <v>163161.704</v>
      </c>
      <c r="M246" s="181">
        <f>VLOOKUP($A246&amp;$B246,'KU Inputs'!$C$2:$J$530,MATCH('KU UtilityData'!M$1,'KU Inputs'!$C$1:$J$1,0),0)</f>
        <v>166704.94952080987</v>
      </c>
      <c r="N246" s="246">
        <f t="shared" si="11"/>
        <v>189.125</v>
      </c>
      <c r="O246" s="246">
        <f t="shared" si="11"/>
        <v>46.06</v>
      </c>
      <c r="P246" s="159">
        <v>4512</v>
      </c>
      <c r="Q246" s="159">
        <v>1455</v>
      </c>
      <c r="R246" s="271">
        <f t="shared" si="7"/>
        <v>0.39906758752466087</v>
      </c>
    </row>
    <row r="247" spans="1:18" x14ac:dyDescent="0.2">
      <c r="A247" s="147">
        <v>2021</v>
      </c>
      <c r="B247" s="147">
        <v>6</v>
      </c>
      <c r="C247" s="169"/>
      <c r="D247" s="258" t="e">
        <f t="shared" si="6"/>
        <v>#REF!</v>
      </c>
      <c r="E247" s="257" t="e">
        <f t="shared" si="9"/>
        <v>#REF!</v>
      </c>
      <c r="F247" s="166">
        <v>30.67</v>
      </c>
      <c r="G247" s="148">
        <v>3910.1074275428555</v>
      </c>
      <c r="H247" s="181">
        <f>VLOOKUP($A247&amp;$B247,'KU Inputs'!$C$2:$J$530,MATCH('KU UtilityData'!H$1,'KU Inputs'!$C$1:$J$1,0),0)*1000</f>
        <v>4598987</v>
      </c>
      <c r="I247" s="181">
        <f>VLOOKUP($A247&amp;$B247,'KU Inputs'!$C$2:$J$530,MATCH('KU UtilityData'!I$1,'KU Inputs'!$C$1:$J$1,0),0)*1000</f>
        <v>4685051</v>
      </c>
      <c r="J247" s="181">
        <f>VLOOKUP($A247&amp;$B247,'KU Inputs'!$C$2:$J$530,MATCH('KU UtilityData'!J$1,'KU Inputs'!$C$1:$J$1,0),0)*1000</f>
        <v>1869652</v>
      </c>
      <c r="K247" s="231">
        <v>449384.34</v>
      </c>
      <c r="L247" s="181">
        <f>VLOOKUP($A247&amp;$B247,'KU Inputs'!$C$2:$J$530,MATCH('KU UtilityData'!L$1,'KU Inputs'!$C$1:$J$1,0),0)</f>
        <v>163161.704</v>
      </c>
      <c r="M247" s="181">
        <f>VLOOKUP($A247&amp;$B247,'KU Inputs'!$C$2:$J$530,MATCH('KU UtilityData'!M$1,'KU Inputs'!$C$1:$J$1,0),0)</f>
        <v>166704.94952080987</v>
      </c>
      <c r="N247" s="246">
        <f t="shared" si="11"/>
        <v>50.362499999999997</v>
      </c>
      <c r="O247" s="246">
        <f t="shared" si="11"/>
        <v>166.4075</v>
      </c>
      <c r="P247" s="159">
        <v>4512</v>
      </c>
      <c r="Q247" s="159">
        <v>1455</v>
      </c>
      <c r="R247" s="271">
        <f t="shared" si="7"/>
        <v>0.39906758752466087</v>
      </c>
    </row>
    <row r="248" spans="1:18" x14ac:dyDescent="0.2">
      <c r="A248" s="147">
        <v>2021</v>
      </c>
      <c r="B248" s="147">
        <v>7</v>
      </c>
      <c r="C248" s="169"/>
      <c r="D248" s="258" t="e">
        <f t="shared" si="6"/>
        <v>#REF!</v>
      </c>
      <c r="E248" s="257" t="e">
        <f t="shared" si="9"/>
        <v>#REF!</v>
      </c>
      <c r="F248" s="166">
        <v>30.71</v>
      </c>
      <c r="G248" s="148">
        <v>3912.3264178489458</v>
      </c>
      <c r="H248" s="181">
        <f>VLOOKUP($A248&amp;$B248,'KU Inputs'!$C$2:$J$530,MATCH('KU UtilityData'!H$1,'KU Inputs'!$C$1:$J$1,0),0)*1000</f>
        <v>4605050</v>
      </c>
      <c r="I248" s="181">
        <f>VLOOKUP($A248&amp;$B248,'KU Inputs'!$C$2:$J$530,MATCH('KU UtilityData'!I$1,'KU Inputs'!$C$1:$J$1,0),0)*1000</f>
        <v>4693299</v>
      </c>
      <c r="J248" s="181">
        <f>VLOOKUP($A248&amp;$B248,'KU Inputs'!$C$2:$J$530,MATCH('KU UtilityData'!J$1,'KU Inputs'!$C$1:$J$1,0),0)*1000</f>
        <v>1873307</v>
      </c>
      <c r="K248" s="231">
        <v>450018.94</v>
      </c>
      <c r="L248" s="181">
        <f>VLOOKUP($A248&amp;$B248,'KU Inputs'!$C$2:$J$530,MATCH('KU UtilityData'!L$1,'KU Inputs'!$C$1:$J$1,0),0)</f>
        <v>163854.01199999999</v>
      </c>
      <c r="M248" s="181">
        <f>VLOOKUP($A248&amp;$B248,'KU Inputs'!$C$2:$J$530,MATCH('KU UtilityData'!M$1,'KU Inputs'!$C$1:$J$1,0),0)</f>
        <v>167495.73989521823</v>
      </c>
      <c r="N248" s="246">
        <f t="shared" si="11"/>
        <v>1.625</v>
      </c>
      <c r="O248" s="246">
        <f t="shared" si="11"/>
        <v>326.005</v>
      </c>
      <c r="P248" s="159">
        <v>4512</v>
      </c>
      <c r="Q248" s="159">
        <v>1455</v>
      </c>
      <c r="R248" s="271">
        <f t="shared" si="7"/>
        <v>0.39914503635928589</v>
      </c>
    </row>
    <row r="249" spans="1:18" x14ac:dyDescent="0.2">
      <c r="A249" s="147">
        <v>2021</v>
      </c>
      <c r="B249" s="147">
        <v>8</v>
      </c>
      <c r="C249" s="169"/>
      <c r="D249" s="258" t="e">
        <f t="shared" si="6"/>
        <v>#REF!</v>
      </c>
      <c r="E249" s="257" t="e">
        <f t="shared" si="9"/>
        <v>#REF!</v>
      </c>
      <c r="F249" s="166">
        <v>29.52</v>
      </c>
      <c r="G249" s="148">
        <v>3914.5454081550356</v>
      </c>
      <c r="H249" s="181">
        <f>VLOOKUP($A249&amp;$B249,'KU Inputs'!$C$2:$J$530,MATCH('KU UtilityData'!H$1,'KU Inputs'!$C$1:$J$1,0),0)*1000</f>
        <v>4605050</v>
      </c>
      <c r="I249" s="181">
        <f>VLOOKUP($A249&amp;$B249,'KU Inputs'!$C$2:$J$530,MATCH('KU UtilityData'!I$1,'KU Inputs'!$C$1:$J$1,0),0)*1000</f>
        <v>4693299</v>
      </c>
      <c r="J249" s="181">
        <f>VLOOKUP($A249&amp;$B249,'KU Inputs'!$C$2:$J$530,MATCH('KU UtilityData'!J$1,'KU Inputs'!$C$1:$J$1,0),0)*1000</f>
        <v>1873307</v>
      </c>
      <c r="K249" s="231">
        <v>450018.94</v>
      </c>
      <c r="L249" s="181">
        <f>VLOOKUP($A249&amp;$B249,'KU Inputs'!$C$2:$J$530,MATCH('KU UtilityData'!L$1,'KU Inputs'!$C$1:$J$1,0),0)</f>
        <v>163854.01199999999</v>
      </c>
      <c r="M249" s="181">
        <f>VLOOKUP($A249&amp;$B249,'KU Inputs'!$C$2:$J$530,MATCH('KU UtilityData'!M$1,'KU Inputs'!$C$1:$J$1,0),0)</f>
        <v>167495.73989521823</v>
      </c>
      <c r="N249" s="246">
        <f t="shared" si="11"/>
        <v>0.75</v>
      </c>
      <c r="O249" s="246">
        <f t="shared" si="11"/>
        <v>348.8175</v>
      </c>
      <c r="P249" s="159">
        <v>4512</v>
      </c>
      <c r="Q249" s="159">
        <v>1455</v>
      </c>
      <c r="R249" s="271">
        <f t="shared" si="7"/>
        <v>0.39914503635928589</v>
      </c>
    </row>
    <row r="250" spans="1:18" x14ac:dyDescent="0.2">
      <c r="A250" s="147">
        <v>2021</v>
      </c>
      <c r="B250" s="147">
        <v>9</v>
      </c>
      <c r="C250" s="169"/>
      <c r="D250" s="258" t="e">
        <f t="shared" si="6"/>
        <v>#REF!</v>
      </c>
      <c r="E250" s="257" t="e">
        <f t="shared" si="9"/>
        <v>#REF!</v>
      </c>
      <c r="F250" s="166">
        <v>30.52</v>
      </c>
      <c r="G250" s="148">
        <v>3916.7643984611259</v>
      </c>
      <c r="H250" s="181">
        <f>VLOOKUP($A250&amp;$B250,'KU Inputs'!$C$2:$J$530,MATCH('KU UtilityData'!H$1,'KU Inputs'!$C$1:$J$1,0),0)*1000</f>
        <v>4605050</v>
      </c>
      <c r="I250" s="181">
        <f>VLOOKUP($A250&amp;$B250,'KU Inputs'!$C$2:$J$530,MATCH('KU UtilityData'!I$1,'KU Inputs'!$C$1:$J$1,0),0)*1000</f>
        <v>4693299</v>
      </c>
      <c r="J250" s="181">
        <f>VLOOKUP($A250&amp;$B250,'KU Inputs'!$C$2:$J$530,MATCH('KU UtilityData'!J$1,'KU Inputs'!$C$1:$J$1,0),0)*1000</f>
        <v>1873307</v>
      </c>
      <c r="K250" s="231">
        <v>450018.94</v>
      </c>
      <c r="L250" s="181">
        <f>VLOOKUP($A250&amp;$B250,'KU Inputs'!$C$2:$J$530,MATCH('KU UtilityData'!L$1,'KU Inputs'!$C$1:$J$1,0),0)</f>
        <v>163854.01199999999</v>
      </c>
      <c r="M250" s="181">
        <f>VLOOKUP($A250&amp;$B250,'KU Inputs'!$C$2:$J$530,MATCH('KU UtilityData'!M$1,'KU Inputs'!$C$1:$J$1,0),0)</f>
        <v>167495.73989521823</v>
      </c>
      <c r="N250" s="246">
        <f t="shared" si="11"/>
        <v>11.752500000000001</v>
      </c>
      <c r="O250" s="246">
        <f t="shared" si="11"/>
        <v>258.88</v>
      </c>
      <c r="P250" s="159">
        <v>4512</v>
      </c>
      <c r="Q250" s="159">
        <v>1455</v>
      </c>
      <c r="R250" s="271">
        <f t="shared" si="7"/>
        <v>0.39914503635928589</v>
      </c>
    </row>
    <row r="251" spans="1:18" x14ac:dyDescent="0.2">
      <c r="A251" s="147">
        <v>2021</v>
      </c>
      <c r="B251" s="147">
        <v>10</v>
      </c>
      <c r="C251" s="169"/>
      <c r="D251" s="258" t="e">
        <f t="shared" si="6"/>
        <v>#REF!</v>
      </c>
      <c r="E251" s="257" t="e">
        <f t="shared" si="9"/>
        <v>#REF!</v>
      </c>
      <c r="F251" s="166">
        <v>29.62</v>
      </c>
      <c r="G251" s="148">
        <v>3918.9833887672157</v>
      </c>
      <c r="H251" s="181">
        <f>VLOOKUP($A251&amp;$B251,'KU Inputs'!$C$2:$J$530,MATCH('KU UtilityData'!H$1,'KU Inputs'!$C$1:$J$1,0),0)*1000</f>
        <v>4611069</v>
      </c>
      <c r="I251" s="181">
        <f>VLOOKUP($A251&amp;$B251,'KU Inputs'!$C$2:$J$530,MATCH('KU UtilityData'!I$1,'KU Inputs'!$C$1:$J$1,0),0)*1000</f>
        <v>4701533</v>
      </c>
      <c r="J251" s="181">
        <f>VLOOKUP($A251&amp;$B251,'KU Inputs'!$C$2:$J$530,MATCH('KU UtilityData'!J$1,'KU Inputs'!$C$1:$J$1,0),0)*1000</f>
        <v>1877029</v>
      </c>
      <c r="K251" s="231">
        <v>450942.19</v>
      </c>
      <c r="L251" s="181">
        <f>VLOOKUP($A251&amp;$B251,'KU Inputs'!$C$2:$J$530,MATCH('KU UtilityData'!L$1,'KU Inputs'!$C$1:$J$1,0),0)</f>
        <v>164597.87899999999</v>
      </c>
      <c r="M251" s="181">
        <f>VLOOKUP($A251&amp;$B251,'KU Inputs'!$C$2:$J$530,MATCH('KU UtilityData'!M$1,'KU Inputs'!$C$1:$J$1,0),0)</f>
        <v>168282.95005042473</v>
      </c>
      <c r="N251" s="246">
        <f t="shared" si="11"/>
        <v>134.87</v>
      </c>
      <c r="O251" s="246">
        <f t="shared" si="11"/>
        <v>71.42</v>
      </c>
      <c r="P251" s="159">
        <v>4512</v>
      </c>
      <c r="Q251" s="159">
        <v>1455</v>
      </c>
      <c r="R251" s="271">
        <f t="shared" si="7"/>
        <v>0.39923765291023161</v>
      </c>
    </row>
    <row r="252" spans="1:18" x14ac:dyDescent="0.2">
      <c r="A252" s="147">
        <v>2021</v>
      </c>
      <c r="B252" s="147">
        <v>11</v>
      </c>
      <c r="C252" s="169"/>
      <c r="D252" s="258" t="e">
        <f t="shared" si="6"/>
        <v>#REF!</v>
      </c>
      <c r="E252" s="257" t="e">
        <f t="shared" si="9"/>
        <v>#REF!</v>
      </c>
      <c r="F252" s="166">
        <v>29.1</v>
      </c>
      <c r="G252" s="148">
        <v>3921.202379073306</v>
      </c>
      <c r="H252" s="181">
        <f>VLOOKUP($A252&amp;$B252,'KU Inputs'!$C$2:$J$530,MATCH('KU UtilityData'!H$1,'KU Inputs'!$C$1:$J$1,0),0)*1000</f>
        <v>4611069</v>
      </c>
      <c r="I252" s="181">
        <f>VLOOKUP($A252&amp;$B252,'KU Inputs'!$C$2:$J$530,MATCH('KU UtilityData'!I$1,'KU Inputs'!$C$1:$J$1,0),0)*1000</f>
        <v>4701533</v>
      </c>
      <c r="J252" s="181">
        <f>VLOOKUP($A252&amp;$B252,'KU Inputs'!$C$2:$J$530,MATCH('KU UtilityData'!J$1,'KU Inputs'!$C$1:$J$1,0),0)*1000</f>
        <v>1877029</v>
      </c>
      <c r="K252" s="231">
        <v>450942.19</v>
      </c>
      <c r="L252" s="181">
        <f>VLOOKUP($A252&amp;$B252,'KU Inputs'!$C$2:$J$530,MATCH('KU UtilityData'!L$1,'KU Inputs'!$C$1:$J$1,0),0)</f>
        <v>164597.87899999999</v>
      </c>
      <c r="M252" s="181">
        <f>VLOOKUP($A252&amp;$B252,'KU Inputs'!$C$2:$J$530,MATCH('KU UtilityData'!M$1,'KU Inputs'!$C$1:$J$1,0),0)</f>
        <v>168282.95005042473</v>
      </c>
      <c r="N252" s="246">
        <f t="shared" si="11"/>
        <v>396.30250000000001</v>
      </c>
      <c r="O252" s="246">
        <f t="shared" si="11"/>
        <v>6.6950000000000003</v>
      </c>
      <c r="P252" s="159">
        <v>4512</v>
      </c>
      <c r="Q252" s="159">
        <v>1455</v>
      </c>
      <c r="R252" s="271">
        <f t="shared" si="7"/>
        <v>0.39923765291023161</v>
      </c>
    </row>
    <row r="253" spans="1:18" x14ac:dyDescent="0.2">
      <c r="A253" s="147">
        <v>2021</v>
      </c>
      <c r="B253" s="147">
        <v>12</v>
      </c>
      <c r="C253" s="169"/>
      <c r="D253" s="258" t="e">
        <f t="shared" si="6"/>
        <v>#REF!</v>
      </c>
      <c r="E253" s="257" t="e">
        <f t="shared" si="9"/>
        <v>#REF!</v>
      </c>
      <c r="F253" s="166">
        <v>31.67</v>
      </c>
      <c r="G253" s="148">
        <v>3923.4213693793963</v>
      </c>
      <c r="H253" s="181">
        <f>VLOOKUP($A253&amp;$B253,'KU Inputs'!$C$2:$J$530,MATCH('KU UtilityData'!H$1,'KU Inputs'!$C$1:$J$1,0),0)*1000</f>
        <v>4611069</v>
      </c>
      <c r="I253" s="181">
        <f>VLOOKUP($A253&amp;$B253,'KU Inputs'!$C$2:$J$530,MATCH('KU UtilityData'!I$1,'KU Inputs'!$C$1:$J$1,0),0)*1000</f>
        <v>4701533</v>
      </c>
      <c r="J253" s="181">
        <f>VLOOKUP($A253&amp;$B253,'KU Inputs'!$C$2:$J$530,MATCH('KU UtilityData'!J$1,'KU Inputs'!$C$1:$J$1,0),0)*1000</f>
        <v>1877029</v>
      </c>
      <c r="K253" s="231">
        <v>450942.19</v>
      </c>
      <c r="L253" s="181">
        <f>VLOOKUP($A253&amp;$B253,'KU Inputs'!$C$2:$J$530,MATCH('KU UtilityData'!L$1,'KU Inputs'!$C$1:$J$1,0),0)</f>
        <v>164597.87899999999</v>
      </c>
      <c r="M253" s="181">
        <f>VLOOKUP($A253&amp;$B253,'KU Inputs'!$C$2:$J$530,MATCH('KU UtilityData'!M$1,'KU Inputs'!$C$1:$J$1,0),0)</f>
        <v>168282.95005042473</v>
      </c>
      <c r="N253" s="246">
        <f t="shared" si="11"/>
        <v>714.28500000000008</v>
      </c>
      <c r="O253" s="246">
        <f t="shared" si="11"/>
        <v>0.25</v>
      </c>
      <c r="P253" s="159">
        <v>4512</v>
      </c>
      <c r="Q253" s="159">
        <v>1455</v>
      </c>
      <c r="R253" s="271">
        <f t="shared" si="7"/>
        <v>0.39923765291023161</v>
      </c>
    </row>
    <row r="254" spans="1:18" x14ac:dyDescent="0.2">
      <c r="A254" s="147">
        <v>2022</v>
      </c>
      <c r="B254" s="147">
        <v>1</v>
      </c>
      <c r="C254" s="169"/>
      <c r="D254" s="258" t="e">
        <f t="shared" si="6"/>
        <v>#REF!</v>
      </c>
      <c r="E254" s="257" t="e">
        <f t="shared" si="9"/>
        <v>#REF!</v>
      </c>
      <c r="F254" s="166">
        <v>32.71</v>
      </c>
      <c r="G254" s="148">
        <v>3925.6403596854861</v>
      </c>
      <c r="H254" s="181">
        <f>VLOOKUP($A254&amp;$B254,'KU Inputs'!$C$2:$J$530,MATCH('KU UtilityData'!H$1,'KU Inputs'!$C$1:$J$1,0),0)*1000</f>
        <v>4617046</v>
      </c>
      <c r="I254" s="181">
        <f>VLOOKUP($A254&amp;$B254,'KU Inputs'!$C$2:$J$530,MATCH('KU UtilityData'!I$1,'KU Inputs'!$C$1:$J$1,0),0)*1000</f>
        <v>4709753</v>
      </c>
      <c r="J254" s="181">
        <f>VLOOKUP($A254&amp;$B254,'KU Inputs'!$C$2:$J$530,MATCH('KU UtilityData'!J$1,'KU Inputs'!$C$1:$J$1,0),0)*1000</f>
        <v>1880136</v>
      </c>
      <c r="K254" s="231">
        <v>451400.1</v>
      </c>
      <c r="L254" s="181">
        <f>VLOOKUP($A254&amp;$B254,'KU Inputs'!$C$2:$J$530,MATCH('KU UtilityData'!L$1,'KU Inputs'!$C$1:$J$1,0),0)</f>
        <v>165857.508</v>
      </c>
      <c r="M254" s="181">
        <f>VLOOKUP($A254&amp;$B254,'KU Inputs'!$C$2:$J$530,MATCH('KU UtilityData'!M$1,'KU Inputs'!$C$1:$J$1,0),0)</f>
        <v>169537.54043155216</v>
      </c>
      <c r="N254" s="246">
        <f t="shared" si="11"/>
        <v>991.4375</v>
      </c>
      <c r="O254" s="246">
        <f t="shared" si="11"/>
        <v>0</v>
      </c>
      <c r="P254" s="159">
        <v>4512</v>
      </c>
      <c r="Q254" s="159">
        <v>1455</v>
      </c>
      <c r="R254" s="271">
        <f t="shared" si="7"/>
        <v>0.39920055255551617</v>
      </c>
    </row>
    <row r="255" spans="1:18" x14ac:dyDescent="0.2">
      <c r="A255" s="147">
        <v>2022</v>
      </c>
      <c r="B255" s="147">
        <v>2</v>
      </c>
      <c r="C255" s="169"/>
      <c r="D255" s="258" t="e">
        <f t="shared" si="6"/>
        <v>#REF!</v>
      </c>
      <c r="E255" s="257" t="e">
        <f t="shared" si="9"/>
        <v>#REF!</v>
      </c>
      <c r="F255" s="166">
        <v>29.81</v>
      </c>
      <c r="G255" s="148">
        <v>3927.8593499915764</v>
      </c>
      <c r="H255" s="181">
        <f>VLOOKUP($A255&amp;$B255,'KU Inputs'!$C$2:$J$530,MATCH('KU UtilityData'!H$1,'KU Inputs'!$C$1:$J$1,0),0)*1000</f>
        <v>4617046</v>
      </c>
      <c r="I255" s="181">
        <f>VLOOKUP($A255&amp;$B255,'KU Inputs'!$C$2:$J$530,MATCH('KU UtilityData'!I$1,'KU Inputs'!$C$1:$J$1,0),0)*1000</f>
        <v>4709753</v>
      </c>
      <c r="J255" s="181">
        <f>VLOOKUP($A255&amp;$B255,'KU Inputs'!$C$2:$J$530,MATCH('KU UtilityData'!J$1,'KU Inputs'!$C$1:$J$1,0),0)*1000</f>
        <v>1880136</v>
      </c>
      <c r="K255" s="231">
        <v>451400.1</v>
      </c>
      <c r="L255" s="181">
        <f>VLOOKUP($A255&amp;$B255,'KU Inputs'!$C$2:$J$530,MATCH('KU UtilityData'!L$1,'KU Inputs'!$C$1:$J$1,0),0)</f>
        <v>165857.508</v>
      </c>
      <c r="M255" s="181">
        <f>VLOOKUP($A255&amp;$B255,'KU Inputs'!$C$2:$J$530,MATCH('KU UtilityData'!M$1,'KU Inputs'!$C$1:$J$1,0),0)</f>
        <v>169537.54043155216</v>
      </c>
      <c r="N255" s="246">
        <f t="shared" si="11"/>
        <v>890.05499999999995</v>
      </c>
      <c r="O255" s="246">
        <f t="shared" si="11"/>
        <v>0</v>
      </c>
      <c r="P255" s="159">
        <v>4512</v>
      </c>
      <c r="Q255" s="159">
        <v>1455</v>
      </c>
      <c r="R255" s="271">
        <f t="shared" si="7"/>
        <v>0.39920055255551617</v>
      </c>
    </row>
    <row r="256" spans="1:18" x14ac:dyDescent="0.2">
      <c r="A256" s="147">
        <v>2022</v>
      </c>
      <c r="B256" s="147">
        <v>3</v>
      </c>
      <c r="C256" s="169"/>
      <c r="D256" s="258" t="e">
        <f t="shared" si="6"/>
        <v>#REF!</v>
      </c>
      <c r="E256" s="257" t="e">
        <f t="shared" si="9"/>
        <v>#REF!</v>
      </c>
      <c r="F256" s="166">
        <v>30.33</v>
      </c>
      <c r="G256" s="148">
        <v>3930.0783402976663</v>
      </c>
      <c r="H256" s="181">
        <f>VLOOKUP($A256&amp;$B256,'KU Inputs'!$C$2:$J$530,MATCH('KU UtilityData'!H$1,'KU Inputs'!$C$1:$J$1,0),0)*1000</f>
        <v>4617046</v>
      </c>
      <c r="I256" s="181">
        <f>VLOOKUP($A256&amp;$B256,'KU Inputs'!$C$2:$J$530,MATCH('KU UtilityData'!I$1,'KU Inputs'!$C$1:$J$1,0),0)*1000</f>
        <v>4709753</v>
      </c>
      <c r="J256" s="181">
        <f>VLOOKUP($A256&amp;$B256,'KU Inputs'!$C$2:$J$530,MATCH('KU UtilityData'!J$1,'KU Inputs'!$C$1:$J$1,0),0)*1000</f>
        <v>1880136</v>
      </c>
      <c r="K256" s="231">
        <v>451400.1</v>
      </c>
      <c r="L256" s="181">
        <f>VLOOKUP($A256&amp;$B256,'KU Inputs'!$C$2:$J$530,MATCH('KU UtilityData'!L$1,'KU Inputs'!$C$1:$J$1,0),0)</f>
        <v>165857.508</v>
      </c>
      <c r="M256" s="181">
        <f>VLOOKUP($A256&amp;$B256,'KU Inputs'!$C$2:$J$530,MATCH('KU UtilityData'!M$1,'KU Inputs'!$C$1:$J$1,0),0)</f>
        <v>169537.54043155216</v>
      </c>
      <c r="N256" s="246">
        <f t="shared" si="11"/>
        <v>724.63750000000005</v>
      </c>
      <c r="O256" s="246">
        <f t="shared" si="11"/>
        <v>0.92249999999999999</v>
      </c>
      <c r="P256" s="159">
        <v>4512</v>
      </c>
      <c r="Q256" s="159">
        <v>1455</v>
      </c>
      <c r="R256" s="271">
        <f t="shared" si="7"/>
        <v>0.39920055255551617</v>
      </c>
    </row>
    <row r="257" spans="1:18" x14ac:dyDescent="0.2">
      <c r="A257" s="147">
        <v>2022</v>
      </c>
      <c r="B257" s="147">
        <v>4</v>
      </c>
      <c r="C257" s="169"/>
      <c r="D257" s="258" t="e">
        <f t="shared" si="6"/>
        <v>#REF!</v>
      </c>
      <c r="E257" s="257" t="e">
        <f t="shared" si="9"/>
        <v>#REF!</v>
      </c>
      <c r="F257" s="166">
        <v>30.19</v>
      </c>
      <c r="G257" s="148">
        <v>3932.2973306037566</v>
      </c>
      <c r="H257" s="181">
        <f>VLOOKUP($A257&amp;$B257,'KU Inputs'!$C$2:$J$530,MATCH('KU UtilityData'!H$1,'KU Inputs'!$C$1:$J$1,0),0)*1000</f>
        <v>4622977</v>
      </c>
      <c r="I257" s="181">
        <f>VLOOKUP($A257&amp;$B257,'KU Inputs'!$C$2:$J$530,MATCH('KU UtilityData'!I$1,'KU Inputs'!$C$1:$J$1,0),0)*1000</f>
        <v>4717958</v>
      </c>
      <c r="J257" s="181">
        <f>VLOOKUP($A257&amp;$B257,'KU Inputs'!$C$2:$J$530,MATCH('KU UtilityData'!J$1,'KU Inputs'!$C$1:$J$1,0),0)*1000</f>
        <v>1883181</v>
      </c>
      <c r="K257" s="231">
        <v>452079.74</v>
      </c>
      <c r="L257" s="181">
        <f>VLOOKUP($A257&amp;$B257,'KU Inputs'!$C$2:$J$530,MATCH('KU UtilityData'!L$1,'KU Inputs'!$C$1:$J$1,0),0)</f>
        <v>166796.47399999999</v>
      </c>
      <c r="M257" s="181">
        <f>VLOOKUP($A257&amp;$B257,'KU Inputs'!$C$2:$J$530,MATCH('KU UtilityData'!M$1,'KU Inputs'!$C$1:$J$1,0),0)</f>
        <v>170340.13867575288</v>
      </c>
      <c r="N257" s="246">
        <f t="shared" si="11"/>
        <v>433.4375</v>
      </c>
      <c r="O257" s="246">
        <f t="shared" si="11"/>
        <v>13.477500000000001</v>
      </c>
      <c r="P257" s="159">
        <v>4512</v>
      </c>
      <c r="Q257" s="159">
        <v>1455</v>
      </c>
      <c r="R257" s="271">
        <f t="shared" si="7"/>
        <v>0.39915170927761545</v>
      </c>
    </row>
    <row r="258" spans="1:18" x14ac:dyDescent="0.2">
      <c r="A258" s="147">
        <v>2022</v>
      </c>
      <c r="B258" s="147">
        <v>5</v>
      </c>
      <c r="C258" s="169"/>
      <c r="D258" s="258" t="e">
        <f t="shared" si="6"/>
        <v>#REF!</v>
      </c>
      <c r="E258" s="257" t="e">
        <f t="shared" si="9"/>
        <v>#REF!</v>
      </c>
      <c r="F258" s="166">
        <v>30.14</v>
      </c>
      <c r="G258" s="148">
        <v>3934.5163209098464</v>
      </c>
      <c r="H258" s="181">
        <f>VLOOKUP($A258&amp;$B258,'KU Inputs'!$C$2:$J$530,MATCH('KU UtilityData'!H$1,'KU Inputs'!$C$1:$J$1,0),0)*1000</f>
        <v>4622977</v>
      </c>
      <c r="I258" s="181">
        <f>VLOOKUP($A258&amp;$B258,'KU Inputs'!$C$2:$J$530,MATCH('KU UtilityData'!I$1,'KU Inputs'!$C$1:$J$1,0),0)*1000</f>
        <v>4717958</v>
      </c>
      <c r="J258" s="181">
        <f>VLOOKUP($A258&amp;$B258,'KU Inputs'!$C$2:$J$530,MATCH('KU UtilityData'!J$1,'KU Inputs'!$C$1:$J$1,0),0)*1000</f>
        <v>1883181</v>
      </c>
      <c r="K258" s="231">
        <v>452079.74</v>
      </c>
      <c r="L258" s="181">
        <f>VLOOKUP($A258&amp;$B258,'KU Inputs'!$C$2:$J$530,MATCH('KU UtilityData'!L$1,'KU Inputs'!$C$1:$J$1,0),0)</f>
        <v>166796.47399999999</v>
      </c>
      <c r="M258" s="181">
        <f>VLOOKUP($A258&amp;$B258,'KU Inputs'!$C$2:$J$530,MATCH('KU UtilityData'!M$1,'KU Inputs'!$C$1:$J$1,0),0)</f>
        <v>170340.13867575288</v>
      </c>
      <c r="N258" s="246">
        <f t="shared" ref="N258:O277" si="12">N246</f>
        <v>189.125</v>
      </c>
      <c r="O258" s="246">
        <f t="shared" si="12"/>
        <v>46.06</v>
      </c>
      <c r="P258" s="159">
        <v>4512</v>
      </c>
      <c r="Q258" s="159">
        <v>1455</v>
      </c>
      <c r="R258" s="271">
        <f t="shared" si="7"/>
        <v>0.39915170927761545</v>
      </c>
    </row>
    <row r="259" spans="1:18" x14ac:dyDescent="0.2">
      <c r="A259" s="147">
        <v>2022</v>
      </c>
      <c r="B259" s="147">
        <v>6</v>
      </c>
      <c r="C259" s="169"/>
      <c r="D259" s="258" t="e">
        <f t="shared" ref="D259:D322" si="13">D247*(1+0.02)</f>
        <v>#REF!</v>
      </c>
      <c r="E259" s="257" t="e">
        <f t="shared" si="9"/>
        <v>#REF!</v>
      </c>
      <c r="F259" s="166">
        <v>30.67</v>
      </c>
      <c r="G259" s="148">
        <v>3936.7353112159381</v>
      </c>
      <c r="H259" s="181">
        <f>VLOOKUP($A259&amp;$B259,'KU Inputs'!$C$2:$J$530,MATCH('KU UtilityData'!H$1,'KU Inputs'!$C$1:$J$1,0),0)*1000</f>
        <v>4622977</v>
      </c>
      <c r="I259" s="181">
        <f>VLOOKUP($A259&amp;$B259,'KU Inputs'!$C$2:$J$530,MATCH('KU UtilityData'!I$1,'KU Inputs'!$C$1:$J$1,0),0)*1000</f>
        <v>4717958</v>
      </c>
      <c r="J259" s="181">
        <f>VLOOKUP($A259&amp;$B259,'KU Inputs'!$C$2:$J$530,MATCH('KU UtilityData'!J$1,'KU Inputs'!$C$1:$J$1,0),0)*1000</f>
        <v>1883181</v>
      </c>
      <c r="K259" s="231">
        <v>452079.75</v>
      </c>
      <c r="L259" s="181">
        <f>VLOOKUP($A259&amp;$B259,'KU Inputs'!$C$2:$J$530,MATCH('KU UtilityData'!L$1,'KU Inputs'!$C$1:$J$1,0),0)</f>
        <v>166796.47399999999</v>
      </c>
      <c r="M259" s="181">
        <f>VLOOKUP($A259&amp;$B259,'KU Inputs'!$C$2:$J$530,MATCH('KU UtilityData'!M$1,'KU Inputs'!$C$1:$J$1,0),0)</f>
        <v>170340.13867575288</v>
      </c>
      <c r="N259" s="246">
        <f t="shared" si="12"/>
        <v>50.362499999999997</v>
      </c>
      <c r="O259" s="246">
        <f t="shared" si="12"/>
        <v>166.4075</v>
      </c>
      <c r="P259" s="159">
        <v>4512</v>
      </c>
      <c r="Q259" s="159">
        <v>1455</v>
      </c>
      <c r="R259" s="271">
        <f t="shared" ref="R259:R322" si="14">J259/I259</f>
        <v>0.39915170927761545</v>
      </c>
    </row>
    <row r="260" spans="1:18" x14ac:dyDescent="0.2">
      <c r="A260" s="147">
        <v>2022</v>
      </c>
      <c r="B260" s="147">
        <v>7</v>
      </c>
      <c r="C260" s="169"/>
      <c r="D260" s="258" t="e">
        <f t="shared" si="13"/>
        <v>#REF!</v>
      </c>
      <c r="E260" s="257" t="e">
        <f t="shared" si="9"/>
        <v>#REF!</v>
      </c>
      <c r="F260" s="166">
        <v>30.71</v>
      </c>
      <c r="G260" s="148">
        <v>3938.9357023664011</v>
      </c>
      <c r="H260" s="181">
        <f>VLOOKUP($A260&amp;$B260,'KU Inputs'!$C$2:$J$530,MATCH('KU UtilityData'!H$1,'KU Inputs'!$C$1:$J$1,0),0)*1000</f>
        <v>4628852</v>
      </c>
      <c r="I260" s="181">
        <f>VLOOKUP($A260&amp;$B260,'KU Inputs'!$C$2:$J$530,MATCH('KU UtilityData'!I$1,'KU Inputs'!$C$1:$J$1,0),0)*1000</f>
        <v>4726133</v>
      </c>
      <c r="J260" s="181">
        <f>VLOOKUP($A260&amp;$B260,'KU Inputs'!$C$2:$J$530,MATCH('KU UtilityData'!J$1,'KU Inputs'!$C$1:$J$1,0),0)*1000</f>
        <v>1886179</v>
      </c>
      <c r="K260" s="231">
        <v>452753.05</v>
      </c>
      <c r="L260" s="181">
        <f>VLOOKUP($A260&amp;$B260,'KU Inputs'!$C$2:$J$530,MATCH('KU UtilityData'!L$1,'KU Inputs'!$C$1:$J$1,0),0)</f>
        <v>167787.24299999999</v>
      </c>
      <c r="M260" s="181">
        <f>VLOOKUP($A260&amp;$B260,'KU Inputs'!$C$2:$J$530,MATCH('KU UtilityData'!M$1,'KU Inputs'!$C$1:$J$1,0),0)</f>
        <v>171251.59311398395</v>
      </c>
      <c r="N260" s="246">
        <f t="shared" si="12"/>
        <v>1.625</v>
      </c>
      <c r="O260" s="246">
        <f t="shared" si="12"/>
        <v>326.005</v>
      </c>
      <c r="P260" s="159">
        <v>4512</v>
      </c>
      <c r="Q260" s="159">
        <v>1455</v>
      </c>
      <c r="R260" s="271">
        <f t="shared" si="14"/>
        <v>0.39909562426618123</v>
      </c>
    </row>
    <row r="261" spans="1:18" x14ac:dyDescent="0.2">
      <c r="A261" s="147">
        <v>2022</v>
      </c>
      <c r="B261" s="147">
        <v>8</v>
      </c>
      <c r="C261" s="169"/>
      <c r="D261" s="258" t="e">
        <f t="shared" si="13"/>
        <v>#REF!</v>
      </c>
      <c r="E261" s="257" t="e">
        <f t="shared" si="9"/>
        <v>#REF!</v>
      </c>
      <c r="F261" s="166">
        <v>29.52</v>
      </c>
      <c r="G261" s="148">
        <v>3941.1360935168641</v>
      </c>
      <c r="H261" s="181">
        <f>VLOOKUP($A261&amp;$B261,'KU Inputs'!$C$2:$J$530,MATCH('KU UtilityData'!H$1,'KU Inputs'!$C$1:$J$1,0),0)*1000</f>
        <v>4628852</v>
      </c>
      <c r="I261" s="181">
        <f>VLOOKUP($A261&amp;$B261,'KU Inputs'!$C$2:$J$530,MATCH('KU UtilityData'!I$1,'KU Inputs'!$C$1:$J$1,0),0)*1000</f>
        <v>4726133</v>
      </c>
      <c r="J261" s="181">
        <f>VLOOKUP($A261&amp;$B261,'KU Inputs'!$C$2:$J$530,MATCH('KU UtilityData'!J$1,'KU Inputs'!$C$1:$J$1,0),0)*1000</f>
        <v>1886179</v>
      </c>
      <c r="K261" s="231">
        <v>452753.05</v>
      </c>
      <c r="L261" s="181">
        <f>VLOOKUP($A261&amp;$B261,'KU Inputs'!$C$2:$J$530,MATCH('KU UtilityData'!L$1,'KU Inputs'!$C$1:$J$1,0),0)</f>
        <v>167787.24299999999</v>
      </c>
      <c r="M261" s="181">
        <f>VLOOKUP($A261&amp;$B261,'KU Inputs'!$C$2:$J$530,MATCH('KU UtilityData'!M$1,'KU Inputs'!$C$1:$J$1,0),0)</f>
        <v>171251.59311398395</v>
      </c>
      <c r="N261" s="246">
        <f t="shared" si="12"/>
        <v>0.75</v>
      </c>
      <c r="O261" s="246">
        <f t="shared" si="12"/>
        <v>348.8175</v>
      </c>
      <c r="P261" s="159">
        <v>4512</v>
      </c>
      <c r="Q261" s="159">
        <v>1455</v>
      </c>
      <c r="R261" s="271">
        <f t="shared" si="14"/>
        <v>0.39909562426618123</v>
      </c>
    </row>
    <row r="262" spans="1:18" x14ac:dyDescent="0.2">
      <c r="A262" s="147">
        <v>2022</v>
      </c>
      <c r="B262" s="147">
        <v>9</v>
      </c>
      <c r="C262" s="169"/>
      <c r="D262" s="258" t="e">
        <f t="shared" si="13"/>
        <v>#REF!</v>
      </c>
      <c r="E262" s="257" t="e">
        <f t="shared" si="9"/>
        <v>#REF!</v>
      </c>
      <c r="F262" s="166">
        <v>30.52</v>
      </c>
      <c r="G262" s="148">
        <v>3943.3364846673267</v>
      </c>
      <c r="H262" s="181">
        <f>VLOOKUP($A262&amp;$B262,'KU Inputs'!$C$2:$J$530,MATCH('KU UtilityData'!H$1,'KU Inputs'!$C$1:$J$1,0),0)*1000</f>
        <v>4628852</v>
      </c>
      <c r="I262" s="181">
        <f>VLOOKUP($A262&amp;$B262,'KU Inputs'!$C$2:$J$530,MATCH('KU UtilityData'!I$1,'KU Inputs'!$C$1:$J$1,0),0)*1000</f>
        <v>4726133</v>
      </c>
      <c r="J262" s="181">
        <f>VLOOKUP($A262&amp;$B262,'KU Inputs'!$C$2:$J$530,MATCH('KU UtilityData'!J$1,'KU Inputs'!$C$1:$J$1,0),0)*1000</f>
        <v>1886179</v>
      </c>
      <c r="K262" s="231">
        <v>452753.05</v>
      </c>
      <c r="L262" s="181">
        <f>VLOOKUP($A262&amp;$B262,'KU Inputs'!$C$2:$J$530,MATCH('KU UtilityData'!L$1,'KU Inputs'!$C$1:$J$1,0),0)</f>
        <v>167787.24299999999</v>
      </c>
      <c r="M262" s="181">
        <f>VLOOKUP($A262&amp;$B262,'KU Inputs'!$C$2:$J$530,MATCH('KU UtilityData'!M$1,'KU Inputs'!$C$1:$J$1,0),0)</f>
        <v>171251.59311398395</v>
      </c>
      <c r="N262" s="246">
        <f t="shared" si="12"/>
        <v>11.752500000000001</v>
      </c>
      <c r="O262" s="246">
        <f t="shared" si="12"/>
        <v>258.88</v>
      </c>
      <c r="P262" s="159">
        <v>4512</v>
      </c>
      <c r="Q262" s="159">
        <v>1455</v>
      </c>
      <c r="R262" s="271">
        <f t="shared" si="14"/>
        <v>0.39909562426618123</v>
      </c>
    </row>
    <row r="263" spans="1:18" x14ac:dyDescent="0.2">
      <c r="A263" s="147">
        <v>2022</v>
      </c>
      <c r="B263" s="147">
        <v>10</v>
      </c>
      <c r="C263" s="169"/>
      <c r="D263" s="258" t="e">
        <f t="shared" si="13"/>
        <v>#REF!</v>
      </c>
      <c r="E263" s="257" t="e">
        <f t="shared" si="9"/>
        <v>#REF!</v>
      </c>
      <c r="F263" s="166">
        <v>29.62</v>
      </c>
      <c r="G263" s="148">
        <v>3945.5368758177897</v>
      </c>
      <c r="H263" s="181">
        <f>VLOOKUP($A263&amp;$B263,'KU Inputs'!$C$2:$J$530,MATCH('KU UtilityData'!H$1,'KU Inputs'!$C$1:$J$1,0),0)*1000</f>
        <v>4634681</v>
      </c>
      <c r="I263" s="181">
        <f>VLOOKUP($A263&amp;$B263,'KU Inputs'!$C$2:$J$530,MATCH('KU UtilityData'!I$1,'KU Inputs'!$C$1:$J$1,0),0)*1000</f>
        <v>4734292</v>
      </c>
      <c r="J263" s="181">
        <f>VLOOKUP($A263&amp;$B263,'KU Inputs'!$C$2:$J$530,MATCH('KU UtilityData'!J$1,'KU Inputs'!$C$1:$J$1,0),0)*1000</f>
        <v>1889012</v>
      </c>
      <c r="K263" s="231">
        <v>453444.29</v>
      </c>
      <c r="L263" s="181">
        <f>VLOOKUP($A263&amp;$B263,'KU Inputs'!$C$2:$J$530,MATCH('KU UtilityData'!L$1,'KU Inputs'!$C$1:$J$1,0),0)</f>
        <v>168781.15</v>
      </c>
      <c r="M263" s="181">
        <f>VLOOKUP($A263&amp;$B263,'KU Inputs'!$C$2:$J$530,MATCH('KU UtilityData'!M$1,'KU Inputs'!$C$1:$J$1,0),0)</f>
        <v>172124.28850790611</v>
      </c>
      <c r="N263" s="246">
        <f t="shared" si="12"/>
        <v>134.87</v>
      </c>
      <c r="O263" s="246">
        <f t="shared" si="12"/>
        <v>71.42</v>
      </c>
      <c r="P263" s="159">
        <v>4512</v>
      </c>
      <c r="Q263" s="159">
        <v>1455</v>
      </c>
      <c r="R263" s="271">
        <f t="shared" si="14"/>
        <v>0.39900622944254388</v>
      </c>
    </row>
    <row r="264" spans="1:18" x14ac:dyDescent="0.2">
      <c r="A264" s="147">
        <v>2022</v>
      </c>
      <c r="B264" s="147">
        <v>11</v>
      </c>
      <c r="C264" s="169"/>
      <c r="D264" s="258" t="e">
        <f t="shared" si="13"/>
        <v>#REF!</v>
      </c>
      <c r="E264" s="257" t="e">
        <f t="shared" si="9"/>
        <v>#REF!</v>
      </c>
      <c r="F264" s="166">
        <v>29.95</v>
      </c>
      <c r="G264" s="148">
        <v>3947.7372669682527</v>
      </c>
      <c r="H264" s="181">
        <f>VLOOKUP($A264&amp;$B264,'KU Inputs'!$C$2:$J$530,MATCH('KU UtilityData'!H$1,'KU Inputs'!$C$1:$J$1,0),0)*1000</f>
        <v>4634681</v>
      </c>
      <c r="I264" s="181">
        <f>VLOOKUP($A264&amp;$B264,'KU Inputs'!$C$2:$J$530,MATCH('KU UtilityData'!I$1,'KU Inputs'!$C$1:$J$1,0),0)*1000</f>
        <v>4734292</v>
      </c>
      <c r="J264" s="181">
        <f>VLOOKUP($A264&amp;$B264,'KU Inputs'!$C$2:$J$530,MATCH('KU UtilityData'!J$1,'KU Inputs'!$C$1:$J$1,0),0)*1000</f>
        <v>1889012</v>
      </c>
      <c r="K264" s="231">
        <v>453444.29</v>
      </c>
      <c r="L264" s="181">
        <f>VLOOKUP($A264&amp;$B264,'KU Inputs'!$C$2:$J$530,MATCH('KU UtilityData'!L$1,'KU Inputs'!$C$1:$J$1,0),0)</f>
        <v>168781.15</v>
      </c>
      <c r="M264" s="181">
        <f>VLOOKUP($A264&amp;$B264,'KU Inputs'!$C$2:$J$530,MATCH('KU UtilityData'!M$1,'KU Inputs'!$C$1:$J$1,0),0)</f>
        <v>172124.28850790611</v>
      </c>
      <c r="N264" s="246">
        <f t="shared" si="12"/>
        <v>396.30250000000001</v>
      </c>
      <c r="O264" s="246">
        <f t="shared" si="12"/>
        <v>6.6950000000000003</v>
      </c>
      <c r="P264" s="159">
        <v>4512</v>
      </c>
      <c r="Q264" s="159">
        <v>1455</v>
      </c>
      <c r="R264" s="271">
        <f t="shared" si="14"/>
        <v>0.39900622944254388</v>
      </c>
    </row>
    <row r="265" spans="1:18" x14ac:dyDescent="0.2">
      <c r="A265" s="147">
        <v>2022</v>
      </c>
      <c r="B265" s="147">
        <v>12</v>
      </c>
      <c r="C265" s="169"/>
      <c r="D265" s="258" t="e">
        <f t="shared" si="13"/>
        <v>#REF!</v>
      </c>
      <c r="E265" s="257" t="e">
        <f t="shared" si="9"/>
        <v>#REF!</v>
      </c>
      <c r="F265" s="166">
        <v>31.24</v>
      </c>
      <c r="G265" s="148">
        <v>3949.9376581187157</v>
      </c>
      <c r="H265" s="181">
        <f>VLOOKUP($A265&amp;$B265,'KU Inputs'!$C$2:$J$530,MATCH('KU UtilityData'!H$1,'KU Inputs'!$C$1:$J$1,0),0)*1000</f>
        <v>4634681</v>
      </c>
      <c r="I265" s="181">
        <f>VLOOKUP($A265&amp;$B265,'KU Inputs'!$C$2:$J$530,MATCH('KU UtilityData'!I$1,'KU Inputs'!$C$1:$J$1,0),0)*1000</f>
        <v>4734292</v>
      </c>
      <c r="J265" s="181">
        <f>VLOOKUP($A265&amp;$B265,'KU Inputs'!$C$2:$J$530,MATCH('KU UtilityData'!J$1,'KU Inputs'!$C$1:$J$1,0),0)*1000</f>
        <v>1889012</v>
      </c>
      <c r="K265" s="231">
        <v>453444.29</v>
      </c>
      <c r="L265" s="181">
        <f>VLOOKUP($A265&amp;$B265,'KU Inputs'!$C$2:$J$530,MATCH('KU UtilityData'!L$1,'KU Inputs'!$C$1:$J$1,0),0)</f>
        <v>168781.15</v>
      </c>
      <c r="M265" s="181">
        <f>VLOOKUP($A265&amp;$B265,'KU Inputs'!$C$2:$J$530,MATCH('KU UtilityData'!M$1,'KU Inputs'!$C$1:$J$1,0),0)</f>
        <v>172124.28850790611</v>
      </c>
      <c r="N265" s="246">
        <f t="shared" si="12"/>
        <v>714.28500000000008</v>
      </c>
      <c r="O265" s="246">
        <f t="shared" si="12"/>
        <v>0.25</v>
      </c>
      <c r="P265" s="159">
        <v>4512</v>
      </c>
      <c r="Q265" s="159">
        <v>1455</v>
      </c>
      <c r="R265" s="271">
        <f t="shared" si="14"/>
        <v>0.39900622944254388</v>
      </c>
    </row>
    <row r="266" spans="1:18" x14ac:dyDescent="0.2">
      <c r="A266" s="147">
        <v>2023</v>
      </c>
      <c r="B266" s="147">
        <v>1</v>
      </c>
      <c r="C266" s="169"/>
      <c r="D266" s="258" t="e">
        <f t="shared" si="13"/>
        <v>#REF!</v>
      </c>
      <c r="E266" s="257" t="e">
        <f>E254*(1.02)</f>
        <v>#REF!</v>
      </c>
      <c r="F266" s="166">
        <v>32.67</v>
      </c>
      <c r="G266" s="148">
        <v>3952.1380492691783</v>
      </c>
      <c r="H266" s="181">
        <f>VLOOKUP($A266&amp;$B266,'KU Inputs'!$C$2:$J$530,MATCH('KU UtilityData'!H$1,'KU Inputs'!$C$1:$J$1,0),0)*1000</f>
        <v>4640466</v>
      </c>
      <c r="I266" s="181">
        <f>VLOOKUP($A266&amp;$B266,'KU Inputs'!$C$2:$J$530,MATCH('KU UtilityData'!I$1,'KU Inputs'!$C$1:$J$1,0),0)*1000</f>
        <v>4742434</v>
      </c>
      <c r="J266" s="181">
        <f>VLOOKUP($A266&amp;$B266,'KU Inputs'!$C$2:$J$530,MATCH('KU UtilityData'!J$1,'KU Inputs'!$C$1:$J$1,0),0)*1000</f>
        <v>1892016</v>
      </c>
      <c r="K266" s="231">
        <v>454158.7</v>
      </c>
      <c r="L266" s="181">
        <f>VLOOKUP($A266&amp;$B266,'KU Inputs'!$C$2:$J$530,MATCH('KU UtilityData'!L$1,'KU Inputs'!$C$1:$J$1,0),0)</f>
        <v>170138.21400000001</v>
      </c>
      <c r="M266" s="181">
        <f>VLOOKUP($A266&amp;$B266,'KU Inputs'!$C$2:$J$530,MATCH('KU UtilityData'!M$1,'KU Inputs'!$C$1:$J$1,0),0)</f>
        <v>173475.42312358608</v>
      </c>
      <c r="N266" s="246">
        <f t="shared" si="12"/>
        <v>991.4375</v>
      </c>
      <c r="O266" s="246">
        <f t="shared" si="12"/>
        <v>0</v>
      </c>
      <c r="P266" s="159">
        <v>4512</v>
      </c>
      <c r="Q266" s="159">
        <v>1455</v>
      </c>
      <c r="R266" s="271">
        <f t="shared" si="14"/>
        <v>0.39895462962689621</v>
      </c>
    </row>
    <row r="267" spans="1:18" x14ac:dyDescent="0.2">
      <c r="A267" s="147">
        <v>2023</v>
      </c>
      <c r="B267" s="147">
        <v>2</v>
      </c>
      <c r="C267" s="169"/>
      <c r="D267" s="258" t="e">
        <f t="shared" si="13"/>
        <v>#REF!</v>
      </c>
      <c r="E267" s="257" t="e">
        <f t="shared" ref="E267:E330" si="15">E255*(1.02)</f>
        <v>#REF!</v>
      </c>
      <c r="F267" s="166">
        <v>29.86</v>
      </c>
      <c r="G267" s="148">
        <v>3954.3384404196413</v>
      </c>
      <c r="H267" s="181">
        <f>VLOOKUP($A267&amp;$B267,'KU Inputs'!$C$2:$J$530,MATCH('KU UtilityData'!H$1,'KU Inputs'!$C$1:$J$1,0),0)*1000</f>
        <v>4640466</v>
      </c>
      <c r="I267" s="181">
        <f>VLOOKUP($A267&amp;$B267,'KU Inputs'!$C$2:$J$530,MATCH('KU UtilityData'!I$1,'KU Inputs'!$C$1:$J$1,0),0)*1000</f>
        <v>4742434</v>
      </c>
      <c r="J267" s="181">
        <f>VLOOKUP($A267&amp;$B267,'KU Inputs'!$C$2:$J$530,MATCH('KU UtilityData'!J$1,'KU Inputs'!$C$1:$J$1,0),0)*1000</f>
        <v>1892016</v>
      </c>
      <c r="K267" s="231">
        <v>454158.7</v>
      </c>
      <c r="L267" s="181">
        <f>VLOOKUP($A267&amp;$B267,'KU Inputs'!$C$2:$J$530,MATCH('KU UtilityData'!L$1,'KU Inputs'!$C$1:$J$1,0),0)</f>
        <v>170138.21400000001</v>
      </c>
      <c r="M267" s="181">
        <f>VLOOKUP($A267&amp;$B267,'KU Inputs'!$C$2:$J$530,MATCH('KU UtilityData'!M$1,'KU Inputs'!$C$1:$J$1,0),0)</f>
        <v>173475.42312358608</v>
      </c>
      <c r="N267" s="246">
        <f t="shared" si="12"/>
        <v>890.05499999999995</v>
      </c>
      <c r="O267" s="246">
        <f t="shared" si="12"/>
        <v>0</v>
      </c>
      <c r="P267" s="159">
        <v>4512</v>
      </c>
      <c r="Q267" s="159">
        <v>1455</v>
      </c>
      <c r="R267" s="271">
        <f t="shared" si="14"/>
        <v>0.39895462962689621</v>
      </c>
    </row>
    <row r="268" spans="1:18" x14ac:dyDescent="0.2">
      <c r="A268" s="147">
        <v>2023</v>
      </c>
      <c r="B268" s="147">
        <v>3</v>
      </c>
      <c r="C268" s="169"/>
      <c r="D268" s="258" t="e">
        <f t="shared" si="13"/>
        <v>#REF!</v>
      </c>
      <c r="E268" s="257" t="e">
        <f t="shared" si="15"/>
        <v>#REF!</v>
      </c>
      <c r="F268" s="166">
        <v>30.29</v>
      </c>
      <c r="G268" s="148">
        <v>3956.5388315701043</v>
      </c>
      <c r="H268" s="181">
        <f>VLOOKUP($A268&amp;$B268,'KU Inputs'!$C$2:$J$530,MATCH('KU UtilityData'!H$1,'KU Inputs'!$C$1:$J$1,0),0)*1000</f>
        <v>4640466</v>
      </c>
      <c r="I268" s="181">
        <f>VLOOKUP($A268&amp;$B268,'KU Inputs'!$C$2:$J$530,MATCH('KU UtilityData'!I$1,'KU Inputs'!$C$1:$J$1,0),0)*1000</f>
        <v>4742434</v>
      </c>
      <c r="J268" s="181">
        <f>VLOOKUP($A268&amp;$B268,'KU Inputs'!$C$2:$J$530,MATCH('KU UtilityData'!J$1,'KU Inputs'!$C$1:$J$1,0),0)*1000</f>
        <v>1892016</v>
      </c>
      <c r="K268" s="231">
        <v>454158.7</v>
      </c>
      <c r="L268" s="181">
        <f>VLOOKUP($A268&amp;$B268,'KU Inputs'!$C$2:$J$530,MATCH('KU UtilityData'!L$1,'KU Inputs'!$C$1:$J$1,0),0)</f>
        <v>170138.21400000001</v>
      </c>
      <c r="M268" s="181">
        <f>VLOOKUP($A268&amp;$B268,'KU Inputs'!$C$2:$J$530,MATCH('KU UtilityData'!M$1,'KU Inputs'!$C$1:$J$1,0),0)</f>
        <v>173475.42312358608</v>
      </c>
      <c r="N268" s="246">
        <f t="shared" si="12"/>
        <v>724.63750000000005</v>
      </c>
      <c r="O268" s="246">
        <f t="shared" si="12"/>
        <v>0.92249999999999999</v>
      </c>
      <c r="P268" s="159">
        <v>4512</v>
      </c>
      <c r="Q268" s="159">
        <v>1455</v>
      </c>
      <c r="R268" s="271">
        <f t="shared" si="14"/>
        <v>0.39895462962689621</v>
      </c>
    </row>
    <row r="269" spans="1:18" x14ac:dyDescent="0.2">
      <c r="A269" s="147">
        <v>2023</v>
      </c>
      <c r="B269" s="147">
        <v>4</v>
      </c>
      <c r="C269" s="169"/>
      <c r="D269" s="258" t="e">
        <f t="shared" si="13"/>
        <v>#REF!</v>
      </c>
      <c r="E269" s="257" t="e">
        <f t="shared" si="15"/>
        <v>#REF!</v>
      </c>
      <c r="F269" s="166">
        <v>30.67</v>
      </c>
      <c r="G269" s="148">
        <v>3958.7392227205673</v>
      </c>
      <c r="H269" s="181">
        <f>VLOOKUP($A269&amp;$B269,'KU Inputs'!$C$2:$J$530,MATCH('KU UtilityData'!H$1,'KU Inputs'!$C$1:$J$1,0),0)*1000</f>
        <v>4646202</v>
      </c>
      <c r="I269" s="181">
        <f>VLOOKUP($A269&amp;$B269,'KU Inputs'!$C$2:$J$530,MATCH('KU UtilityData'!I$1,'KU Inputs'!$C$1:$J$1,0),0)*1000</f>
        <v>4750558</v>
      </c>
      <c r="J269" s="181">
        <f>VLOOKUP($A269&amp;$B269,'KU Inputs'!$C$2:$J$530,MATCH('KU UtilityData'!J$1,'KU Inputs'!$C$1:$J$1,0),0)*1000</f>
        <v>1894974</v>
      </c>
      <c r="K269" s="231">
        <v>454889.74</v>
      </c>
      <c r="L269" s="181">
        <f>VLOOKUP($A269&amp;$B269,'KU Inputs'!$C$2:$J$530,MATCH('KU UtilityData'!L$1,'KU Inputs'!$C$1:$J$1,0),0)</f>
        <v>171101.02100000001</v>
      </c>
      <c r="M269" s="181">
        <f>VLOOKUP($A269&amp;$B269,'KU Inputs'!$C$2:$J$530,MATCH('KU UtilityData'!M$1,'KU Inputs'!$C$1:$J$1,0),0)</f>
        <v>174492.75194418832</v>
      </c>
      <c r="N269" s="246">
        <f t="shared" si="12"/>
        <v>433.4375</v>
      </c>
      <c r="O269" s="246">
        <f t="shared" si="12"/>
        <v>13.477500000000001</v>
      </c>
      <c r="P269" s="159">
        <v>4512</v>
      </c>
      <c r="Q269" s="159">
        <v>1455</v>
      </c>
      <c r="R269" s="271">
        <f t="shared" si="14"/>
        <v>0.39889503506745944</v>
      </c>
    </row>
    <row r="270" spans="1:18" x14ac:dyDescent="0.2">
      <c r="A270" s="147">
        <v>2023</v>
      </c>
      <c r="B270" s="147">
        <v>5</v>
      </c>
      <c r="C270" s="169"/>
      <c r="D270" s="258" t="e">
        <f t="shared" si="13"/>
        <v>#REF!</v>
      </c>
      <c r="E270" s="257" t="e">
        <f t="shared" si="15"/>
        <v>#REF!</v>
      </c>
      <c r="F270" s="166">
        <v>29.71</v>
      </c>
      <c r="G270" s="148">
        <v>3960.9396138710299</v>
      </c>
      <c r="H270" s="181">
        <f>VLOOKUP($A270&amp;$B270,'KU Inputs'!$C$2:$J$530,MATCH('KU UtilityData'!H$1,'KU Inputs'!$C$1:$J$1,0),0)*1000</f>
        <v>4646202</v>
      </c>
      <c r="I270" s="181">
        <f>VLOOKUP($A270&amp;$B270,'KU Inputs'!$C$2:$J$530,MATCH('KU UtilityData'!I$1,'KU Inputs'!$C$1:$J$1,0),0)*1000</f>
        <v>4750558</v>
      </c>
      <c r="J270" s="181">
        <f>VLOOKUP($A270&amp;$B270,'KU Inputs'!$C$2:$J$530,MATCH('KU UtilityData'!J$1,'KU Inputs'!$C$1:$J$1,0),0)*1000</f>
        <v>1894974</v>
      </c>
      <c r="K270" s="231">
        <v>454889.74</v>
      </c>
      <c r="L270" s="181">
        <f>VLOOKUP($A270&amp;$B270,'KU Inputs'!$C$2:$J$530,MATCH('KU UtilityData'!L$1,'KU Inputs'!$C$1:$J$1,0),0)</f>
        <v>171101.02100000001</v>
      </c>
      <c r="M270" s="181">
        <f>VLOOKUP($A270&amp;$B270,'KU Inputs'!$C$2:$J$530,MATCH('KU UtilityData'!M$1,'KU Inputs'!$C$1:$J$1,0),0)</f>
        <v>174492.75194418832</v>
      </c>
      <c r="N270" s="246">
        <f t="shared" si="12"/>
        <v>189.125</v>
      </c>
      <c r="O270" s="246">
        <f t="shared" si="12"/>
        <v>46.06</v>
      </c>
      <c r="P270" s="159">
        <v>4512</v>
      </c>
      <c r="Q270" s="159">
        <v>1455</v>
      </c>
      <c r="R270" s="271">
        <f t="shared" si="14"/>
        <v>0.39889503506745944</v>
      </c>
    </row>
    <row r="271" spans="1:18" x14ac:dyDescent="0.2">
      <c r="A271" s="147">
        <v>2023</v>
      </c>
      <c r="B271" s="147">
        <v>6</v>
      </c>
      <c r="C271" s="169"/>
      <c r="D271" s="258" t="e">
        <f t="shared" si="13"/>
        <v>#REF!</v>
      </c>
      <c r="E271" s="257" t="e">
        <f t="shared" si="15"/>
        <v>#REF!</v>
      </c>
      <c r="F271" s="166">
        <v>30.62</v>
      </c>
      <c r="G271" s="148">
        <v>3963.1400050214911</v>
      </c>
      <c r="H271" s="181">
        <f>VLOOKUP($A271&amp;$B271,'KU Inputs'!$C$2:$J$530,MATCH('KU UtilityData'!H$1,'KU Inputs'!$C$1:$J$1,0),0)*1000</f>
        <v>4646202</v>
      </c>
      <c r="I271" s="181">
        <f>VLOOKUP($A271&amp;$B271,'KU Inputs'!$C$2:$J$530,MATCH('KU UtilityData'!I$1,'KU Inputs'!$C$1:$J$1,0),0)*1000</f>
        <v>4750558</v>
      </c>
      <c r="J271" s="181">
        <f>VLOOKUP($A271&amp;$B271,'KU Inputs'!$C$2:$J$530,MATCH('KU UtilityData'!J$1,'KU Inputs'!$C$1:$J$1,0),0)*1000</f>
        <v>1894974</v>
      </c>
      <c r="K271" s="231">
        <v>454889.74</v>
      </c>
      <c r="L271" s="181">
        <f>VLOOKUP($A271&amp;$B271,'KU Inputs'!$C$2:$J$530,MATCH('KU UtilityData'!L$1,'KU Inputs'!$C$1:$J$1,0),0)</f>
        <v>171101.02100000001</v>
      </c>
      <c r="M271" s="181">
        <f>VLOOKUP($A271&amp;$B271,'KU Inputs'!$C$2:$J$530,MATCH('KU UtilityData'!M$1,'KU Inputs'!$C$1:$J$1,0),0)</f>
        <v>174492.75194418832</v>
      </c>
      <c r="N271" s="246">
        <f t="shared" si="12"/>
        <v>50.362499999999997</v>
      </c>
      <c r="O271" s="246">
        <f t="shared" si="12"/>
        <v>166.4075</v>
      </c>
      <c r="P271" s="159">
        <v>4512</v>
      </c>
      <c r="Q271" s="159">
        <v>1455</v>
      </c>
      <c r="R271" s="271">
        <f t="shared" si="14"/>
        <v>0.39889503506745944</v>
      </c>
    </row>
    <row r="272" spans="1:18" x14ac:dyDescent="0.2">
      <c r="A272" s="147">
        <v>2023</v>
      </c>
      <c r="B272" s="147">
        <v>7</v>
      </c>
      <c r="C272" s="169"/>
      <c r="D272" s="258" t="e">
        <f t="shared" si="13"/>
        <v>#REF!</v>
      </c>
      <c r="E272" s="257" t="e">
        <f t="shared" si="15"/>
        <v>#REF!</v>
      </c>
      <c r="F272" s="166">
        <v>30.81</v>
      </c>
      <c r="G272" s="148">
        <v>3965.3174248267569</v>
      </c>
      <c r="H272" s="181">
        <f>VLOOKUP($A272&amp;$B272,'KU Inputs'!$C$2:$J$530,MATCH('KU UtilityData'!H$1,'KU Inputs'!$C$1:$J$1,0),0)*1000</f>
        <v>4651880</v>
      </c>
      <c r="I272" s="181">
        <f>VLOOKUP($A272&amp;$B272,'KU Inputs'!$C$2:$J$530,MATCH('KU UtilityData'!I$1,'KU Inputs'!$C$1:$J$1,0),0)*1000</f>
        <v>4758649</v>
      </c>
      <c r="J272" s="181">
        <f>VLOOKUP($A272&amp;$B272,'KU Inputs'!$C$2:$J$530,MATCH('KU UtilityData'!J$1,'KU Inputs'!$C$1:$J$1,0),0)*1000</f>
        <v>1897896</v>
      </c>
      <c r="K272" s="231">
        <v>455610.93</v>
      </c>
      <c r="L272" s="181">
        <f>VLOOKUP($A272&amp;$B272,'KU Inputs'!$C$2:$J$530,MATCH('KU UtilityData'!L$1,'KU Inputs'!$C$1:$J$1,0),0)</f>
        <v>172007.791</v>
      </c>
      <c r="M272" s="181">
        <f>VLOOKUP($A272&amp;$B272,'KU Inputs'!$C$2:$J$530,MATCH('KU UtilityData'!M$1,'KU Inputs'!$C$1:$J$1,0),0)</f>
        <v>175470.4051019061</v>
      </c>
      <c r="N272" s="246">
        <f t="shared" si="12"/>
        <v>1.625</v>
      </c>
      <c r="O272" s="246">
        <f t="shared" si="12"/>
        <v>326.005</v>
      </c>
      <c r="P272" s="159">
        <v>4512</v>
      </c>
      <c r="Q272" s="159">
        <v>1455</v>
      </c>
      <c r="R272" s="271">
        <f t="shared" si="14"/>
        <v>0.39883084463678664</v>
      </c>
    </row>
    <row r="273" spans="1:18" x14ac:dyDescent="0.2">
      <c r="A273" s="147">
        <v>2023</v>
      </c>
      <c r="B273" s="147">
        <v>8</v>
      </c>
      <c r="C273" s="169"/>
      <c r="D273" s="258" t="e">
        <f t="shared" si="13"/>
        <v>#REF!</v>
      </c>
      <c r="E273" s="257" t="e">
        <f t="shared" si="15"/>
        <v>#REF!</v>
      </c>
      <c r="F273" s="166">
        <v>29.43</v>
      </c>
      <c r="G273" s="148">
        <v>3967.4948446320232</v>
      </c>
      <c r="H273" s="181">
        <f>VLOOKUP($A273&amp;$B273,'KU Inputs'!$C$2:$J$530,MATCH('KU UtilityData'!H$1,'KU Inputs'!$C$1:$J$1,0),0)*1000</f>
        <v>4651880</v>
      </c>
      <c r="I273" s="181">
        <f>VLOOKUP($A273&amp;$B273,'KU Inputs'!$C$2:$J$530,MATCH('KU UtilityData'!I$1,'KU Inputs'!$C$1:$J$1,0),0)*1000</f>
        <v>4758649</v>
      </c>
      <c r="J273" s="181">
        <f>VLOOKUP($A273&amp;$B273,'KU Inputs'!$C$2:$J$530,MATCH('KU UtilityData'!J$1,'KU Inputs'!$C$1:$J$1,0),0)*1000</f>
        <v>1897896</v>
      </c>
      <c r="K273" s="231">
        <v>455610.93</v>
      </c>
      <c r="L273" s="181">
        <f>VLOOKUP($A273&amp;$B273,'KU Inputs'!$C$2:$J$530,MATCH('KU UtilityData'!L$1,'KU Inputs'!$C$1:$J$1,0),0)</f>
        <v>172007.791</v>
      </c>
      <c r="M273" s="181">
        <f>VLOOKUP($A273&amp;$B273,'KU Inputs'!$C$2:$J$530,MATCH('KU UtilityData'!M$1,'KU Inputs'!$C$1:$J$1,0),0)</f>
        <v>175470.4051019061</v>
      </c>
      <c r="N273" s="246">
        <f t="shared" si="12"/>
        <v>0.75</v>
      </c>
      <c r="O273" s="246">
        <f t="shared" si="12"/>
        <v>348.8175</v>
      </c>
      <c r="P273" s="159">
        <v>4512</v>
      </c>
      <c r="Q273" s="159">
        <v>1455</v>
      </c>
      <c r="R273" s="271">
        <f t="shared" si="14"/>
        <v>0.39883084463678664</v>
      </c>
    </row>
    <row r="274" spans="1:18" x14ac:dyDescent="0.2">
      <c r="A274" s="147">
        <v>2023</v>
      </c>
      <c r="B274" s="147">
        <v>9</v>
      </c>
      <c r="C274" s="169"/>
      <c r="D274" s="258" t="e">
        <f t="shared" si="13"/>
        <v>#REF!</v>
      </c>
      <c r="E274" s="257" t="e">
        <f t="shared" si="15"/>
        <v>#REF!</v>
      </c>
      <c r="F274" s="166">
        <v>30.57</v>
      </c>
      <c r="G274" s="148">
        <v>3969.672264437289</v>
      </c>
      <c r="H274" s="181">
        <f>VLOOKUP($A274&amp;$B274,'KU Inputs'!$C$2:$J$530,MATCH('KU UtilityData'!H$1,'KU Inputs'!$C$1:$J$1,0),0)*1000</f>
        <v>4651880</v>
      </c>
      <c r="I274" s="181">
        <f>VLOOKUP($A274&amp;$B274,'KU Inputs'!$C$2:$J$530,MATCH('KU UtilityData'!I$1,'KU Inputs'!$C$1:$J$1,0),0)*1000</f>
        <v>4758649</v>
      </c>
      <c r="J274" s="181">
        <f>VLOOKUP($A274&amp;$B274,'KU Inputs'!$C$2:$J$530,MATCH('KU UtilityData'!J$1,'KU Inputs'!$C$1:$J$1,0),0)*1000</f>
        <v>1897896</v>
      </c>
      <c r="K274" s="231">
        <v>455610.93</v>
      </c>
      <c r="L274" s="181">
        <f>VLOOKUP($A274&amp;$B274,'KU Inputs'!$C$2:$J$530,MATCH('KU UtilityData'!L$1,'KU Inputs'!$C$1:$J$1,0),0)</f>
        <v>172007.791</v>
      </c>
      <c r="M274" s="181">
        <f>VLOOKUP($A274&amp;$B274,'KU Inputs'!$C$2:$J$530,MATCH('KU UtilityData'!M$1,'KU Inputs'!$C$1:$J$1,0),0)</f>
        <v>175470.4051019061</v>
      </c>
      <c r="N274" s="246">
        <f t="shared" si="12"/>
        <v>11.752500000000001</v>
      </c>
      <c r="O274" s="246">
        <f t="shared" si="12"/>
        <v>258.88</v>
      </c>
      <c r="P274" s="159">
        <v>4512</v>
      </c>
      <c r="Q274" s="159">
        <v>1455</v>
      </c>
      <c r="R274" s="271">
        <f t="shared" si="14"/>
        <v>0.39883084463678664</v>
      </c>
    </row>
    <row r="275" spans="1:18" x14ac:dyDescent="0.2">
      <c r="A275" s="147">
        <v>2023</v>
      </c>
      <c r="B275" s="147">
        <v>10</v>
      </c>
      <c r="C275" s="169"/>
      <c r="D275" s="258" t="e">
        <f t="shared" si="13"/>
        <v>#REF!</v>
      </c>
      <c r="E275" s="257" t="e">
        <f t="shared" si="15"/>
        <v>#REF!</v>
      </c>
      <c r="F275" s="166">
        <v>29.67</v>
      </c>
      <c r="G275" s="148">
        <v>3971.8496842425548</v>
      </c>
      <c r="H275" s="181">
        <f>VLOOKUP($A275&amp;$B275,'KU Inputs'!$C$2:$J$530,MATCH('KU UtilityData'!H$1,'KU Inputs'!$C$1:$J$1,0),0)*1000</f>
        <v>4657498</v>
      </c>
      <c r="I275" s="181">
        <f>VLOOKUP($A275&amp;$B275,'KU Inputs'!$C$2:$J$530,MATCH('KU UtilityData'!I$1,'KU Inputs'!$C$1:$J$1,0),0)*1000</f>
        <v>4766709</v>
      </c>
      <c r="J275" s="181">
        <f>VLOOKUP($A275&amp;$B275,'KU Inputs'!$C$2:$J$530,MATCH('KU UtilityData'!J$1,'KU Inputs'!$C$1:$J$1,0),0)*1000</f>
        <v>1900654</v>
      </c>
      <c r="K275" s="231">
        <v>456727.71</v>
      </c>
      <c r="L275" s="181">
        <f>VLOOKUP($A275&amp;$B275,'KU Inputs'!$C$2:$J$530,MATCH('KU UtilityData'!L$1,'KU Inputs'!$C$1:$J$1,0),0)</f>
        <v>172918.79399999999</v>
      </c>
      <c r="M275" s="181">
        <f>VLOOKUP($A275&amp;$B275,'KU Inputs'!$C$2:$J$530,MATCH('KU UtilityData'!M$1,'KU Inputs'!$C$1:$J$1,0),0)</f>
        <v>176432.43907674521</v>
      </c>
      <c r="N275" s="246">
        <f t="shared" si="12"/>
        <v>134.87</v>
      </c>
      <c r="O275" s="246">
        <f t="shared" si="12"/>
        <v>71.42</v>
      </c>
      <c r="P275" s="159">
        <v>4512</v>
      </c>
      <c r="Q275" s="159">
        <v>1455</v>
      </c>
      <c r="R275" s="271">
        <f t="shared" si="14"/>
        <v>0.39873506018512983</v>
      </c>
    </row>
    <row r="276" spans="1:18" x14ac:dyDescent="0.2">
      <c r="A276" s="147">
        <v>2023</v>
      </c>
      <c r="B276" s="147">
        <v>11</v>
      </c>
      <c r="C276" s="169"/>
      <c r="D276" s="258" t="e">
        <f t="shared" si="13"/>
        <v>#REF!</v>
      </c>
      <c r="E276" s="257" t="e">
        <f t="shared" si="15"/>
        <v>#REF!</v>
      </c>
      <c r="F276" s="166">
        <v>30.05</v>
      </c>
      <c r="G276" s="148">
        <v>3974.027104047821</v>
      </c>
      <c r="H276" s="181">
        <f>VLOOKUP($A276&amp;$B276,'KU Inputs'!$C$2:$J$530,MATCH('KU UtilityData'!H$1,'KU Inputs'!$C$1:$J$1,0),0)*1000</f>
        <v>4657498</v>
      </c>
      <c r="I276" s="181">
        <f>VLOOKUP($A276&amp;$B276,'KU Inputs'!$C$2:$J$530,MATCH('KU UtilityData'!I$1,'KU Inputs'!$C$1:$J$1,0),0)*1000</f>
        <v>4766709</v>
      </c>
      <c r="J276" s="181">
        <f>VLOOKUP($A276&amp;$B276,'KU Inputs'!$C$2:$J$530,MATCH('KU UtilityData'!J$1,'KU Inputs'!$C$1:$J$1,0),0)*1000</f>
        <v>1900654</v>
      </c>
      <c r="K276" s="231">
        <v>456727.71</v>
      </c>
      <c r="L276" s="181">
        <f>VLOOKUP($A276&amp;$B276,'KU Inputs'!$C$2:$J$530,MATCH('KU UtilityData'!L$1,'KU Inputs'!$C$1:$J$1,0),0)</f>
        <v>172918.79399999999</v>
      </c>
      <c r="M276" s="181">
        <f>VLOOKUP($A276&amp;$B276,'KU Inputs'!$C$2:$J$530,MATCH('KU UtilityData'!M$1,'KU Inputs'!$C$1:$J$1,0),0)</f>
        <v>176432.43907674521</v>
      </c>
      <c r="N276" s="246">
        <f t="shared" si="12"/>
        <v>396.30250000000001</v>
      </c>
      <c r="O276" s="246">
        <f t="shared" si="12"/>
        <v>6.6950000000000003</v>
      </c>
      <c r="P276" s="159">
        <v>4512</v>
      </c>
      <c r="Q276" s="159">
        <v>1455</v>
      </c>
      <c r="R276" s="271">
        <f t="shared" si="14"/>
        <v>0.39873506018512983</v>
      </c>
    </row>
    <row r="277" spans="1:18" x14ac:dyDescent="0.2">
      <c r="A277" s="147">
        <v>2023</v>
      </c>
      <c r="B277" s="147">
        <v>12</v>
      </c>
      <c r="C277" s="169"/>
      <c r="D277" s="258" t="e">
        <f t="shared" si="13"/>
        <v>#REF!</v>
      </c>
      <c r="E277" s="257" t="e">
        <f t="shared" si="15"/>
        <v>#REF!</v>
      </c>
      <c r="F277" s="166">
        <v>30.67</v>
      </c>
      <c r="G277" s="148">
        <v>3976.2045238530868</v>
      </c>
      <c r="H277" s="181">
        <f>VLOOKUP($A277&amp;$B277,'KU Inputs'!$C$2:$J$530,MATCH('KU UtilityData'!H$1,'KU Inputs'!$C$1:$J$1,0),0)*1000</f>
        <v>4657498</v>
      </c>
      <c r="I277" s="181">
        <f>VLOOKUP($A277&amp;$B277,'KU Inputs'!$C$2:$J$530,MATCH('KU UtilityData'!I$1,'KU Inputs'!$C$1:$J$1,0),0)*1000</f>
        <v>4766709</v>
      </c>
      <c r="J277" s="181">
        <f>VLOOKUP($A277&amp;$B277,'KU Inputs'!$C$2:$J$530,MATCH('KU UtilityData'!J$1,'KU Inputs'!$C$1:$J$1,0),0)*1000</f>
        <v>1900654</v>
      </c>
      <c r="K277" s="231">
        <v>456727.71</v>
      </c>
      <c r="L277" s="181">
        <f>VLOOKUP($A277&amp;$B277,'KU Inputs'!$C$2:$J$530,MATCH('KU UtilityData'!L$1,'KU Inputs'!$C$1:$J$1,0),0)</f>
        <v>172918.79399999999</v>
      </c>
      <c r="M277" s="181">
        <f>VLOOKUP($A277&amp;$B277,'KU Inputs'!$C$2:$J$530,MATCH('KU UtilityData'!M$1,'KU Inputs'!$C$1:$J$1,0),0)</f>
        <v>176432.43907674521</v>
      </c>
      <c r="N277" s="246">
        <f t="shared" si="12"/>
        <v>714.28500000000008</v>
      </c>
      <c r="O277" s="246">
        <f t="shared" si="12"/>
        <v>0.25</v>
      </c>
      <c r="P277" s="159">
        <v>4512</v>
      </c>
      <c r="Q277" s="159">
        <v>1455</v>
      </c>
      <c r="R277" s="271">
        <f t="shared" si="14"/>
        <v>0.39873506018512983</v>
      </c>
    </row>
    <row r="278" spans="1:18" x14ac:dyDescent="0.2">
      <c r="A278" s="147">
        <v>2024</v>
      </c>
      <c r="B278" s="147">
        <v>1</v>
      </c>
      <c r="C278" s="169"/>
      <c r="D278" s="258" t="e">
        <f t="shared" si="13"/>
        <v>#REF!</v>
      </c>
      <c r="E278" s="257" t="e">
        <f t="shared" si="15"/>
        <v>#REF!</v>
      </c>
      <c r="F278" s="166">
        <v>32.67</v>
      </c>
      <c r="G278" s="148">
        <v>3978.3819436583526</v>
      </c>
      <c r="H278" s="181">
        <f>VLOOKUP($A278&amp;$B278,'KU Inputs'!$C$2:$J$530,MATCH('KU UtilityData'!H$1,'KU Inputs'!$C$1:$J$1,0),0)*1000</f>
        <v>4663069</v>
      </c>
      <c r="I278" s="181">
        <f>VLOOKUP($A278&amp;$B278,'KU Inputs'!$C$2:$J$530,MATCH('KU UtilityData'!I$1,'KU Inputs'!$C$1:$J$1,0),0)*1000</f>
        <v>4774749</v>
      </c>
      <c r="J278" s="181">
        <f>VLOOKUP($A278&amp;$B278,'KU Inputs'!$C$2:$J$530,MATCH('KU UtilityData'!J$1,'KU Inputs'!$C$1:$J$1,0),0)*1000</f>
        <v>1904035</v>
      </c>
      <c r="K278" s="231">
        <v>457266.53</v>
      </c>
      <c r="L278" s="181">
        <f>VLOOKUP($A278&amp;$B278,'KU Inputs'!$C$2:$J$530,MATCH('KU UtilityData'!L$1,'KU Inputs'!$C$1:$J$1,0),0)</f>
        <v>174458.15100000001</v>
      </c>
      <c r="M278" s="181">
        <f>VLOOKUP($A278&amp;$B278,'KU Inputs'!$C$2:$J$530,MATCH('KU UtilityData'!M$1,'KU Inputs'!$C$1:$J$1,0),0)</f>
        <v>178033.21975543263</v>
      </c>
      <c r="N278" s="246">
        <f t="shared" ref="N278:O297" si="16">N266</f>
        <v>991.4375</v>
      </c>
      <c r="O278" s="246">
        <f t="shared" si="16"/>
        <v>0</v>
      </c>
      <c r="P278" s="159">
        <v>4512</v>
      </c>
      <c r="Q278" s="159">
        <v>1455</v>
      </c>
      <c r="R278" s="271">
        <f t="shared" si="14"/>
        <v>0.39877174695465667</v>
      </c>
    </row>
    <row r="279" spans="1:18" x14ac:dyDescent="0.2">
      <c r="A279" s="147">
        <v>2024</v>
      </c>
      <c r="B279" s="147">
        <v>2</v>
      </c>
      <c r="C279" s="169"/>
      <c r="D279" s="258" t="e">
        <f t="shared" si="13"/>
        <v>#REF!</v>
      </c>
      <c r="E279" s="257" t="e">
        <f t="shared" si="15"/>
        <v>#REF!</v>
      </c>
      <c r="F279" s="166">
        <v>29.86</v>
      </c>
      <c r="G279" s="148">
        <v>3980.5593634636189</v>
      </c>
      <c r="H279" s="181">
        <f>VLOOKUP($A279&amp;$B279,'KU Inputs'!$C$2:$J$530,MATCH('KU UtilityData'!H$1,'KU Inputs'!$C$1:$J$1,0),0)*1000</f>
        <v>4663069</v>
      </c>
      <c r="I279" s="181">
        <f>VLOOKUP($A279&amp;$B279,'KU Inputs'!$C$2:$J$530,MATCH('KU UtilityData'!I$1,'KU Inputs'!$C$1:$J$1,0),0)*1000</f>
        <v>4774749</v>
      </c>
      <c r="J279" s="181">
        <f>VLOOKUP($A279&amp;$B279,'KU Inputs'!$C$2:$J$530,MATCH('KU UtilityData'!J$1,'KU Inputs'!$C$1:$J$1,0),0)*1000</f>
        <v>1904035</v>
      </c>
      <c r="K279" s="231">
        <v>457266.53</v>
      </c>
      <c r="L279" s="181">
        <f>VLOOKUP($A279&amp;$B279,'KU Inputs'!$C$2:$J$530,MATCH('KU UtilityData'!L$1,'KU Inputs'!$C$1:$J$1,0),0)</f>
        <v>174458.15100000001</v>
      </c>
      <c r="M279" s="181">
        <f>VLOOKUP($A279&amp;$B279,'KU Inputs'!$C$2:$J$530,MATCH('KU UtilityData'!M$1,'KU Inputs'!$C$1:$J$1,0),0)</f>
        <v>178033.21975543263</v>
      </c>
      <c r="N279" s="246">
        <f t="shared" si="16"/>
        <v>890.05499999999995</v>
      </c>
      <c r="O279" s="246">
        <f t="shared" si="16"/>
        <v>0</v>
      </c>
      <c r="P279" s="159">
        <v>4512</v>
      </c>
      <c r="Q279" s="159">
        <v>1455</v>
      </c>
      <c r="R279" s="271">
        <f t="shared" si="14"/>
        <v>0.39877174695465667</v>
      </c>
    </row>
    <row r="280" spans="1:18" x14ac:dyDescent="0.2">
      <c r="A280" s="147">
        <v>2024</v>
      </c>
      <c r="B280" s="147">
        <v>3</v>
      </c>
      <c r="C280" s="169"/>
      <c r="D280" s="258" t="e">
        <f t="shared" si="13"/>
        <v>#REF!</v>
      </c>
      <c r="E280" s="257" t="e">
        <f t="shared" si="15"/>
        <v>#REF!</v>
      </c>
      <c r="F280" s="166">
        <v>30.43</v>
      </c>
      <c r="G280" s="148">
        <v>3982.7367832688847</v>
      </c>
      <c r="H280" s="181">
        <f>VLOOKUP($A280&amp;$B280,'KU Inputs'!$C$2:$J$530,MATCH('KU UtilityData'!H$1,'KU Inputs'!$C$1:$J$1,0),0)*1000</f>
        <v>4663069</v>
      </c>
      <c r="I280" s="181">
        <f>VLOOKUP($A280&amp;$B280,'KU Inputs'!$C$2:$J$530,MATCH('KU UtilityData'!I$1,'KU Inputs'!$C$1:$J$1,0),0)*1000</f>
        <v>4774749</v>
      </c>
      <c r="J280" s="181">
        <f>VLOOKUP($A280&amp;$B280,'KU Inputs'!$C$2:$J$530,MATCH('KU UtilityData'!J$1,'KU Inputs'!$C$1:$J$1,0),0)*1000</f>
        <v>1904035</v>
      </c>
      <c r="K280" s="231">
        <v>457266.53</v>
      </c>
      <c r="L280" s="181">
        <f>VLOOKUP($A280&amp;$B280,'KU Inputs'!$C$2:$J$530,MATCH('KU UtilityData'!L$1,'KU Inputs'!$C$1:$J$1,0),0)</f>
        <v>174458.15100000001</v>
      </c>
      <c r="M280" s="181">
        <f>VLOOKUP($A280&amp;$B280,'KU Inputs'!$C$2:$J$530,MATCH('KU UtilityData'!M$1,'KU Inputs'!$C$1:$J$1,0),0)</f>
        <v>178033.21975543263</v>
      </c>
      <c r="N280" s="246">
        <f t="shared" si="16"/>
        <v>724.63750000000005</v>
      </c>
      <c r="O280" s="246">
        <f t="shared" si="16"/>
        <v>0.92249999999999999</v>
      </c>
      <c r="P280" s="159">
        <v>4512</v>
      </c>
      <c r="Q280" s="159">
        <v>1455</v>
      </c>
      <c r="R280" s="271">
        <f t="shared" si="14"/>
        <v>0.39877174695465667</v>
      </c>
    </row>
    <row r="281" spans="1:18" x14ac:dyDescent="0.2">
      <c r="A281" s="147">
        <v>2024</v>
      </c>
      <c r="B281" s="147">
        <v>4</v>
      </c>
      <c r="C281" s="169"/>
      <c r="D281" s="258" t="e">
        <f t="shared" si="13"/>
        <v>#REF!</v>
      </c>
      <c r="E281" s="257" t="e">
        <f t="shared" si="15"/>
        <v>#REF!</v>
      </c>
      <c r="F281" s="166">
        <v>30.71</v>
      </c>
      <c r="G281" s="148">
        <v>3984.9142030741509</v>
      </c>
      <c r="H281" s="181">
        <f>VLOOKUP($A281&amp;$B281,'KU Inputs'!$C$2:$J$530,MATCH('KU UtilityData'!H$1,'KU Inputs'!$C$1:$J$1,0),0)*1000</f>
        <v>4668591</v>
      </c>
      <c r="I281" s="181">
        <f>VLOOKUP($A281&amp;$B281,'KU Inputs'!$C$2:$J$530,MATCH('KU UtilityData'!I$1,'KU Inputs'!$C$1:$J$1,0),0)*1000</f>
        <v>4782770</v>
      </c>
      <c r="J281" s="181">
        <f>VLOOKUP($A281&amp;$B281,'KU Inputs'!$C$2:$J$530,MATCH('KU UtilityData'!J$1,'KU Inputs'!$C$1:$J$1,0),0)*1000</f>
        <v>1907376</v>
      </c>
      <c r="K281" s="231">
        <v>457841.65</v>
      </c>
      <c r="L281" s="181">
        <f>VLOOKUP($A281&amp;$B281,'KU Inputs'!$C$2:$J$530,MATCH('KU UtilityData'!L$1,'KU Inputs'!$C$1:$J$1,0),0)</f>
        <v>175426.49799999999</v>
      </c>
      <c r="M281" s="181">
        <f>VLOOKUP($A281&amp;$B281,'KU Inputs'!$C$2:$J$530,MATCH('KU UtilityData'!M$1,'KU Inputs'!$C$1:$J$1,0),0)</f>
        <v>179011.21783820438</v>
      </c>
      <c r="N281" s="246">
        <f t="shared" si="16"/>
        <v>433.4375</v>
      </c>
      <c r="O281" s="246">
        <f t="shared" si="16"/>
        <v>13.477500000000001</v>
      </c>
      <c r="P281" s="159">
        <v>4512</v>
      </c>
      <c r="Q281" s="159">
        <v>1455</v>
      </c>
      <c r="R281" s="271">
        <f t="shared" si="14"/>
        <v>0.3988015313301706</v>
      </c>
    </row>
    <row r="282" spans="1:18" x14ac:dyDescent="0.2">
      <c r="A282" s="147">
        <v>2024</v>
      </c>
      <c r="B282" s="147">
        <v>5</v>
      </c>
      <c r="C282" s="169"/>
      <c r="D282" s="258" t="e">
        <f t="shared" si="13"/>
        <v>#REF!</v>
      </c>
      <c r="E282" s="257" t="e">
        <f t="shared" si="15"/>
        <v>#REF!</v>
      </c>
      <c r="F282" s="166">
        <v>29.52</v>
      </c>
      <c r="G282" s="148">
        <v>3987.0916228794167</v>
      </c>
      <c r="H282" s="181">
        <f>VLOOKUP($A282&amp;$B282,'KU Inputs'!$C$2:$J$530,MATCH('KU UtilityData'!H$1,'KU Inputs'!$C$1:$J$1,0),0)*1000</f>
        <v>4668591</v>
      </c>
      <c r="I282" s="181">
        <f>VLOOKUP($A282&amp;$B282,'KU Inputs'!$C$2:$J$530,MATCH('KU UtilityData'!I$1,'KU Inputs'!$C$1:$J$1,0),0)*1000</f>
        <v>4782770</v>
      </c>
      <c r="J282" s="181">
        <f>VLOOKUP($A282&amp;$B282,'KU Inputs'!$C$2:$J$530,MATCH('KU UtilityData'!J$1,'KU Inputs'!$C$1:$J$1,0),0)*1000</f>
        <v>1907376</v>
      </c>
      <c r="K282" s="231">
        <v>457841.65</v>
      </c>
      <c r="L282" s="181">
        <f>VLOOKUP($A282&amp;$B282,'KU Inputs'!$C$2:$J$530,MATCH('KU UtilityData'!L$1,'KU Inputs'!$C$1:$J$1,0),0)</f>
        <v>175426.49799999999</v>
      </c>
      <c r="M282" s="181">
        <f>VLOOKUP($A282&amp;$B282,'KU Inputs'!$C$2:$J$530,MATCH('KU UtilityData'!M$1,'KU Inputs'!$C$1:$J$1,0),0)</f>
        <v>179011.21783820438</v>
      </c>
      <c r="N282" s="246">
        <f t="shared" si="16"/>
        <v>189.125</v>
      </c>
      <c r="O282" s="246">
        <f t="shared" si="16"/>
        <v>46.06</v>
      </c>
      <c r="P282" s="159">
        <v>4512</v>
      </c>
      <c r="Q282" s="159">
        <v>1455</v>
      </c>
      <c r="R282" s="271">
        <f t="shared" si="14"/>
        <v>0.3988015313301706</v>
      </c>
    </row>
    <row r="283" spans="1:18" x14ac:dyDescent="0.2">
      <c r="A283" s="147">
        <v>2024</v>
      </c>
      <c r="B283" s="147">
        <v>6</v>
      </c>
      <c r="C283" s="169"/>
      <c r="D283" s="258" t="e">
        <f t="shared" si="13"/>
        <v>#REF!</v>
      </c>
      <c r="E283" s="257" t="e">
        <f t="shared" si="15"/>
        <v>#REF!</v>
      </c>
      <c r="F283" s="166">
        <v>30.62</v>
      </c>
      <c r="G283" s="148">
        <v>3989.2690426846852</v>
      </c>
      <c r="H283" s="181">
        <f>VLOOKUP($A283&amp;$B283,'KU Inputs'!$C$2:$J$530,MATCH('KU UtilityData'!H$1,'KU Inputs'!$C$1:$J$1,0),0)*1000</f>
        <v>4668591</v>
      </c>
      <c r="I283" s="181">
        <f>VLOOKUP($A283&amp;$B283,'KU Inputs'!$C$2:$J$530,MATCH('KU UtilityData'!I$1,'KU Inputs'!$C$1:$J$1,0),0)*1000</f>
        <v>4782770</v>
      </c>
      <c r="J283" s="181">
        <f>VLOOKUP($A283&amp;$B283,'KU Inputs'!$C$2:$J$530,MATCH('KU UtilityData'!J$1,'KU Inputs'!$C$1:$J$1,0),0)*1000</f>
        <v>1907376</v>
      </c>
      <c r="K283" s="231">
        <v>457841.65</v>
      </c>
      <c r="L283" s="181">
        <f>VLOOKUP($A283&amp;$B283,'KU Inputs'!$C$2:$J$530,MATCH('KU UtilityData'!L$1,'KU Inputs'!$C$1:$J$1,0),0)</f>
        <v>175426.49799999999</v>
      </c>
      <c r="M283" s="181">
        <f>VLOOKUP($A283&amp;$B283,'KU Inputs'!$C$2:$J$530,MATCH('KU UtilityData'!M$1,'KU Inputs'!$C$1:$J$1,0),0)</f>
        <v>179011.21783820438</v>
      </c>
      <c r="N283" s="246">
        <f t="shared" si="16"/>
        <v>50.362499999999997</v>
      </c>
      <c r="O283" s="246">
        <f t="shared" si="16"/>
        <v>166.4075</v>
      </c>
      <c r="P283" s="159">
        <v>4512</v>
      </c>
      <c r="Q283" s="159">
        <v>1455</v>
      </c>
      <c r="R283" s="271">
        <f t="shared" si="14"/>
        <v>0.3988015313301706</v>
      </c>
    </row>
    <row r="284" spans="1:18" x14ac:dyDescent="0.2">
      <c r="A284" s="147">
        <v>2024</v>
      </c>
      <c r="B284" s="147">
        <v>7</v>
      </c>
      <c r="C284" s="169"/>
      <c r="D284" s="258" t="e">
        <f t="shared" si="13"/>
        <v>#REF!</v>
      </c>
      <c r="E284" s="257" t="e">
        <f t="shared" si="15"/>
        <v>#REF!</v>
      </c>
      <c r="F284" s="166">
        <v>30.71</v>
      </c>
      <c r="G284" s="148">
        <v>3991.4243239427683</v>
      </c>
      <c r="H284" s="181">
        <f>VLOOKUP($A284&amp;$B284,'KU Inputs'!$C$2:$J$530,MATCH('KU UtilityData'!H$1,'KU Inputs'!$C$1:$J$1,0),0)*1000</f>
        <v>4674053</v>
      </c>
      <c r="I284" s="181">
        <f>VLOOKUP($A284&amp;$B284,'KU Inputs'!$C$2:$J$530,MATCH('KU UtilityData'!I$1,'KU Inputs'!$C$1:$J$1,0),0)*1000</f>
        <v>4790758</v>
      </c>
      <c r="J284" s="181">
        <f>VLOOKUP($A284&amp;$B284,'KU Inputs'!$C$2:$J$530,MATCH('KU UtilityData'!J$1,'KU Inputs'!$C$1:$J$1,0),0)*1000</f>
        <v>1910717</v>
      </c>
      <c r="K284" s="231">
        <v>458401.24</v>
      </c>
      <c r="L284" s="181">
        <f>VLOOKUP($A284&amp;$B284,'KU Inputs'!$C$2:$J$530,MATCH('KU UtilityData'!L$1,'KU Inputs'!$C$1:$J$1,0),0)</f>
        <v>176369.43100000001</v>
      </c>
      <c r="M284" s="181">
        <f>VLOOKUP($A284&amp;$B284,'KU Inputs'!$C$2:$J$530,MATCH('KU UtilityData'!M$1,'KU Inputs'!$C$1:$J$1,0),0)</f>
        <v>179957.81109507804</v>
      </c>
      <c r="N284" s="246">
        <f t="shared" si="16"/>
        <v>1.625</v>
      </c>
      <c r="O284" s="246">
        <f t="shared" si="16"/>
        <v>326.005</v>
      </c>
      <c r="P284" s="159">
        <v>4512</v>
      </c>
      <c r="Q284" s="159">
        <v>1455</v>
      </c>
      <c r="R284" s="271">
        <f t="shared" si="14"/>
        <v>0.39883396322669606</v>
      </c>
    </row>
    <row r="285" spans="1:18" x14ac:dyDescent="0.2">
      <c r="A285" s="147">
        <v>2024</v>
      </c>
      <c r="B285" s="147">
        <v>8</v>
      </c>
      <c r="C285" s="169"/>
      <c r="D285" s="258" t="e">
        <f t="shared" si="13"/>
        <v>#REF!</v>
      </c>
      <c r="E285" s="257" t="e">
        <f t="shared" si="15"/>
        <v>#REF!</v>
      </c>
      <c r="F285" s="166">
        <v>29.52</v>
      </c>
      <c r="G285" s="148">
        <v>3993.5796052008513</v>
      </c>
      <c r="H285" s="181">
        <f>VLOOKUP($A285&amp;$B285,'KU Inputs'!$C$2:$J$530,MATCH('KU UtilityData'!H$1,'KU Inputs'!$C$1:$J$1,0),0)*1000</f>
        <v>4674053</v>
      </c>
      <c r="I285" s="181">
        <f>VLOOKUP($A285&amp;$B285,'KU Inputs'!$C$2:$J$530,MATCH('KU UtilityData'!I$1,'KU Inputs'!$C$1:$J$1,0),0)*1000</f>
        <v>4790758</v>
      </c>
      <c r="J285" s="181">
        <f>VLOOKUP($A285&amp;$B285,'KU Inputs'!$C$2:$J$530,MATCH('KU UtilityData'!J$1,'KU Inputs'!$C$1:$J$1,0),0)*1000</f>
        <v>1910717</v>
      </c>
      <c r="K285" s="231">
        <v>458401.24</v>
      </c>
      <c r="L285" s="181">
        <f>VLOOKUP($A285&amp;$B285,'KU Inputs'!$C$2:$J$530,MATCH('KU UtilityData'!L$1,'KU Inputs'!$C$1:$J$1,0),0)</f>
        <v>176369.43100000001</v>
      </c>
      <c r="M285" s="181">
        <f>VLOOKUP($A285&amp;$B285,'KU Inputs'!$C$2:$J$530,MATCH('KU UtilityData'!M$1,'KU Inputs'!$C$1:$J$1,0),0)</f>
        <v>179957.81109507804</v>
      </c>
      <c r="N285" s="246">
        <f t="shared" si="16"/>
        <v>0.75</v>
      </c>
      <c r="O285" s="246">
        <f t="shared" si="16"/>
        <v>348.8175</v>
      </c>
      <c r="P285" s="159">
        <v>4512</v>
      </c>
      <c r="Q285" s="159">
        <v>1455</v>
      </c>
      <c r="R285" s="271">
        <f t="shared" si="14"/>
        <v>0.39883396322669606</v>
      </c>
    </row>
    <row r="286" spans="1:18" x14ac:dyDescent="0.2">
      <c r="A286" s="147">
        <v>2024</v>
      </c>
      <c r="B286" s="147">
        <v>9</v>
      </c>
      <c r="C286" s="169"/>
      <c r="D286" s="258" t="e">
        <f t="shared" si="13"/>
        <v>#REF!</v>
      </c>
      <c r="E286" s="257" t="e">
        <f t="shared" si="15"/>
        <v>#REF!</v>
      </c>
      <c r="F286" s="166">
        <v>30.57</v>
      </c>
      <c r="G286" s="148">
        <v>3995.7348864589344</v>
      </c>
      <c r="H286" s="181">
        <f>VLOOKUP($A286&amp;$B286,'KU Inputs'!$C$2:$J$530,MATCH('KU UtilityData'!H$1,'KU Inputs'!$C$1:$J$1,0),0)*1000</f>
        <v>4674053</v>
      </c>
      <c r="I286" s="181">
        <f>VLOOKUP($A286&amp;$B286,'KU Inputs'!$C$2:$J$530,MATCH('KU UtilityData'!I$1,'KU Inputs'!$C$1:$J$1,0),0)*1000</f>
        <v>4790758</v>
      </c>
      <c r="J286" s="181">
        <f>VLOOKUP($A286&amp;$B286,'KU Inputs'!$C$2:$J$530,MATCH('KU UtilityData'!J$1,'KU Inputs'!$C$1:$J$1,0),0)*1000</f>
        <v>1910717</v>
      </c>
      <c r="K286" s="231">
        <v>458401.24</v>
      </c>
      <c r="L286" s="181">
        <f>VLOOKUP($A286&amp;$B286,'KU Inputs'!$C$2:$J$530,MATCH('KU UtilityData'!L$1,'KU Inputs'!$C$1:$J$1,0),0)</f>
        <v>176369.43100000001</v>
      </c>
      <c r="M286" s="181">
        <f>VLOOKUP($A286&amp;$B286,'KU Inputs'!$C$2:$J$530,MATCH('KU UtilityData'!M$1,'KU Inputs'!$C$1:$J$1,0),0)</f>
        <v>179957.81109507804</v>
      </c>
      <c r="N286" s="246">
        <f t="shared" si="16"/>
        <v>11.752500000000001</v>
      </c>
      <c r="O286" s="246">
        <f t="shared" si="16"/>
        <v>258.88</v>
      </c>
      <c r="P286" s="159">
        <v>4512</v>
      </c>
      <c r="Q286" s="159">
        <v>1455</v>
      </c>
      <c r="R286" s="271">
        <f t="shared" si="14"/>
        <v>0.39883396322669606</v>
      </c>
    </row>
    <row r="287" spans="1:18" x14ac:dyDescent="0.2">
      <c r="A287" s="147">
        <v>2024</v>
      </c>
      <c r="B287" s="147">
        <v>10</v>
      </c>
      <c r="C287" s="169"/>
      <c r="D287" s="258" t="e">
        <f t="shared" si="13"/>
        <v>#REF!</v>
      </c>
      <c r="E287" s="257" t="e">
        <f t="shared" si="15"/>
        <v>#REF!</v>
      </c>
      <c r="F287" s="166">
        <v>29.67</v>
      </c>
      <c r="G287" s="148">
        <v>3997.8901677170174</v>
      </c>
      <c r="H287" s="181">
        <f>VLOOKUP($A287&amp;$B287,'KU Inputs'!$C$2:$J$530,MATCH('KU UtilityData'!H$1,'KU Inputs'!$C$1:$J$1,0),0)*1000</f>
        <v>4679467</v>
      </c>
      <c r="I287" s="181">
        <f>VLOOKUP($A287&amp;$B287,'KU Inputs'!$C$2:$J$530,MATCH('KU UtilityData'!I$1,'KU Inputs'!$C$1:$J$1,0),0)*1000</f>
        <v>4798725</v>
      </c>
      <c r="J287" s="181">
        <f>VLOOKUP($A287&amp;$B287,'KU Inputs'!$C$2:$J$530,MATCH('KU UtilityData'!J$1,'KU Inputs'!$C$1:$J$1,0),0)*1000</f>
        <v>1913933</v>
      </c>
      <c r="K287" s="231">
        <v>458955.81</v>
      </c>
      <c r="L287" s="181">
        <f>VLOOKUP($A287&amp;$B287,'KU Inputs'!$C$2:$J$530,MATCH('KU UtilityData'!L$1,'KU Inputs'!$C$1:$J$1,0),0)</f>
        <v>177331.9</v>
      </c>
      <c r="M287" s="181">
        <f>VLOOKUP($A287&amp;$B287,'KU Inputs'!$C$2:$J$530,MATCH('KU UtilityData'!M$1,'KU Inputs'!$C$1:$J$1,0),0)</f>
        <v>180913.45966094849</v>
      </c>
      <c r="N287" s="246">
        <f t="shared" si="16"/>
        <v>134.87</v>
      </c>
      <c r="O287" s="246">
        <f t="shared" si="16"/>
        <v>71.42</v>
      </c>
      <c r="P287" s="159">
        <v>4512</v>
      </c>
      <c r="Q287" s="159">
        <v>1455</v>
      </c>
      <c r="R287" s="271">
        <f t="shared" si="14"/>
        <v>0.39884198406868493</v>
      </c>
    </row>
    <row r="288" spans="1:18" x14ac:dyDescent="0.2">
      <c r="A288" s="147">
        <v>2024</v>
      </c>
      <c r="B288" s="147">
        <v>11</v>
      </c>
      <c r="C288" s="169"/>
      <c r="D288" s="258" t="e">
        <f t="shared" si="13"/>
        <v>#REF!</v>
      </c>
      <c r="E288" s="257" t="e">
        <f t="shared" si="15"/>
        <v>#REF!</v>
      </c>
      <c r="F288" s="166">
        <v>29.38</v>
      </c>
      <c r="G288" s="148">
        <v>4000.0454489751</v>
      </c>
      <c r="H288" s="181">
        <f>VLOOKUP($A288&amp;$B288,'KU Inputs'!$C$2:$J$530,MATCH('KU UtilityData'!H$1,'KU Inputs'!$C$1:$J$1,0),0)*1000</f>
        <v>4679467</v>
      </c>
      <c r="I288" s="181">
        <f>VLOOKUP($A288&amp;$B288,'KU Inputs'!$C$2:$J$530,MATCH('KU UtilityData'!I$1,'KU Inputs'!$C$1:$J$1,0),0)*1000</f>
        <v>4798725</v>
      </c>
      <c r="J288" s="181">
        <f>VLOOKUP($A288&amp;$B288,'KU Inputs'!$C$2:$J$530,MATCH('KU UtilityData'!J$1,'KU Inputs'!$C$1:$J$1,0),0)*1000</f>
        <v>1913933</v>
      </c>
      <c r="K288" s="231">
        <v>458955.81</v>
      </c>
      <c r="L288" s="181">
        <f>VLOOKUP($A288&amp;$B288,'KU Inputs'!$C$2:$J$530,MATCH('KU UtilityData'!L$1,'KU Inputs'!$C$1:$J$1,0),0)</f>
        <v>177331.9</v>
      </c>
      <c r="M288" s="181">
        <f>VLOOKUP($A288&amp;$B288,'KU Inputs'!$C$2:$J$530,MATCH('KU UtilityData'!M$1,'KU Inputs'!$C$1:$J$1,0),0)</f>
        <v>180913.45966094849</v>
      </c>
      <c r="N288" s="246">
        <f t="shared" si="16"/>
        <v>396.30250000000001</v>
      </c>
      <c r="O288" s="246">
        <f t="shared" si="16"/>
        <v>6.6950000000000003</v>
      </c>
      <c r="P288" s="159">
        <v>4512</v>
      </c>
      <c r="Q288" s="159">
        <v>1455</v>
      </c>
      <c r="R288" s="271">
        <f t="shared" si="14"/>
        <v>0.39884198406868493</v>
      </c>
    </row>
    <row r="289" spans="1:18" x14ac:dyDescent="0.2">
      <c r="A289" s="147">
        <v>2024</v>
      </c>
      <c r="B289" s="147">
        <v>12</v>
      </c>
      <c r="C289" s="169"/>
      <c r="D289" s="258" t="e">
        <f t="shared" si="13"/>
        <v>#REF!</v>
      </c>
      <c r="E289" s="257" t="e">
        <f t="shared" si="15"/>
        <v>#REF!</v>
      </c>
      <c r="F289" s="166">
        <v>32.43</v>
      </c>
      <c r="G289" s="148">
        <v>4002.2007302331831</v>
      </c>
      <c r="H289" s="181">
        <f>VLOOKUP($A289&amp;$B289,'KU Inputs'!$C$2:$J$530,MATCH('KU UtilityData'!H$1,'KU Inputs'!$C$1:$J$1,0),0)*1000</f>
        <v>4679467</v>
      </c>
      <c r="I289" s="181">
        <f>VLOOKUP($A289&amp;$B289,'KU Inputs'!$C$2:$J$530,MATCH('KU UtilityData'!I$1,'KU Inputs'!$C$1:$J$1,0),0)*1000</f>
        <v>4798725</v>
      </c>
      <c r="J289" s="181">
        <f>VLOOKUP($A289&amp;$B289,'KU Inputs'!$C$2:$J$530,MATCH('KU UtilityData'!J$1,'KU Inputs'!$C$1:$J$1,0),0)*1000</f>
        <v>1913933</v>
      </c>
      <c r="K289" s="231">
        <v>458955.81</v>
      </c>
      <c r="L289" s="181">
        <f>VLOOKUP($A289&amp;$B289,'KU Inputs'!$C$2:$J$530,MATCH('KU UtilityData'!L$1,'KU Inputs'!$C$1:$J$1,0),0)</f>
        <v>177331.9</v>
      </c>
      <c r="M289" s="181">
        <f>VLOOKUP($A289&amp;$B289,'KU Inputs'!$C$2:$J$530,MATCH('KU UtilityData'!M$1,'KU Inputs'!$C$1:$J$1,0),0)</f>
        <v>180913.45966094849</v>
      </c>
      <c r="N289" s="246">
        <f t="shared" si="16"/>
        <v>714.28500000000008</v>
      </c>
      <c r="O289" s="246">
        <f t="shared" si="16"/>
        <v>0.25</v>
      </c>
      <c r="P289" s="159">
        <v>4512</v>
      </c>
      <c r="Q289" s="159">
        <v>1455</v>
      </c>
      <c r="R289" s="271">
        <f t="shared" si="14"/>
        <v>0.39884198406868493</v>
      </c>
    </row>
    <row r="290" spans="1:18" x14ac:dyDescent="0.2">
      <c r="A290" s="147">
        <v>2025</v>
      </c>
      <c r="B290" s="147">
        <v>1</v>
      </c>
      <c r="C290" s="169"/>
      <c r="D290" s="258" t="e">
        <f t="shared" si="13"/>
        <v>#REF!</v>
      </c>
      <c r="E290" s="257" t="e">
        <f t="shared" si="15"/>
        <v>#REF!</v>
      </c>
      <c r="F290" s="166">
        <v>32.33</v>
      </c>
      <c r="G290" s="148">
        <v>4004.3560114912661</v>
      </c>
      <c r="H290" s="181">
        <f>VLOOKUP($A290&amp;$B290,'KU Inputs'!$C$2:$J$530,MATCH('KU UtilityData'!H$1,'KU Inputs'!$C$1:$J$1,0),0)*1000</f>
        <v>4684833</v>
      </c>
      <c r="I290" s="181">
        <f>VLOOKUP($A290&amp;$B290,'KU Inputs'!$C$2:$J$530,MATCH('KU UtilityData'!I$1,'KU Inputs'!$C$1:$J$1,0),0)*1000</f>
        <v>4806673</v>
      </c>
      <c r="J290" s="181">
        <f>VLOOKUP($A290&amp;$B290,'KU Inputs'!$C$2:$J$530,MATCH('KU UtilityData'!J$1,'KU Inputs'!$C$1:$J$1,0),0)*1000</f>
        <v>1917356</v>
      </c>
      <c r="K290" s="231">
        <v>459780.22</v>
      </c>
      <c r="L290" s="181">
        <f>VLOOKUP($A290&amp;$B290,'KU Inputs'!$C$2:$J$530,MATCH('KU UtilityData'!L$1,'KU Inputs'!$C$1:$J$1,0),0)</f>
        <v>178892.09099999999</v>
      </c>
      <c r="M290" s="181">
        <f>VLOOKUP($A290&amp;$B290,'KU Inputs'!$C$2:$J$530,MATCH('KU UtilityData'!M$1,'KU Inputs'!$C$1:$J$1,0),0)</f>
        <v>182514.28815460778</v>
      </c>
      <c r="N290" s="246">
        <f t="shared" si="16"/>
        <v>991.4375</v>
      </c>
      <c r="O290" s="246">
        <f t="shared" si="16"/>
        <v>0</v>
      </c>
      <c r="P290" s="159">
        <v>4512</v>
      </c>
      <c r="Q290" s="159">
        <v>1455</v>
      </c>
      <c r="R290" s="271">
        <f t="shared" si="14"/>
        <v>0.39889462004176279</v>
      </c>
    </row>
    <row r="291" spans="1:18" x14ac:dyDescent="0.2">
      <c r="A291" s="147">
        <v>2025</v>
      </c>
      <c r="B291" s="147">
        <v>2</v>
      </c>
      <c r="C291" s="169"/>
      <c r="D291" s="258" t="e">
        <f t="shared" si="13"/>
        <v>#REF!</v>
      </c>
      <c r="E291" s="257" t="e">
        <f t="shared" si="15"/>
        <v>#REF!</v>
      </c>
      <c r="F291" s="166">
        <v>30.05</v>
      </c>
      <c r="G291" s="148">
        <v>4006.5112927493492</v>
      </c>
      <c r="H291" s="181">
        <f>VLOOKUP($A291&amp;$B291,'KU Inputs'!$C$2:$J$530,MATCH('KU UtilityData'!H$1,'KU Inputs'!$C$1:$J$1,0),0)*1000</f>
        <v>4684833</v>
      </c>
      <c r="I291" s="181">
        <f>VLOOKUP($A291&amp;$B291,'KU Inputs'!$C$2:$J$530,MATCH('KU UtilityData'!I$1,'KU Inputs'!$C$1:$J$1,0),0)*1000</f>
        <v>4806673</v>
      </c>
      <c r="J291" s="181">
        <f>VLOOKUP($A291&amp;$B291,'KU Inputs'!$C$2:$J$530,MATCH('KU UtilityData'!J$1,'KU Inputs'!$C$1:$J$1,0),0)*1000</f>
        <v>1917356</v>
      </c>
      <c r="K291" s="231">
        <v>459780.22</v>
      </c>
      <c r="L291" s="181">
        <f>VLOOKUP($A291&amp;$B291,'KU Inputs'!$C$2:$J$530,MATCH('KU UtilityData'!L$1,'KU Inputs'!$C$1:$J$1,0),0)</f>
        <v>178892.09099999999</v>
      </c>
      <c r="M291" s="181">
        <f>VLOOKUP($A291&amp;$B291,'KU Inputs'!$C$2:$J$530,MATCH('KU UtilityData'!M$1,'KU Inputs'!$C$1:$J$1,0),0)</f>
        <v>182514.28815460778</v>
      </c>
      <c r="N291" s="246">
        <f t="shared" si="16"/>
        <v>890.05499999999995</v>
      </c>
      <c r="O291" s="246">
        <f t="shared" si="16"/>
        <v>0</v>
      </c>
      <c r="P291" s="159">
        <v>4512</v>
      </c>
      <c r="Q291" s="159">
        <v>1455</v>
      </c>
      <c r="R291" s="271">
        <f t="shared" si="14"/>
        <v>0.39889462004176279</v>
      </c>
    </row>
    <row r="292" spans="1:18" x14ac:dyDescent="0.2">
      <c r="A292" s="147">
        <v>2025</v>
      </c>
      <c r="B292" s="147">
        <v>3</v>
      </c>
      <c r="C292" s="169"/>
      <c r="D292" s="258" t="e">
        <f t="shared" si="13"/>
        <v>#REF!</v>
      </c>
      <c r="E292" s="257" t="e">
        <f t="shared" si="15"/>
        <v>#REF!</v>
      </c>
      <c r="F292" s="166">
        <v>30.19</v>
      </c>
      <c r="G292" s="148">
        <v>4008.6665740074318</v>
      </c>
      <c r="H292" s="181">
        <f>VLOOKUP($A292&amp;$B292,'KU Inputs'!$C$2:$J$530,MATCH('KU UtilityData'!H$1,'KU Inputs'!$C$1:$J$1,0),0)*1000</f>
        <v>4684833</v>
      </c>
      <c r="I292" s="181">
        <f>VLOOKUP($A292&amp;$B292,'KU Inputs'!$C$2:$J$530,MATCH('KU UtilityData'!I$1,'KU Inputs'!$C$1:$J$1,0),0)*1000</f>
        <v>4806673</v>
      </c>
      <c r="J292" s="181">
        <f>VLOOKUP($A292&amp;$B292,'KU Inputs'!$C$2:$J$530,MATCH('KU UtilityData'!J$1,'KU Inputs'!$C$1:$J$1,0),0)*1000</f>
        <v>1917356</v>
      </c>
      <c r="K292" s="231">
        <v>459780.22</v>
      </c>
      <c r="L292" s="181">
        <f>VLOOKUP($A292&amp;$B292,'KU Inputs'!$C$2:$J$530,MATCH('KU UtilityData'!L$1,'KU Inputs'!$C$1:$J$1,0),0)</f>
        <v>178892.09099999999</v>
      </c>
      <c r="M292" s="181">
        <f>VLOOKUP($A292&amp;$B292,'KU Inputs'!$C$2:$J$530,MATCH('KU UtilityData'!M$1,'KU Inputs'!$C$1:$J$1,0),0)</f>
        <v>182514.28815460778</v>
      </c>
      <c r="N292" s="246">
        <f t="shared" si="16"/>
        <v>724.63750000000005</v>
      </c>
      <c r="O292" s="246">
        <f t="shared" si="16"/>
        <v>0.92249999999999999</v>
      </c>
      <c r="P292" s="159">
        <v>4512</v>
      </c>
      <c r="Q292" s="159">
        <v>1455</v>
      </c>
      <c r="R292" s="271">
        <f t="shared" si="14"/>
        <v>0.39889462004176279</v>
      </c>
    </row>
    <row r="293" spans="1:18" x14ac:dyDescent="0.2">
      <c r="A293" s="147">
        <v>2025</v>
      </c>
      <c r="B293" s="147">
        <v>4</v>
      </c>
      <c r="C293" s="169"/>
      <c r="D293" s="258" t="e">
        <f t="shared" si="13"/>
        <v>#REF!</v>
      </c>
      <c r="E293" s="257" t="e">
        <f t="shared" si="15"/>
        <v>#REF!</v>
      </c>
      <c r="F293" s="166">
        <v>30</v>
      </c>
      <c r="G293" s="148">
        <v>4010.8218552655148</v>
      </c>
      <c r="H293" s="181">
        <f>VLOOKUP($A293&amp;$B293,'KU Inputs'!$C$2:$J$530,MATCH('KU UtilityData'!H$1,'KU Inputs'!$C$1:$J$1,0),0)*1000</f>
        <v>4690175</v>
      </c>
      <c r="I293" s="181">
        <f>VLOOKUP($A293&amp;$B293,'KU Inputs'!$C$2:$J$530,MATCH('KU UtilityData'!I$1,'KU Inputs'!$C$1:$J$1,0),0)*1000</f>
        <v>4814601</v>
      </c>
      <c r="J293" s="181">
        <f>VLOOKUP($A293&amp;$B293,'KU Inputs'!$C$2:$J$530,MATCH('KU UtilityData'!J$1,'KU Inputs'!$C$1:$J$1,0),0)*1000</f>
        <v>1920764</v>
      </c>
      <c r="K293" s="231">
        <v>460620.37</v>
      </c>
      <c r="L293" s="181">
        <f>VLOOKUP($A293&amp;$B293,'KU Inputs'!$C$2:$J$530,MATCH('KU UtilityData'!L$1,'KU Inputs'!$C$1:$J$1,0),0)</f>
        <v>179884.057</v>
      </c>
      <c r="M293" s="181">
        <f>VLOOKUP($A293&amp;$B293,'KU Inputs'!$C$2:$J$530,MATCH('KU UtilityData'!M$1,'KU Inputs'!$C$1:$J$1,0),0)</f>
        <v>183531.89977430113</v>
      </c>
      <c r="N293" s="246">
        <f t="shared" si="16"/>
        <v>433.4375</v>
      </c>
      <c r="O293" s="246">
        <f t="shared" si="16"/>
        <v>13.477500000000001</v>
      </c>
      <c r="P293" s="159">
        <v>4512</v>
      </c>
      <c r="Q293" s="159">
        <v>1455</v>
      </c>
      <c r="R293" s="271">
        <f t="shared" si="14"/>
        <v>0.39894562394682342</v>
      </c>
    </row>
    <row r="294" spans="1:18" x14ac:dyDescent="0.2">
      <c r="A294" s="147">
        <v>2025</v>
      </c>
      <c r="B294" s="147">
        <v>5</v>
      </c>
      <c r="C294" s="169"/>
      <c r="D294" s="258" t="e">
        <f t="shared" si="13"/>
        <v>#REF!</v>
      </c>
      <c r="E294" s="257" t="e">
        <f t="shared" si="15"/>
        <v>#REF!</v>
      </c>
      <c r="F294" s="166">
        <v>30.48</v>
      </c>
      <c r="G294" s="148">
        <v>4012.9771365235979</v>
      </c>
      <c r="H294" s="181">
        <f>VLOOKUP($A294&amp;$B294,'KU Inputs'!$C$2:$J$530,MATCH('KU UtilityData'!H$1,'KU Inputs'!$C$1:$J$1,0),0)*1000</f>
        <v>4690175</v>
      </c>
      <c r="I294" s="181">
        <f>VLOOKUP($A294&amp;$B294,'KU Inputs'!$C$2:$J$530,MATCH('KU UtilityData'!I$1,'KU Inputs'!$C$1:$J$1,0),0)*1000</f>
        <v>4814601</v>
      </c>
      <c r="J294" s="181">
        <f>VLOOKUP($A294&amp;$B294,'KU Inputs'!$C$2:$J$530,MATCH('KU UtilityData'!J$1,'KU Inputs'!$C$1:$J$1,0),0)*1000</f>
        <v>1920764</v>
      </c>
      <c r="K294" s="231">
        <v>460620.37</v>
      </c>
      <c r="L294" s="181">
        <f>VLOOKUP($A294&amp;$B294,'KU Inputs'!$C$2:$J$530,MATCH('KU UtilityData'!L$1,'KU Inputs'!$C$1:$J$1,0),0)</f>
        <v>179884.057</v>
      </c>
      <c r="M294" s="181">
        <f>VLOOKUP($A294&amp;$B294,'KU Inputs'!$C$2:$J$530,MATCH('KU UtilityData'!M$1,'KU Inputs'!$C$1:$J$1,0),0)</f>
        <v>183531.89977430113</v>
      </c>
      <c r="N294" s="246">
        <f t="shared" si="16"/>
        <v>189.125</v>
      </c>
      <c r="O294" s="246">
        <f t="shared" si="16"/>
        <v>46.06</v>
      </c>
      <c r="P294" s="159">
        <v>4512</v>
      </c>
      <c r="Q294" s="159">
        <v>1455</v>
      </c>
      <c r="R294" s="271">
        <f t="shared" si="14"/>
        <v>0.39894562394682342</v>
      </c>
    </row>
    <row r="295" spans="1:18" x14ac:dyDescent="0.2">
      <c r="A295" s="147">
        <v>2025</v>
      </c>
      <c r="B295" s="147">
        <v>6</v>
      </c>
      <c r="C295" s="169"/>
      <c r="D295" s="258" t="e">
        <f t="shared" si="13"/>
        <v>#REF!</v>
      </c>
      <c r="E295" s="257" t="e">
        <f t="shared" si="15"/>
        <v>#REF!</v>
      </c>
      <c r="F295" s="166">
        <v>30.52</v>
      </c>
      <c r="G295" s="148">
        <v>4015.1324177816782</v>
      </c>
      <c r="H295" s="181">
        <f>VLOOKUP($A295&amp;$B295,'KU Inputs'!$C$2:$J$530,MATCH('KU UtilityData'!H$1,'KU Inputs'!$C$1:$J$1,0),0)*1000</f>
        <v>4690175</v>
      </c>
      <c r="I295" s="181">
        <f>VLOOKUP($A295&amp;$B295,'KU Inputs'!$C$2:$J$530,MATCH('KU UtilityData'!I$1,'KU Inputs'!$C$1:$J$1,0),0)*1000</f>
        <v>4814601</v>
      </c>
      <c r="J295" s="181">
        <f>VLOOKUP($A295&amp;$B295,'KU Inputs'!$C$2:$J$530,MATCH('KU UtilityData'!J$1,'KU Inputs'!$C$1:$J$1,0),0)*1000</f>
        <v>1920764</v>
      </c>
      <c r="K295" s="231">
        <v>460620.37</v>
      </c>
      <c r="L295" s="181">
        <f>VLOOKUP($A295&amp;$B295,'KU Inputs'!$C$2:$J$530,MATCH('KU UtilityData'!L$1,'KU Inputs'!$C$1:$J$1,0),0)</f>
        <v>179884.057</v>
      </c>
      <c r="M295" s="181">
        <f>VLOOKUP($A295&amp;$B295,'KU Inputs'!$C$2:$J$530,MATCH('KU UtilityData'!M$1,'KU Inputs'!$C$1:$J$1,0),0)</f>
        <v>183531.89977430113</v>
      </c>
      <c r="N295" s="246">
        <f t="shared" si="16"/>
        <v>50.362499999999997</v>
      </c>
      <c r="O295" s="246">
        <f t="shared" si="16"/>
        <v>166.4075</v>
      </c>
      <c r="P295" s="159">
        <v>4512</v>
      </c>
      <c r="Q295" s="159">
        <v>1455</v>
      </c>
      <c r="R295" s="271">
        <f t="shared" si="14"/>
        <v>0.39894562394682342</v>
      </c>
    </row>
    <row r="296" spans="1:18" x14ac:dyDescent="0.2">
      <c r="A296" s="147">
        <v>2025</v>
      </c>
      <c r="B296" s="147">
        <v>7</v>
      </c>
      <c r="C296" s="169"/>
      <c r="D296" s="258" t="e">
        <f t="shared" si="13"/>
        <v>#REF!</v>
      </c>
      <c r="E296" s="257" t="e">
        <f t="shared" si="15"/>
        <v>#REF!</v>
      </c>
      <c r="F296" s="166">
        <v>30.67</v>
      </c>
      <c r="G296" s="148">
        <v>4017.2615353021802</v>
      </c>
      <c r="H296" s="181">
        <f>VLOOKUP($A296&amp;$B296,'KU Inputs'!$C$2:$J$530,MATCH('KU UtilityData'!H$1,'KU Inputs'!$C$1:$J$1,0),0)*1000</f>
        <v>4695482</v>
      </c>
      <c r="I296" s="181">
        <f>VLOOKUP($A296&amp;$B296,'KU Inputs'!$C$2:$J$530,MATCH('KU UtilityData'!I$1,'KU Inputs'!$C$1:$J$1,0),0)*1000</f>
        <v>4822495</v>
      </c>
      <c r="J296" s="181">
        <f>VLOOKUP($A296&amp;$B296,'KU Inputs'!$C$2:$J$530,MATCH('KU UtilityData'!J$1,'KU Inputs'!$C$1:$J$1,0),0)*1000</f>
        <v>1924183</v>
      </c>
      <c r="K296" s="231">
        <v>461445.44</v>
      </c>
      <c r="L296" s="181">
        <f>VLOOKUP($A296&amp;$B296,'KU Inputs'!$C$2:$J$530,MATCH('KU UtilityData'!L$1,'KU Inputs'!$C$1:$J$1,0),0)</f>
        <v>180786.26300000001</v>
      </c>
      <c r="M296" s="181">
        <f>VLOOKUP($A296&amp;$B296,'KU Inputs'!$C$2:$J$530,MATCH('KU UtilityData'!M$1,'KU Inputs'!$C$1:$J$1,0),0)</f>
        <v>184449.74067686254</v>
      </c>
      <c r="N296" s="246">
        <f t="shared" si="16"/>
        <v>1.625</v>
      </c>
      <c r="O296" s="246">
        <f t="shared" si="16"/>
        <v>326.005</v>
      </c>
      <c r="P296" s="159">
        <v>4512</v>
      </c>
      <c r="Q296" s="159">
        <v>1455</v>
      </c>
      <c r="R296" s="271">
        <f t="shared" si="14"/>
        <v>0.39900155417475808</v>
      </c>
    </row>
    <row r="297" spans="1:18" x14ac:dyDescent="0.2">
      <c r="A297" s="147">
        <v>2025</v>
      </c>
      <c r="B297" s="147">
        <v>8</v>
      </c>
      <c r="C297" s="169"/>
      <c r="D297" s="258" t="e">
        <f t="shared" si="13"/>
        <v>#REF!</v>
      </c>
      <c r="E297" s="257" t="e">
        <f t="shared" si="15"/>
        <v>#REF!</v>
      </c>
      <c r="F297" s="166">
        <v>29.48</v>
      </c>
      <c r="G297" s="148">
        <v>4019.3906528226826</v>
      </c>
      <c r="H297" s="181">
        <f>VLOOKUP($A297&amp;$B297,'KU Inputs'!$C$2:$J$530,MATCH('KU UtilityData'!H$1,'KU Inputs'!$C$1:$J$1,0),0)*1000</f>
        <v>4695482</v>
      </c>
      <c r="I297" s="181">
        <f>VLOOKUP($A297&amp;$B297,'KU Inputs'!$C$2:$J$530,MATCH('KU UtilityData'!I$1,'KU Inputs'!$C$1:$J$1,0),0)*1000</f>
        <v>4822495</v>
      </c>
      <c r="J297" s="181">
        <f>VLOOKUP($A297&amp;$B297,'KU Inputs'!$C$2:$J$530,MATCH('KU UtilityData'!J$1,'KU Inputs'!$C$1:$J$1,0),0)*1000</f>
        <v>1924183</v>
      </c>
      <c r="K297" s="231">
        <v>461445.44</v>
      </c>
      <c r="L297" s="181">
        <f>VLOOKUP($A297&amp;$B297,'KU Inputs'!$C$2:$J$530,MATCH('KU UtilityData'!L$1,'KU Inputs'!$C$1:$J$1,0),0)</f>
        <v>180786.26300000001</v>
      </c>
      <c r="M297" s="181">
        <f>VLOOKUP($A297&amp;$B297,'KU Inputs'!$C$2:$J$530,MATCH('KU UtilityData'!M$1,'KU Inputs'!$C$1:$J$1,0),0)</f>
        <v>184449.74067686254</v>
      </c>
      <c r="N297" s="246">
        <f t="shared" si="16"/>
        <v>0.75</v>
      </c>
      <c r="O297" s="246">
        <f t="shared" si="16"/>
        <v>348.8175</v>
      </c>
      <c r="P297" s="159">
        <v>4512</v>
      </c>
      <c r="Q297" s="159">
        <v>1455</v>
      </c>
      <c r="R297" s="271">
        <f t="shared" si="14"/>
        <v>0.39900155417475808</v>
      </c>
    </row>
    <row r="298" spans="1:18" x14ac:dyDescent="0.2">
      <c r="A298" s="147">
        <v>2025</v>
      </c>
      <c r="B298" s="147">
        <v>9</v>
      </c>
      <c r="C298" s="169"/>
      <c r="D298" s="258" t="e">
        <f t="shared" si="13"/>
        <v>#REF!</v>
      </c>
      <c r="E298" s="257" t="e">
        <f t="shared" si="15"/>
        <v>#REF!</v>
      </c>
      <c r="F298" s="166">
        <v>30.86</v>
      </c>
      <c r="G298" s="148">
        <v>4021.519770343185</v>
      </c>
      <c r="H298" s="181">
        <f>VLOOKUP($A298&amp;$B298,'KU Inputs'!$C$2:$J$530,MATCH('KU UtilityData'!H$1,'KU Inputs'!$C$1:$J$1,0),0)*1000</f>
        <v>4695482</v>
      </c>
      <c r="I298" s="181">
        <f>VLOOKUP($A298&amp;$B298,'KU Inputs'!$C$2:$J$530,MATCH('KU UtilityData'!I$1,'KU Inputs'!$C$1:$J$1,0),0)*1000</f>
        <v>4822495</v>
      </c>
      <c r="J298" s="181">
        <f>VLOOKUP($A298&amp;$B298,'KU Inputs'!$C$2:$J$530,MATCH('KU UtilityData'!J$1,'KU Inputs'!$C$1:$J$1,0),0)*1000</f>
        <v>1924183</v>
      </c>
      <c r="K298" s="231">
        <v>461445.44</v>
      </c>
      <c r="L298" s="181">
        <f>VLOOKUP($A298&amp;$B298,'KU Inputs'!$C$2:$J$530,MATCH('KU UtilityData'!L$1,'KU Inputs'!$C$1:$J$1,0),0)</f>
        <v>180786.26300000001</v>
      </c>
      <c r="M298" s="181">
        <f>VLOOKUP($A298&amp;$B298,'KU Inputs'!$C$2:$J$530,MATCH('KU UtilityData'!M$1,'KU Inputs'!$C$1:$J$1,0),0)</f>
        <v>184449.74067686254</v>
      </c>
      <c r="N298" s="246">
        <f t="shared" ref="N298:O317" si="17">N286</f>
        <v>11.752500000000001</v>
      </c>
      <c r="O298" s="246">
        <f t="shared" si="17"/>
        <v>258.88</v>
      </c>
      <c r="P298" s="159">
        <v>4512</v>
      </c>
      <c r="Q298" s="159">
        <v>1455</v>
      </c>
      <c r="R298" s="271">
        <f t="shared" si="14"/>
        <v>0.39900155417475808</v>
      </c>
    </row>
    <row r="299" spans="1:18" x14ac:dyDescent="0.2">
      <c r="A299" s="147">
        <v>2025</v>
      </c>
      <c r="B299" s="147">
        <v>10</v>
      </c>
      <c r="C299" s="169"/>
      <c r="D299" s="258" t="e">
        <f t="shared" si="13"/>
        <v>#REF!</v>
      </c>
      <c r="E299" s="257" t="e">
        <f t="shared" si="15"/>
        <v>#REF!</v>
      </c>
      <c r="F299" s="166">
        <v>29.38</v>
      </c>
      <c r="G299" s="148">
        <v>4023.6488878636874</v>
      </c>
      <c r="H299" s="181">
        <f>VLOOKUP($A299&amp;$B299,'KU Inputs'!$C$2:$J$530,MATCH('KU UtilityData'!H$1,'KU Inputs'!$C$1:$J$1,0),0)*1000</f>
        <v>4700775</v>
      </c>
      <c r="I299" s="181">
        <f>VLOOKUP($A299&amp;$B299,'KU Inputs'!$C$2:$J$530,MATCH('KU UtilityData'!I$1,'KU Inputs'!$C$1:$J$1,0),0)*1000</f>
        <v>4830368</v>
      </c>
      <c r="J299" s="181">
        <f>VLOOKUP($A299&amp;$B299,'KU Inputs'!$C$2:$J$530,MATCH('KU UtilityData'!J$1,'KU Inputs'!$C$1:$J$1,0),0)*1000</f>
        <v>1927490</v>
      </c>
      <c r="K299" s="231">
        <v>462277.28</v>
      </c>
      <c r="L299" s="181">
        <f>VLOOKUP($A299&amp;$B299,'KU Inputs'!$C$2:$J$530,MATCH('KU UtilityData'!L$1,'KU Inputs'!$C$1:$J$1,0),0)</f>
        <v>181695.31</v>
      </c>
      <c r="M299" s="181">
        <f>VLOOKUP($A299&amp;$B299,'KU Inputs'!$C$2:$J$530,MATCH('KU UtilityData'!M$1,'KU Inputs'!$C$1:$J$1,0),0)</f>
        <v>185371.51588601226</v>
      </c>
      <c r="N299" s="246">
        <f t="shared" si="17"/>
        <v>134.87</v>
      </c>
      <c r="O299" s="246">
        <f t="shared" si="17"/>
        <v>71.42</v>
      </c>
      <c r="P299" s="159">
        <v>4512</v>
      </c>
      <c r="Q299" s="159">
        <v>1455</v>
      </c>
      <c r="R299" s="271">
        <f t="shared" si="14"/>
        <v>0.39903584985657409</v>
      </c>
    </row>
    <row r="300" spans="1:18" x14ac:dyDescent="0.2">
      <c r="A300" s="147">
        <v>2025</v>
      </c>
      <c r="B300" s="147">
        <v>11</v>
      </c>
      <c r="C300" s="169"/>
      <c r="D300" s="258" t="e">
        <f t="shared" si="13"/>
        <v>#REF!</v>
      </c>
      <c r="E300" s="257" t="e">
        <f t="shared" si="15"/>
        <v>#REF!</v>
      </c>
      <c r="F300" s="166">
        <v>29.57</v>
      </c>
      <c r="G300" s="148">
        <v>4025.7780053841893</v>
      </c>
      <c r="H300" s="181">
        <f>VLOOKUP($A300&amp;$B300,'KU Inputs'!$C$2:$J$530,MATCH('KU UtilityData'!H$1,'KU Inputs'!$C$1:$J$1,0),0)*1000</f>
        <v>4700775</v>
      </c>
      <c r="I300" s="181">
        <f>VLOOKUP($A300&amp;$B300,'KU Inputs'!$C$2:$J$530,MATCH('KU UtilityData'!I$1,'KU Inputs'!$C$1:$J$1,0),0)*1000</f>
        <v>4830368</v>
      </c>
      <c r="J300" s="181">
        <f>VLOOKUP($A300&amp;$B300,'KU Inputs'!$C$2:$J$530,MATCH('KU UtilityData'!J$1,'KU Inputs'!$C$1:$J$1,0),0)*1000</f>
        <v>1927490</v>
      </c>
      <c r="K300" s="231">
        <v>462277.28</v>
      </c>
      <c r="L300" s="181">
        <f>VLOOKUP($A300&amp;$B300,'KU Inputs'!$C$2:$J$530,MATCH('KU UtilityData'!L$1,'KU Inputs'!$C$1:$J$1,0),0)</f>
        <v>181695.31</v>
      </c>
      <c r="M300" s="181">
        <f>VLOOKUP($A300&amp;$B300,'KU Inputs'!$C$2:$J$530,MATCH('KU UtilityData'!M$1,'KU Inputs'!$C$1:$J$1,0),0)</f>
        <v>185371.51588601226</v>
      </c>
      <c r="N300" s="246">
        <f t="shared" si="17"/>
        <v>396.30250000000001</v>
      </c>
      <c r="O300" s="246">
        <f t="shared" si="17"/>
        <v>6.6950000000000003</v>
      </c>
      <c r="P300" s="159">
        <v>4512</v>
      </c>
      <c r="Q300" s="159">
        <v>1455</v>
      </c>
      <c r="R300" s="271">
        <f t="shared" si="14"/>
        <v>0.39903584985657409</v>
      </c>
    </row>
    <row r="301" spans="1:18" x14ac:dyDescent="0.2">
      <c r="A301" s="147">
        <v>2025</v>
      </c>
      <c r="B301" s="147">
        <v>12</v>
      </c>
      <c r="C301" s="169"/>
      <c r="D301" s="258" t="e">
        <f t="shared" si="13"/>
        <v>#REF!</v>
      </c>
      <c r="E301" s="257" t="e">
        <f t="shared" si="15"/>
        <v>#REF!</v>
      </c>
      <c r="F301" s="166">
        <v>31.81</v>
      </c>
      <c r="G301" s="148">
        <v>4027.9071229046917</v>
      </c>
      <c r="H301" s="181">
        <f>VLOOKUP($A301&amp;$B301,'KU Inputs'!$C$2:$J$530,MATCH('KU UtilityData'!H$1,'KU Inputs'!$C$1:$J$1,0),0)*1000</f>
        <v>4700775</v>
      </c>
      <c r="I301" s="181">
        <f>VLOOKUP($A301&amp;$B301,'KU Inputs'!$C$2:$J$530,MATCH('KU UtilityData'!I$1,'KU Inputs'!$C$1:$J$1,0),0)*1000</f>
        <v>4830368</v>
      </c>
      <c r="J301" s="181">
        <f>VLOOKUP($A301&amp;$B301,'KU Inputs'!$C$2:$J$530,MATCH('KU UtilityData'!J$1,'KU Inputs'!$C$1:$J$1,0),0)*1000</f>
        <v>1927490</v>
      </c>
      <c r="K301" s="231">
        <v>462277.28</v>
      </c>
      <c r="L301" s="181">
        <f>VLOOKUP($A301&amp;$B301,'KU Inputs'!$C$2:$J$530,MATCH('KU UtilityData'!L$1,'KU Inputs'!$C$1:$J$1,0),0)</f>
        <v>181695.31</v>
      </c>
      <c r="M301" s="181">
        <f>VLOOKUP($A301&amp;$B301,'KU Inputs'!$C$2:$J$530,MATCH('KU UtilityData'!M$1,'KU Inputs'!$C$1:$J$1,0),0)</f>
        <v>185371.51588601226</v>
      </c>
      <c r="N301" s="246">
        <f t="shared" si="17"/>
        <v>714.28500000000008</v>
      </c>
      <c r="O301" s="246">
        <f t="shared" si="17"/>
        <v>0.25</v>
      </c>
      <c r="P301" s="159">
        <v>4512</v>
      </c>
      <c r="Q301" s="159">
        <v>1455</v>
      </c>
      <c r="R301" s="271">
        <f t="shared" si="14"/>
        <v>0.39903584985657409</v>
      </c>
    </row>
    <row r="302" spans="1:18" x14ac:dyDescent="0.2">
      <c r="A302" s="147">
        <v>2026</v>
      </c>
      <c r="B302" s="147">
        <v>1</v>
      </c>
      <c r="D302" s="258" t="e">
        <f t="shared" si="13"/>
        <v>#REF!</v>
      </c>
      <c r="E302" s="257" t="e">
        <f t="shared" si="15"/>
        <v>#REF!</v>
      </c>
      <c r="F302" s="166">
        <v>32.380000000000003</v>
      </c>
      <c r="G302" s="148">
        <v>4030.0362404251941</v>
      </c>
      <c r="H302" s="181">
        <f>VLOOKUP($A302&amp;$B302,'KU Inputs'!$C$2:$J$530,MATCH('KU UtilityData'!H$1,'KU Inputs'!$C$1:$J$1,0),0)*1000</f>
        <v>4706046</v>
      </c>
      <c r="I302" s="181">
        <f>VLOOKUP($A302&amp;$B302,'KU Inputs'!$C$2:$J$530,MATCH('KU UtilityData'!I$1,'KU Inputs'!$C$1:$J$1,0),0)*1000</f>
        <v>4838222</v>
      </c>
      <c r="J302" s="181">
        <f>VLOOKUP($A302&amp;$B302,'KU Inputs'!$C$2:$J$530,MATCH('KU UtilityData'!J$1,'KU Inputs'!$C$1:$J$1,0),0)*1000</f>
        <v>1931021</v>
      </c>
      <c r="K302" s="231">
        <v>463097.1</v>
      </c>
      <c r="L302" s="181">
        <f>VLOOKUP($A302&amp;$B302,'KU Inputs'!$C$2:$J$530,MATCH('KU UtilityData'!L$1,'KU Inputs'!$C$1:$J$1,0),0)</f>
        <v>183193.88699999999</v>
      </c>
      <c r="M302" s="181">
        <f>VLOOKUP($A302&amp;$B302,'KU Inputs'!$C$2:$J$530,MATCH('KU UtilityData'!M$1,'KU Inputs'!$C$1:$J$1,0),0)</f>
        <v>186895.25767533827</v>
      </c>
      <c r="N302" s="246">
        <f t="shared" si="17"/>
        <v>991.4375</v>
      </c>
      <c r="O302" s="246">
        <f t="shared" si="17"/>
        <v>0</v>
      </c>
      <c r="P302" s="159">
        <v>4512</v>
      </c>
      <c r="Q302" s="159">
        <v>1455</v>
      </c>
      <c r="R302" s="271">
        <f t="shared" si="14"/>
        <v>0.39911789909599021</v>
      </c>
    </row>
    <row r="303" spans="1:18" x14ac:dyDescent="0.2">
      <c r="A303" s="147">
        <v>2026</v>
      </c>
      <c r="B303" s="147">
        <v>2</v>
      </c>
      <c r="D303" s="258" t="e">
        <f t="shared" si="13"/>
        <v>#REF!</v>
      </c>
      <c r="E303" s="257" t="e">
        <f t="shared" si="15"/>
        <v>#REF!</v>
      </c>
      <c r="F303" s="166">
        <v>30.19</v>
      </c>
      <c r="G303" s="148">
        <v>4032.1653579456965</v>
      </c>
      <c r="H303" s="181">
        <f>VLOOKUP($A303&amp;$B303,'KU Inputs'!$C$2:$J$530,MATCH('KU UtilityData'!H$1,'KU Inputs'!$C$1:$J$1,0),0)*1000</f>
        <v>4706046</v>
      </c>
      <c r="I303" s="181">
        <f>VLOOKUP($A303&amp;$B303,'KU Inputs'!$C$2:$J$530,MATCH('KU UtilityData'!I$1,'KU Inputs'!$C$1:$J$1,0),0)*1000</f>
        <v>4838222</v>
      </c>
      <c r="J303" s="181">
        <f>VLOOKUP($A303&amp;$B303,'KU Inputs'!$C$2:$J$530,MATCH('KU UtilityData'!J$1,'KU Inputs'!$C$1:$J$1,0),0)*1000</f>
        <v>1931021</v>
      </c>
      <c r="K303" s="231">
        <v>463097.1</v>
      </c>
      <c r="L303" s="181">
        <f>VLOOKUP($A303&amp;$B303,'KU Inputs'!$C$2:$J$530,MATCH('KU UtilityData'!L$1,'KU Inputs'!$C$1:$J$1,0),0)</f>
        <v>183193.88699999999</v>
      </c>
      <c r="M303" s="181">
        <f>VLOOKUP($A303&amp;$B303,'KU Inputs'!$C$2:$J$530,MATCH('KU UtilityData'!M$1,'KU Inputs'!$C$1:$J$1,0),0)</f>
        <v>186895.25767533827</v>
      </c>
      <c r="N303" s="246">
        <f t="shared" si="17"/>
        <v>890.05499999999995</v>
      </c>
      <c r="O303" s="246">
        <f t="shared" si="17"/>
        <v>0</v>
      </c>
      <c r="P303" s="159">
        <v>4512</v>
      </c>
      <c r="Q303" s="159">
        <v>1455</v>
      </c>
      <c r="R303" s="271">
        <f t="shared" si="14"/>
        <v>0.39911789909599021</v>
      </c>
    </row>
    <row r="304" spans="1:18" x14ac:dyDescent="0.2">
      <c r="A304" s="147">
        <v>2026</v>
      </c>
      <c r="B304" s="147">
        <v>3</v>
      </c>
      <c r="D304" s="258" t="e">
        <f t="shared" si="13"/>
        <v>#REF!</v>
      </c>
      <c r="E304" s="257" t="e">
        <f t="shared" si="15"/>
        <v>#REF!</v>
      </c>
      <c r="F304" s="166">
        <v>30.05</v>
      </c>
      <c r="G304" s="148">
        <v>4034.2944754661989</v>
      </c>
      <c r="H304" s="181">
        <f>VLOOKUP($A304&amp;$B304,'KU Inputs'!$C$2:$J$530,MATCH('KU UtilityData'!H$1,'KU Inputs'!$C$1:$J$1,0),0)*1000</f>
        <v>4706046</v>
      </c>
      <c r="I304" s="181">
        <f>VLOOKUP($A304&amp;$B304,'KU Inputs'!$C$2:$J$530,MATCH('KU UtilityData'!I$1,'KU Inputs'!$C$1:$J$1,0),0)*1000</f>
        <v>4838222</v>
      </c>
      <c r="J304" s="181">
        <f>VLOOKUP($A304&amp;$B304,'KU Inputs'!$C$2:$J$530,MATCH('KU UtilityData'!J$1,'KU Inputs'!$C$1:$J$1,0),0)*1000</f>
        <v>1931021</v>
      </c>
      <c r="K304" s="231">
        <v>463097.1</v>
      </c>
      <c r="L304" s="181">
        <f>VLOOKUP($A304&amp;$B304,'KU Inputs'!$C$2:$J$530,MATCH('KU UtilityData'!L$1,'KU Inputs'!$C$1:$J$1,0),0)</f>
        <v>183193.88699999999</v>
      </c>
      <c r="M304" s="181">
        <f>VLOOKUP($A304&amp;$B304,'KU Inputs'!$C$2:$J$530,MATCH('KU UtilityData'!M$1,'KU Inputs'!$C$1:$J$1,0),0)</f>
        <v>186895.25767533827</v>
      </c>
      <c r="N304" s="246">
        <f t="shared" si="17"/>
        <v>724.63750000000005</v>
      </c>
      <c r="O304" s="246">
        <f t="shared" si="17"/>
        <v>0.92249999999999999</v>
      </c>
      <c r="P304" s="159">
        <v>4512</v>
      </c>
      <c r="Q304" s="159">
        <v>1455</v>
      </c>
      <c r="R304" s="271">
        <f t="shared" si="14"/>
        <v>0.39911789909599021</v>
      </c>
    </row>
    <row r="305" spans="1:18" x14ac:dyDescent="0.2">
      <c r="A305" s="147">
        <v>2026</v>
      </c>
      <c r="B305" s="147">
        <v>4</v>
      </c>
      <c r="D305" s="258" t="e">
        <f t="shared" si="13"/>
        <v>#REF!</v>
      </c>
      <c r="E305" s="257" t="e">
        <f t="shared" si="15"/>
        <v>#REF!</v>
      </c>
      <c r="F305" s="166">
        <v>30.71</v>
      </c>
      <c r="G305" s="148">
        <v>4036.4235929867009</v>
      </c>
      <c r="H305" s="181">
        <f>VLOOKUP($A305&amp;$B305,'KU Inputs'!$C$2:$J$530,MATCH('KU UtilityData'!H$1,'KU Inputs'!$C$1:$J$1,0),0)*1000</f>
        <v>4711295</v>
      </c>
      <c r="I305" s="181">
        <f>VLOOKUP($A305&amp;$B305,'KU Inputs'!$C$2:$J$530,MATCH('KU UtilityData'!I$1,'KU Inputs'!$C$1:$J$1,0),0)*1000</f>
        <v>4846054</v>
      </c>
      <c r="J305" s="181">
        <f>VLOOKUP($A305&amp;$B305,'KU Inputs'!$C$2:$J$530,MATCH('KU UtilityData'!J$1,'KU Inputs'!$C$1:$J$1,0),0)*1000</f>
        <v>1934539</v>
      </c>
      <c r="K305" s="231">
        <v>463930.48</v>
      </c>
      <c r="L305" s="181">
        <f>VLOOKUP($A305&amp;$B305,'KU Inputs'!$C$2:$J$530,MATCH('KU UtilityData'!L$1,'KU Inputs'!$C$1:$J$1,0),0)</f>
        <v>184162.48300000001</v>
      </c>
      <c r="M305" s="181">
        <f>VLOOKUP($A305&amp;$B305,'KU Inputs'!$C$2:$J$530,MATCH('KU UtilityData'!M$1,'KU Inputs'!$C$1:$J$1,0),0)</f>
        <v>187882.63416620754</v>
      </c>
      <c r="N305" s="246">
        <f t="shared" si="17"/>
        <v>433.4375</v>
      </c>
      <c r="O305" s="246">
        <f t="shared" si="17"/>
        <v>13.477500000000001</v>
      </c>
      <c r="P305" s="159">
        <v>4512</v>
      </c>
      <c r="Q305" s="159">
        <v>1455</v>
      </c>
      <c r="R305" s="271">
        <f t="shared" si="14"/>
        <v>0.39919881206441366</v>
      </c>
    </row>
    <row r="306" spans="1:18" x14ac:dyDescent="0.2">
      <c r="A306" s="147">
        <v>2026</v>
      </c>
      <c r="B306" s="147">
        <v>5</v>
      </c>
      <c r="D306" s="258" t="e">
        <f t="shared" si="13"/>
        <v>#REF!</v>
      </c>
      <c r="E306" s="257" t="e">
        <f t="shared" si="15"/>
        <v>#REF!</v>
      </c>
      <c r="F306" s="166">
        <v>29.9</v>
      </c>
      <c r="G306" s="148">
        <v>4038.5527105072033</v>
      </c>
      <c r="H306" s="181">
        <f>VLOOKUP($A306&amp;$B306,'KU Inputs'!$C$2:$J$530,MATCH('KU UtilityData'!H$1,'KU Inputs'!$C$1:$J$1,0),0)*1000</f>
        <v>4711295</v>
      </c>
      <c r="I306" s="181">
        <f>VLOOKUP($A306&amp;$B306,'KU Inputs'!$C$2:$J$530,MATCH('KU UtilityData'!I$1,'KU Inputs'!$C$1:$J$1,0),0)*1000</f>
        <v>4846054</v>
      </c>
      <c r="J306" s="181">
        <f>VLOOKUP($A306&amp;$B306,'KU Inputs'!$C$2:$J$530,MATCH('KU UtilityData'!J$1,'KU Inputs'!$C$1:$J$1,0),0)*1000</f>
        <v>1934539</v>
      </c>
      <c r="K306" s="231">
        <v>463930.48</v>
      </c>
      <c r="L306" s="181">
        <f>VLOOKUP($A306&amp;$B306,'KU Inputs'!$C$2:$J$530,MATCH('KU UtilityData'!L$1,'KU Inputs'!$C$1:$J$1,0),0)</f>
        <v>184162.48300000001</v>
      </c>
      <c r="M306" s="181">
        <f>VLOOKUP($A306&amp;$B306,'KU Inputs'!$C$2:$J$530,MATCH('KU UtilityData'!M$1,'KU Inputs'!$C$1:$J$1,0),0)</f>
        <v>187882.63416620754</v>
      </c>
      <c r="N306" s="246">
        <f t="shared" si="17"/>
        <v>189.125</v>
      </c>
      <c r="O306" s="246">
        <f t="shared" si="17"/>
        <v>46.06</v>
      </c>
      <c r="P306" s="159">
        <v>4512</v>
      </c>
      <c r="Q306" s="159">
        <v>1455</v>
      </c>
      <c r="R306" s="271">
        <f t="shared" si="14"/>
        <v>0.39919881206441366</v>
      </c>
    </row>
    <row r="307" spans="1:18" x14ac:dyDescent="0.2">
      <c r="A307" s="147">
        <v>2026</v>
      </c>
      <c r="B307" s="147">
        <v>6</v>
      </c>
      <c r="D307" s="258" t="e">
        <f t="shared" si="13"/>
        <v>#REF!</v>
      </c>
      <c r="E307" s="257" t="e">
        <f t="shared" si="15"/>
        <v>#REF!</v>
      </c>
      <c r="F307" s="166">
        <v>30.38</v>
      </c>
      <c r="G307" s="148">
        <v>4040.6818280277062</v>
      </c>
      <c r="H307" s="181">
        <f>VLOOKUP($A307&amp;$B307,'KU Inputs'!$C$2:$J$530,MATCH('KU UtilityData'!H$1,'KU Inputs'!$C$1:$J$1,0),0)*1000</f>
        <v>4711295</v>
      </c>
      <c r="I307" s="181">
        <f>VLOOKUP($A307&amp;$B307,'KU Inputs'!$C$2:$J$530,MATCH('KU UtilityData'!I$1,'KU Inputs'!$C$1:$J$1,0),0)*1000</f>
        <v>4846054</v>
      </c>
      <c r="J307" s="181">
        <f>VLOOKUP($A307&amp;$B307,'KU Inputs'!$C$2:$J$530,MATCH('KU UtilityData'!J$1,'KU Inputs'!$C$1:$J$1,0),0)*1000</f>
        <v>1934539</v>
      </c>
      <c r="K307" s="231">
        <v>463930.48</v>
      </c>
      <c r="L307" s="181">
        <f>VLOOKUP($A307&amp;$B307,'KU Inputs'!$C$2:$J$530,MATCH('KU UtilityData'!L$1,'KU Inputs'!$C$1:$J$1,0),0)</f>
        <v>184162.48300000001</v>
      </c>
      <c r="M307" s="181">
        <f>VLOOKUP($A307&amp;$B307,'KU Inputs'!$C$2:$J$530,MATCH('KU UtilityData'!M$1,'KU Inputs'!$C$1:$J$1,0),0)</f>
        <v>187882.63416620754</v>
      </c>
      <c r="N307" s="246">
        <f t="shared" si="17"/>
        <v>50.362499999999997</v>
      </c>
      <c r="O307" s="246">
        <f t="shared" si="17"/>
        <v>166.4075</v>
      </c>
      <c r="P307" s="159">
        <v>4512</v>
      </c>
      <c r="Q307" s="159">
        <v>1455</v>
      </c>
      <c r="R307" s="271">
        <f t="shared" si="14"/>
        <v>0.39919881206441366</v>
      </c>
    </row>
    <row r="308" spans="1:18" x14ac:dyDescent="0.2">
      <c r="A308" s="147">
        <v>2026</v>
      </c>
      <c r="B308" s="147">
        <v>7</v>
      </c>
      <c r="D308" s="258" t="e">
        <f t="shared" si="13"/>
        <v>#REF!</v>
      </c>
      <c r="E308" s="257" t="e">
        <f t="shared" si="15"/>
        <v>#REF!</v>
      </c>
      <c r="F308" s="166">
        <v>30.71</v>
      </c>
      <c r="G308" s="148">
        <v>4042.7753434331453</v>
      </c>
      <c r="H308" s="181">
        <f>VLOOKUP($A308&amp;$B308,'KU Inputs'!$C$2:$J$530,MATCH('KU UtilityData'!H$1,'KU Inputs'!$C$1:$J$1,0),0)*1000</f>
        <v>4716497</v>
      </c>
      <c r="I308" s="181">
        <f>VLOOKUP($A308&amp;$B308,'KU Inputs'!$C$2:$J$530,MATCH('KU UtilityData'!I$1,'KU Inputs'!$C$1:$J$1,0),0)*1000</f>
        <v>4853840</v>
      </c>
      <c r="J308" s="181">
        <f>VLOOKUP($A308&amp;$B308,'KU Inputs'!$C$2:$J$530,MATCH('KU UtilityData'!J$1,'KU Inputs'!$C$1:$J$1,0),0)*1000</f>
        <v>1938073</v>
      </c>
      <c r="K308" s="231">
        <v>464748.33</v>
      </c>
      <c r="L308" s="181">
        <f>VLOOKUP($A308&amp;$B308,'KU Inputs'!$C$2:$J$530,MATCH('KU UtilityData'!L$1,'KU Inputs'!$C$1:$J$1,0),0)</f>
        <v>185034.74600000001</v>
      </c>
      <c r="M308" s="181">
        <f>VLOOKUP($A308&amp;$B308,'KU Inputs'!$C$2:$J$530,MATCH('KU UtilityData'!M$1,'KU Inputs'!$C$1:$J$1,0),0)</f>
        <v>188752.79950890908</v>
      </c>
      <c r="N308" s="246">
        <f t="shared" si="17"/>
        <v>1.625</v>
      </c>
      <c r="O308" s="246">
        <f t="shared" si="17"/>
        <v>326.005</v>
      </c>
      <c r="P308" s="159">
        <v>4512</v>
      </c>
      <c r="Q308" s="159">
        <v>1455</v>
      </c>
      <c r="R308" s="271">
        <f t="shared" si="14"/>
        <v>0.39928654426186277</v>
      </c>
    </row>
    <row r="309" spans="1:18" x14ac:dyDescent="0.2">
      <c r="A309" s="147">
        <v>2026</v>
      </c>
      <c r="B309" s="147">
        <v>8</v>
      </c>
      <c r="D309" s="258" t="e">
        <f t="shared" si="13"/>
        <v>#REF!</v>
      </c>
      <c r="E309" s="257" t="e">
        <f t="shared" si="15"/>
        <v>#REF!</v>
      </c>
      <c r="F309" s="166">
        <v>29.52</v>
      </c>
      <c r="G309" s="148">
        <v>4044.8688588385849</v>
      </c>
      <c r="H309" s="181">
        <f>VLOOKUP($A309&amp;$B309,'KU Inputs'!$C$2:$J$530,MATCH('KU UtilityData'!H$1,'KU Inputs'!$C$1:$J$1,0),0)*1000</f>
        <v>4716497</v>
      </c>
      <c r="I309" s="181">
        <f>VLOOKUP($A309&amp;$B309,'KU Inputs'!$C$2:$J$530,MATCH('KU UtilityData'!I$1,'KU Inputs'!$C$1:$J$1,0),0)*1000</f>
        <v>4853840</v>
      </c>
      <c r="J309" s="181">
        <f>VLOOKUP($A309&amp;$B309,'KU Inputs'!$C$2:$J$530,MATCH('KU UtilityData'!J$1,'KU Inputs'!$C$1:$J$1,0),0)*1000</f>
        <v>1938073</v>
      </c>
      <c r="K309" s="231">
        <v>464748.33</v>
      </c>
      <c r="L309" s="181">
        <f>VLOOKUP($A309&amp;$B309,'KU Inputs'!$C$2:$J$530,MATCH('KU UtilityData'!L$1,'KU Inputs'!$C$1:$J$1,0),0)</f>
        <v>185034.74600000001</v>
      </c>
      <c r="M309" s="181">
        <f>VLOOKUP($A309&amp;$B309,'KU Inputs'!$C$2:$J$530,MATCH('KU UtilityData'!M$1,'KU Inputs'!$C$1:$J$1,0),0)</f>
        <v>188752.79950890908</v>
      </c>
      <c r="N309" s="246">
        <f t="shared" si="17"/>
        <v>0.75</v>
      </c>
      <c r="O309" s="246">
        <f t="shared" si="17"/>
        <v>348.8175</v>
      </c>
      <c r="P309" s="159">
        <v>4512</v>
      </c>
      <c r="Q309" s="159">
        <v>1455</v>
      </c>
      <c r="R309" s="271">
        <f t="shared" si="14"/>
        <v>0.39928654426186277</v>
      </c>
    </row>
    <row r="310" spans="1:18" x14ac:dyDescent="0.2">
      <c r="A310" s="147">
        <v>2026</v>
      </c>
      <c r="B310" s="147">
        <v>9</v>
      </c>
      <c r="D310" s="258" t="e">
        <f t="shared" si="13"/>
        <v>#REF!</v>
      </c>
      <c r="E310" s="257" t="e">
        <f t="shared" si="15"/>
        <v>#REF!</v>
      </c>
      <c r="F310" s="166">
        <v>30.48</v>
      </c>
      <c r="G310" s="148">
        <v>4046.962374244024</v>
      </c>
      <c r="H310" s="181">
        <f>VLOOKUP($A310&amp;$B310,'KU Inputs'!$C$2:$J$530,MATCH('KU UtilityData'!H$1,'KU Inputs'!$C$1:$J$1,0),0)*1000</f>
        <v>4716497</v>
      </c>
      <c r="I310" s="181">
        <f>VLOOKUP($A310&amp;$B310,'KU Inputs'!$C$2:$J$530,MATCH('KU UtilityData'!I$1,'KU Inputs'!$C$1:$J$1,0),0)*1000</f>
        <v>4853840</v>
      </c>
      <c r="J310" s="181">
        <f>VLOOKUP($A310&amp;$B310,'KU Inputs'!$C$2:$J$530,MATCH('KU UtilityData'!J$1,'KU Inputs'!$C$1:$J$1,0),0)*1000</f>
        <v>1938073</v>
      </c>
      <c r="K310" s="231">
        <v>464748.33</v>
      </c>
      <c r="L310" s="181">
        <f>VLOOKUP($A310&amp;$B310,'KU Inputs'!$C$2:$J$530,MATCH('KU UtilityData'!L$1,'KU Inputs'!$C$1:$J$1,0),0)</f>
        <v>185034.74600000001</v>
      </c>
      <c r="M310" s="181">
        <f>VLOOKUP($A310&amp;$B310,'KU Inputs'!$C$2:$J$530,MATCH('KU UtilityData'!M$1,'KU Inputs'!$C$1:$J$1,0),0)</f>
        <v>188752.79950890908</v>
      </c>
      <c r="N310" s="246">
        <f t="shared" si="17"/>
        <v>11.752500000000001</v>
      </c>
      <c r="O310" s="246">
        <f t="shared" si="17"/>
        <v>258.88</v>
      </c>
      <c r="P310" s="159">
        <v>4512</v>
      </c>
      <c r="Q310" s="159">
        <v>1455</v>
      </c>
      <c r="R310" s="271">
        <f t="shared" si="14"/>
        <v>0.39928654426186277</v>
      </c>
    </row>
    <row r="311" spans="1:18" x14ac:dyDescent="0.2">
      <c r="A311" s="147">
        <v>2026</v>
      </c>
      <c r="B311" s="147">
        <v>10</v>
      </c>
      <c r="D311" s="258" t="e">
        <f t="shared" si="13"/>
        <v>#REF!</v>
      </c>
      <c r="E311" s="257" t="e">
        <f t="shared" si="15"/>
        <v>#REF!</v>
      </c>
      <c r="F311" s="166">
        <v>29.67</v>
      </c>
      <c r="G311" s="148">
        <v>4049.0558896494636</v>
      </c>
      <c r="H311" s="181">
        <f>VLOOKUP($A311&amp;$B311,'KU Inputs'!$C$2:$J$530,MATCH('KU UtilityData'!H$1,'KU Inputs'!$C$1:$J$1,0),0)*1000</f>
        <v>4721676</v>
      </c>
      <c r="I311" s="181">
        <f>VLOOKUP($A311&amp;$B311,'KU Inputs'!$C$2:$J$530,MATCH('KU UtilityData'!I$1,'KU Inputs'!$C$1:$J$1,0),0)*1000</f>
        <v>4861604</v>
      </c>
      <c r="J311" s="181">
        <f>VLOOKUP($A311&amp;$B311,'KU Inputs'!$C$2:$J$530,MATCH('KU UtilityData'!J$1,'KU Inputs'!$C$1:$J$1,0),0)*1000</f>
        <v>1941453</v>
      </c>
      <c r="K311" s="231">
        <v>465568.8</v>
      </c>
      <c r="L311" s="181">
        <f>VLOOKUP($A311&amp;$B311,'KU Inputs'!$C$2:$J$530,MATCH('KU UtilityData'!L$1,'KU Inputs'!$C$1:$J$1,0),0)</f>
        <v>185915.33600000001</v>
      </c>
      <c r="M311" s="181">
        <f>VLOOKUP($A311&amp;$B311,'KU Inputs'!$C$2:$J$530,MATCH('KU UtilityData'!M$1,'KU Inputs'!$C$1:$J$1,0),0)</f>
        <v>189619.49178872365</v>
      </c>
      <c r="N311" s="246">
        <f t="shared" si="17"/>
        <v>134.87</v>
      </c>
      <c r="O311" s="246">
        <f t="shared" si="17"/>
        <v>71.42</v>
      </c>
      <c r="P311" s="159">
        <v>4512</v>
      </c>
      <c r="Q311" s="159">
        <v>1455</v>
      </c>
      <c r="R311" s="271">
        <f t="shared" si="14"/>
        <v>0.39934412593045421</v>
      </c>
    </row>
    <row r="312" spans="1:18" x14ac:dyDescent="0.2">
      <c r="A312" s="147">
        <v>2026</v>
      </c>
      <c r="B312" s="147">
        <v>11</v>
      </c>
      <c r="D312" s="258" t="e">
        <f t="shared" si="13"/>
        <v>#REF!</v>
      </c>
      <c r="E312" s="257" t="e">
        <f t="shared" si="15"/>
        <v>#REF!</v>
      </c>
      <c r="F312" s="166">
        <v>29.76</v>
      </c>
      <c r="G312" s="148">
        <v>4051.1494050549027</v>
      </c>
      <c r="H312" s="181">
        <f>VLOOKUP($A312&amp;$B312,'KU Inputs'!$C$2:$J$530,MATCH('KU UtilityData'!H$1,'KU Inputs'!$C$1:$J$1,0),0)*1000</f>
        <v>4721676</v>
      </c>
      <c r="I312" s="181">
        <f>VLOOKUP($A312&amp;$B312,'KU Inputs'!$C$2:$J$530,MATCH('KU UtilityData'!I$1,'KU Inputs'!$C$1:$J$1,0),0)*1000</f>
        <v>4861604</v>
      </c>
      <c r="J312" s="181">
        <f>VLOOKUP($A312&amp;$B312,'KU Inputs'!$C$2:$J$530,MATCH('KU UtilityData'!J$1,'KU Inputs'!$C$1:$J$1,0),0)*1000</f>
        <v>1941453</v>
      </c>
      <c r="K312" s="231">
        <v>465568.8</v>
      </c>
      <c r="L312" s="181">
        <f>VLOOKUP($A312&amp;$B312,'KU Inputs'!$C$2:$J$530,MATCH('KU UtilityData'!L$1,'KU Inputs'!$C$1:$J$1,0),0)</f>
        <v>185915.33600000001</v>
      </c>
      <c r="M312" s="181">
        <f>VLOOKUP($A312&amp;$B312,'KU Inputs'!$C$2:$J$530,MATCH('KU UtilityData'!M$1,'KU Inputs'!$C$1:$J$1,0),0)</f>
        <v>189619.49178872365</v>
      </c>
      <c r="N312" s="246">
        <f t="shared" si="17"/>
        <v>396.30250000000001</v>
      </c>
      <c r="O312" s="246">
        <f t="shared" si="17"/>
        <v>6.6950000000000003</v>
      </c>
      <c r="P312" s="159">
        <v>4512</v>
      </c>
      <c r="Q312" s="159">
        <v>1455</v>
      </c>
      <c r="R312" s="271">
        <f t="shared" si="14"/>
        <v>0.39934412593045421</v>
      </c>
    </row>
    <row r="313" spans="1:18" x14ac:dyDescent="0.2">
      <c r="A313" s="147">
        <v>2026</v>
      </c>
      <c r="B313" s="147">
        <v>12</v>
      </c>
      <c r="D313" s="258" t="e">
        <f t="shared" si="13"/>
        <v>#REF!</v>
      </c>
      <c r="E313" s="257" t="e">
        <f t="shared" si="15"/>
        <v>#REF!</v>
      </c>
      <c r="F313" s="166">
        <v>31.57</v>
      </c>
      <c r="G313" s="148">
        <v>4053.2429204603418</v>
      </c>
      <c r="H313" s="181">
        <f>VLOOKUP($A313&amp;$B313,'KU Inputs'!$C$2:$J$530,MATCH('KU UtilityData'!H$1,'KU Inputs'!$C$1:$J$1,0),0)*1000</f>
        <v>4721676</v>
      </c>
      <c r="I313" s="181">
        <f>VLOOKUP($A313&amp;$B313,'KU Inputs'!$C$2:$J$530,MATCH('KU UtilityData'!I$1,'KU Inputs'!$C$1:$J$1,0),0)*1000</f>
        <v>4861604</v>
      </c>
      <c r="J313" s="181">
        <f>VLOOKUP($A313&amp;$B313,'KU Inputs'!$C$2:$J$530,MATCH('KU UtilityData'!J$1,'KU Inputs'!$C$1:$J$1,0),0)*1000</f>
        <v>1941453</v>
      </c>
      <c r="K313" s="231">
        <v>465568.8</v>
      </c>
      <c r="L313" s="181">
        <f>VLOOKUP($A313&amp;$B313,'KU Inputs'!$C$2:$J$530,MATCH('KU UtilityData'!L$1,'KU Inputs'!$C$1:$J$1,0),0)</f>
        <v>185915.33600000001</v>
      </c>
      <c r="M313" s="181">
        <f>VLOOKUP($A313&amp;$B313,'KU Inputs'!$C$2:$J$530,MATCH('KU UtilityData'!M$1,'KU Inputs'!$C$1:$J$1,0),0)</f>
        <v>189619.49178872365</v>
      </c>
      <c r="N313" s="246">
        <f t="shared" si="17"/>
        <v>714.28500000000008</v>
      </c>
      <c r="O313" s="246">
        <f t="shared" si="17"/>
        <v>0.25</v>
      </c>
      <c r="P313" s="159">
        <v>4512</v>
      </c>
      <c r="Q313" s="159">
        <v>1455</v>
      </c>
      <c r="R313" s="271">
        <f t="shared" si="14"/>
        <v>0.39934412593045421</v>
      </c>
    </row>
    <row r="314" spans="1:18" x14ac:dyDescent="0.2">
      <c r="A314" s="147">
        <v>2027</v>
      </c>
      <c r="B314" s="147">
        <v>1</v>
      </c>
      <c r="D314" s="258" t="e">
        <f t="shared" si="13"/>
        <v>#REF!</v>
      </c>
      <c r="E314" s="257" t="e">
        <f t="shared" si="15"/>
        <v>#REF!</v>
      </c>
      <c r="F314" s="166">
        <v>32.520000000000003</v>
      </c>
      <c r="G314" s="148">
        <v>4055.3364358657814</v>
      </c>
      <c r="H314" s="181">
        <f>VLOOKUP($A314&amp;$B314,'KU Inputs'!$C$2:$J$530,MATCH('KU UtilityData'!H$1,'KU Inputs'!$C$1:$J$1,0),0)*1000</f>
        <v>4726833</v>
      </c>
      <c r="I314" s="181">
        <f>VLOOKUP($A314&amp;$B314,'KU Inputs'!$C$2:$J$530,MATCH('KU UtilityData'!I$1,'KU Inputs'!$C$1:$J$1,0),0)*1000</f>
        <v>4869349</v>
      </c>
      <c r="J314" s="181">
        <f>VLOOKUP($A314&amp;$B314,'KU Inputs'!$C$2:$J$530,MATCH('KU UtilityData'!J$1,'KU Inputs'!$C$1:$J$1,0),0)*1000</f>
        <v>1945152</v>
      </c>
      <c r="K314" s="231">
        <v>466382.71</v>
      </c>
      <c r="L314" s="181">
        <f>VLOOKUP($A314&amp;$B314,'KU Inputs'!$C$2:$J$530,MATCH('KU UtilityData'!L$1,'KU Inputs'!$C$1:$J$1,0),0)</f>
        <v>187484.08600000001</v>
      </c>
      <c r="M314" s="181">
        <f>VLOOKUP($A314&amp;$B314,'KU Inputs'!$C$2:$J$530,MATCH('KU UtilityData'!M$1,'KU Inputs'!$C$1:$J$1,0),0)</f>
        <v>191175.42449455697</v>
      </c>
      <c r="N314" s="246">
        <f t="shared" si="17"/>
        <v>991.4375</v>
      </c>
      <c r="O314" s="246">
        <f t="shared" si="17"/>
        <v>0</v>
      </c>
      <c r="P314" s="159">
        <v>4512</v>
      </c>
      <c r="Q314" s="159">
        <v>1455</v>
      </c>
      <c r="R314" s="271">
        <f t="shared" si="14"/>
        <v>0.39946859426177916</v>
      </c>
    </row>
    <row r="315" spans="1:18" x14ac:dyDescent="0.2">
      <c r="A315" s="147">
        <v>2027</v>
      </c>
      <c r="B315" s="147">
        <v>2</v>
      </c>
      <c r="D315" s="258" t="e">
        <f t="shared" si="13"/>
        <v>#REF!</v>
      </c>
      <c r="E315" s="257" t="e">
        <f t="shared" si="15"/>
        <v>#REF!</v>
      </c>
      <c r="F315" s="166">
        <v>30.14</v>
      </c>
      <c r="G315" s="148">
        <v>4057.4299512712205</v>
      </c>
      <c r="H315" s="181">
        <f>VLOOKUP($A315&amp;$B315,'KU Inputs'!$C$2:$J$530,MATCH('KU UtilityData'!H$1,'KU Inputs'!$C$1:$J$1,0),0)*1000</f>
        <v>4726833</v>
      </c>
      <c r="I315" s="181">
        <f>VLOOKUP($A315&amp;$B315,'KU Inputs'!$C$2:$J$530,MATCH('KU UtilityData'!I$1,'KU Inputs'!$C$1:$J$1,0),0)*1000</f>
        <v>4869349</v>
      </c>
      <c r="J315" s="181">
        <f>VLOOKUP($A315&amp;$B315,'KU Inputs'!$C$2:$J$530,MATCH('KU UtilityData'!J$1,'KU Inputs'!$C$1:$J$1,0),0)*1000</f>
        <v>1945152</v>
      </c>
      <c r="K315" s="231">
        <v>466382.71</v>
      </c>
      <c r="L315" s="181">
        <f>VLOOKUP($A315&amp;$B315,'KU Inputs'!$C$2:$J$530,MATCH('KU UtilityData'!L$1,'KU Inputs'!$C$1:$J$1,0),0)</f>
        <v>187484.08600000001</v>
      </c>
      <c r="M315" s="181">
        <f>VLOOKUP($A315&amp;$B315,'KU Inputs'!$C$2:$J$530,MATCH('KU UtilityData'!M$1,'KU Inputs'!$C$1:$J$1,0),0)</f>
        <v>191175.42449455697</v>
      </c>
      <c r="N315" s="246">
        <f t="shared" si="17"/>
        <v>890.05499999999995</v>
      </c>
      <c r="O315" s="246">
        <f t="shared" si="17"/>
        <v>0</v>
      </c>
      <c r="P315" s="159">
        <v>4512</v>
      </c>
      <c r="Q315" s="159">
        <v>1455</v>
      </c>
      <c r="R315" s="271">
        <f t="shared" si="14"/>
        <v>0.39946859426177916</v>
      </c>
    </row>
    <row r="316" spans="1:18" x14ac:dyDescent="0.2">
      <c r="A316" s="147">
        <v>2027</v>
      </c>
      <c r="B316" s="147">
        <v>3</v>
      </c>
      <c r="D316" s="258" t="e">
        <f t="shared" si="13"/>
        <v>#REF!</v>
      </c>
      <c r="E316" s="257" t="e">
        <f t="shared" si="15"/>
        <v>#REF!</v>
      </c>
      <c r="F316" s="166">
        <v>30.33</v>
      </c>
      <c r="G316" s="148">
        <v>4059.5234666766601</v>
      </c>
      <c r="H316" s="181">
        <f>VLOOKUP($A316&amp;$B316,'KU Inputs'!$C$2:$J$530,MATCH('KU UtilityData'!H$1,'KU Inputs'!$C$1:$J$1,0),0)*1000</f>
        <v>4726833</v>
      </c>
      <c r="I316" s="181">
        <f>VLOOKUP($A316&amp;$B316,'KU Inputs'!$C$2:$J$530,MATCH('KU UtilityData'!I$1,'KU Inputs'!$C$1:$J$1,0),0)*1000</f>
        <v>4869349</v>
      </c>
      <c r="J316" s="181">
        <f>VLOOKUP($A316&amp;$B316,'KU Inputs'!$C$2:$J$530,MATCH('KU UtilityData'!J$1,'KU Inputs'!$C$1:$J$1,0),0)*1000</f>
        <v>1945152</v>
      </c>
      <c r="K316" s="231">
        <v>466382.71</v>
      </c>
      <c r="L316" s="181">
        <f>VLOOKUP($A316&amp;$B316,'KU Inputs'!$C$2:$J$530,MATCH('KU UtilityData'!L$1,'KU Inputs'!$C$1:$J$1,0),0)</f>
        <v>187484.08600000001</v>
      </c>
      <c r="M316" s="181">
        <f>VLOOKUP($A316&amp;$B316,'KU Inputs'!$C$2:$J$530,MATCH('KU UtilityData'!M$1,'KU Inputs'!$C$1:$J$1,0),0)</f>
        <v>191175.42449455697</v>
      </c>
      <c r="N316" s="246">
        <f t="shared" si="17"/>
        <v>724.63750000000005</v>
      </c>
      <c r="O316" s="246">
        <f t="shared" si="17"/>
        <v>0.92249999999999999</v>
      </c>
      <c r="P316" s="159">
        <v>4512</v>
      </c>
      <c r="Q316" s="159">
        <v>1455</v>
      </c>
      <c r="R316" s="271">
        <f t="shared" si="14"/>
        <v>0.39946859426177916</v>
      </c>
    </row>
    <row r="317" spans="1:18" x14ac:dyDescent="0.2">
      <c r="A317" s="147">
        <v>2027</v>
      </c>
      <c r="B317" s="147">
        <v>4</v>
      </c>
      <c r="D317" s="258" t="e">
        <f t="shared" si="13"/>
        <v>#REF!</v>
      </c>
      <c r="E317" s="257" t="e">
        <f t="shared" si="15"/>
        <v>#REF!</v>
      </c>
      <c r="F317" s="166">
        <v>30.52</v>
      </c>
      <c r="G317" s="148">
        <v>4061.6169820820992</v>
      </c>
      <c r="H317" s="181">
        <f>VLOOKUP($A317&amp;$B317,'KU Inputs'!$C$2:$J$530,MATCH('KU UtilityData'!H$1,'KU Inputs'!$C$1:$J$1,0),0)*1000</f>
        <v>4731966</v>
      </c>
      <c r="I317" s="181">
        <f>VLOOKUP($A317&amp;$B317,'KU Inputs'!$C$2:$J$530,MATCH('KU UtilityData'!I$1,'KU Inputs'!$C$1:$J$1,0),0)*1000</f>
        <v>4877072</v>
      </c>
      <c r="J317" s="181">
        <f>VLOOKUP($A317&amp;$B317,'KU Inputs'!$C$2:$J$530,MATCH('KU UtilityData'!J$1,'KU Inputs'!$C$1:$J$1,0),0)*1000</f>
        <v>1948812</v>
      </c>
      <c r="K317" s="231">
        <v>467209.75</v>
      </c>
      <c r="L317" s="181">
        <f>VLOOKUP($A317&amp;$B317,'KU Inputs'!$C$2:$J$530,MATCH('KU UtilityData'!L$1,'KU Inputs'!$C$1:$J$1,0),0)</f>
        <v>188450.351</v>
      </c>
      <c r="M317" s="181">
        <f>VLOOKUP($A317&amp;$B317,'KU Inputs'!$C$2:$J$530,MATCH('KU UtilityData'!M$1,'KU Inputs'!$C$1:$J$1,0),0)</f>
        <v>192138.18473751959</v>
      </c>
      <c r="N317" s="246">
        <f t="shared" si="17"/>
        <v>433.4375</v>
      </c>
      <c r="O317" s="246">
        <f t="shared" si="17"/>
        <v>13.477500000000001</v>
      </c>
      <c r="P317" s="159">
        <v>4512</v>
      </c>
      <c r="Q317" s="159">
        <v>1455</v>
      </c>
      <c r="R317" s="271">
        <f t="shared" si="14"/>
        <v>0.39958647319539264</v>
      </c>
    </row>
    <row r="318" spans="1:18" x14ac:dyDescent="0.2">
      <c r="A318" s="147">
        <v>2027</v>
      </c>
      <c r="B318" s="147">
        <v>5</v>
      </c>
      <c r="D318" s="258" t="e">
        <f t="shared" si="13"/>
        <v>#REF!</v>
      </c>
      <c r="E318" s="257" t="e">
        <f t="shared" si="15"/>
        <v>#REF!</v>
      </c>
      <c r="F318" s="166">
        <v>29.48</v>
      </c>
      <c r="G318" s="148">
        <v>4063.7104974875383</v>
      </c>
      <c r="H318" s="181">
        <f>VLOOKUP($A318&amp;$B318,'KU Inputs'!$C$2:$J$530,MATCH('KU UtilityData'!H$1,'KU Inputs'!$C$1:$J$1,0),0)*1000</f>
        <v>4731966</v>
      </c>
      <c r="I318" s="181">
        <f>VLOOKUP($A318&amp;$B318,'KU Inputs'!$C$2:$J$530,MATCH('KU UtilityData'!I$1,'KU Inputs'!$C$1:$J$1,0),0)*1000</f>
        <v>4877072</v>
      </c>
      <c r="J318" s="181">
        <f>VLOOKUP($A318&amp;$B318,'KU Inputs'!$C$2:$J$530,MATCH('KU UtilityData'!J$1,'KU Inputs'!$C$1:$J$1,0),0)*1000</f>
        <v>1948812</v>
      </c>
      <c r="K318" s="231">
        <v>467209.75</v>
      </c>
      <c r="L318" s="181">
        <f>VLOOKUP($A318&amp;$B318,'KU Inputs'!$C$2:$J$530,MATCH('KU UtilityData'!L$1,'KU Inputs'!$C$1:$J$1,0),0)</f>
        <v>188450.351</v>
      </c>
      <c r="M318" s="181">
        <f>VLOOKUP($A318&amp;$B318,'KU Inputs'!$C$2:$J$530,MATCH('KU UtilityData'!M$1,'KU Inputs'!$C$1:$J$1,0),0)</f>
        <v>192138.18473751959</v>
      </c>
      <c r="N318" s="246">
        <f t="shared" ref="N318:O337" si="18">N306</f>
        <v>189.125</v>
      </c>
      <c r="O318" s="246">
        <f t="shared" si="18"/>
        <v>46.06</v>
      </c>
      <c r="P318" s="159">
        <v>4512</v>
      </c>
      <c r="Q318" s="159">
        <v>1455</v>
      </c>
      <c r="R318" s="271">
        <f t="shared" si="14"/>
        <v>0.39958647319539264</v>
      </c>
    </row>
    <row r="319" spans="1:18" x14ac:dyDescent="0.2">
      <c r="A319" s="147">
        <v>2027</v>
      </c>
      <c r="B319" s="147">
        <v>6</v>
      </c>
      <c r="D319" s="258" t="e">
        <f t="shared" si="13"/>
        <v>#REF!</v>
      </c>
      <c r="E319" s="257" t="e">
        <f t="shared" si="15"/>
        <v>#REF!</v>
      </c>
      <c r="F319" s="166">
        <v>30.67</v>
      </c>
      <c r="G319" s="148">
        <v>4065.8040128929783</v>
      </c>
      <c r="H319" s="181">
        <f>VLOOKUP($A319&amp;$B319,'KU Inputs'!$C$2:$J$530,MATCH('KU UtilityData'!H$1,'KU Inputs'!$C$1:$J$1,0),0)*1000</f>
        <v>4731966</v>
      </c>
      <c r="I319" s="181">
        <f>VLOOKUP($A319&amp;$B319,'KU Inputs'!$C$2:$J$530,MATCH('KU UtilityData'!I$1,'KU Inputs'!$C$1:$J$1,0),0)*1000</f>
        <v>4877072</v>
      </c>
      <c r="J319" s="181">
        <f>VLOOKUP($A319&amp;$B319,'KU Inputs'!$C$2:$J$530,MATCH('KU UtilityData'!J$1,'KU Inputs'!$C$1:$J$1,0),0)*1000</f>
        <v>1948812</v>
      </c>
      <c r="K319" s="231">
        <v>467209.75</v>
      </c>
      <c r="L319" s="181">
        <f>VLOOKUP($A319&amp;$B319,'KU Inputs'!$C$2:$J$530,MATCH('KU UtilityData'!L$1,'KU Inputs'!$C$1:$J$1,0),0)</f>
        <v>188450.351</v>
      </c>
      <c r="M319" s="181">
        <f>VLOOKUP($A319&amp;$B319,'KU Inputs'!$C$2:$J$530,MATCH('KU UtilityData'!M$1,'KU Inputs'!$C$1:$J$1,0),0)</f>
        <v>192138.18473751959</v>
      </c>
      <c r="N319" s="246">
        <f t="shared" si="18"/>
        <v>50.362499999999997</v>
      </c>
      <c r="O319" s="246">
        <f t="shared" si="18"/>
        <v>166.4075</v>
      </c>
      <c r="P319" s="159">
        <v>4512</v>
      </c>
      <c r="Q319" s="159">
        <v>1455</v>
      </c>
      <c r="R319" s="271">
        <f t="shared" si="14"/>
        <v>0.39958647319539264</v>
      </c>
    </row>
    <row r="320" spans="1:18" x14ac:dyDescent="0.2">
      <c r="A320" s="147">
        <v>2027</v>
      </c>
      <c r="B320" s="147">
        <v>7</v>
      </c>
      <c r="D320" s="258" t="e">
        <f t="shared" si="13"/>
        <v>#REF!</v>
      </c>
      <c r="E320" s="257" t="e">
        <f t="shared" si="15"/>
        <v>#REF!</v>
      </c>
      <c r="F320" s="166">
        <v>30.71</v>
      </c>
      <c r="G320" s="148">
        <v>4067.8642857777254</v>
      </c>
      <c r="H320" s="181">
        <f>VLOOKUP($A320&amp;$B320,'KU Inputs'!$C$2:$J$530,MATCH('KU UtilityData'!H$1,'KU Inputs'!$C$1:$J$1,0),0)*1000</f>
        <v>4737064</v>
      </c>
      <c r="I320" s="181">
        <f>VLOOKUP($A320&amp;$B320,'KU Inputs'!$C$2:$J$530,MATCH('KU UtilityData'!I$1,'KU Inputs'!$C$1:$J$1,0),0)*1000</f>
        <v>4884762</v>
      </c>
      <c r="J320" s="181">
        <f>VLOOKUP($A320&amp;$B320,'KU Inputs'!$C$2:$J$530,MATCH('KU UtilityData'!J$1,'KU Inputs'!$C$1:$J$1,0),0)*1000</f>
        <v>1952454</v>
      </c>
      <c r="K320" s="231">
        <v>468563.14</v>
      </c>
      <c r="L320" s="181">
        <f>VLOOKUP($A320&amp;$B320,'KU Inputs'!$C$2:$J$530,MATCH('KU UtilityData'!L$1,'KU Inputs'!$C$1:$J$1,0),0)</f>
        <v>189344.48499999999</v>
      </c>
      <c r="M320" s="181">
        <f>VLOOKUP($A320&amp;$B320,'KU Inputs'!$C$2:$J$530,MATCH('KU UtilityData'!M$1,'KU Inputs'!$C$1:$J$1,0),0)</f>
        <v>193022.21135572455</v>
      </c>
      <c r="N320" s="246">
        <f t="shared" si="18"/>
        <v>1.625</v>
      </c>
      <c r="O320" s="246">
        <f t="shared" si="18"/>
        <v>326.005</v>
      </c>
      <c r="P320" s="159">
        <v>4512</v>
      </c>
      <c r="Q320" s="159">
        <v>1455</v>
      </c>
      <c r="R320" s="271">
        <f t="shared" si="14"/>
        <v>0.39970299474160664</v>
      </c>
    </row>
    <row r="321" spans="1:18" x14ac:dyDescent="0.2">
      <c r="A321" s="147">
        <v>2027</v>
      </c>
      <c r="B321" s="147">
        <v>8</v>
      </c>
      <c r="D321" s="258" t="e">
        <f t="shared" si="13"/>
        <v>#REF!</v>
      </c>
      <c r="E321" s="257" t="e">
        <f t="shared" si="15"/>
        <v>#REF!</v>
      </c>
      <c r="F321" s="166">
        <v>29.52</v>
      </c>
      <c r="G321" s="148">
        <v>4069.9245586624725</v>
      </c>
      <c r="H321" s="181">
        <f>VLOOKUP($A321&amp;$B321,'KU Inputs'!$C$2:$J$530,MATCH('KU UtilityData'!H$1,'KU Inputs'!$C$1:$J$1,0),0)*1000</f>
        <v>4737064</v>
      </c>
      <c r="I321" s="181">
        <f>VLOOKUP($A321&amp;$B321,'KU Inputs'!$C$2:$J$530,MATCH('KU UtilityData'!I$1,'KU Inputs'!$C$1:$J$1,0),0)*1000</f>
        <v>4884762</v>
      </c>
      <c r="J321" s="181">
        <f>VLOOKUP($A321&amp;$B321,'KU Inputs'!$C$2:$J$530,MATCH('KU UtilityData'!J$1,'KU Inputs'!$C$1:$J$1,0),0)*1000</f>
        <v>1952454</v>
      </c>
      <c r="K321" s="231">
        <v>468563.14</v>
      </c>
      <c r="L321" s="181">
        <f>VLOOKUP($A321&amp;$B321,'KU Inputs'!$C$2:$J$530,MATCH('KU UtilityData'!L$1,'KU Inputs'!$C$1:$J$1,0),0)</f>
        <v>189344.48499999999</v>
      </c>
      <c r="M321" s="181">
        <f>VLOOKUP($A321&amp;$B321,'KU Inputs'!$C$2:$J$530,MATCH('KU UtilityData'!M$1,'KU Inputs'!$C$1:$J$1,0),0)</f>
        <v>193022.21135572455</v>
      </c>
      <c r="N321" s="246">
        <f t="shared" si="18"/>
        <v>0.75</v>
      </c>
      <c r="O321" s="246">
        <f t="shared" si="18"/>
        <v>348.8175</v>
      </c>
      <c r="P321" s="159">
        <v>4512</v>
      </c>
      <c r="Q321" s="159">
        <v>1455</v>
      </c>
      <c r="R321" s="271">
        <f t="shared" si="14"/>
        <v>0.39970299474160664</v>
      </c>
    </row>
    <row r="322" spans="1:18" x14ac:dyDescent="0.2">
      <c r="A322" s="147">
        <v>2027</v>
      </c>
      <c r="B322" s="147">
        <v>9</v>
      </c>
      <c r="D322" s="258" t="e">
        <f t="shared" si="13"/>
        <v>#REF!</v>
      </c>
      <c r="E322" s="257" t="e">
        <f t="shared" si="15"/>
        <v>#REF!</v>
      </c>
      <c r="F322" s="166">
        <v>30.52</v>
      </c>
      <c r="G322" s="148">
        <v>4071.9848315472195</v>
      </c>
      <c r="H322" s="181">
        <f>VLOOKUP($A322&amp;$B322,'KU Inputs'!$C$2:$J$530,MATCH('KU UtilityData'!H$1,'KU Inputs'!$C$1:$J$1,0),0)*1000</f>
        <v>4737064</v>
      </c>
      <c r="I322" s="181">
        <f>VLOOKUP($A322&amp;$B322,'KU Inputs'!$C$2:$J$530,MATCH('KU UtilityData'!I$1,'KU Inputs'!$C$1:$J$1,0),0)*1000</f>
        <v>4884762</v>
      </c>
      <c r="J322" s="181">
        <f>VLOOKUP($A322&amp;$B322,'KU Inputs'!$C$2:$J$530,MATCH('KU UtilityData'!J$1,'KU Inputs'!$C$1:$J$1,0),0)*1000</f>
        <v>1952454</v>
      </c>
      <c r="K322" s="231">
        <v>468563.14</v>
      </c>
      <c r="L322" s="181">
        <f>VLOOKUP($A322&amp;$B322,'KU Inputs'!$C$2:$J$530,MATCH('KU UtilityData'!L$1,'KU Inputs'!$C$1:$J$1,0),0)</f>
        <v>189344.48499999999</v>
      </c>
      <c r="M322" s="181">
        <f>VLOOKUP($A322&amp;$B322,'KU Inputs'!$C$2:$J$530,MATCH('KU UtilityData'!M$1,'KU Inputs'!$C$1:$J$1,0),0)</f>
        <v>193022.21135572455</v>
      </c>
      <c r="N322" s="246">
        <f t="shared" si="18"/>
        <v>11.752500000000001</v>
      </c>
      <c r="O322" s="246">
        <f t="shared" si="18"/>
        <v>258.88</v>
      </c>
      <c r="P322" s="159">
        <v>4512</v>
      </c>
      <c r="Q322" s="159">
        <v>1455</v>
      </c>
      <c r="R322" s="271">
        <f t="shared" si="14"/>
        <v>0.39970299474160664</v>
      </c>
    </row>
    <row r="323" spans="1:18" x14ac:dyDescent="0.2">
      <c r="A323" s="147">
        <v>2027</v>
      </c>
      <c r="B323" s="147">
        <v>10</v>
      </c>
      <c r="D323" s="258" t="e">
        <f t="shared" ref="D323:D386" si="19">D311*(1+0.02)</f>
        <v>#REF!</v>
      </c>
      <c r="E323" s="257" t="e">
        <f t="shared" si="15"/>
        <v>#REF!</v>
      </c>
      <c r="F323" s="166">
        <v>29.62</v>
      </c>
      <c r="G323" s="148">
        <v>4074.0451044319661</v>
      </c>
      <c r="H323" s="181">
        <f>VLOOKUP($A323&amp;$B323,'KU Inputs'!$C$2:$J$530,MATCH('KU UtilityData'!H$1,'KU Inputs'!$C$1:$J$1,0),0)*1000</f>
        <v>4742139</v>
      </c>
      <c r="I323" s="181">
        <f>VLOOKUP($A323&amp;$B323,'KU Inputs'!$C$2:$J$530,MATCH('KU UtilityData'!I$1,'KU Inputs'!$C$1:$J$1,0),0)*1000</f>
        <v>4892430</v>
      </c>
      <c r="J323" s="181">
        <f>VLOOKUP($A323&amp;$B323,'KU Inputs'!$C$2:$J$530,MATCH('KU UtilityData'!J$1,'KU Inputs'!$C$1:$J$1,0),0)*1000</f>
        <v>1955959</v>
      </c>
      <c r="K323" s="231">
        <v>469115.29</v>
      </c>
      <c r="L323" s="181">
        <f>VLOOKUP($A323&amp;$B323,'KU Inputs'!$C$2:$J$530,MATCH('KU UtilityData'!L$1,'KU Inputs'!$C$1:$J$1,0),0)</f>
        <v>190254.26500000001</v>
      </c>
      <c r="M323" s="181">
        <f>VLOOKUP($A323&amp;$B323,'KU Inputs'!$C$2:$J$530,MATCH('KU UtilityData'!M$1,'KU Inputs'!$C$1:$J$1,0),0)</f>
        <v>193888.56063320147</v>
      </c>
      <c r="N323" s="246">
        <f t="shared" si="18"/>
        <v>134.87</v>
      </c>
      <c r="O323" s="246">
        <f t="shared" si="18"/>
        <v>71.42</v>
      </c>
      <c r="P323" s="159">
        <v>4512</v>
      </c>
      <c r="Q323" s="159">
        <v>1455</v>
      </c>
      <c r="R323" s="271">
        <f t="shared" ref="R323:R386" si="20">J323/I323</f>
        <v>0.39979294542793664</v>
      </c>
    </row>
    <row r="324" spans="1:18" x14ac:dyDescent="0.2">
      <c r="A324" s="147">
        <v>2027</v>
      </c>
      <c r="B324" s="147">
        <v>11</v>
      </c>
      <c r="D324" s="258" t="e">
        <f t="shared" si="19"/>
        <v>#REF!</v>
      </c>
      <c r="E324" s="257" t="e">
        <f t="shared" si="15"/>
        <v>#REF!</v>
      </c>
      <c r="F324" s="166">
        <v>29.1</v>
      </c>
      <c r="G324" s="148">
        <v>4076.1053773167132</v>
      </c>
      <c r="H324" s="181">
        <f>VLOOKUP($A324&amp;$B324,'KU Inputs'!$C$2:$J$530,MATCH('KU UtilityData'!H$1,'KU Inputs'!$C$1:$J$1,0),0)*1000</f>
        <v>4742139</v>
      </c>
      <c r="I324" s="181">
        <f>VLOOKUP($A324&amp;$B324,'KU Inputs'!$C$2:$J$530,MATCH('KU UtilityData'!I$1,'KU Inputs'!$C$1:$J$1,0),0)*1000</f>
        <v>4892430</v>
      </c>
      <c r="J324" s="181">
        <f>VLOOKUP($A324&amp;$B324,'KU Inputs'!$C$2:$J$530,MATCH('KU UtilityData'!J$1,'KU Inputs'!$C$1:$J$1,0),0)*1000</f>
        <v>1955959</v>
      </c>
      <c r="K324" s="231">
        <v>469115.29</v>
      </c>
      <c r="L324" s="181">
        <f>VLOOKUP($A324&amp;$B324,'KU Inputs'!$C$2:$J$530,MATCH('KU UtilityData'!L$1,'KU Inputs'!$C$1:$J$1,0),0)</f>
        <v>190254.26500000001</v>
      </c>
      <c r="M324" s="181">
        <f>VLOOKUP($A324&amp;$B324,'KU Inputs'!$C$2:$J$530,MATCH('KU UtilityData'!M$1,'KU Inputs'!$C$1:$J$1,0),0)</f>
        <v>193888.56063320147</v>
      </c>
      <c r="N324" s="246">
        <f t="shared" si="18"/>
        <v>396.30250000000001</v>
      </c>
      <c r="O324" s="246">
        <f t="shared" si="18"/>
        <v>6.6950000000000003</v>
      </c>
      <c r="P324" s="159">
        <v>4512</v>
      </c>
      <c r="Q324" s="159">
        <v>1455</v>
      </c>
      <c r="R324" s="271">
        <f t="shared" si="20"/>
        <v>0.39979294542793664</v>
      </c>
    </row>
    <row r="325" spans="1:18" x14ac:dyDescent="0.2">
      <c r="A325" s="147">
        <v>2027</v>
      </c>
      <c r="B325" s="147">
        <v>12</v>
      </c>
      <c r="D325" s="258" t="e">
        <f t="shared" si="19"/>
        <v>#REF!</v>
      </c>
      <c r="E325" s="257" t="e">
        <f t="shared" si="15"/>
        <v>#REF!</v>
      </c>
      <c r="F325" s="166">
        <v>31.67</v>
      </c>
      <c r="G325" s="148">
        <v>4078.1656502014603</v>
      </c>
      <c r="H325" s="181">
        <f>VLOOKUP($A325&amp;$B325,'KU Inputs'!$C$2:$J$530,MATCH('KU UtilityData'!H$1,'KU Inputs'!$C$1:$J$1,0),0)*1000</f>
        <v>4742139</v>
      </c>
      <c r="I325" s="181">
        <f>VLOOKUP($A325&amp;$B325,'KU Inputs'!$C$2:$J$530,MATCH('KU UtilityData'!I$1,'KU Inputs'!$C$1:$J$1,0),0)*1000</f>
        <v>4892430</v>
      </c>
      <c r="J325" s="181">
        <f>VLOOKUP($A325&amp;$B325,'KU Inputs'!$C$2:$J$530,MATCH('KU UtilityData'!J$1,'KU Inputs'!$C$1:$J$1,0),0)*1000</f>
        <v>1955959</v>
      </c>
      <c r="K325" s="231">
        <v>469115.29</v>
      </c>
      <c r="L325" s="181">
        <f>VLOOKUP($A325&amp;$B325,'KU Inputs'!$C$2:$J$530,MATCH('KU UtilityData'!L$1,'KU Inputs'!$C$1:$J$1,0),0)</f>
        <v>190254.26500000001</v>
      </c>
      <c r="M325" s="181">
        <f>VLOOKUP($A325&amp;$B325,'KU Inputs'!$C$2:$J$530,MATCH('KU UtilityData'!M$1,'KU Inputs'!$C$1:$J$1,0),0)</f>
        <v>193888.56063320147</v>
      </c>
      <c r="N325" s="246">
        <f t="shared" si="18"/>
        <v>714.28500000000008</v>
      </c>
      <c r="O325" s="246">
        <f t="shared" si="18"/>
        <v>0.25</v>
      </c>
      <c r="P325" s="159">
        <v>4512</v>
      </c>
      <c r="Q325" s="159">
        <v>1455</v>
      </c>
      <c r="R325" s="271">
        <f t="shared" si="20"/>
        <v>0.39979294542793664</v>
      </c>
    </row>
    <row r="326" spans="1:18" x14ac:dyDescent="0.2">
      <c r="A326" s="147">
        <v>2028</v>
      </c>
      <c r="B326" s="147">
        <v>1</v>
      </c>
      <c r="D326" s="258" t="e">
        <f t="shared" si="19"/>
        <v>#REF!</v>
      </c>
      <c r="E326" s="257" t="e">
        <f t="shared" si="15"/>
        <v>#REF!</v>
      </c>
      <c r="F326" s="166">
        <v>32.71</v>
      </c>
      <c r="G326" s="148">
        <v>4080.2259230862073</v>
      </c>
      <c r="H326" s="181">
        <f>VLOOKUP($A326&amp;$B326,'KU Inputs'!$C$2:$J$530,MATCH('KU UtilityData'!H$1,'KU Inputs'!$C$1:$J$1,0),0)*1000</f>
        <v>4747211</v>
      </c>
      <c r="I326" s="181">
        <f>VLOOKUP($A326&amp;$B326,'KU Inputs'!$C$2:$J$530,MATCH('KU UtilityData'!I$1,'KU Inputs'!$C$1:$J$1,0),0)*1000</f>
        <v>4900099</v>
      </c>
      <c r="J326" s="181">
        <f>VLOOKUP($A326&amp;$B326,'KU Inputs'!$C$2:$J$530,MATCH('KU UtilityData'!J$1,'KU Inputs'!$C$1:$J$1,0),0)*1000</f>
        <v>1959669</v>
      </c>
      <c r="K326" s="231">
        <v>469682.32</v>
      </c>
      <c r="L326" s="181">
        <f>VLOOKUP($A326&amp;$B326,'KU Inputs'!$C$2:$J$530,MATCH('KU UtilityData'!L$1,'KU Inputs'!$C$1:$J$1,0),0)</f>
        <v>191884.976</v>
      </c>
      <c r="M326" s="181">
        <f>VLOOKUP($A326&amp;$B326,'KU Inputs'!$C$2:$J$530,MATCH('KU UtilityData'!M$1,'KU Inputs'!$C$1:$J$1,0),0)</f>
        <v>195475.00888551428</v>
      </c>
      <c r="N326" s="246">
        <f t="shared" si="18"/>
        <v>991.4375</v>
      </c>
      <c r="O326" s="246">
        <f t="shared" si="18"/>
        <v>0</v>
      </c>
      <c r="P326" s="159">
        <v>4512</v>
      </c>
      <c r="Q326" s="159">
        <v>1455</v>
      </c>
      <c r="R326" s="271">
        <f t="shared" si="20"/>
        <v>0.39992436887499622</v>
      </c>
    </row>
    <row r="327" spans="1:18" x14ac:dyDescent="0.2">
      <c r="A327" s="147">
        <v>2028</v>
      </c>
      <c r="B327" s="147">
        <v>2</v>
      </c>
      <c r="D327" s="258" t="e">
        <f t="shared" si="19"/>
        <v>#REF!</v>
      </c>
      <c r="E327" s="257" t="e">
        <f t="shared" si="15"/>
        <v>#REF!</v>
      </c>
      <c r="F327" s="166">
        <v>29.81</v>
      </c>
      <c r="G327" s="148">
        <v>4082.2861959709544</v>
      </c>
      <c r="H327" s="181">
        <f>VLOOKUP($A327&amp;$B327,'KU Inputs'!$C$2:$J$530,MATCH('KU UtilityData'!H$1,'KU Inputs'!$C$1:$J$1,0),0)*1000</f>
        <v>4747211</v>
      </c>
      <c r="I327" s="181">
        <f>VLOOKUP($A327&amp;$B327,'KU Inputs'!$C$2:$J$530,MATCH('KU UtilityData'!I$1,'KU Inputs'!$C$1:$J$1,0),0)*1000</f>
        <v>4900099</v>
      </c>
      <c r="J327" s="181">
        <f>VLOOKUP($A327&amp;$B327,'KU Inputs'!$C$2:$J$530,MATCH('KU UtilityData'!J$1,'KU Inputs'!$C$1:$J$1,0),0)*1000</f>
        <v>1959669</v>
      </c>
      <c r="K327" s="231">
        <v>469682.32</v>
      </c>
      <c r="L327" s="181">
        <f>VLOOKUP($A327&amp;$B327,'KU Inputs'!$C$2:$J$530,MATCH('KU UtilityData'!L$1,'KU Inputs'!$C$1:$J$1,0),0)</f>
        <v>191884.976</v>
      </c>
      <c r="M327" s="181">
        <f>VLOOKUP($A327&amp;$B327,'KU Inputs'!$C$2:$J$530,MATCH('KU UtilityData'!M$1,'KU Inputs'!$C$1:$J$1,0),0)</f>
        <v>195475.00888551428</v>
      </c>
      <c r="N327" s="246">
        <f t="shared" si="18"/>
        <v>890.05499999999995</v>
      </c>
      <c r="O327" s="246">
        <f t="shared" si="18"/>
        <v>0</v>
      </c>
      <c r="P327" s="159">
        <v>4512</v>
      </c>
      <c r="Q327" s="159">
        <v>1455</v>
      </c>
      <c r="R327" s="271">
        <f t="shared" si="20"/>
        <v>0.39992436887499622</v>
      </c>
    </row>
    <row r="328" spans="1:18" x14ac:dyDescent="0.2">
      <c r="A328" s="147">
        <v>2028</v>
      </c>
      <c r="B328" s="147">
        <v>3</v>
      </c>
      <c r="D328" s="258" t="e">
        <f t="shared" si="19"/>
        <v>#REF!</v>
      </c>
      <c r="E328" s="257" t="e">
        <f t="shared" si="15"/>
        <v>#REF!</v>
      </c>
      <c r="F328" s="166">
        <v>30.33</v>
      </c>
      <c r="G328" s="148">
        <v>4084.3464688557015</v>
      </c>
      <c r="H328" s="181">
        <f>VLOOKUP($A328&amp;$B328,'KU Inputs'!$C$2:$J$530,MATCH('KU UtilityData'!H$1,'KU Inputs'!$C$1:$J$1,0),0)*1000</f>
        <v>4747211</v>
      </c>
      <c r="I328" s="181">
        <f>VLOOKUP($A328&amp;$B328,'KU Inputs'!$C$2:$J$530,MATCH('KU UtilityData'!I$1,'KU Inputs'!$C$1:$J$1,0),0)*1000</f>
        <v>4900099</v>
      </c>
      <c r="J328" s="181">
        <f>VLOOKUP($A328&amp;$B328,'KU Inputs'!$C$2:$J$530,MATCH('KU UtilityData'!J$1,'KU Inputs'!$C$1:$J$1,0),0)*1000</f>
        <v>1959669</v>
      </c>
      <c r="K328" s="231">
        <v>469682.32</v>
      </c>
      <c r="L328" s="181">
        <f>VLOOKUP($A328&amp;$B328,'KU Inputs'!$C$2:$J$530,MATCH('KU UtilityData'!L$1,'KU Inputs'!$C$1:$J$1,0),0)</f>
        <v>191884.976</v>
      </c>
      <c r="M328" s="181">
        <f>VLOOKUP($A328&amp;$B328,'KU Inputs'!$C$2:$J$530,MATCH('KU UtilityData'!M$1,'KU Inputs'!$C$1:$J$1,0),0)</f>
        <v>195475.00888551428</v>
      </c>
      <c r="N328" s="246">
        <f t="shared" si="18"/>
        <v>724.63750000000005</v>
      </c>
      <c r="O328" s="246">
        <f t="shared" si="18"/>
        <v>0.92249999999999999</v>
      </c>
      <c r="P328" s="159">
        <v>4512</v>
      </c>
      <c r="Q328" s="159">
        <v>1455</v>
      </c>
      <c r="R328" s="271">
        <f t="shared" si="20"/>
        <v>0.39992436887499622</v>
      </c>
    </row>
    <row r="329" spans="1:18" x14ac:dyDescent="0.2">
      <c r="A329" s="147">
        <v>2028</v>
      </c>
      <c r="B329" s="147">
        <v>4</v>
      </c>
      <c r="D329" s="258" t="e">
        <f t="shared" si="19"/>
        <v>#REF!</v>
      </c>
      <c r="E329" s="257" t="e">
        <f t="shared" si="15"/>
        <v>#REF!</v>
      </c>
      <c r="F329" s="166">
        <v>30.19</v>
      </c>
      <c r="G329" s="148">
        <v>4086.4067417404485</v>
      </c>
      <c r="H329" s="181">
        <f>VLOOKUP($A329&amp;$B329,'KU Inputs'!$C$2:$J$530,MATCH('KU UtilityData'!H$1,'KU Inputs'!$C$1:$J$1,0),0)*1000</f>
        <v>4752245</v>
      </c>
      <c r="I329" s="181">
        <f>VLOOKUP($A329&amp;$B329,'KU Inputs'!$C$2:$J$530,MATCH('KU UtilityData'!I$1,'KU Inputs'!$C$1:$J$1,0),0)*1000</f>
        <v>4907734</v>
      </c>
      <c r="J329" s="181">
        <f>VLOOKUP($A329&amp;$B329,'KU Inputs'!$C$2:$J$530,MATCH('KU UtilityData'!J$1,'KU Inputs'!$C$1:$J$1,0),0)*1000</f>
        <v>1963346</v>
      </c>
      <c r="K329" s="231">
        <v>470256.13</v>
      </c>
      <c r="L329" s="181">
        <f>VLOOKUP($A329&amp;$B329,'KU Inputs'!$C$2:$J$530,MATCH('KU UtilityData'!L$1,'KU Inputs'!$C$1:$J$1,0),0)</f>
        <v>192867.91899999999</v>
      </c>
      <c r="M329" s="181">
        <f>VLOOKUP($A329&amp;$B329,'KU Inputs'!$C$2:$J$530,MATCH('KU UtilityData'!M$1,'KU Inputs'!$C$1:$J$1,0),0)</f>
        <v>196440.61636787187</v>
      </c>
      <c r="N329" s="246">
        <f t="shared" si="18"/>
        <v>433.4375</v>
      </c>
      <c r="O329" s="246">
        <f t="shared" si="18"/>
        <v>13.477500000000001</v>
      </c>
      <c r="P329" s="159">
        <v>4512</v>
      </c>
      <c r="Q329" s="159">
        <v>1455</v>
      </c>
      <c r="R329" s="271">
        <f t="shared" si="20"/>
        <v>0.40005142903017971</v>
      </c>
    </row>
    <row r="330" spans="1:18" x14ac:dyDescent="0.2">
      <c r="A330" s="147">
        <v>2028</v>
      </c>
      <c r="B330" s="147">
        <v>5</v>
      </c>
      <c r="D330" s="258" t="e">
        <f t="shared" si="19"/>
        <v>#REF!</v>
      </c>
      <c r="E330" s="257" t="e">
        <f t="shared" si="15"/>
        <v>#REF!</v>
      </c>
      <c r="F330" s="166">
        <v>30.14</v>
      </c>
      <c r="G330" s="148">
        <v>4088.4670146251956</v>
      </c>
      <c r="H330" s="181">
        <f>VLOOKUP($A330&amp;$B330,'KU Inputs'!$C$2:$J$530,MATCH('KU UtilityData'!H$1,'KU Inputs'!$C$1:$J$1,0),0)*1000</f>
        <v>4752245</v>
      </c>
      <c r="I330" s="181">
        <f>VLOOKUP($A330&amp;$B330,'KU Inputs'!$C$2:$J$530,MATCH('KU UtilityData'!I$1,'KU Inputs'!$C$1:$J$1,0),0)*1000</f>
        <v>4907734</v>
      </c>
      <c r="J330" s="181">
        <f>VLOOKUP($A330&amp;$B330,'KU Inputs'!$C$2:$J$530,MATCH('KU UtilityData'!J$1,'KU Inputs'!$C$1:$J$1,0),0)*1000</f>
        <v>1963346</v>
      </c>
      <c r="K330" s="231">
        <v>470256.13</v>
      </c>
      <c r="L330" s="181">
        <f>VLOOKUP($A330&amp;$B330,'KU Inputs'!$C$2:$J$530,MATCH('KU UtilityData'!L$1,'KU Inputs'!$C$1:$J$1,0),0)</f>
        <v>192867.91899999999</v>
      </c>
      <c r="M330" s="181">
        <f>VLOOKUP($A330&amp;$B330,'KU Inputs'!$C$2:$J$530,MATCH('KU UtilityData'!M$1,'KU Inputs'!$C$1:$J$1,0),0)</f>
        <v>196440.61636787187</v>
      </c>
      <c r="N330" s="246">
        <f t="shared" si="18"/>
        <v>189.125</v>
      </c>
      <c r="O330" s="246">
        <f t="shared" si="18"/>
        <v>46.06</v>
      </c>
      <c r="P330" s="159">
        <v>4512</v>
      </c>
      <c r="Q330" s="159">
        <v>1455</v>
      </c>
      <c r="R330" s="271">
        <f t="shared" si="20"/>
        <v>0.40005142903017971</v>
      </c>
    </row>
    <row r="331" spans="1:18" x14ac:dyDescent="0.2">
      <c r="A331" s="147">
        <v>2028</v>
      </c>
      <c r="B331" s="147">
        <v>6</v>
      </c>
      <c r="D331" s="258" t="e">
        <f t="shared" si="19"/>
        <v>#REF!</v>
      </c>
      <c r="E331" s="257" t="e">
        <f t="shared" ref="E331:E394" si="21">E319*(1.02)</f>
        <v>#REF!</v>
      </c>
      <c r="F331" s="166">
        <v>30.67</v>
      </c>
      <c r="G331" s="148">
        <v>4090.5272875099427</v>
      </c>
      <c r="H331" s="181">
        <f>VLOOKUP($A331&amp;$B331,'KU Inputs'!$C$2:$J$530,MATCH('KU UtilityData'!H$1,'KU Inputs'!$C$1:$J$1,0),0)*1000</f>
        <v>4752245</v>
      </c>
      <c r="I331" s="181">
        <f>VLOOKUP($A331&amp;$B331,'KU Inputs'!$C$2:$J$530,MATCH('KU UtilityData'!I$1,'KU Inputs'!$C$1:$J$1,0),0)*1000</f>
        <v>4907734</v>
      </c>
      <c r="J331" s="181">
        <f>VLOOKUP($A331&amp;$B331,'KU Inputs'!$C$2:$J$530,MATCH('KU UtilityData'!J$1,'KU Inputs'!$C$1:$J$1,0),0)*1000</f>
        <v>1963346</v>
      </c>
      <c r="K331" s="231">
        <v>470256.13</v>
      </c>
      <c r="L331" s="181">
        <f>VLOOKUP($A331&amp;$B331,'KU Inputs'!$C$2:$J$530,MATCH('KU UtilityData'!L$1,'KU Inputs'!$C$1:$J$1,0),0)</f>
        <v>192867.91899999999</v>
      </c>
      <c r="M331" s="181">
        <f>VLOOKUP($A331&amp;$B331,'KU Inputs'!$C$2:$J$530,MATCH('KU UtilityData'!M$1,'KU Inputs'!$C$1:$J$1,0),0)</f>
        <v>196440.61636787187</v>
      </c>
      <c r="N331" s="246">
        <f t="shared" si="18"/>
        <v>50.362499999999997</v>
      </c>
      <c r="O331" s="246">
        <f t="shared" si="18"/>
        <v>166.4075</v>
      </c>
      <c r="P331" s="159">
        <v>4512</v>
      </c>
      <c r="Q331" s="159">
        <v>1455</v>
      </c>
      <c r="R331" s="271">
        <f t="shared" si="20"/>
        <v>0.40005142903017971</v>
      </c>
    </row>
    <row r="332" spans="1:18" x14ac:dyDescent="0.2">
      <c r="A332" s="147">
        <v>2028</v>
      </c>
      <c r="B332" s="147">
        <v>7</v>
      </c>
      <c r="D332" s="258" t="e">
        <f t="shared" si="19"/>
        <v>#REF!</v>
      </c>
      <c r="E332" s="257" t="e">
        <f t="shared" si="21"/>
        <v>#REF!</v>
      </c>
      <c r="F332" s="166">
        <v>30.67</v>
      </c>
      <c r="G332" s="148">
        <v>4092.5431445006539</v>
      </c>
      <c r="H332" s="181">
        <f>VLOOKUP($A332&amp;$B332,'KU Inputs'!$C$2:$J$530,MATCH('KU UtilityData'!H$1,'KU Inputs'!$C$1:$J$1,0),0)*1000</f>
        <v>4757232</v>
      </c>
      <c r="I332" s="181">
        <f>VLOOKUP($A332&amp;$B332,'KU Inputs'!$C$2:$J$530,MATCH('KU UtilityData'!I$1,'KU Inputs'!$C$1:$J$1,0),0)*1000</f>
        <v>4915322</v>
      </c>
      <c r="J332" s="181">
        <f>VLOOKUP($A332&amp;$B332,'KU Inputs'!$C$2:$J$530,MATCH('KU UtilityData'!J$1,'KU Inputs'!$C$1:$J$1,0),0)*1000</f>
        <v>1966865</v>
      </c>
      <c r="K332" s="231">
        <v>470801.95</v>
      </c>
      <c r="L332" s="181">
        <f>VLOOKUP($A332&amp;$B332,'KU Inputs'!$C$2:$J$530,MATCH('KU UtilityData'!L$1,'KU Inputs'!$C$1:$J$1,0),0)</f>
        <v>193808.63</v>
      </c>
      <c r="M332" s="181">
        <f>VLOOKUP($A332&amp;$B332,'KU Inputs'!$C$2:$J$530,MATCH('KU UtilityData'!M$1,'KU Inputs'!$C$1:$J$1,0),0)</f>
        <v>197345.13943870092</v>
      </c>
      <c r="N332" s="246">
        <f t="shared" si="18"/>
        <v>1.625</v>
      </c>
      <c r="O332" s="246">
        <f t="shared" si="18"/>
        <v>326.005</v>
      </c>
      <c r="P332" s="159">
        <v>4512</v>
      </c>
      <c r="Q332" s="159">
        <v>1455</v>
      </c>
      <c r="R332" s="271">
        <f t="shared" si="20"/>
        <v>0.40014977655583905</v>
      </c>
    </row>
    <row r="333" spans="1:18" x14ac:dyDescent="0.2">
      <c r="A333" s="147">
        <v>2028</v>
      </c>
      <c r="B333" s="147">
        <v>8</v>
      </c>
      <c r="D333" s="258" t="e">
        <f t="shared" si="19"/>
        <v>#REF!</v>
      </c>
      <c r="E333" s="257" t="e">
        <f t="shared" si="21"/>
        <v>#REF!</v>
      </c>
      <c r="F333" s="166">
        <v>29.57</v>
      </c>
      <c r="G333" s="148">
        <v>4094.5590014913651</v>
      </c>
      <c r="H333" s="181">
        <f>VLOOKUP($A333&amp;$B333,'KU Inputs'!$C$2:$J$530,MATCH('KU UtilityData'!H$1,'KU Inputs'!$C$1:$J$1,0),0)*1000</f>
        <v>4757232</v>
      </c>
      <c r="I333" s="181">
        <f>VLOOKUP($A333&amp;$B333,'KU Inputs'!$C$2:$J$530,MATCH('KU UtilityData'!I$1,'KU Inputs'!$C$1:$J$1,0),0)*1000</f>
        <v>4915322</v>
      </c>
      <c r="J333" s="181">
        <f>VLOOKUP($A333&amp;$B333,'KU Inputs'!$C$2:$J$530,MATCH('KU UtilityData'!J$1,'KU Inputs'!$C$1:$J$1,0),0)*1000</f>
        <v>1966865</v>
      </c>
      <c r="K333" s="231">
        <v>470801.95</v>
      </c>
      <c r="L333" s="181">
        <f>VLOOKUP($A333&amp;$B333,'KU Inputs'!$C$2:$J$530,MATCH('KU UtilityData'!L$1,'KU Inputs'!$C$1:$J$1,0),0)</f>
        <v>193808.63</v>
      </c>
      <c r="M333" s="181">
        <f>VLOOKUP($A333&amp;$B333,'KU Inputs'!$C$2:$J$530,MATCH('KU UtilityData'!M$1,'KU Inputs'!$C$1:$J$1,0),0)</f>
        <v>197345.13943870092</v>
      </c>
      <c r="N333" s="246">
        <f t="shared" si="18"/>
        <v>0.75</v>
      </c>
      <c r="O333" s="246">
        <f t="shared" si="18"/>
        <v>348.8175</v>
      </c>
      <c r="P333" s="159">
        <v>4512</v>
      </c>
      <c r="Q333" s="159">
        <v>1455</v>
      </c>
      <c r="R333" s="271">
        <f t="shared" si="20"/>
        <v>0.40014977655583905</v>
      </c>
    </row>
    <row r="334" spans="1:18" x14ac:dyDescent="0.2">
      <c r="A334" s="147">
        <v>2028</v>
      </c>
      <c r="B334" s="147">
        <v>9</v>
      </c>
      <c r="D334" s="258" t="e">
        <f t="shared" si="19"/>
        <v>#REF!</v>
      </c>
      <c r="E334" s="257" t="e">
        <f t="shared" si="21"/>
        <v>#REF!</v>
      </c>
      <c r="F334" s="166">
        <v>30.52</v>
      </c>
      <c r="G334" s="148">
        <v>4096.5748584820767</v>
      </c>
      <c r="H334" s="181">
        <f>VLOOKUP($A334&amp;$B334,'KU Inputs'!$C$2:$J$530,MATCH('KU UtilityData'!H$1,'KU Inputs'!$C$1:$J$1,0),0)*1000</f>
        <v>4757232</v>
      </c>
      <c r="I334" s="181">
        <f>VLOOKUP($A334&amp;$B334,'KU Inputs'!$C$2:$J$530,MATCH('KU UtilityData'!I$1,'KU Inputs'!$C$1:$J$1,0),0)*1000</f>
        <v>4915322</v>
      </c>
      <c r="J334" s="181">
        <f>VLOOKUP($A334&amp;$B334,'KU Inputs'!$C$2:$J$530,MATCH('KU UtilityData'!J$1,'KU Inputs'!$C$1:$J$1,0),0)*1000</f>
        <v>1966865</v>
      </c>
      <c r="K334" s="231">
        <v>470801.95</v>
      </c>
      <c r="L334" s="181">
        <f>VLOOKUP($A334&amp;$B334,'KU Inputs'!$C$2:$J$530,MATCH('KU UtilityData'!L$1,'KU Inputs'!$C$1:$J$1,0),0)</f>
        <v>193808.63</v>
      </c>
      <c r="M334" s="181">
        <f>VLOOKUP($A334&amp;$B334,'KU Inputs'!$C$2:$J$530,MATCH('KU UtilityData'!M$1,'KU Inputs'!$C$1:$J$1,0),0)</f>
        <v>197345.13943870092</v>
      </c>
      <c r="N334" s="246">
        <f t="shared" si="18"/>
        <v>11.752500000000001</v>
      </c>
      <c r="O334" s="246">
        <f t="shared" si="18"/>
        <v>258.88</v>
      </c>
      <c r="P334" s="159">
        <v>4512</v>
      </c>
      <c r="Q334" s="159">
        <v>1455</v>
      </c>
      <c r="R334" s="271">
        <f t="shared" si="20"/>
        <v>0.40014977655583905</v>
      </c>
    </row>
    <row r="335" spans="1:18" x14ac:dyDescent="0.2">
      <c r="A335" s="147">
        <v>2028</v>
      </c>
      <c r="B335" s="147">
        <v>10</v>
      </c>
      <c r="D335" s="258" t="e">
        <f t="shared" si="19"/>
        <v>#REF!</v>
      </c>
      <c r="E335" s="257" t="e">
        <f t="shared" si="21"/>
        <v>#REF!</v>
      </c>
      <c r="F335" s="166">
        <v>29.62</v>
      </c>
      <c r="G335" s="148">
        <v>4098.5907154727875</v>
      </c>
      <c r="H335" s="181">
        <f>VLOOKUP($A335&amp;$B335,'KU Inputs'!$C$2:$J$530,MATCH('KU UtilityData'!H$1,'KU Inputs'!$C$1:$J$1,0),0)*1000</f>
        <v>4762182</v>
      </c>
      <c r="I335" s="181">
        <f>VLOOKUP($A335&amp;$B335,'KU Inputs'!$C$2:$J$530,MATCH('KU UtilityData'!I$1,'KU Inputs'!$C$1:$J$1,0),0)*1000</f>
        <v>4922876</v>
      </c>
      <c r="J335" s="181">
        <f>VLOOKUP($A335&amp;$B335,'KU Inputs'!$C$2:$J$530,MATCH('KU UtilityData'!J$1,'KU Inputs'!$C$1:$J$1,0),0)*1000</f>
        <v>1970585</v>
      </c>
      <c r="K335" s="231">
        <v>471564.47</v>
      </c>
      <c r="L335" s="181">
        <f>VLOOKUP($A335&amp;$B335,'KU Inputs'!$C$2:$J$530,MATCH('KU UtilityData'!L$1,'KU Inputs'!$C$1:$J$1,0),0)</f>
        <v>194786.40400000001</v>
      </c>
      <c r="M335" s="181">
        <f>VLOOKUP($A335&amp;$B335,'KU Inputs'!$C$2:$J$530,MATCH('KU UtilityData'!M$1,'KU Inputs'!$C$1:$J$1,0),0)</f>
        <v>198269.78198241198</v>
      </c>
      <c r="N335" s="246">
        <f t="shared" si="18"/>
        <v>134.87</v>
      </c>
      <c r="O335" s="246">
        <f t="shared" si="18"/>
        <v>71.42</v>
      </c>
      <c r="P335" s="159">
        <v>4512</v>
      </c>
      <c r="Q335" s="159">
        <v>1455</v>
      </c>
      <c r="R335" s="271">
        <f t="shared" si="20"/>
        <v>0.40029141501837545</v>
      </c>
    </row>
    <row r="336" spans="1:18" x14ac:dyDescent="0.2">
      <c r="A336" s="147">
        <v>2028</v>
      </c>
      <c r="B336" s="147">
        <v>11</v>
      </c>
      <c r="D336" s="258" t="e">
        <f t="shared" si="19"/>
        <v>#REF!</v>
      </c>
      <c r="E336" s="257" t="e">
        <f t="shared" si="21"/>
        <v>#REF!</v>
      </c>
      <c r="F336" s="166">
        <v>29.95</v>
      </c>
      <c r="G336" s="148">
        <v>4100.6065724634991</v>
      </c>
      <c r="H336" s="181">
        <f>VLOOKUP($A336&amp;$B336,'KU Inputs'!$C$2:$J$530,MATCH('KU UtilityData'!H$1,'KU Inputs'!$C$1:$J$1,0),0)*1000</f>
        <v>4762182</v>
      </c>
      <c r="I336" s="181">
        <f>VLOOKUP($A336&amp;$B336,'KU Inputs'!$C$2:$J$530,MATCH('KU UtilityData'!I$1,'KU Inputs'!$C$1:$J$1,0),0)*1000</f>
        <v>4922876</v>
      </c>
      <c r="J336" s="181">
        <f>VLOOKUP($A336&amp;$B336,'KU Inputs'!$C$2:$J$530,MATCH('KU UtilityData'!J$1,'KU Inputs'!$C$1:$J$1,0),0)*1000</f>
        <v>1970585</v>
      </c>
      <c r="K336" s="231">
        <v>471564.47</v>
      </c>
      <c r="L336" s="181">
        <f>VLOOKUP($A336&amp;$B336,'KU Inputs'!$C$2:$J$530,MATCH('KU UtilityData'!L$1,'KU Inputs'!$C$1:$J$1,0),0)</f>
        <v>194786.40400000001</v>
      </c>
      <c r="M336" s="181">
        <f>VLOOKUP($A336&amp;$B336,'KU Inputs'!$C$2:$J$530,MATCH('KU UtilityData'!M$1,'KU Inputs'!$C$1:$J$1,0),0)</f>
        <v>198269.78198241198</v>
      </c>
      <c r="N336" s="246">
        <f t="shared" si="18"/>
        <v>396.30250000000001</v>
      </c>
      <c r="O336" s="246">
        <f t="shared" si="18"/>
        <v>6.6950000000000003</v>
      </c>
      <c r="P336" s="159">
        <v>4512</v>
      </c>
      <c r="Q336" s="159">
        <v>1455</v>
      </c>
      <c r="R336" s="271">
        <f t="shared" si="20"/>
        <v>0.40029141501837545</v>
      </c>
    </row>
    <row r="337" spans="1:18" x14ac:dyDescent="0.2">
      <c r="A337" s="147">
        <v>2028</v>
      </c>
      <c r="B337" s="147">
        <v>12</v>
      </c>
      <c r="D337" s="258" t="e">
        <f t="shared" si="19"/>
        <v>#REF!</v>
      </c>
      <c r="E337" s="257" t="e">
        <f t="shared" si="21"/>
        <v>#REF!</v>
      </c>
      <c r="F337" s="166">
        <v>31.24</v>
      </c>
      <c r="G337" s="148">
        <v>4102.6224294542099</v>
      </c>
      <c r="H337" s="181">
        <f>VLOOKUP($A337&amp;$B337,'KU Inputs'!$C$2:$J$530,MATCH('KU UtilityData'!H$1,'KU Inputs'!$C$1:$J$1,0),0)*1000</f>
        <v>4762182</v>
      </c>
      <c r="I337" s="181">
        <f>VLOOKUP($A337&amp;$B337,'KU Inputs'!$C$2:$J$530,MATCH('KU UtilityData'!I$1,'KU Inputs'!$C$1:$J$1,0),0)*1000</f>
        <v>4922876</v>
      </c>
      <c r="J337" s="181">
        <f>VLOOKUP($A337&amp;$B337,'KU Inputs'!$C$2:$J$530,MATCH('KU UtilityData'!J$1,'KU Inputs'!$C$1:$J$1,0),0)*1000</f>
        <v>1970585</v>
      </c>
      <c r="K337" s="231">
        <v>471564.47</v>
      </c>
      <c r="L337" s="181">
        <f>VLOOKUP($A337&amp;$B337,'KU Inputs'!$C$2:$J$530,MATCH('KU UtilityData'!L$1,'KU Inputs'!$C$1:$J$1,0),0)</f>
        <v>194786.40400000001</v>
      </c>
      <c r="M337" s="181">
        <f>VLOOKUP($A337&amp;$B337,'KU Inputs'!$C$2:$J$530,MATCH('KU UtilityData'!M$1,'KU Inputs'!$C$1:$J$1,0),0)</f>
        <v>198269.78198241198</v>
      </c>
      <c r="N337" s="246">
        <f t="shared" si="18"/>
        <v>714.28500000000008</v>
      </c>
      <c r="O337" s="246">
        <f t="shared" si="18"/>
        <v>0.25</v>
      </c>
      <c r="P337" s="159">
        <v>4512</v>
      </c>
      <c r="Q337" s="159">
        <v>1455</v>
      </c>
      <c r="R337" s="271">
        <f t="shared" si="20"/>
        <v>0.40029141501837545</v>
      </c>
    </row>
    <row r="338" spans="1:18" x14ac:dyDescent="0.2">
      <c r="A338" s="147">
        <v>2029</v>
      </c>
      <c r="B338" s="147">
        <v>1</v>
      </c>
      <c r="D338" s="258" t="e">
        <f t="shared" si="19"/>
        <v>#REF!</v>
      </c>
      <c r="E338" s="257" t="e">
        <f t="shared" si="21"/>
        <v>#REF!</v>
      </c>
      <c r="F338" s="166">
        <v>32.67</v>
      </c>
      <c r="G338" s="148">
        <v>4104.6382864449215</v>
      </c>
      <c r="H338" s="181">
        <f>VLOOKUP($A338&amp;$B338,'KU Inputs'!$C$2:$J$530,MATCH('KU UtilityData'!H$1,'KU Inputs'!$C$1:$J$1,0),0)*1000</f>
        <v>4767096</v>
      </c>
      <c r="I338" s="181">
        <f>VLOOKUP($A338&amp;$B338,'KU Inputs'!$C$2:$J$530,MATCH('KU UtilityData'!I$1,'KU Inputs'!$C$1:$J$1,0),0)*1000</f>
        <v>4930397</v>
      </c>
      <c r="J338" s="181">
        <f>VLOOKUP($A338&amp;$B338,'KU Inputs'!$C$2:$J$530,MATCH('KU UtilityData'!J$1,'KU Inputs'!$C$1:$J$1,0),0)*1000</f>
        <v>1974136</v>
      </c>
      <c r="K338" s="231">
        <v>472323.5</v>
      </c>
      <c r="L338" s="181">
        <f>VLOOKUP($A338&amp;$B338,'KU Inputs'!$C$2:$J$530,MATCH('KU UtilityData'!L$1,'KU Inputs'!$C$1:$J$1,0),0)</f>
        <v>196497.82699999999</v>
      </c>
      <c r="M338" s="181">
        <f>VLOOKUP($A338&amp;$B338,'KU Inputs'!$C$2:$J$530,MATCH('KU UtilityData'!M$1,'KU Inputs'!$C$1:$J$1,0),0)</f>
        <v>199927.886460448</v>
      </c>
      <c r="N338" s="246">
        <f t="shared" ref="N338:O357" si="22">N326</f>
        <v>991.4375</v>
      </c>
      <c r="O338" s="246">
        <f t="shared" si="22"/>
        <v>0</v>
      </c>
      <c r="P338" s="159">
        <v>4512</v>
      </c>
      <c r="Q338" s="159">
        <v>1455</v>
      </c>
      <c r="R338" s="271">
        <f t="shared" si="20"/>
        <v>0.40040102247344384</v>
      </c>
    </row>
    <row r="339" spans="1:18" x14ac:dyDescent="0.2">
      <c r="A339" s="147">
        <v>2029</v>
      </c>
      <c r="B339" s="147">
        <v>2</v>
      </c>
      <c r="D339" s="258" t="e">
        <f t="shared" si="19"/>
        <v>#REF!</v>
      </c>
      <c r="E339" s="257" t="e">
        <f t="shared" si="21"/>
        <v>#REF!</v>
      </c>
      <c r="F339" s="166">
        <v>29.86</v>
      </c>
      <c r="G339" s="148">
        <v>4106.6541434356332</v>
      </c>
      <c r="H339" s="181">
        <f>VLOOKUP($A339&amp;$B339,'KU Inputs'!$C$2:$J$530,MATCH('KU UtilityData'!H$1,'KU Inputs'!$C$1:$J$1,0),0)*1000</f>
        <v>4767096</v>
      </c>
      <c r="I339" s="181">
        <f>VLOOKUP($A339&amp;$B339,'KU Inputs'!$C$2:$J$530,MATCH('KU UtilityData'!I$1,'KU Inputs'!$C$1:$J$1,0),0)*1000</f>
        <v>4930397</v>
      </c>
      <c r="J339" s="181">
        <f>VLOOKUP($A339&amp;$B339,'KU Inputs'!$C$2:$J$530,MATCH('KU UtilityData'!J$1,'KU Inputs'!$C$1:$J$1,0),0)*1000</f>
        <v>1974136</v>
      </c>
      <c r="K339" s="231">
        <v>472323.5</v>
      </c>
      <c r="L339" s="181">
        <f>VLOOKUP($A339&amp;$B339,'KU Inputs'!$C$2:$J$530,MATCH('KU UtilityData'!L$1,'KU Inputs'!$C$1:$J$1,0),0)</f>
        <v>196497.82699999999</v>
      </c>
      <c r="M339" s="181">
        <f>VLOOKUP($A339&amp;$B339,'KU Inputs'!$C$2:$J$530,MATCH('KU UtilityData'!M$1,'KU Inputs'!$C$1:$J$1,0),0)</f>
        <v>199927.886460448</v>
      </c>
      <c r="N339" s="246">
        <f t="shared" si="22"/>
        <v>890.05499999999995</v>
      </c>
      <c r="O339" s="246">
        <f t="shared" si="22"/>
        <v>0</v>
      </c>
      <c r="P339" s="159">
        <v>4512</v>
      </c>
      <c r="Q339" s="159">
        <v>1455</v>
      </c>
      <c r="R339" s="271">
        <f t="shared" si="20"/>
        <v>0.40040102247344384</v>
      </c>
    </row>
    <row r="340" spans="1:18" x14ac:dyDescent="0.2">
      <c r="A340" s="147">
        <v>2029</v>
      </c>
      <c r="B340" s="147">
        <v>3</v>
      </c>
      <c r="D340" s="258" t="e">
        <f t="shared" si="19"/>
        <v>#REF!</v>
      </c>
      <c r="E340" s="257" t="e">
        <f t="shared" si="21"/>
        <v>#REF!</v>
      </c>
      <c r="F340" s="166">
        <v>30.43</v>
      </c>
      <c r="G340" s="148">
        <v>4108.6700004263439</v>
      </c>
      <c r="H340" s="181">
        <f>VLOOKUP($A340&amp;$B340,'KU Inputs'!$C$2:$J$530,MATCH('KU UtilityData'!H$1,'KU Inputs'!$C$1:$J$1,0),0)*1000</f>
        <v>4767096</v>
      </c>
      <c r="I340" s="181">
        <f>VLOOKUP($A340&amp;$B340,'KU Inputs'!$C$2:$J$530,MATCH('KU UtilityData'!I$1,'KU Inputs'!$C$1:$J$1,0),0)*1000</f>
        <v>4930397</v>
      </c>
      <c r="J340" s="181">
        <f>VLOOKUP($A340&amp;$B340,'KU Inputs'!$C$2:$J$530,MATCH('KU UtilityData'!J$1,'KU Inputs'!$C$1:$J$1,0),0)*1000</f>
        <v>1974136</v>
      </c>
      <c r="K340" s="231">
        <v>472323.5</v>
      </c>
      <c r="L340" s="181">
        <f>VLOOKUP($A340&amp;$B340,'KU Inputs'!$C$2:$J$530,MATCH('KU UtilityData'!L$1,'KU Inputs'!$C$1:$J$1,0),0)</f>
        <v>196497.82699999999</v>
      </c>
      <c r="M340" s="181">
        <f>VLOOKUP($A340&amp;$B340,'KU Inputs'!$C$2:$J$530,MATCH('KU UtilityData'!M$1,'KU Inputs'!$C$1:$J$1,0),0)</f>
        <v>199927.886460448</v>
      </c>
      <c r="N340" s="246">
        <f t="shared" si="22"/>
        <v>724.63750000000005</v>
      </c>
      <c r="O340" s="246">
        <f t="shared" si="22"/>
        <v>0.92249999999999999</v>
      </c>
      <c r="P340" s="159">
        <v>4512</v>
      </c>
      <c r="Q340" s="159">
        <v>1455</v>
      </c>
      <c r="R340" s="271">
        <f t="shared" si="20"/>
        <v>0.40040102247344384</v>
      </c>
    </row>
    <row r="341" spans="1:18" x14ac:dyDescent="0.2">
      <c r="A341" s="147">
        <v>2029</v>
      </c>
      <c r="B341" s="147">
        <v>4</v>
      </c>
      <c r="D341" s="258" t="e">
        <f t="shared" si="19"/>
        <v>#REF!</v>
      </c>
      <c r="E341" s="257" t="e">
        <f t="shared" si="21"/>
        <v>#REF!</v>
      </c>
      <c r="F341" s="166">
        <v>30.71</v>
      </c>
      <c r="G341" s="148">
        <v>4110.6858574170556</v>
      </c>
      <c r="H341" s="181">
        <f>VLOOKUP($A341&amp;$B341,'KU Inputs'!$C$2:$J$530,MATCH('KU UtilityData'!H$1,'KU Inputs'!$C$1:$J$1,0),0)*1000</f>
        <v>4771973</v>
      </c>
      <c r="I341" s="181">
        <f>VLOOKUP($A341&amp;$B341,'KU Inputs'!$C$2:$J$530,MATCH('KU UtilityData'!I$1,'KU Inputs'!$C$1:$J$1,0),0)*1000</f>
        <v>4937885</v>
      </c>
      <c r="J341" s="181">
        <f>VLOOKUP($A341&amp;$B341,'KU Inputs'!$C$2:$J$530,MATCH('KU UtilityData'!J$1,'KU Inputs'!$C$1:$J$1,0),0)*1000</f>
        <v>1977677</v>
      </c>
      <c r="K341" s="231">
        <v>473081.87</v>
      </c>
      <c r="L341" s="181">
        <f>VLOOKUP($A341&amp;$B341,'KU Inputs'!$C$2:$J$530,MATCH('KU UtilityData'!L$1,'KU Inputs'!$C$1:$J$1,0),0)</f>
        <v>197549.33600000001</v>
      </c>
      <c r="M341" s="181">
        <f>VLOOKUP($A341&amp;$B341,'KU Inputs'!$C$2:$J$530,MATCH('KU UtilityData'!M$1,'KU Inputs'!$C$1:$J$1,0),0)</f>
        <v>200956.51136853037</v>
      </c>
      <c r="N341" s="246">
        <f t="shared" si="22"/>
        <v>433.4375</v>
      </c>
      <c r="O341" s="246">
        <f t="shared" si="22"/>
        <v>13.477500000000001</v>
      </c>
      <c r="P341" s="159">
        <v>4512</v>
      </c>
      <c r="Q341" s="159">
        <v>1455</v>
      </c>
      <c r="R341" s="271">
        <f t="shared" si="20"/>
        <v>0.40051094750080246</v>
      </c>
    </row>
    <row r="342" spans="1:18" x14ac:dyDescent="0.2">
      <c r="A342" s="147">
        <v>2029</v>
      </c>
      <c r="B342" s="147">
        <v>5</v>
      </c>
      <c r="D342" s="258" t="e">
        <f t="shared" si="19"/>
        <v>#REF!</v>
      </c>
      <c r="E342" s="257" t="e">
        <f t="shared" si="21"/>
        <v>#REF!</v>
      </c>
      <c r="F342" s="166">
        <v>29.52</v>
      </c>
      <c r="G342" s="148">
        <v>4112.7017144077663</v>
      </c>
      <c r="H342" s="181">
        <f>VLOOKUP($A342&amp;$B342,'KU Inputs'!$C$2:$J$530,MATCH('KU UtilityData'!H$1,'KU Inputs'!$C$1:$J$1,0),0)*1000</f>
        <v>4771973</v>
      </c>
      <c r="I342" s="181">
        <f>VLOOKUP($A342&amp;$B342,'KU Inputs'!$C$2:$J$530,MATCH('KU UtilityData'!I$1,'KU Inputs'!$C$1:$J$1,0),0)*1000</f>
        <v>4937885</v>
      </c>
      <c r="J342" s="181">
        <f>VLOOKUP($A342&amp;$B342,'KU Inputs'!$C$2:$J$530,MATCH('KU UtilityData'!J$1,'KU Inputs'!$C$1:$J$1,0),0)*1000</f>
        <v>1977677</v>
      </c>
      <c r="K342" s="231">
        <v>473081.87</v>
      </c>
      <c r="L342" s="181">
        <f>VLOOKUP($A342&amp;$B342,'KU Inputs'!$C$2:$J$530,MATCH('KU UtilityData'!L$1,'KU Inputs'!$C$1:$J$1,0),0)</f>
        <v>197549.33600000001</v>
      </c>
      <c r="M342" s="181">
        <f>VLOOKUP($A342&amp;$B342,'KU Inputs'!$C$2:$J$530,MATCH('KU UtilityData'!M$1,'KU Inputs'!$C$1:$J$1,0),0)</f>
        <v>200956.51136853037</v>
      </c>
      <c r="N342" s="246">
        <f t="shared" si="22"/>
        <v>189.125</v>
      </c>
      <c r="O342" s="246">
        <f t="shared" si="22"/>
        <v>46.06</v>
      </c>
      <c r="P342" s="159">
        <v>4512</v>
      </c>
      <c r="Q342" s="159">
        <v>1455</v>
      </c>
      <c r="R342" s="271">
        <f t="shared" si="20"/>
        <v>0.40051094750080246</v>
      </c>
    </row>
    <row r="343" spans="1:18" x14ac:dyDescent="0.2">
      <c r="A343" s="147">
        <v>2029</v>
      </c>
      <c r="B343" s="147">
        <v>6</v>
      </c>
      <c r="D343" s="258" t="e">
        <f t="shared" si="19"/>
        <v>#REF!</v>
      </c>
      <c r="E343" s="257" t="e">
        <f t="shared" si="21"/>
        <v>#REF!</v>
      </c>
      <c r="F343" s="166">
        <v>30.62</v>
      </c>
      <c r="G343" s="148">
        <v>4114.717571398478</v>
      </c>
      <c r="H343" s="181">
        <f>VLOOKUP($A343&amp;$B343,'KU Inputs'!$C$2:$J$530,MATCH('KU UtilityData'!H$1,'KU Inputs'!$C$1:$J$1,0),0)*1000</f>
        <v>4771973</v>
      </c>
      <c r="I343" s="181">
        <f>VLOOKUP($A343&amp;$B343,'KU Inputs'!$C$2:$J$530,MATCH('KU UtilityData'!I$1,'KU Inputs'!$C$1:$J$1,0),0)*1000</f>
        <v>4937885</v>
      </c>
      <c r="J343" s="181">
        <f>VLOOKUP($A343&amp;$B343,'KU Inputs'!$C$2:$J$530,MATCH('KU UtilityData'!J$1,'KU Inputs'!$C$1:$J$1,0),0)*1000</f>
        <v>1977677</v>
      </c>
      <c r="K343" s="231">
        <v>473081.87</v>
      </c>
      <c r="L343" s="181">
        <f>VLOOKUP($A343&amp;$B343,'KU Inputs'!$C$2:$J$530,MATCH('KU UtilityData'!L$1,'KU Inputs'!$C$1:$J$1,0),0)</f>
        <v>197549.33600000001</v>
      </c>
      <c r="M343" s="181">
        <f>VLOOKUP($A343&amp;$B343,'KU Inputs'!$C$2:$J$530,MATCH('KU UtilityData'!M$1,'KU Inputs'!$C$1:$J$1,0),0)</f>
        <v>200956.51136853037</v>
      </c>
      <c r="N343" s="246">
        <f t="shared" si="22"/>
        <v>50.362499999999997</v>
      </c>
      <c r="O343" s="246">
        <f t="shared" si="22"/>
        <v>166.4075</v>
      </c>
      <c r="P343" s="159">
        <v>4512</v>
      </c>
      <c r="Q343" s="159">
        <v>1455</v>
      </c>
      <c r="R343" s="271">
        <f t="shared" si="20"/>
        <v>0.40051094750080246</v>
      </c>
    </row>
    <row r="344" spans="1:18" x14ac:dyDescent="0.2">
      <c r="A344" s="147">
        <v>2029</v>
      </c>
      <c r="B344" s="147">
        <v>7</v>
      </c>
      <c r="D344" s="258" t="e">
        <f t="shared" si="19"/>
        <v>#REF!</v>
      </c>
      <c r="E344" s="257" t="e">
        <f t="shared" si="21"/>
        <v>#REF!</v>
      </c>
      <c r="F344" s="166">
        <v>30.76</v>
      </c>
      <c r="G344" s="148">
        <v>4116.6849179049223</v>
      </c>
      <c r="H344" s="181">
        <f>VLOOKUP($A344&amp;$B344,'KU Inputs'!$C$2:$J$530,MATCH('KU UtilityData'!H$1,'KU Inputs'!$C$1:$J$1,0),0)*1000</f>
        <v>4776815</v>
      </c>
      <c r="I344" s="181">
        <f>VLOOKUP($A344&amp;$B344,'KU Inputs'!$C$2:$J$530,MATCH('KU UtilityData'!I$1,'KU Inputs'!$C$1:$J$1,0),0)*1000</f>
        <v>4945340</v>
      </c>
      <c r="J344" s="181">
        <f>VLOOKUP($A344&amp;$B344,'KU Inputs'!$C$2:$J$530,MATCH('KU UtilityData'!J$1,'KU Inputs'!$C$1:$J$1,0),0)*1000</f>
        <v>1981048</v>
      </c>
      <c r="K344" s="231">
        <v>473831.27</v>
      </c>
      <c r="L344" s="181">
        <f>VLOOKUP($A344&amp;$B344,'KU Inputs'!$C$2:$J$530,MATCH('KU UtilityData'!L$1,'KU Inputs'!$C$1:$J$1,0),0)</f>
        <v>198516.981</v>
      </c>
      <c r="M344" s="181">
        <f>VLOOKUP($A344&amp;$B344,'KU Inputs'!$C$2:$J$530,MATCH('KU UtilityData'!M$1,'KU Inputs'!$C$1:$J$1,0),0)</f>
        <v>201885.88888616659</v>
      </c>
      <c r="N344" s="246">
        <f t="shared" si="22"/>
        <v>1.625</v>
      </c>
      <c r="O344" s="246">
        <f t="shared" si="22"/>
        <v>326.005</v>
      </c>
      <c r="P344" s="159">
        <v>4512</v>
      </c>
      <c r="Q344" s="159">
        <v>1455</v>
      </c>
      <c r="R344" s="271">
        <f t="shared" si="20"/>
        <v>0.40058883716791971</v>
      </c>
    </row>
    <row r="345" spans="1:18" x14ac:dyDescent="0.2">
      <c r="A345" s="147">
        <v>2029</v>
      </c>
      <c r="B345" s="147">
        <v>8</v>
      </c>
      <c r="D345" s="258" t="e">
        <f t="shared" si="19"/>
        <v>#REF!</v>
      </c>
      <c r="E345" s="257" t="e">
        <f t="shared" si="21"/>
        <v>#REF!</v>
      </c>
      <c r="F345" s="166">
        <v>29.48</v>
      </c>
      <c r="G345" s="148">
        <v>4118.6522644113656</v>
      </c>
      <c r="H345" s="181">
        <f>VLOOKUP($A345&amp;$B345,'KU Inputs'!$C$2:$J$530,MATCH('KU UtilityData'!H$1,'KU Inputs'!$C$1:$J$1,0),0)*1000</f>
        <v>4776815</v>
      </c>
      <c r="I345" s="181">
        <f>VLOOKUP($A345&amp;$B345,'KU Inputs'!$C$2:$J$530,MATCH('KU UtilityData'!I$1,'KU Inputs'!$C$1:$J$1,0),0)*1000</f>
        <v>4945340</v>
      </c>
      <c r="J345" s="181">
        <f>VLOOKUP($A345&amp;$B345,'KU Inputs'!$C$2:$J$530,MATCH('KU UtilityData'!J$1,'KU Inputs'!$C$1:$J$1,0),0)*1000</f>
        <v>1981048</v>
      </c>
      <c r="K345" s="231">
        <v>473831.27</v>
      </c>
      <c r="L345" s="181">
        <f>VLOOKUP($A345&amp;$B345,'KU Inputs'!$C$2:$J$530,MATCH('KU UtilityData'!L$1,'KU Inputs'!$C$1:$J$1,0),0)</f>
        <v>198516.981</v>
      </c>
      <c r="M345" s="181">
        <f>VLOOKUP($A345&amp;$B345,'KU Inputs'!$C$2:$J$530,MATCH('KU UtilityData'!M$1,'KU Inputs'!$C$1:$J$1,0),0)</f>
        <v>201885.88888616659</v>
      </c>
      <c r="N345" s="246">
        <f t="shared" si="22"/>
        <v>0.75</v>
      </c>
      <c r="O345" s="246">
        <f t="shared" si="22"/>
        <v>348.8175</v>
      </c>
      <c r="P345" s="159">
        <v>4512</v>
      </c>
      <c r="Q345" s="159">
        <v>1455</v>
      </c>
      <c r="R345" s="271">
        <f t="shared" si="20"/>
        <v>0.40058883716791971</v>
      </c>
    </row>
    <row r="346" spans="1:18" x14ac:dyDescent="0.2">
      <c r="A346" s="147">
        <v>2029</v>
      </c>
      <c r="B346" s="147">
        <v>9</v>
      </c>
      <c r="D346" s="258" t="e">
        <f t="shared" si="19"/>
        <v>#REF!</v>
      </c>
      <c r="E346" s="257" t="e">
        <f t="shared" si="21"/>
        <v>#REF!</v>
      </c>
      <c r="F346" s="166">
        <v>30.57</v>
      </c>
      <c r="G346" s="148">
        <v>4120.61961091781</v>
      </c>
      <c r="H346" s="181">
        <f>VLOOKUP($A346&amp;$B346,'KU Inputs'!$C$2:$J$530,MATCH('KU UtilityData'!H$1,'KU Inputs'!$C$1:$J$1,0),0)*1000</f>
        <v>4776815</v>
      </c>
      <c r="I346" s="181">
        <f>VLOOKUP($A346&amp;$B346,'KU Inputs'!$C$2:$J$530,MATCH('KU UtilityData'!I$1,'KU Inputs'!$C$1:$J$1,0),0)*1000</f>
        <v>4945340</v>
      </c>
      <c r="J346" s="181">
        <f>VLOOKUP($A346&amp;$B346,'KU Inputs'!$C$2:$J$530,MATCH('KU UtilityData'!J$1,'KU Inputs'!$C$1:$J$1,0),0)*1000</f>
        <v>1981048</v>
      </c>
      <c r="K346" s="231">
        <v>473831.27</v>
      </c>
      <c r="L346" s="181">
        <f>VLOOKUP($A346&amp;$B346,'KU Inputs'!$C$2:$J$530,MATCH('KU UtilityData'!L$1,'KU Inputs'!$C$1:$J$1,0),0)</f>
        <v>198516.981</v>
      </c>
      <c r="M346" s="181">
        <f>VLOOKUP($A346&amp;$B346,'KU Inputs'!$C$2:$J$530,MATCH('KU UtilityData'!M$1,'KU Inputs'!$C$1:$J$1,0),0)</f>
        <v>201885.88888616659</v>
      </c>
      <c r="N346" s="246">
        <f t="shared" si="22"/>
        <v>11.752500000000001</v>
      </c>
      <c r="O346" s="246">
        <f t="shared" si="22"/>
        <v>258.88</v>
      </c>
      <c r="P346" s="159">
        <v>4512</v>
      </c>
      <c r="Q346" s="159">
        <v>1455</v>
      </c>
      <c r="R346" s="271">
        <f t="shared" si="20"/>
        <v>0.40058883716791971</v>
      </c>
    </row>
    <row r="347" spans="1:18" x14ac:dyDescent="0.2">
      <c r="A347" s="147">
        <v>2029</v>
      </c>
      <c r="B347" s="147">
        <v>10</v>
      </c>
      <c r="D347" s="258" t="e">
        <f t="shared" si="19"/>
        <v>#REF!</v>
      </c>
      <c r="E347" s="257" t="e">
        <f t="shared" si="21"/>
        <v>#REF!</v>
      </c>
      <c r="F347" s="166">
        <v>29.67</v>
      </c>
      <c r="G347" s="148">
        <v>4122.5869574242543</v>
      </c>
      <c r="H347" s="181">
        <f>VLOOKUP($A347&amp;$B347,'KU Inputs'!$C$2:$J$530,MATCH('KU UtilityData'!H$1,'KU Inputs'!$C$1:$J$1,0),0)*1000</f>
        <v>4781608</v>
      </c>
      <c r="I347" s="181">
        <f>VLOOKUP($A347&amp;$B347,'KU Inputs'!$C$2:$J$530,MATCH('KU UtilityData'!I$1,'KU Inputs'!$C$1:$J$1,0),0)*1000</f>
        <v>4952749</v>
      </c>
      <c r="J347" s="181">
        <f>VLOOKUP($A347&amp;$B347,'KU Inputs'!$C$2:$J$530,MATCH('KU UtilityData'!J$1,'KU Inputs'!$C$1:$J$1,0),0)*1000</f>
        <v>1984584</v>
      </c>
      <c r="K347" s="231">
        <v>474582.21</v>
      </c>
      <c r="L347" s="181">
        <f>VLOOKUP($A347&amp;$B347,'KU Inputs'!$C$2:$J$530,MATCH('KU UtilityData'!L$1,'KU Inputs'!$C$1:$J$1,0),0)</f>
        <v>199480.13399999999</v>
      </c>
      <c r="M347" s="181">
        <f>VLOOKUP($A347&amp;$B347,'KU Inputs'!$C$2:$J$530,MATCH('KU UtilityData'!M$1,'KU Inputs'!$C$1:$J$1,0),0)</f>
        <v>202812.58824760609</v>
      </c>
      <c r="N347" s="246">
        <f t="shared" si="22"/>
        <v>134.87</v>
      </c>
      <c r="O347" s="246">
        <f t="shared" si="22"/>
        <v>71.42</v>
      </c>
      <c r="P347" s="159">
        <v>4512</v>
      </c>
      <c r="Q347" s="159">
        <v>1455</v>
      </c>
      <c r="R347" s="271">
        <f t="shared" si="20"/>
        <v>0.40070352848488788</v>
      </c>
    </row>
    <row r="348" spans="1:18" x14ac:dyDescent="0.2">
      <c r="A348" s="147">
        <v>2029</v>
      </c>
      <c r="B348" s="147">
        <v>11</v>
      </c>
      <c r="D348" s="258" t="e">
        <f t="shared" si="19"/>
        <v>#REF!</v>
      </c>
      <c r="E348" s="257" t="e">
        <f t="shared" si="21"/>
        <v>#REF!</v>
      </c>
      <c r="F348" s="166">
        <v>29.95</v>
      </c>
      <c r="G348" s="148">
        <v>4124.5543039306986</v>
      </c>
      <c r="H348" s="181">
        <f>VLOOKUP($A348&amp;$B348,'KU Inputs'!$C$2:$J$530,MATCH('KU UtilityData'!H$1,'KU Inputs'!$C$1:$J$1,0),0)*1000</f>
        <v>4781608</v>
      </c>
      <c r="I348" s="181">
        <f>VLOOKUP($A348&amp;$B348,'KU Inputs'!$C$2:$J$530,MATCH('KU UtilityData'!I$1,'KU Inputs'!$C$1:$J$1,0),0)*1000</f>
        <v>4952749</v>
      </c>
      <c r="J348" s="181">
        <f>VLOOKUP($A348&amp;$B348,'KU Inputs'!$C$2:$J$530,MATCH('KU UtilityData'!J$1,'KU Inputs'!$C$1:$J$1,0),0)*1000</f>
        <v>1984584</v>
      </c>
      <c r="K348" s="231">
        <v>474582.21</v>
      </c>
      <c r="L348" s="181">
        <f>VLOOKUP($A348&amp;$B348,'KU Inputs'!$C$2:$J$530,MATCH('KU UtilityData'!L$1,'KU Inputs'!$C$1:$J$1,0),0)</f>
        <v>199480.13399999999</v>
      </c>
      <c r="M348" s="181">
        <f>VLOOKUP($A348&amp;$B348,'KU Inputs'!$C$2:$J$530,MATCH('KU UtilityData'!M$1,'KU Inputs'!$C$1:$J$1,0),0)</f>
        <v>202812.58824760609</v>
      </c>
      <c r="N348" s="246">
        <f t="shared" si="22"/>
        <v>396.30250000000001</v>
      </c>
      <c r="O348" s="246">
        <f t="shared" si="22"/>
        <v>6.6950000000000003</v>
      </c>
      <c r="P348" s="159">
        <v>4512</v>
      </c>
      <c r="Q348" s="159">
        <v>1455</v>
      </c>
      <c r="R348" s="271">
        <f t="shared" si="20"/>
        <v>0.40070352848488788</v>
      </c>
    </row>
    <row r="349" spans="1:18" x14ac:dyDescent="0.2">
      <c r="A349" s="147">
        <v>2029</v>
      </c>
      <c r="B349" s="147">
        <v>12</v>
      </c>
      <c r="D349" s="258" t="e">
        <f t="shared" si="19"/>
        <v>#REF!</v>
      </c>
      <c r="E349" s="257" t="e">
        <f t="shared" si="21"/>
        <v>#REF!</v>
      </c>
      <c r="F349" s="166">
        <v>31.1</v>
      </c>
      <c r="G349" s="148">
        <v>4126.5216504371429</v>
      </c>
      <c r="H349" s="181">
        <f>VLOOKUP($A349&amp;$B349,'KU Inputs'!$C$2:$J$530,MATCH('KU UtilityData'!H$1,'KU Inputs'!$C$1:$J$1,0),0)*1000</f>
        <v>4781608</v>
      </c>
      <c r="I349" s="181">
        <f>VLOOKUP($A349&amp;$B349,'KU Inputs'!$C$2:$J$530,MATCH('KU UtilityData'!I$1,'KU Inputs'!$C$1:$J$1,0),0)*1000</f>
        <v>4952749</v>
      </c>
      <c r="J349" s="181">
        <f>VLOOKUP($A349&amp;$B349,'KU Inputs'!$C$2:$J$530,MATCH('KU UtilityData'!J$1,'KU Inputs'!$C$1:$J$1,0),0)*1000</f>
        <v>1984584</v>
      </c>
      <c r="K349" s="231">
        <v>474582.21</v>
      </c>
      <c r="L349" s="181">
        <f>VLOOKUP($A349&amp;$B349,'KU Inputs'!$C$2:$J$530,MATCH('KU UtilityData'!L$1,'KU Inputs'!$C$1:$J$1,0),0)</f>
        <v>199480.13399999999</v>
      </c>
      <c r="M349" s="181">
        <f>VLOOKUP($A349&amp;$B349,'KU Inputs'!$C$2:$J$530,MATCH('KU UtilityData'!M$1,'KU Inputs'!$C$1:$J$1,0),0)</f>
        <v>202812.58824760609</v>
      </c>
      <c r="N349" s="246">
        <f t="shared" si="22"/>
        <v>714.28500000000008</v>
      </c>
      <c r="O349" s="246">
        <f t="shared" si="22"/>
        <v>0.25</v>
      </c>
      <c r="P349" s="159">
        <v>4512</v>
      </c>
      <c r="Q349" s="159">
        <v>1455</v>
      </c>
      <c r="R349" s="271">
        <f t="shared" si="20"/>
        <v>0.40070352848488788</v>
      </c>
    </row>
    <row r="350" spans="1:18" x14ac:dyDescent="0.2">
      <c r="A350" s="147">
        <v>2030</v>
      </c>
      <c r="B350" s="147">
        <v>1</v>
      </c>
      <c r="D350" s="258" t="e">
        <f t="shared" si="19"/>
        <v>#REF!</v>
      </c>
      <c r="E350" s="257" t="e">
        <f t="shared" si="21"/>
        <v>#REF!</v>
      </c>
      <c r="F350" s="166">
        <v>32.71</v>
      </c>
      <c r="G350" s="148">
        <v>4128.4889969435872</v>
      </c>
      <c r="H350" s="181">
        <f>VLOOKUP($A350&amp;$B350,'KU Inputs'!$C$2:$J$530,MATCH('KU UtilityData'!H$1,'KU Inputs'!$C$1:$J$1,0),0)*1000</f>
        <v>4786366</v>
      </c>
      <c r="I350" s="181">
        <f>VLOOKUP($A350&amp;$B350,'KU Inputs'!$C$2:$J$530,MATCH('KU UtilityData'!I$1,'KU Inputs'!$C$1:$J$1,0),0)*1000</f>
        <v>4960126</v>
      </c>
      <c r="J350" s="181">
        <f>VLOOKUP($A350&amp;$B350,'KU Inputs'!$C$2:$J$530,MATCH('KU UtilityData'!J$1,'KU Inputs'!$C$1:$J$1,0),0)*1000</f>
        <v>1987894</v>
      </c>
      <c r="K350" s="231">
        <v>475343.2</v>
      </c>
      <c r="L350" s="181">
        <f>VLOOKUP($A350&amp;$B350,'KU Inputs'!$C$2:$J$530,MATCH('KU UtilityData'!L$1,'KU Inputs'!$C$1:$J$1,0),0)</f>
        <v>201210.11900000001</v>
      </c>
      <c r="M350" s="181">
        <f>VLOOKUP($A350&amp;$B350,'KU Inputs'!$C$2:$J$530,MATCH('KU UtilityData'!M$1,'KU Inputs'!$C$1:$J$1,0),0)</f>
        <v>204499.34153231149</v>
      </c>
      <c r="N350" s="246">
        <f t="shared" si="22"/>
        <v>991.4375</v>
      </c>
      <c r="O350" s="246">
        <f t="shared" si="22"/>
        <v>0</v>
      </c>
      <c r="P350" s="159">
        <v>4512</v>
      </c>
      <c r="Q350" s="159">
        <v>1455</v>
      </c>
      <c r="R350" s="271">
        <f t="shared" si="20"/>
        <v>0.40077489966988744</v>
      </c>
    </row>
    <row r="351" spans="1:18" x14ac:dyDescent="0.2">
      <c r="A351" s="147">
        <v>2030</v>
      </c>
      <c r="B351" s="147">
        <v>2</v>
      </c>
      <c r="D351" s="258" t="e">
        <f t="shared" si="19"/>
        <v>#REF!</v>
      </c>
      <c r="E351" s="257" t="e">
        <f t="shared" si="21"/>
        <v>#REF!</v>
      </c>
      <c r="F351" s="166">
        <v>29.9</v>
      </c>
      <c r="G351" s="148">
        <v>4130.4563434500315</v>
      </c>
      <c r="H351" s="181">
        <f>VLOOKUP($A351&amp;$B351,'KU Inputs'!$C$2:$J$530,MATCH('KU UtilityData'!H$1,'KU Inputs'!$C$1:$J$1,0),0)*1000</f>
        <v>4786366</v>
      </c>
      <c r="I351" s="181">
        <f>VLOOKUP($A351&amp;$B351,'KU Inputs'!$C$2:$J$530,MATCH('KU UtilityData'!I$1,'KU Inputs'!$C$1:$J$1,0),0)*1000</f>
        <v>4960126</v>
      </c>
      <c r="J351" s="181">
        <f>VLOOKUP($A351&amp;$B351,'KU Inputs'!$C$2:$J$530,MATCH('KU UtilityData'!J$1,'KU Inputs'!$C$1:$J$1,0),0)*1000</f>
        <v>1987894</v>
      </c>
      <c r="K351" s="231">
        <v>475343.2</v>
      </c>
      <c r="L351" s="181">
        <f>VLOOKUP($A351&amp;$B351,'KU Inputs'!$C$2:$J$530,MATCH('KU UtilityData'!L$1,'KU Inputs'!$C$1:$J$1,0),0)</f>
        <v>201210.11900000001</v>
      </c>
      <c r="M351" s="181">
        <f>VLOOKUP($A351&amp;$B351,'KU Inputs'!$C$2:$J$530,MATCH('KU UtilityData'!M$1,'KU Inputs'!$C$1:$J$1,0),0)</f>
        <v>204499.34153231149</v>
      </c>
      <c r="N351" s="246">
        <f t="shared" si="22"/>
        <v>890.05499999999995</v>
      </c>
      <c r="O351" s="246">
        <f t="shared" si="22"/>
        <v>0</v>
      </c>
      <c r="P351" s="159">
        <v>4512</v>
      </c>
      <c r="Q351" s="159">
        <v>1455</v>
      </c>
      <c r="R351" s="271">
        <f t="shared" si="20"/>
        <v>0.40077489966988744</v>
      </c>
    </row>
    <row r="352" spans="1:18" x14ac:dyDescent="0.2">
      <c r="A352" s="147">
        <v>2030</v>
      </c>
      <c r="B352" s="147">
        <v>3</v>
      </c>
      <c r="D352" s="258" t="e">
        <f t="shared" si="19"/>
        <v>#REF!</v>
      </c>
      <c r="E352" s="257" t="e">
        <f t="shared" si="21"/>
        <v>#REF!</v>
      </c>
      <c r="F352" s="166">
        <v>30.33</v>
      </c>
      <c r="G352" s="148">
        <v>4132.4236899564758</v>
      </c>
      <c r="H352" s="181">
        <f>VLOOKUP($A352&amp;$B352,'KU Inputs'!$C$2:$J$530,MATCH('KU UtilityData'!H$1,'KU Inputs'!$C$1:$J$1,0),0)*1000</f>
        <v>4786366</v>
      </c>
      <c r="I352" s="181">
        <f>VLOOKUP($A352&amp;$B352,'KU Inputs'!$C$2:$J$530,MATCH('KU UtilityData'!I$1,'KU Inputs'!$C$1:$J$1,0),0)*1000</f>
        <v>4960126</v>
      </c>
      <c r="J352" s="181">
        <f>VLOOKUP($A352&amp;$B352,'KU Inputs'!$C$2:$J$530,MATCH('KU UtilityData'!J$1,'KU Inputs'!$C$1:$J$1,0),0)*1000</f>
        <v>1987894</v>
      </c>
      <c r="K352" s="231">
        <v>475343.2</v>
      </c>
      <c r="L352" s="181">
        <f>VLOOKUP($A352&amp;$B352,'KU Inputs'!$C$2:$J$530,MATCH('KU UtilityData'!L$1,'KU Inputs'!$C$1:$J$1,0),0)</f>
        <v>201210.11900000001</v>
      </c>
      <c r="M352" s="181">
        <f>VLOOKUP($A352&amp;$B352,'KU Inputs'!$C$2:$J$530,MATCH('KU UtilityData'!M$1,'KU Inputs'!$C$1:$J$1,0),0)</f>
        <v>204499.34153231149</v>
      </c>
      <c r="N352" s="246">
        <f t="shared" si="22"/>
        <v>724.63750000000005</v>
      </c>
      <c r="O352" s="246">
        <f t="shared" si="22"/>
        <v>0.92249999999999999</v>
      </c>
      <c r="P352" s="159">
        <v>4512</v>
      </c>
      <c r="Q352" s="159">
        <v>1455</v>
      </c>
      <c r="R352" s="271">
        <f t="shared" si="20"/>
        <v>0.40077489966988744</v>
      </c>
    </row>
    <row r="353" spans="1:18" x14ac:dyDescent="0.2">
      <c r="A353" s="147">
        <v>2030</v>
      </c>
      <c r="B353" s="147">
        <v>4</v>
      </c>
      <c r="D353" s="258" t="e">
        <f t="shared" si="19"/>
        <v>#REF!</v>
      </c>
      <c r="E353" s="257" t="e">
        <f t="shared" si="21"/>
        <v>#REF!</v>
      </c>
      <c r="F353" s="166">
        <v>29.95</v>
      </c>
      <c r="G353" s="148">
        <v>4134.3910364629201</v>
      </c>
      <c r="H353" s="181">
        <f>VLOOKUP($A353&amp;$B353,'KU Inputs'!$C$2:$J$530,MATCH('KU UtilityData'!H$1,'KU Inputs'!$C$1:$J$1,0),0)*1000</f>
        <v>4791089</v>
      </c>
      <c r="I353" s="181">
        <f>VLOOKUP($A353&amp;$B353,'KU Inputs'!$C$2:$J$530,MATCH('KU UtilityData'!I$1,'KU Inputs'!$C$1:$J$1,0),0)*1000</f>
        <v>4967471</v>
      </c>
      <c r="J353" s="181">
        <f>VLOOKUP($A353&amp;$B353,'KU Inputs'!$C$2:$J$530,MATCH('KU UtilityData'!J$1,'KU Inputs'!$C$1:$J$1,0),0)*1000</f>
        <v>1991102</v>
      </c>
      <c r="K353" s="231">
        <v>476117.97</v>
      </c>
      <c r="L353" s="181">
        <f>VLOOKUP($A353&amp;$B353,'KU Inputs'!$C$2:$J$530,MATCH('KU UtilityData'!L$1,'KU Inputs'!$C$1:$J$1,0),0)</f>
        <v>202357.96400000001</v>
      </c>
      <c r="M353" s="181">
        <f>VLOOKUP($A353&amp;$B353,'KU Inputs'!$C$2:$J$530,MATCH('KU UtilityData'!M$1,'KU Inputs'!$C$1:$J$1,0),0)</f>
        <v>205741.98846032468</v>
      </c>
      <c r="N353" s="246">
        <f t="shared" si="22"/>
        <v>433.4375</v>
      </c>
      <c r="O353" s="246">
        <f t="shared" si="22"/>
        <v>13.477500000000001</v>
      </c>
      <c r="P353" s="159">
        <v>4512</v>
      </c>
      <c r="Q353" s="159">
        <v>1455</v>
      </c>
      <c r="R353" s="271">
        <f t="shared" si="20"/>
        <v>0.4008281075017851</v>
      </c>
    </row>
    <row r="354" spans="1:18" x14ac:dyDescent="0.2">
      <c r="A354" s="147">
        <v>2030</v>
      </c>
      <c r="B354" s="147">
        <v>5</v>
      </c>
      <c r="D354" s="258" t="e">
        <f t="shared" si="19"/>
        <v>#REF!</v>
      </c>
      <c r="E354" s="257" t="e">
        <f t="shared" si="21"/>
        <v>#REF!</v>
      </c>
      <c r="F354" s="166">
        <v>30.38</v>
      </c>
      <c r="G354" s="148">
        <v>4136.3583829693644</v>
      </c>
      <c r="H354" s="181">
        <f>VLOOKUP($A354&amp;$B354,'KU Inputs'!$C$2:$J$530,MATCH('KU UtilityData'!H$1,'KU Inputs'!$C$1:$J$1,0),0)*1000</f>
        <v>4791089</v>
      </c>
      <c r="I354" s="181">
        <f>VLOOKUP($A354&amp;$B354,'KU Inputs'!$C$2:$J$530,MATCH('KU UtilityData'!I$1,'KU Inputs'!$C$1:$J$1,0),0)*1000</f>
        <v>4967471</v>
      </c>
      <c r="J354" s="181">
        <f>VLOOKUP($A354&amp;$B354,'KU Inputs'!$C$2:$J$530,MATCH('KU UtilityData'!J$1,'KU Inputs'!$C$1:$J$1,0),0)*1000</f>
        <v>1991102</v>
      </c>
      <c r="K354" s="231">
        <v>476117.97</v>
      </c>
      <c r="L354" s="181">
        <f>VLOOKUP($A354&amp;$B354,'KU Inputs'!$C$2:$J$530,MATCH('KU UtilityData'!L$1,'KU Inputs'!$C$1:$J$1,0),0)</f>
        <v>202357.96400000001</v>
      </c>
      <c r="M354" s="181">
        <f>VLOOKUP($A354&amp;$B354,'KU Inputs'!$C$2:$J$530,MATCH('KU UtilityData'!M$1,'KU Inputs'!$C$1:$J$1,0),0)</f>
        <v>205741.98846032468</v>
      </c>
      <c r="N354" s="246">
        <f t="shared" si="22"/>
        <v>189.125</v>
      </c>
      <c r="O354" s="246">
        <f t="shared" si="22"/>
        <v>46.06</v>
      </c>
      <c r="P354" s="159">
        <v>4512</v>
      </c>
      <c r="Q354" s="159">
        <v>1455</v>
      </c>
      <c r="R354" s="271">
        <f t="shared" si="20"/>
        <v>0.4008281075017851</v>
      </c>
    </row>
    <row r="355" spans="1:18" x14ac:dyDescent="0.2">
      <c r="A355" s="147">
        <v>2030</v>
      </c>
      <c r="B355" s="147">
        <v>6</v>
      </c>
      <c r="D355" s="258" t="e">
        <f t="shared" si="19"/>
        <v>#REF!</v>
      </c>
      <c r="E355" s="257" t="e">
        <f t="shared" si="21"/>
        <v>#REF!</v>
      </c>
      <c r="F355" s="166">
        <v>30.67</v>
      </c>
      <c r="G355" s="148">
        <v>4138.3257294758077</v>
      </c>
      <c r="H355" s="181">
        <f>VLOOKUP($A355&amp;$B355,'KU Inputs'!$C$2:$J$530,MATCH('KU UtilityData'!H$1,'KU Inputs'!$C$1:$J$1,0),0)*1000</f>
        <v>4791089</v>
      </c>
      <c r="I355" s="181">
        <f>VLOOKUP($A355&amp;$B355,'KU Inputs'!$C$2:$J$530,MATCH('KU UtilityData'!I$1,'KU Inputs'!$C$1:$J$1,0),0)*1000</f>
        <v>4967471</v>
      </c>
      <c r="J355" s="181">
        <f>VLOOKUP($A355&amp;$B355,'KU Inputs'!$C$2:$J$530,MATCH('KU UtilityData'!J$1,'KU Inputs'!$C$1:$J$1,0),0)*1000</f>
        <v>1991102</v>
      </c>
      <c r="K355" s="231">
        <v>476117.97</v>
      </c>
      <c r="L355" s="181">
        <f>VLOOKUP($A355&amp;$B355,'KU Inputs'!$C$2:$J$530,MATCH('KU UtilityData'!L$1,'KU Inputs'!$C$1:$J$1,0),0)</f>
        <v>202357.96400000001</v>
      </c>
      <c r="M355" s="181">
        <f>VLOOKUP($A355&amp;$B355,'KU Inputs'!$C$2:$J$530,MATCH('KU UtilityData'!M$1,'KU Inputs'!$C$1:$J$1,0),0)</f>
        <v>205741.98846032468</v>
      </c>
      <c r="N355" s="246">
        <f t="shared" si="22"/>
        <v>50.362499999999997</v>
      </c>
      <c r="O355" s="246">
        <f t="shared" si="22"/>
        <v>166.4075</v>
      </c>
      <c r="P355" s="159">
        <v>4512</v>
      </c>
      <c r="Q355" s="159">
        <v>1455</v>
      </c>
      <c r="R355" s="271">
        <f t="shared" si="20"/>
        <v>0.4008281075017851</v>
      </c>
    </row>
    <row r="356" spans="1:18" x14ac:dyDescent="0.2">
      <c r="A356" s="147">
        <v>2030</v>
      </c>
      <c r="B356" s="147">
        <v>7</v>
      </c>
      <c r="D356" s="258" t="e">
        <f t="shared" si="19"/>
        <v>#REF!</v>
      </c>
      <c r="E356" s="257" t="e">
        <f t="shared" si="21"/>
        <v>#REF!</v>
      </c>
      <c r="F356" s="166">
        <v>30.67</v>
      </c>
      <c r="G356" s="148">
        <v>4140.2453982959978</v>
      </c>
      <c r="H356" s="181">
        <f>VLOOKUP($A356&amp;$B356,'KU Inputs'!$C$2:$J$530,MATCH('KU UtilityData'!H$1,'KU Inputs'!$C$1:$J$1,0),0)*1000</f>
        <v>4795776</v>
      </c>
      <c r="I356" s="181">
        <f>VLOOKUP($A356&amp;$B356,'KU Inputs'!$C$2:$J$530,MATCH('KU UtilityData'!I$1,'KU Inputs'!$C$1:$J$1,0),0)*1000</f>
        <v>4974784</v>
      </c>
      <c r="J356" s="181">
        <f>VLOOKUP($A356&amp;$B356,'KU Inputs'!$C$2:$J$530,MATCH('KU UtilityData'!J$1,'KU Inputs'!$C$1:$J$1,0),0)*1000</f>
        <v>1994064</v>
      </c>
      <c r="K356" s="231">
        <v>476887.27</v>
      </c>
      <c r="L356" s="181">
        <f>VLOOKUP($A356&amp;$B356,'KU Inputs'!$C$2:$J$530,MATCH('KU UtilityData'!L$1,'KU Inputs'!$C$1:$J$1,0),0)</f>
        <v>203321.337</v>
      </c>
      <c r="M356" s="181">
        <f>VLOOKUP($A356&amp;$B356,'KU Inputs'!$C$2:$J$530,MATCH('KU UtilityData'!M$1,'KU Inputs'!$C$1:$J$1,0),0)</f>
        <v>206672.53609009832</v>
      </c>
      <c r="N356" s="246">
        <f t="shared" si="22"/>
        <v>1.625</v>
      </c>
      <c r="O356" s="246">
        <f t="shared" si="22"/>
        <v>326.005</v>
      </c>
      <c r="P356" s="159">
        <v>4512</v>
      </c>
      <c r="Q356" s="159">
        <v>1455</v>
      </c>
      <c r="R356" s="271">
        <f t="shared" si="20"/>
        <v>0.40083428747861216</v>
      </c>
    </row>
    <row r="357" spans="1:18" x14ac:dyDescent="0.2">
      <c r="A357" s="147">
        <v>2030</v>
      </c>
      <c r="B357" s="147">
        <v>8</v>
      </c>
      <c r="D357" s="258" t="e">
        <f t="shared" si="19"/>
        <v>#REF!</v>
      </c>
      <c r="E357" s="257" t="e">
        <f t="shared" si="21"/>
        <v>#REF!</v>
      </c>
      <c r="F357" s="166">
        <v>29.48</v>
      </c>
      <c r="G357" s="148">
        <v>4142.1650671161879</v>
      </c>
      <c r="H357" s="181">
        <f>VLOOKUP($A357&amp;$B357,'KU Inputs'!$C$2:$J$530,MATCH('KU UtilityData'!H$1,'KU Inputs'!$C$1:$J$1,0),0)*1000</f>
        <v>4795776</v>
      </c>
      <c r="I357" s="181">
        <f>VLOOKUP($A357&amp;$B357,'KU Inputs'!$C$2:$J$530,MATCH('KU UtilityData'!I$1,'KU Inputs'!$C$1:$J$1,0),0)*1000</f>
        <v>4974784</v>
      </c>
      <c r="J357" s="181">
        <f>VLOOKUP($A357&amp;$B357,'KU Inputs'!$C$2:$J$530,MATCH('KU UtilityData'!J$1,'KU Inputs'!$C$1:$J$1,0),0)*1000</f>
        <v>1994064</v>
      </c>
      <c r="K357" s="231">
        <v>476887.27</v>
      </c>
      <c r="L357" s="181">
        <f>VLOOKUP($A357&amp;$B357,'KU Inputs'!$C$2:$J$530,MATCH('KU UtilityData'!L$1,'KU Inputs'!$C$1:$J$1,0),0)</f>
        <v>203321.337</v>
      </c>
      <c r="M357" s="181">
        <f>VLOOKUP($A357&amp;$B357,'KU Inputs'!$C$2:$J$530,MATCH('KU UtilityData'!M$1,'KU Inputs'!$C$1:$J$1,0),0)</f>
        <v>206672.53609009832</v>
      </c>
      <c r="N357" s="246">
        <f t="shared" si="22"/>
        <v>0.75</v>
      </c>
      <c r="O357" s="246">
        <f t="shared" si="22"/>
        <v>348.8175</v>
      </c>
      <c r="P357" s="159">
        <v>4512</v>
      </c>
      <c r="Q357" s="159">
        <v>1455</v>
      </c>
      <c r="R357" s="271">
        <f t="shared" si="20"/>
        <v>0.40083428747861216</v>
      </c>
    </row>
    <row r="358" spans="1:18" x14ac:dyDescent="0.2">
      <c r="A358" s="147">
        <v>2030</v>
      </c>
      <c r="B358" s="147">
        <v>9</v>
      </c>
      <c r="D358" s="258" t="e">
        <f t="shared" si="19"/>
        <v>#REF!</v>
      </c>
      <c r="E358" s="257" t="e">
        <f t="shared" si="21"/>
        <v>#REF!</v>
      </c>
      <c r="F358" s="166">
        <v>30.71</v>
      </c>
      <c r="G358" s="148">
        <v>4144.0847359363779</v>
      </c>
      <c r="H358" s="181">
        <f>VLOOKUP($A358&amp;$B358,'KU Inputs'!$C$2:$J$530,MATCH('KU UtilityData'!H$1,'KU Inputs'!$C$1:$J$1,0),0)*1000</f>
        <v>4795776</v>
      </c>
      <c r="I358" s="181">
        <f>VLOOKUP($A358&amp;$B358,'KU Inputs'!$C$2:$J$530,MATCH('KU UtilityData'!I$1,'KU Inputs'!$C$1:$J$1,0),0)*1000</f>
        <v>4974784</v>
      </c>
      <c r="J358" s="181">
        <f>VLOOKUP($A358&amp;$B358,'KU Inputs'!$C$2:$J$530,MATCH('KU UtilityData'!J$1,'KU Inputs'!$C$1:$J$1,0),0)*1000</f>
        <v>1994064</v>
      </c>
      <c r="K358" s="231">
        <v>476887.27</v>
      </c>
      <c r="L358" s="181">
        <f>VLOOKUP($A358&amp;$B358,'KU Inputs'!$C$2:$J$530,MATCH('KU UtilityData'!L$1,'KU Inputs'!$C$1:$J$1,0),0)</f>
        <v>203321.337</v>
      </c>
      <c r="M358" s="181">
        <f>VLOOKUP($A358&amp;$B358,'KU Inputs'!$C$2:$J$530,MATCH('KU UtilityData'!M$1,'KU Inputs'!$C$1:$J$1,0),0)</f>
        <v>206672.53609009832</v>
      </c>
      <c r="N358" s="246">
        <f t="shared" ref="N358:O377" si="23">N346</f>
        <v>11.752500000000001</v>
      </c>
      <c r="O358" s="246">
        <f t="shared" si="23"/>
        <v>258.88</v>
      </c>
      <c r="P358" s="159">
        <v>4512</v>
      </c>
      <c r="Q358" s="159">
        <v>1455</v>
      </c>
      <c r="R358" s="271">
        <f t="shared" si="20"/>
        <v>0.40083428747861216</v>
      </c>
    </row>
    <row r="359" spans="1:18" x14ac:dyDescent="0.2">
      <c r="A359" s="147">
        <v>2030</v>
      </c>
      <c r="B359" s="147">
        <v>10</v>
      </c>
      <c r="D359" s="258" t="e">
        <f t="shared" si="19"/>
        <v>#REF!</v>
      </c>
      <c r="E359" s="257" t="e">
        <f t="shared" si="21"/>
        <v>#REF!</v>
      </c>
      <c r="F359" s="166">
        <v>29.52</v>
      </c>
      <c r="G359" s="148">
        <v>4146.004404756568</v>
      </c>
      <c r="H359" s="181">
        <f>VLOOKUP($A359&amp;$B359,'KU Inputs'!$C$2:$J$530,MATCH('KU UtilityData'!H$1,'KU Inputs'!$C$1:$J$1,0),0)*1000</f>
        <v>4800416</v>
      </c>
      <c r="I359" s="181">
        <f>VLOOKUP($A359&amp;$B359,'KU Inputs'!$C$2:$J$530,MATCH('KU UtilityData'!I$1,'KU Inputs'!$C$1:$J$1,0),0)*1000</f>
        <v>4982053</v>
      </c>
      <c r="J359" s="181">
        <f>VLOOKUP($A359&amp;$B359,'KU Inputs'!$C$2:$J$530,MATCH('KU UtilityData'!J$1,'KU Inputs'!$C$1:$J$1,0),0)*1000</f>
        <v>1997139</v>
      </c>
      <c r="K359" s="231">
        <v>477647.61</v>
      </c>
      <c r="L359" s="181">
        <f>VLOOKUP($A359&amp;$B359,'KU Inputs'!$C$2:$J$530,MATCH('KU UtilityData'!L$1,'KU Inputs'!$C$1:$J$1,0),0)</f>
        <v>204205.139</v>
      </c>
      <c r="M359" s="181">
        <f>VLOOKUP($A359&amp;$B359,'KU Inputs'!$C$2:$J$530,MATCH('KU UtilityData'!M$1,'KU Inputs'!$C$1:$J$1,0),0)</f>
        <v>207462.50934658892</v>
      </c>
      <c r="N359" s="246">
        <f t="shared" si="23"/>
        <v>134.87</v>
      </c>
      <c r="O359" s="246">
        <f t="shared" si="23"/>
        <v>71.42</v>
      </c>
      <c r="P359" s="159">
        <v>4512</v>
      </c>
      <c r="Q359" s="159">
        <v>1455</v>
      </c>
      <c r="R359" s="271">
        <f t="shared" si="20"/>
        <v>0.40086667082827099</v>
      </c>
    </row>
    <row r="360" spans="1:18" x14ac:dyDescent="0.2">
      <c r="A360" s="147">
        <v>2030</v>
      </c>
      <c r="B360" s="147">
        <v>11</v>
      </c>
      <c r="D360" s="258" t="e">
        <f t="shared" si="19"/>
        <v>#REF!</v>
      </c>
      <c r="E360" s="257" t="e">
        <f t="shared" si="21"/>
        <v>#REF!</v>
      </c>
      <c r="F360" s="166">
        <v>29.38</v>
      </c>
      <c r="G360" s="148">
        <v>4147.9240735767589</v>
      </c>
      <c r="H360" s="181">
        <f>VLOOKUP($A360&amp;$B360,'KU Inputs'!$C$2:$J$530,MATCH('KU UtilityData'!H$1,'KU Inputs'!$C$1:$J$1,0),0)*1000</f>
        <v>4800416</v>
      </c>
      <c r="I360" s="181">
        <f>VLOOKUP($A360&amp;$B360,'KU Inputs'!$C$2:$J$530,MATCH('KU UtilityData'!I$1,'KU Inputs'!$C$1:$J$1,0),0)*1000</f>
        <v>4982053</v>
      </c>
      <c r="J360" s="181">
        <f>VLOOKUP($A360&amp;$B360,'KU Inputs'!$C$2:$J$530,MATCH('KU UtilityData'!J$1,'KU Inputs'!$C$1:$J$1,0),0)*1000</f>
        <v>1997139</v>
      </c>
      <c r="K360" s="231">
        <v>477647.61</v>
      </c>
      <c r="L360" s="181">
        <f>VLOOKUP($A360&amp;$B360,'KU Inputs'!$C$2:$J$530,MATCH('KU UtilityData'!L$1,'KU Inputs'!$C$1:$J$1,0),0)</f>
        <v>204205.139</v>
      </c>
      <c r="M360" s="181">
        <f>VLOOKUP($A360&amp;$B360,'KU Inputs'!$C$2:$J$530,MATCH('KU UtilityData'!M$1,'KU Inputs'!$C$1:$J$1,0),0)</f>
        <v>207462.50934658892</v>
      </c>
      <c r="N360" s="246">
        <f t="shared" si="23"/>
        <v>396.30250000000001</v>
      </c>
      <c r="O360" s="246">
        <f t="shared" si="23"/>
        <v>6.6950000000000003</v>
      </c>
      <c r="P360" s="159">
        <v>4512</v>
      </c>
      <c r="Q360" s="159">
        <v>1455</v>
      </c>
      <c r="R360" s="271">
        <f t="shared" si="20"/>
        <v>0.40086667082827099</v>
      </c>
    </row>
    <row r="361" spans="1:18" x14ac:dyDescent="0.2">
      <c r="A361" s="147">
        <v>2030</v>
      </c>
      <c r="B361" s="147">
        <v>12</v>
      </c>
      <c r="D361" s="258" t="e">
        <f t="shared" si="19"/>
        <v>#REF!</v>
      </c>
      <c r="E361" s="257" t="e">
        <f t="shared" si="21"/>
        <v>#REF!</v>
      </c>
      <c r="F361" s="166">
        <v>32.049999999999997</v>
      </c>
      <c r="G361" s="148">
        <v>4149.843742396949</v>
      </c>
      <c r="H361" s="181">
        <f>VLOOKUP($A361&amp;$B361,'KU Inputs'!$C$2:$J$530,MATCH('KU UtilityData'!H$1,'KU Inputs'!$C$1:$J$1,0),0)*1000</f>
        <v>4800416</v>
      </c>
      <c r="I361" s="181">
        <f>VLOOKUP($A361&amp;$B361,'KU Inputs'!$C$2:$J$530,MATCH('KU UtilityData'!I$1,'KU Inputs'!$C$1:$J$1,0),0)*1000</f>
        <v>4982053</v>
      </c>
      <c r="J361" s="181">
        <f>VLOOKUP($A361&amp;$B361,'KU Inputs'!$C$2:$J$530,MATCH('KU UtilityData'!J$1,'KU Inputs'!$C$1:$J$1,0),0)*1000</f>
        <v>1997139</v>
      </c>
      <c r="K361" s="231">
        <v>477647.61</v>
      </c>
      <c r="L361" s="181">
        <f>VLOOKUP($A361&amp;$B361,'KU Inputs'!$C$2:$J$530,MATCH('KU UtilityData'!L$1,'KU Inputs'!$C$1:$J$1,0),0)</f>
        <v>204205.139</v>
      </c>
      <c r="M361" s="181">
        <f>VLOOKUP($A361&amp;$B361,'KU Inputs'!$C$2:$J$530,MATCH('KU UtilityData'!M$1,'KU Inputs'!$C$1:$J$1,0),0)</f>
        <v>207462.50934658892</v>
      </c>
      <c r="N361" s="246">
        <f t="shared" si="23"/>
        <v>714.28500000000008</v>
      </c>
      <c r="O361" s="246">
        <f t="shared" si="23"/>
        <v>0.25</v>
      </c>
      <c r="P361" s="159">
        <v>4512</v>
      </c>
      <c r="Q361" s="159">
        <v>1455</v>
      </c>
      <c r="R361" s="271">
        <f t="shared" si="20"/>
        <v>0.40086667082827099</v>
      </c>
    </row>
    <row r="362" spans="1:18" x14ac:dyDescent="0.2">
      <c r="A362" s="147">
        <v>2031</v>
      </c>
      <c r="B362" s="147">
        <v>1</v>
      </c>
      <c r="D362" s="258" t="e">
        <f t="shared" si="19"/>
        <v>#REF!</v>
      </c>
      <c r="E362" s="257" t="e">
        <f t="shared" si="21"/>
        <v>#REF!</v>
      </c>
      <c r="F362" s="166">
        <v>32.33</v>
      </c>
      <c r="G362" s="148">
        <v>4151.763411217139</v>
      </c>
      <c r="H362" s="181">
        <f>VLOOKUP($A362&amp;$B362,'KU Inputs'!$C$2:$J$530,MATCH('KU UtilityData'!H$1,'KU Inputs'!$C$1:$J$1,0),0)*1000</f>
        <v>4805021</v>
      </c>
      <c r="I362" s="181">
        <f>VLOOKUP($A362&amp;$B362,'KU Inputs'!$C$2:$J$530,MATCH('KU UtilityData'!I$1,'KU Inputs'!$C$1:$J$1,0),0)*1000</f>
        <v>4989290</v>
      </c>
      <c r="J362" s="181">
        <f>VLOOKUP($A362&amp;$B362,'KU Inputs'!$C$2:$J$530,MATCH('KU UtilityData'!J$1,'KU Inputs'!$C$1:$J$1,0),0)*1000</f>
        <v>2000124</v>
      </c>
      <c r="K362" s="231">
        <v>478398.55</v>
      </c>
      <c r="L362" s="181">
        <f>VLOOKUP($A362&amp;$B362,'KU Inputs'!$C$2:$J$530,MATCH('KU UtilityData'!L$1,'KU Inputs'!$C$1:$J$1,0),0)</f>
        <v>205835.74900000001</v>
      </c>
      <c r="M362" s="181">
        <f>VLOOKUP($A362&amp;$B362,'KU Inputs'!$C$2:$J$530,MATCH('KU UtilityData'!M$1,'KU Inputs'!$C$1:$J$1,0),0)</f>
        <v>209009.6160817015</v>
      </c>
      <c r="N362" s="246">
        <f t="shared" si="23"/>
        <v>991.4375</v>
      </c>
      <c r="O362" s="246">
        <f t="shared" si="23"/>
        <v>0</v>
      </c>
      <c r="P362" s="159">
        <v>4512</v>
      </c>
      <c r="Q362" s="159">
        <v>1455</v>
      </c>
      <c r="R362" s="271">
        <f t="shared" si="20"/>
        <v>0.40088349244080823</v>
      </c>
    </row>
    <row r="363" spans="1:18" x14ac:dyDescent="0.2">
      <c r="A363" s="147">
        <v>2031</v>
      </c>
      <c r="B363" s="147">
        <v>2</v>
      </c>
      <c r="D363" s="258" t="e">
        <f t="shared" si="19"/>
        <v>#REF!</v>
      </c>
      <c r="E363" s="257" t="e">
        <f t="shared" si="21"/>
        <v>#REF!</v>
      </c>
      <c r="F363" s="166">
        <v>30.05</v>
      </c>
      <c r="G363" s="148">
        <v>4153.6830800373291</v>
      </c>
      <c r="H363" s="181">
        <f>VLOOKUP($A363&amp;$B363,'KU Inputs'!$C$2:$J$530,MATCH('KU UtilityData'!H$1,'KU Inputs'!$C$1:$J$1,0),0)*1000</f>
        <v>4805021</v>
      </c>
      <c r="I363" s="181">
        <f>VLOOKUP($A363&amp;$B363,'KU Inputs'!$C$2:$J$530,MATCH('KU UtilityData'!I$1,'KU Inputs'!$C$1:$J$1,0),0)*1000</f>
        <v>4989290</v>
      </c>
      <c r="J363" s="181">
        <f>VLOOKUP($A363&amp;$B363,'KU Inputs'!$C$2:$J$530,MATCH('KU UtilityData'!J$1,'KU Inputs'!$C$1:$J$1,0),0)*1000</f>
        <v>2000124</v>
      </c>
      <c r="K363" s="231">
        <v>478398.55</v>
      </c>
      <c r="L363" s="181">
        <f>VLOOKUP($A363&amp;$B363,'KU Inputs'!$C$2:$J$530,MATCH('KU UtilityData'!L$1,'KU Inputs'!$C$1:$J$1,0),0)</f>
        <v>205835.74900000001</v>
      </c>
      <c r="M363" s="181">
        <f>VLOOKUP($A363&amp;$B363,'KU Inputs'!$C$2:$J$530,MATCH('KU UtilityData'!M$1,'KU Inputs'!$C$1:$J$1,0),0)</f>
        <v>209009.6160817015</v>
      </c>
      <c r="N363" s="246">
        <f t="shared" si="23"/>
        <v>890.05499999999995</v>
      </c>
      <c r="O363" s="246">
        <f t="shared" si="23"/>
        <v>0</v>
      </c>
      <c r="P363" s="159">
        <v>4512</v>
      </c>
      <c r="Q363" s="159">
        <v>1455</v>
      </c>
      <c r="R363" s="271">
        <f t="shared" si="20"/>
        <v>0.40088349244080823</v>
      </c>
    </row>
    <row r="364" spans="1:18" x14ac:dyDescent="0.2">
      <c r="A364" s="147">
        <v>2031</v>
      </c>
      <c r="B364" s="147">
        <v>3</v>
      </c>
      <c r="D364" s="258" t="e">
        <f t="shared" si="19"/>
        <v>#REF!</v>
      </c>
      <c r="E364" s="257" t="e">
        <f t="shared" si="21"/>
        <v>#REF!</v>
      </c>
      <c r="F364" s="166">
        <v>30.19</v>
      </c>
      <c r="G364" s="148">
        <v>4155.6027488575191</v>
      </c>
      <c r="H364" s="181">
        <f>VLOOKUP($A364&amp;$B364,'KU Inputs'!$C$2:$J$530,MATCH('KU UtilityData'!H$1,'KU Inputs'!$C$1:$J$1,0),0)*1000</f>
        <v>4805021</v>
      </c>
      <c r="I364" s="181">
        <f>VLOOKUP($A364&amp;$B364,'KU Inputs'!$C$2:$J$530,MATCH('KU UtilityData'!I$1,'KU Inputs'!$C$1:$J$1,0),0)*1000</f>
        <v>4989290</v>
      </c>
      <c r="J364" s="181">
        <f>VLOOKUP($A364&amp;$B364,'KU Inputs'!$C$2:$J$530,MATCH('KU UtilityData'!J$1,'KU Inputs'!$C$1:$J$1,0),0)*1000</f>
        <v>2000124</v>
      </c>
      <c r="K364" s="231">
        <v>478398.55</v>
      </c>
      <c r="L364" s="181">
        <f>VLOOKUP($A364&amp;$B364,'KU Inputs'!$C$2:$J$530,MATCH('KU UtilityData'!L$1,'KU Inputs'!$C$1:$J$1,0),0)</f>
        <v>205835.74900000001</v>
      </c>
      <c r="M364" s="181">
        <f>VLOOKUP($A364&amp;$B364,'KU Inputs'!$C$2:$J$530,MATCH('KU UtilityData'!M$1,'KU Inputs'!$C$1:$J$1,0),0)</f>
        <v>209009.6160817015</v>
      </c>
      <c r="N364" s="246">
        <f t="shared" si="23"/>
        <v>724.63750000000005</v>
      </c>
      <c r="O364" s="246">
        <f t="shared" si="23"/>
        <v>0.92249999999999999</v>
      </c>
      <c r="P364" s="159">
        <v>4512</v>
      </c>
      <c r="Q364" s="159">
        <v>1455</v>
      </c>
      <c r="R364" s="271">
        <f t="shared" si="20"/>
        <v>0.40088349244080823</v>
      </c>
    </row>
    <row r="365" spans="1:18" x14ac:dyDescent="0.2">
      <c r="A365" s="147">
        <v>2031</v>
      </c>
      <c r="B365" s="147">
        <v>4</v>
      </c>
      <c r="D365" s="258" t="e">
        <f t="shared" si="19"/>
        <v>#REF!</v>
      </c>
      <c r="E365" s="257" t="e">
        <f t="shared" si="21"/>
        <v>#REF!</v>
      </c>
      <c r="F365" s="166">
        <v>30.33</v>
      </c>
      <c r="G365" s="148">
        <v>4157.5224176777101</v>
      </c>
      <c r="H365" s="181">
        <f>VLOOKUP($A365&amp;$B365,'KU Inputs'!$C$2:$J$530,MATCH('KU UtilityData'!H$1,'KU Inputs'!$C$1:$J$1,0),0)*1000</f>
        <v>4809591</v>
      </c>
      <c r="I365" s="181">
        <f>VLOOKUP($A365&amp;$B365,'KU Inputs'!$C$2:$J$530,MATCH('KU UtilityData'!I$1,'KU Inputs'!$C$1:$J$1,0),0)*1000</f>
        <v>4996497</v>
      </c>
      <c r="J365" s="181">
        <f>VLOOKUP($A365&amp;$B365,'KU Inputs'!$C$2:$J$530,MATCH('KU UtilityData'!J$1,'KU Inputs'!$C$1:$J$1,0),0)*1000</f>
        <v>2002932</v>
      </c>
      <c r="K365" s="231">
        <v>479146.42</v>
      </c>
      <c r="L365" s="181">
        <f>VLOOKUP($A365&amp;$B365,'KU Inputs'!$C$2:$J$530,MATCH('KU UtilityData'!L$1,'KU Inputs'!$C$1:$J$1,0),0)</f>
        <v>206821.26699999999</v>
      </c>
      <c r="M365" s="181">
        <f>VLOOKUP($A365&amp;$B365,'KU Inputs'!$C$2:$J$530,MATCH('KU UtilityData'!M$1,'KU Inputs'!$C$1:$J$1,0),0)</f>
        <v>209936.64567950155</v>
      </c>
      <c r="N365" s="246">
        <f t="shared" si="23"/>
        <v>433.4375</v>
      </c>
      <c r="O365" s="246">
        <f t="shared" si="23"/>
        <v>13.477500000000001</v>
      </c>
      <c r="P365" s="159">
        <v>4512</v>
      </c>
      <c r="Q365" s="159">
        <v>1455</v>
      </c>
      <c r="R365" s="271">
        <f t="shared" si="20"/>
        <v>0.4008672475936641</v>
      </c>
    </row>
    <row r="366" spans="1:18" x14ac:dyDescent="0.2">
      <c r="A366" s="147">
        <v>2031</v>
      </c>
      <c r="B366" s="147">
        <v>5</v>
      </c>
      <c r="D366" s="258" t="e">
        <f t="shared" si="19"/>
        <v>#REF!</v>
      </c>
      <c r="E366" s="257" t="e">
        <f t="shared" si="21"/>
        <v>#REF!</v>
      </c>
      <c r="F366" s="166">
        <v>30.14</v>
      </c>
      <c r="G366" s="148">
        <v>4159.4420864979002</v>
      </c>
      <c r="H366" s="181">
        <f>VLOOKUP($A366&amp;$B366,'KU Inputs'!$C$2:$J$530,MATCH('KU UtilityData'!H$1,'KU Inputs'!$C$1:$J$1,0),0)*1000</f>
        <v>4809591</v>
      </c>
      <c r="I366" s="181">
        <f>VLOOKUP($A366&amp;$B366,'KU Inputs'!$C$2:$J$530,MATCH('KU UtilityData'!I$1,'KU Inputs'!$C$1:$J$1,0),0)*1000</f>
        <v>4996497</v>
      </c>
      <c r="J366" s="181">
        <f>VLOOKUP($A366&amp;$B366,'KU Inputs'!$C$2:$J$530,MATCH('KU UtilityData'!J$1,'KU Inputs'!$C$1:$J$1,0),0)*1000</f>
        <v>2002932</v>
      </c>
      <c r="K366" s="231">
        <v>479146.42</v>
      </c>
      <c r="L366" s="181">
        <f>VLOOKUP($A366&amp;$B366,'KU Inputs'!$C$2:$J$530,MATCH('KU UtilityData'!L$1,'KU Inputs'!$C$1:$J$1,0),0)</f>
        <v>206821.26699999999</v>
      </c>
      <c r="M366" s="181">
        <f>VLOOKUP($A366&amp;$B366,'KU Inputs'!$C$2:$J$530,MATCH('KU UtilityData'!M$1,'KU Inputs'!$C$1:$J$1,0),0)</f>
        <v>209936.64567950155</v>
      </c>
      <c r="N366" s="246">
        <f t="shared" si="23"/>
        <v>189.125</v>
      </c>
      <c r="O366" s="246">
        <f t="shared" si="23"/>
        <v>46.06</v>
      </c>
      <c r="P366" s="159">
        <v>4512</v>
      </c>
      <c r="Q366" s="159">
        <v>1455</v>
      </c>
      <c r="R366" s="271">
        <f t="shared" si="20"/>
        <v>0.4008672475936641</v>
      </c>
    </row>
    <row r="367" spans="1:18" x14ac:dyDescent="0.2">
      <c r="A367" s="147">
        <v>2031</v>
      </c>
      <c r="B367" s="147">
        <v>6</v>
      </c>
      <c r="D367" s="258" t="e">
        <f t="shared" si="19"/>
        <v>#REF!</v>
      </c>
      <c r="E367" s="257" t="e">
        <f t="shared" si="21"/>
        <v>#REF!</v>
      </c>
      <c r="F367" s="166">
        <v>30.52</v>
      </c>
      <c r="G367" s="148">
        <v>4161.3617553180902</v>
      </c>
      <c r="H367" s="181">
        <f>VLOOKUP($A367&amp;$B367,'KU Inputs'!$C$2:$J$530,MATCH('KU UtilityData'!H$1,'KU Inputs'!$C$1:$J$1,0),0)*1000</f>
        <v>4809591</v>
      </c>
      <c r="I367" s="181">
        <f>VLOOKUP($A367&amp;$B367,'KU Inputs'!$C$2:$J$530,MATCH('KU UtilityData'!I$1,'KU Inputs'!$C$1:$J$1,0),0)*1000</f>
        <v>4996497</v>
      </c>
      <c r="J367" s="181">
        <f>VLOOKUP($A367&amp;$B367,'KU Inputs'!$C$2:$J$530,MATCH('KU UtilityData'!J$1,'KU Inputs'!$C$1:$J$1,0),0)*1000</f>
        <v>2002932</v>
      </c>
      <c r="K367" s="231">
        <v>479146.42</v>
      </c>
      <c r="L367" s="181">
        <f>VLOOKUP($A367&amp;$B367,'KU Inputs'!$C$2:$J$530,MATCH('KU UtilityData'!L$1,'KU Inputs'!$C$1:$J$1,0),0)</f>
        <v>206821.26699999999</v>
      </c>
      <c r="M367" s="181">
        <f>VLOOKUP($A367&amp;$B367,'KU Inputs'!$C$2:$J$530,MATCH('KU UtilityData'!M$1,'KU Inputs'!$C$1:$J$1,0),0)</f>
        <v>209936.64567950155</v>
      </c>
      <c r="N367" s="246">
        <f t="shared" si="23"/>
        <v>50.362499999999997</v>
      </c>
      <c r="O367" s="246">
        <f t="shared" si="23"/>
        <v>166.4075</v>
      </c>
      <c r="P367" s="159">
        <v>4512</v>
      </c>
      <c r="Q367" s="159">
        <v>1455</v>
      </c>
      <c r="R367" s="271">
        <f t="shared" si="20"/>
        <v>0.4008672475936641</v>
      </c>
    </row>
    <row r="368" spans="1:18" x14ac:dyDescent="0.2">
      <c r="A368" s="147">
        <v>2031</v>
      </c>
      <c r="B368" s="147">
        <v>7</v>
      </c>
      <c r="D368" s="258" t="e">
        <f t="shared" si="19"/>
        <v>#REF!</v>
      </c>
      <c r="E368" s="257" t="e">
        <f t="shared" si="21"/>
        <v>#REF!</v>
      </c>
      <c r="F368" s="166">
        <v>30.67</v>
      </c>
      <c r="G368" s="148">
        <v>4163.2369388444095</v>
      </c>
      <c r="H368" s="181">
        <f>VLOOKUP($A368&amp;$B368,'KU Inputs'!$C$2:$J$530,MATCH('KU UtilityData'!H$1,'KU Inputs'!$C$1:$J$1,0),0)*1000</f>
        <v>4814139</v>
      </c>
      <c r="I368" s="181">
        <f>VLOOKUP($A368&amp;$B368,'KU Inputs'!$C$2:$J$530,MATCH('KU UtilityData'!I$1,'KU Inputs'!$C$1:$J$1,0),0)*1000</f>
        <v>5003686</v>
      </c>
      <c r="J368" s="181">
        <f>VLOOKUP($A368&amp;$B368,'KU Inputs'!$C$2:$J$530,MATCH('KU UtilityData'!J$1,'KU Inputs'!$C$1:$J$1,0),0)*1000</f>
        <v>2005965</v>
      </c>
      <c r="K368" s="231">
        <v>479889.48</v>
      </c>
      <c r="L368" s="181">
        <f>VLOOKUP($A368&amp;$B368,'KU Inputs'!$C$2:$J$530,MATCH('KU UtilityData'!L$1,'KU Inputs'!$C$1:$J$1,0),0)</f>
        <v>207691.48499999999</v>
      </c>
      <c r="M368" s="181">
        <f>VLOOKUP($A368&amp;$B368,'KU Inputs'!$C$2:$J$530,MATCH('KU UtilityData'!M$1,'KU Inputs'!$C$1:$J$1,0),0)</f>
        <v>210749.84113046917</v>
      </c>
      <c r="N368" s="246">
        <f t="shared" si="23"/>
        <v>1.625</v>
      </c>
      <c r="O368" s="246">
        <f t="shared" si="23"/>
        <v>326.005</v>
      </c>
      <c r="P368" s="159">
        <v>4512</v>
      </c>
      <c r="Q368" s="159">
        <v>1455</v>
      </c>
      <c r="R368" s="271">
        <f t="shared" si="20"/>
        <v>0.40089745839367219</v>
      </c>
    </row>
    <row r="369" spans="1:18" x14ac:dyDescent="0.2">
      <c r="A369" s="147">
        <v>2031</v>
      </c>
      <c r="B369" s="147">
        <v>8</v>
      </c>
      <c r="D369" s="258" t="e">
        <f t="shared" si="19"/>
        <v>#REF!</v>
      </c>
      <c r="E369" s="257" t="e">
        <f t="shared" si="21"/>
        <v>#REF!</v>
      </c>
      <c r="F369" s="166">
        <v>29.48</v>
      </c>
      <c r="G369" s="148">
        <v>4165.1121223707296</v>
      </c>
      <c r="H369" s="181">
        <f>VLOOKUP($A369&amp;$B369,'KU Inputs'!$C$2:$J$530,MATCH('KU UtilityData'!H$1,'KU Inputs'!$C$1:$J$1,0),0)*1000</f>
        <v>4814139</v>
      </c>
      <c r="I369" s="181">
        <f>VLOOKUP($A369&amp;$B369,'KU Inputs'!$C$2:$J$530,MATCH('KU UtilityData'!I$1,'KU Inputs'!$C$1:$J$1,0),0)*1000</f>
        <v>5003686</v>
      </c>
      <c r="J369" s="181">
        <f>VLOOKUP($A369&amp;$B369,'KU Inputs'!$C$2:$J$530,MATCH('KU UtilityData'!J$1,'KU Inputs'!$C$1:$J$1,0),0)*1000</f>
        <v>2005965</v>
      </c>
      <c r="K369" s="231">
        <v>479889.48</v>
      </c>
      <c r="L369" s="181">
        <f>VLOOKUP($A369&amp;$B369,'KU Inputs'!$C$2:$J$530,MATCH('KU UtilityData'!L$1,'KU Inputs'!$C$1:$J$1,0),0)</f>
        <v>207691.48499999999</v>
      </c>
      <c r="M369" s="181">
        <f>VLOOKUP($A369&amp;$B369,'KU Inputs'!$C$2:$J$530,MATCH('KU UtilityData'!M$1,'KU Inputs'!$C$1:$J$1,0),0)</f>
        <v>210749.84113046917</v>
      </c>
      <c r="N369" s="246">
        <f t="shared" si="23"/>
        <v>0.75</v>
      </c>
      <c r="O369" s="246">
        <f t="shared" si="23"/>
        <v>348.8175</v>
      </c>
      <c r="P369" s="159">
        <v>4512</v>
      </c>
      <c r="Q369" s="159">
        <v>1455</v>
      </c>
      <c r="R369" s="271">
        <f t="shared" si="20"/>
        <v>0.40089745839367219</v>
      </c>
    </row>
    <row r="370" spans="1:18" x14ac:dyDescent="0.2">
      <c r="A370" s="147">
        <v>2031</v>
      </c>
      <c r="B370" s="147">
        <v>9</v>
      </c>
      <c r="D370" s="258" t="e">
        <f t="shared" si="19"/>
        <v>#REF!</v>
      </c>
      <c r="E370" s="257" t="e">
        <f t="shared" si="21"/>
        <v>#REF!</v>
      </c>
      <c r="F370" s="166">
        <v>30.86</v>
      </c>
      <c r="G370" s="148">
        <v>4166.9873058970497</v>
      </c>
      <c r="H370" s="181">
        <f>VLOOKUP($A370&amp;$B370,'KU Inputs'!$C$2:$J$530,MATCH('KU UtilityData'!H$1,'KU Inputs'!$C$1:$J$1,0),0)*1000</f>
        <v>4814139</v>
      </c>
      <c r="I370" s="181">
        <f>VLOOKUP($A370&amp;$B370,'KU Inputs'!$C$2:$J$530,MATCH('KU UtilityData'!I$1,'KU Inputs'!$C$1:$J$1,0),0)*1000</f>
        <v>5003686</v>
      </c>
      <c r="J370" s="181">
        <f>VLOOKUP($A370&amp;$B370,'KU Inputs'!$C$2:$J$530,MATCH('KU UtilityData'!J$1,'KU Inputs'!$C$1:$J$1,0),0)*1000</f>
        <v>2005965</v>
      </c>
      <c r="K370" s="231">
        <v>479889.48</v>
      </c>
      <c r="L370" s="181">
        <f>VLOOKUP($A370&amp;$B370,'KU Inputs'!$C$2:$J$530,MATCH('KU UtilityData'!L$1,'KU Inputs'!$C$1:$J$1,0),0)</f>
        <v>207691.48499999999</v>
      </c>
      <c r="M370" s="181">
        <f>VLOOKUP($A370&amp;$B370,'KU Inputs'!$C$2:$J$530,MATCH('KU UtilityData'!M$1,'KU Inputs'!$C$1:$J$1,0),0)</f>
        <v>210749.84113046917</v>
      </c>
      <c r="N370" s="246">
        <f t="shared" si="23"/>
        <v>11.752500000000001</v>
      </c>
      <c r="O370" s="246">
        <f t="shared" si="23"/>
        <v>258.88</v>
      </c>
      <c r="P370" s="159">
        <v>4512</v>
      </c>
      <c r="Q370" s="159">
        <v>1455</v>
      </c>
      <c r="R370" s="271">
        <f t="shared" si="20"/>
        <v>0.40089745839367219</v>
      </c>
    </row>
    <row r="371" spans="1:18" x14ac:dyDescent="0.2">
      <c r="A371" s="147">
        <v>2031</v>
      </c>
      <c r="B371" s="147">
        <v>10</v>
      </c>
      <c r="D371" s="258" t="e">
        <f t="shared" si="19"/>
        <v>#REF!</v>
      </c>
      <c r="E371" s="257" t="e">
        <f t="shared" si="21"/>
        <v>#REF!</v>
      </c>
      <c r="F371" s="166">
        <v>29.38</v>
      </c>
      <c r="G371" s="148">
        <v>4168.8624894233699</v>
      </c>
      <c r="H371" s="181">
        <f>VLOOKUP($A371&amp;$B371,'KU Inputs'!$C$2:$J$530,MATCH('KU UtilityData'!H$1,'KU Inputs'!$C$1:$J$1,0),0)*1000</f>
        <v>4818641</v>
      </c>
      <c r="I371" s="181">
        <f>VLOOKUP($A371&amp;$B371,'KU Inputs'!$C$2:$J$530,MATCH('KU UtilityData'!I$1,'KU Inputs'!$C$1:$J$1,0),0)*1000</f>
        <v>5010833</v>
      </c>
      <c r="J371" s="181">
        <f>VLOOKUP($A371&amp;$B371,'KU Inputs'!$C$2:$J$530,MATCH('KU UtilityData'!J$1,'KU Inputs'!$C$1:$J$1,0),0)*1000</f>
        <v>2008960</v>
      </c>
      <c r="K371" s="231">
        <v>480632.76</v>
      </c>
      <c r="L371" s="181">
        <f>VLOOKUP($A371&amp;$B371,'KU Inputs'!$C$2:$J$530,MATCH('KU UtilityData'!L$1,'KU Inputs'!$C$1:$J$1,0),0)</f>
        <v>208506.54</v>
      </c>
      <c r="M371" s="181">
        <f>VLOOKUP($A371&amp;$B371,'KU Inputs'!$C$2:$J$530,MATCH('KU UtilityData'!M$1,'KU Inputs'!$C$1:$J$1,0),0)</f>
        <v>211523.95326625914</v>
      </c>
      <c r="N371" s="246">
        <f t="shared" si="23"/>
        <v>134.87</v>
      </c>
      <c r="O371" s="246">
        <f t="shared" si="23"/>
        <v>71.42</v>
      </c>
      <c r="P371" s="159">
        <v>4512</v>
      </c>
      <c r="Q371" s="159">
        <v>1455</v>
      </c>
      <c r="R371" s="271">
        <f t="shared" si="20"/>
        <v>0.40092335944941687</v>
      </c>
    </row>
    <row r="372" spans="1:18" x14ac:dyDescent="0.2">
      <c r="A372" s="147">
        <v>2031</v>
      </c>
      <c r="B372" s="147">
        <v>11</v>
      </c>
      <c r="D372" s="258" t="e">
        <f t="shared" si="19"/>
        <v>#REF!</v>
      </c>
      <c r="E372" s="257" t="e">
        <f t="shared" si="21"/>
        <v>#REF!</v>
      </c>
      <c r="F372" s="166">
        <v>29.57</v>
      </c>
      <c r="G372" s="148">
        <v>4170.7376729496891</v>
      </c>
      <c r="H372" s="181">
        <f>VLOOKUP($A372&amp;$B372,'KU Inputs'!$C$2:$J$530,MATCH('KU UtilityData'!H$1,'KU Inputs'!$C$1:$J$1,0),0)*1000</f>
        <v>4818641</v>
      </c>
      <c r="I372" s="181">
        <f>VLOOKUP($A372&amp;$B372,'KU Inputs'!$C$2:$J$530,MATCH('KU UtilityData'!I$1,'KU Inputs'!$C$1:$J$1,0),0)*1000</f>
        <v>5010833</v>
      </c>
      <c r="J372" s="181">
        <f>VLOOKUP($A372&amp;$B372,'KU Inputs'!$C$2:$J$530,MATCH('KU UtilityData'!J$1,'KU Inputs'!$C$1:$J$1,0),0)*1000</f>
        <v>2008960</v>
      </c>
      <c r="K372" s="231">
        <v>480632.76</v>
      </c>
      <c r="L372" s="181">
        <f>VLOOKUP($A372&amp;$B372,'KU Inputs'!$C$2:$J$530,MATCH('KU UtilityData'!L$1,'KU Inputs'!$C$1:$J$1,0),0)</f>
        <v>208506.54</v>
      </c>
      <c r="M372" s="181">
        <f>VLOOKUP($A372&amp;$B372,'KU Inputs'!$C$2:$J$530,MATCH('KU UtilityData'!M$1,'KU Inputs'!$C$1:$J$1,0),0)</f>
        <v>211523.95326625914</v>
      </c>
      <c r="N372" s="246">
        <f t="shared" si="23"/>
        <v>396.30250000000001</v>
      </c>
      <c r="O372" s="246">
        <f t="shared" si="23"/>
        <v>6.6950000000000003</v>
      </c>
      <c r="P372" s="159">
        <v>4512</v>
      </c>
      <c r="Q372" s="159">
        <v>1455</v>
      </c>
      <c r="R372" s="271">
        <f t="shared" si="20"/>
        <v>0.40092335944941687</v>
      </c>
    </row>
    <row r="373" spans="1:18" x14ac:dyDescent="0.2">
      <c r="A373" s="147">
        <v>2031</v>
      </c>
      <c r="B373" s="147">
        <v>12</v>
      </c>
      <c r="D373" s="258" t="e">
        <f t="shared" si="19"/>
        <v>#REF!</v>
      </c>
      <c r="E373" s="257" t="e">
        <f t="shared" si="21"/>
        <v>#REF!</v>
      </c>
      <c r="F373" s="166">
        <v>31.81</v>
      </c>
      <c r="G373" s="148">
        <v>4172.6128564760093</v>
      </c>
      <c r="H373" s="181">
        <f>VLOOKUP($A373&amp;$B373,'KU Inputs'!$C$2:$J$530,MATCH('KU UtilityData'!H$1,'KU Inputs'!$C$1:$J$1,0),0)*1000</f>
        <v>4818641</v>
      </c>
      <c r="I373" s="181">
        <f>VLOOKUP($A373&amp;$B373,'KU Inputs'!$C$2:$J$530,MATCH('KU UtilityData'!I$1,'KU Inputs'!$C$1:$J$1,0),0)*1000</f>
        <v>5010833</v>
      </c>
      <c r="J373" s="181">
        <f>VLOOKUP($A373&amp;$B373,'KU Inputs'!$C$2:$J$530,MATCH('KU UtilityData'!J$1,'KU Inputs'!$C$1:$J$1,0),0)*1000</f>
        <v>2008960</v>
      </c>
      <c r="K373" s="231">
        <v>480632.76</v>
      </c>
      <c r="L373" s="181">
        <f>VLOOKUP($A373&amp;$B373,'KU Inputs'!$C$2:$J$530,MATCH('KU UtilityData'!L$1,'KU Inputs'!$C$1:$J$1,0),0)</f>
        <v>208506.54</v>
      </c>
      <c r="M373" s="181">
        <f>VLOOKUP($A373&amp;$B373,'KU Inputs'!$C$2:$J$530,MATCH('KU UtilityData'!M$1,'KU Inputs'!$C$1:$J$1,0),0)</f>
        <v>211523.95326625914</v>
      </c>
      <c r="N373" s="246">
        <f t="shared" si="23"/>
        <v>714.28500000000008</v>
      </c>
      <c r="O373" s="246">
        <f t="shared" si="23"/>
        <v>0.25</v>
      </c>
      <c r="P373" s="159">
        <v>4512</v>
      </c>
      <c r="Q373" s="159">
        <v>1455</v>
      </c>
      <c r="R373" s="271">
        <f t="shared" si="20"/>
        <v>0.40092335944941687</v>
      </c>
    </row>
    <row r="374" spans="1:18" x14ac:dyDescent="0.2">
      <c r="A374" s="147">
        <v>2032</v>
      </c>
      <c r="B374" s="147">
        <v>1</v>
      </c>
      <c r="D374" s="258" t="e">
        <f t="shared" si="19"/>
        <v>#REF!</v>
      </c>
      <c r="E374" s="257" t="e">
        <f t="shared" si="21"/>
        <v>#REF!</v>
      </c>
      <c r="F374" s="166">
        <v>32.380000000000003</v>
      </c>
      <c r="G374" s="148">
        <v>4174.4880400023294</v>
      </c>
      <c r="H374" s="181">
        <f>VLOOKUP($A374&amp;$B374,'KU Inputs'!$C$2:$J$530,MATCH('KU UtilityData'!H$1,'KU Inputs'!$C$1:$J$1,0),0)*1000</f>
        <v>4823109</v>
      </c>
      <c r="I374" s="181">
        <f>VLOOKUP($A374&amp;$B374,'KU Inputs'!$C$2:$J$530,MATCH('KU UtilityData'!I$1,'KU Inputs'!$C$1:$J$1,0),0)*1000</f>
        <v>5017950</v>
      </c>
      <c r="J374" s="181">
        <f>VLOOKUP($A374&amp;$B374,'KU Inputs'!$C$2:$J$530,MATCH('KU UtilityData'!J$1,'KU Inputs'!$C$1:$J$1,0),0)*1000</f>
        <v>2012056</v>
      </c>
      <c r="K374" s="231">
        <v>481372.11</v>
      </c>
      <c r="L374" s="181">
        <f>VLOOKUP($A374&amp;$B374,'KU Inputs'!$C$2:$J$530,MATCH('KU UtilityData'!L$1,'KU Inputs'!$C$1:$J$1,0),0)</f>
        <v>210181.51699999999</v>
      </c>
      <c r="M374" s="181">
        <f>VLOOKUP($A374&amp;$B374,'KU Inputs'!$C$2:$J$530,MATCH('KU UtilityData'!M$1,'KU Inputs'!$C$1:$J$1,0),0)</f>
        <v>213155.65241113378</v>
      </c>
      <c r="N374" s="246">
        <f t="shared" si="23"/>
        <v>991.4375</v>
      </c>
      <c r="O374" s="246">
        <f t="shared" si="23"/>
        <v>0</v>
      </c>
      <c r="P374" s="159">
        <v>4512</v>
      </c>
      <c r="Q374" s="159">
        <v>1455</v>
      </c>
      <c r="R374" s="271">
        <f t="shared" si="20"/>
        <v>0.4009717115555157</v>
      </c>
    </row>
    <row r="375" spans="1:18" x14ac:dyDescent="0.2">
      <c r="A375" s="147">
        <v>2032</v>
      </c>
      <c r="B375" s="147">
        <v>2</v>
      </c>
      <c r="D375" s="258" t="e">
        <f t="shared" si="19"/>
        <v>#REF!</v>
      </c>
      <c r="E375" s="257" t="e">
        <f t="shared" si="21"/>
        <v>#REF!</v>
      </c>
      <c r="F375" s="166">
        <v>30.19</v>
      </c>
      <c r="G375" s="148">
        <v>4176.3632235286495</v>
      </c>
      <c r="H375" s="181">
        <f>VLOOKUP($A375&amp;$B375,'KU Inputs'!$C$2:$J$530,MATCH('KU UtilityData'!H$1,'KU Inputs'!$C$1:$J$1,0),0)*1000</f>
        <v>4823109</v>
      </c>
      <c r="I375" s="181">
        <f>VLOOKUP($A375&amp;$B375,'KU Inputs'!$C$2:$J$530,MATCH('KU UtilityData'!I$1,'KU Inputs'!$C$1:$J$1,0),0)*1000</f>
        <v>5017950</v>
      </c>
      <c r="J375" s="181">
        <f>VLOOKUP($A375&amp;$B375,'KU Inputs'!$C$2:$J$530,MATCH('KU UtilityData'!J$1,'KU Inputs'!$C$1:$J$1,0),0)*1000</f>
        <v>2012056</v>
      </c>
      <c r="K375" s="231">
        <v>481372.11</v>
      </c>
      <c r="L375" s="181">
        <f>VLOOKUP($A375&amp;$B375,'KU Inputs'!$C$2:$J$530,MATCH('KU UtilityData'!L$1,'KU Inputs'!$C$1:$J$1,0),0)</f>
        <v>210181.51699999999</v>
      </c>
      <c r="M375" s="181">
        <f>VLOOKUP($A375&amp;$B375,'KU Inputs'!$C$2:$J$530,MATCH('KU UtilityData'!M$1,'KU Inputs'!$C$1:$J$1,0),0)</f>
        <v>213155.65241113378</v>
      </c>
      <c r="N375" s="246">
        <f t="shared" si="23"/>
        <v>890.05499999999995</v>
      </c>
      <c r="O375" s="246">
        <f t="shared" si="23"/>
        <v>0</v>
      </c>
      <c r="P375" s="159">
        <v>4512</v>
      </c>
      <c r="Q375" s="159">
        <v>1455</v>
      </c>
      <c r="R375" s="271">
        <f t="shared" si="20"/>
        <v>0.4009717115555157</v>
      </c>
    </row>
    <row r="376" spans="1:18" x14ac:dyDescent="0.2">
      <c r="A376" s="147">
        <v>2032</v>
      </c>
      <c r="B376" s="147">
        <v>3</v>
      </c>
      <c r="D376" s="258" t="e">
        <f t="shared" si="19"/>
        <v>#REF!</v>
      </c>
      <c r="E376" s="257" t="e">
        <f t="shared" si="21"/>
        <v>#REF!</v>
      </c>
      <c r="F376" s="166">
        <v>30.33</v>
      </c>
      <c r="G376" s="148">
        <v>4178.2384070549688</v>
      </c>
      <c r="H376" s="181">
        <f>VLOOKUP($A376&amp;$B376,'KU Inputs'!$C$2:$J$530,MATCH('KU UtilityData'!H$1,'KU Inputs'!$C$1:$J$1,0),0)*1000</f>
        <v>4823109</v>
      </c>
      <c r="I376" s="181">
        <f>VLOOKUP($A376&amp;$B376,'KU Inputs'!$C$2:$J$530,MATCH('KU UtilityData'!I$1,'KU Inputs'!$C$1:$J$1,0),0)*1000</f>
        <v>5017950</v>
      </c>
      <c r="J376" s="181">
        <f>VLOOKUP($A376&amp;$B376,'KU Inputs'!$C$2:$J$530,MATCH('KU UtilityData'!J$1,'KU Inputs'!$C$1:$J$1,0),0)*1000</f>
        <v>2012056</v>
      </c>
      <c r="K376" s="231">
        <v>481372.11</v>
      </c>
      <c r="L376" s="181">
        <f>VLOOKUP($A376&amp;$B376,'KU Inputs'!$C$2:$J$530,MATCH('KU UtilityData'!L$1,'KU Inputs'!$C$1:$J$1,0),0)</f>
        <v>210181.51699999999</v>
      </c>
      <c r="M376" s="181">
        <f>VLOOKUP($A376&amp;$B376,'KU Inputs'!$C$2:$J$530,MATCH('KU UtilityData'!M$1,'KU Inputs'!$C$1:$J$1,0),0)</f>
        <v>213155.65241113378</v>
      </c>
      <c r="N376" s="246">
        <f t="shared" si="23"/>
        <v>724.63750000000005</v>
      </c>
      <c r="O376" s="246">
        <f t="shared" si="23"/>
        <v>0.92249999999999999</v>
      </c>
      <c r="P376" s="159">
        <v>4512</v>
      </c>
      <c r="Q376" s="159">
        <v>1455</v>
      </c>
      <c r="R376" s="271">
        <f t="shared" si="20"/>
        <v>0.4009717115555157</v>
      </c>
    </row>
    <row r="377" spans="1:18" x14ac:dyDescent="0.2">
      <c r="A377" s="147">
        <v>2032</v>
      </c>
      <c r="B377" s="147">
        <v>4</v>
      </c>
      <c r="D377" s="258" t="e">
        <f t="shared" si="19"/>
        <v>#REF!</v>
      </c>
      <c r="E377" s="257" t="e">
        <f t="shared" si="21"/>
        <v>#REF!</v>
      </c>
      <c r="F377" s="166">
        <v>30.48</v>
      </c>
      <c r="G377" s="148">
        <v>4180.1135905812889</v>
      </c>
      <c r="H377" s="181">
        <f>VLOOKUP($A377&amp;$B377,'KU Inputs'!$C$2:$J$530,MATCH('KU UtilityData'!H$1,'KU Inputs'!$C$1:$J$1,0),0)*1000</f>
        <v>4827543</v>
      </c>
      <c r="I377" s="181">
        <f>VLOOKUP($A377&amp;$B377,'KU Inputs'!$C$2:$J$530,MATCH('KU UtilityData'!I$1,'KU Inputs'!$C$1:$J$1,0),0)*1000</f>
        <v>5025037</v>
      </c>
      <c r="J377" s="181">
        <f>VLOOKUP($A377&amp;$B377,'KU Inputs'!$C$2:$J$530,MATCH('KU UtilityData'!J$1,'KU Inputs'!$C$1:$J$1,0),0)*1000</f>
        <v>2014974</v>
      </c>
      <c r="K377" s="231">
        <v>482121.51</v>
      </c>
      <c r="L377" s="181">
        <f>VLOOKUP($A377&amp;$B377,'KU Inputs'!$C$2:$J$530,MATCH('KU UtilityData'!L$1,'KU Inputs'!$C$1:$J$1,0),0)</f>
        <v>211132.98300000001</v>
      </c>
      <c r="M377" s="181">
        <f>VLOOKUP($A377&amp;$B377,'KU Inputs'!$C$2:$J$530,MATCH('KU UtilityData'!M$1,'KU Inputs'!$C$1:$J$1,0),0)</f>
        <v>214086.18553219383</v>
      </c>
      <c r="N377" s="246">
        <f t="shared" si="23"/>
        <v>433.4375</v>
      </c>
      <c r="O377" s="246">
        <f t="shared" si="23"/>
        <v>13.477500000000001</v>
      </c>
      <c r="P377" s="159">
        <v>4512</v>
      </c>
      <c r="Q377" s="159">
        <v>1455</v>
      </c>
      <c r="R377" s="271">
        <f t="shared" si="20"/>
        <v>0.40098689820592365</v>
      </c>
    </row>
    <row r="378" spans="1:18" x14ac:dyDescent="0.2">
      <c r="A378" s="147">
        <v>2032</v>
      </c>
      <c r="B378" s="147">
        <v>5</v>
      </c>
      <c r="D378" s="258" t="e">
        <f t="shared" si="19"/>
        <v>#REF!</v>
      </c>
      <c r="E378" s="257" t="e">
        <f t="shared" si="21"/>
        <v>#REF!</v>
      </c>
      <c r="F378" s="166">
        <v>29.52</v>
      </c>
      <c r="G378" s="148">
        <v>4181.9887741076091</v>
      </c>
      <c r="H378" s="181">
        <f>VLOOKUP($A378&amp;$B378,'KU Inputs'!$C$2:$J$530,MATCH('KU UtilityData'!H$1,'KU Inputs'!$C$1:$J$1,0),0)*1000</f>
        <v>4827543</v>
      </c>
      <c r="I378" s="181">
        <f>VLOOKUP($A378&amp;$B378,'KU Inputs'!$C$2:$J$530,MATCH('KU UtilityData'!I$1,'KU Inputs'!$C$1:$J$1,0),0)*1000</f>
        <v>5025037</v>
      </c>
      <c r="J378" s="181">
        <f>VLOOKUP($A378&amp;$B378,'KU Inputs'!$C$2:$J$530,MATCH('KU UtilityData'!J$1,'KU Inputs'!$C$1:$J$1,0),0)*1000</f>
        <v>2014974</v>
      </c>
      <c r="K378" s="231">
        <v>482121.51</v>
      </c>
      <c r="L378" s="181">
        <f>VLOOKUP($A378&amp;$B378,'KU Inputs'!$C$2:$J$530,MATCH('KU UtilityData'!L$1,'KU Inputs'!$C$1:$J$1,0),0)</f>
        <v>211132.98300000001</v>
      </c>
      <c r="M378" s="181">
        <f>VLOOKUP($A378&amp;$B378,'KU Inputs'!$C$2:$J$530,MATCH('KU UtilityData'!M$1,'KU Inputs'!$C$1:$J$1,0),0)</f>
        <v>214086.18553219383</v>
      </c>
      <c r="N378" s="246">
        <f t="shared" ref="N378:O397" si="24">N366</f>
        <v>189.125</v>
      </c>
      <c r="O378" s="246">
        <f t="shared" si="24"/>
        <v>46.06</v>
      </c>
      <c r="P378" s="159">
        <v>4512</v>
      </c>
      <c r="Q378" s="159">
        <v>1455</v>
      </c>
      <c r="R378" s="271">
        <f t="shared" si="20"/>
        <v>0.40098689820592365</v>
      </c>
    </row>
    <row r="379" spans="1:18" x14ac:dyDescent="0.2">
      <c r="A379" s="147">
        <v>2032</v>
      </c>
      <c r="B379" s="147">
        <v>6</v>
      </c>
      <c r="D379" s="258" t="e">
        <f t="shared" si="19"/>
        <v>#REF!</v>
      </c>
      <c r="E379" s="257" t="e">
        <f t="shared" si="21"/>
        <v>#REF!</v>
      </c>
      <c r="F379" s="166">
        <v>30.71</v>
      </c>
      <c r="G379" s="148">
        <v>4183.8639576339301</v>
      </c>
      <c r="H379" s="181">
        <f>VLOOKUP($A379&amp;$B379,'KU Inputs'!$C$2:$J$530,MATCH('KU UtilityData'!H$1,'KU Inputs'!$C$1:$J$1,0),0)*1000</f>
        <v>4827543</v>
      </c>
      <c r="I379" s="181">
        <f>VLOOKUP($A379&amp;$B379,'KU Inputs'!$C$2:$J$530,MATCH('KU UtilityData'!I$1,'KU Inputs'!$C$1:$J$1,0),0)*1000</f>
        <v>5025037</v>
      </c>
      <c r="J379" s="181">
        <f>VLOOKUP($A379&amp;$B379,'KU Inputs'!$C$2:$J$530,MATCH('KU UtilityData'!J$1,'KU Inputs'!$C$1:$J$1,0),0)*1000</f>
        <v>2014974</v>
      </c>
      <c r="K379" s="231">
        <v>482121.51</v>
      </c>
      <c r="L379" s="181">
        <f>VLOOKUP($A379&amp;$B379,'KU Inputs'!$C$2:$J$530,MATCH('KU UtilityData'!L$1,'KU Inputs'!$C$1:$J$1,0),0)</f>
        <v>211132.98300000001</v>
      </c>
      <c r="M379" s="181">
        <f>VLOOKUP($A379&amp;$B379,'KU Inputs'!$C$2:$J$530,MATCH('KU UtilityData'!M$1,'KU Inputs'!$C$1:$J$1,0),0)</f>
        <v>214086.18553219383</v>
      </c>
      <c r="N379" s="246">
        <f t="shared" si="24"/>
        <v>50.362499999999997</v>
      </c>
      <c r="O379" s="246">
        <f t="shared" si="24"/>
        <v>166.4075</v>
      </c>
      <c r="P379" s="159">
        <v>4512</v>
      </c>
      <c r="Q379" s="159">
        <v>1455</v>
      </c>
      <c r="R379" s="271">
        <f t="shared" si="20"/>
        <v>0.40098689820592365</v>
      </c>
    </row>
    <row r="380" spans="1:18" x14ac:dyDescent="0.2">
      <c r="A380" s="147">
        <v>2032</v>
      </c>
      <c r="B380" s="147">
        <v>7</v>
      </c>
      <c r="D380" s="258" t="e">
        <f t="shared" si="19"/>
        <v>#REF!</v>
      </c>
      <c r="E380" s="257" t="e">
        <f t="shared" si="21"/>
        <v>#REF!</v>
      </c>
      <c r="F380" s="166">
        <v>30.57</v>
      </c>
      <c r="G380" s="148">
        <v>4185.6933372695257</v>
      </c>
      <c r="H380" s="181">
        <f>VLOOKUP($A380&amp;$B380,'KU Inputs'!$C$2:$J$530,MATCH('KU UtilityData'!H$1,'KU Inputs'!$C$1:$J$1,0),0)*1000</f>
        <v>4831944</v>
      </c>
      <c r="I380" s="181">
        <f>VLOOKUP($A380&amp;$B380,'KU Inputs'!$C$2:$J$530,MATCH('KU UtilityData'!I$1,'KU Inputs'!$C$1:$J$1,0),0)*1000</f>
        <v>5032096</v>
      </c>
      <c r="J380" s="181">
        <f>VLOOKUP($A380&amp;$B380,'KU Inputs'!$C$2:$J$530,MATCH('KU UtilityData'!J$1,'KU Inputs'!$C$1:$J$1,0),0)*1000</f>
        <v>2018083</v>
      </c>
      <c r="K380" s="231">
        <v>483270.44</v>
      </c>
      <c r="L380" s="181">
        <f>VLOOKUP($A380&amp;$B380,'KU Inputs'!$C$2:$J$530,MATCH('KU UtilityData'!L$1,'KU Inputs'!$C$1:$J$1,0),0)</f>
        <v>211990.587</v>
      </c>
      <c r="M380" s="181">
        <f>VLOOKUP($A380&amp;$B380,'KU Inputs'!$C$2:$J$530,MATCH('KU UtilityData'!M$1,'KU Inputs'!$C$1:$J$1,0),0)</f>
        <v>214869.38531819571</v>
      </c>
      <c r="N380" s="246">
        <f t="shared" si="24"/>
        <v>1.625</v>
      </c>
      <c r="O380" s="246">
        <f t="shared" si="24"/>
        <v>326.005</v>
      </c>
      <c r="P380" s="159">
        <v>4512</v>
      </c>
      <c r="Q380" s="159">
        <v>1455</v>
      </c>
      <c r="R380" s="271">
        <f t="shared" si="20"/>
        <v>0.4010422297189879</v>
      </c>
    </row>
    <row r="381" spans="1:18" x14ac:dyDescent="0.2">
      <c r="A381" s="147">
        <v>2032</v>
      </c>
      <c r="B381" s="147">
        <v>8</v>
      </c>
      <c r="D381" s="258" t="e">
        <f t="shared" si="19"/>
        <v>#REF!</v>
      </c>
      <c r="E381" s="257" t="e">
        <f t="shared" si="21"/>
        <v>#REF!</v>
      </c>
      <c r="F381" s="166">
        <v>29.67</v>
      </c>
      <c r="G381" s="148">
        <v>4187.5227169051213</v>
      </c>
      <c r="H381" s="181">
        <f>VLOOKUP($A381&amp;$B381,'KU Inputs'!$C$2:$J$530,MATCH('KU UtilityData'!H$1,'KU Inputs'!$C$1:$J$1,0),0)*1000</f>
        <v>4831944</v>
      </c>
      <c r="I381" s="181">
        <f>VLOOKUP($A381&amp;$B381,'KU Inputs'!$C$2:$J$530,MATCH('KU UtilityData'!I$1,'KU Inputs'!$C$1:$J$1,0),0)*1000</f>
        <v>5032096</v>
      </c>
      <c r="J381" s="181">
        <f>VLOOKUP($A381&amp;$B381,'KU Inputs'!$C$2:$J$530,MATCH('KU UtilityData'!J$1,'KU Inputs'!$C$1:$J$1,0),0)*1000</f>
        <v>2018083</v>
      </c>
      <c r="K381" s="231">
        <v>483270.44</v>
      </c>
      <c r="L381" s="181">
        <f>VLOOKUP($A381&amp;$B381,'KU Inputs'!$C$2:$J$530,MATCH('KU UtilityData'!L$1,'KU Inputs'!$C$1:$J$1,0),0)</f>
        <v>211990.587</v>
      </c>
      <c r="M381" s="181">
        <f>VLOOKUP($A381&amp;$B381,'KU Inputs'!$C$2:$J$530,MATCH('KU UtilityData'!M$1,'KU Inputs'!$C$1:$J$1,0),0)</f>
        <v>214869.38531819571</v>
      </c>
      <c r="N381" s="246">
        <f t="shared" si="24"/>
        <v>0.75</v>
      </c>
      <c r="O381" s="246">
        <f t="shared" si="24"/>
        <v>348.8175</v>
      </c>
      <c r="P381" s="159">
        <v>4512</v>
      </c>
      <c r="Q381" s="159">
        <v>1455</v>
      </c>
      <c r="R381" s="271">
        <f t="shared" si="20"/>
        <v>0.4010422297189879</v>
      </c>
    </row>
    <row r="382" spans="1:18" x14ac:dyDescent="0.2">
      <c r="A382" s="147">
        <v>2032</v>
      </c>
      <c r="B382" s="147">
        <v>9</v>
      </c>
      <c r="D382" s="258" t="e">
        <f t="shared" si="19"/>
        <v>#REF!</v>
      </c>
      <c r="E382" s="257" t="e">
        <f t="shared" si="21"/>
        <v>#REF!</v>
      </c>
      <c r="F382" s="166">
        <v>30.48</v>
      </c>
      <c r="G382" s="148">
        <v>4189.352096540717</v>
      </c>
      <c r="H382" s="181">
        <f>VLOOKUP($A382&amp;$B382,'KU Inputs'!$C$2:$J$530,MATCH('KU UtilityData'!H$1,'KU Inputs'!$C$1:$J$1,0),0)*1000</f>
        <v>4831944</v>
      </c>
      <c r="I382" s="181">
        <f>VLOOKUP($A382&amp;$B382,'KU Inputs'!$C$2:$J$530,MATCH('KU UtilityData'!I$1,'KU Inputs'!$C$1:$J$1,0),0)*1000</f>
        <v>5032096</v>
      </c>
      <c r="J382" s="181">
        <f>VLOOKUP($A382&amp;$B382,'KU Inputs'!$C$2:$J$530,MATCH('KU UtilityData'!J$1,'KU Inputs'!$C$1:$J$1,0),0)*1000</f>
        <v>2018083</v>
      </c>
      <c r="K382" s="231">
        <v>483270.44</v>
      </c>
      <c r="L382" s="181">
        <f>VLOOKUP($A382&amp;$B382,'KU Inputs'!$C$2:$J$530,MATCH('KU UtilityData'!L$1,'KU Inputs'!$C$1:$J$1,0),0)</f>
        <v>211990.587</v>
      </c>
      <c r="M382" s="181">
        <f>VLOOKUP($A382&amp;$B382,'KU Inputs'!$C$2:$J$530,MATCH('KU UtilityData'!M$1,'KU Inputs'!$C$1:$J$1,0),0)</f>
        <v>214869.38531819571</v>
      </c>
      <c r="N382" s="246">
        <f t="shared" si="24"/>
        <v>11.752500000000001</v>
      </c>
      <c r="O382" s="246">
        <f t="shared" si="24"/>
        <v>258.88</v>
      </c>
      <c r="P382" s="159">
        <v>4512</v>
      </c>
      <c r="Q382" s="159">
        <v>1455</v>
      </c>
      <c r="R382" s="271">
        <f t="shared" si="20"/>
        <v>0.4010422297189879</v>
      </c>
    </row>
    <row r="383" spans="1:18" x14ac:dyDescent="0.2">
      <c r="A383" s="147">
        <v>2032</v>
      </c>
      <c r="B383" s="147">
        <v>10</v>
      </c>
      <c r="D383" s="258" t="e">
        <f t="shared" si="19"/>
        <v>#REF!</v>
      </c>
      <c r="E383" s="257" t="e">
        <f t="shared" si="21"/>
        <v>#REF!</v>
      </c>
      <c r="F383" s="166">
        <v>29.67</v>
      </c>
      <c r="G383" s="148">
        <v>4191.1814761763135</v>
      </c>
      <c r="H383" s="181">
        <f>VLOOKUP($A383&amp;$B383,'KU Inputs'!$C$2:$J$530,MATCH('KU UtilityData'!H$1,'KU Inputs'!$C$1:$J$1,0),0)*1000</f>
        <v>4836300</v>
      </c>
      <c r="I383" s="181">
        <f>VLOOKUP($A383&amp;$B383,'KU Inputs'!$C$2:$J$530,MATCH('KU UtilityData'!I$1,'KU Inputs'!$C$1:$J$1,0),0)*1000</f>
        <v>5039113</v>
      </c>
      <c r="J383" s="181">
        <f>VLOOKUP($A383&amp;$B383,'KU Inputs'!$C$2:$J$530,MATCH('KU UtilityData'!J$1,'KU Inputs'!$C$1:$J$1,0),0)*1000</f>
        <v>2021147</v>
      </c>
      <c r="K383" s="231">
        <v>483811.66</v>
      </c>
      <c r="L383" s="181">
        <f>VLOOKUP($A383&amp;$B383,'KU Inputs'!$C$2:$J$530,MATCH('KU UtilityData'!L$1,'KU Inputs'!$C$1:$J$1,0),0)</f>
        <v>212819.59099999999</v>
      </c>
      <c r="M383" s="181">
        <f>VLOOKUP($A383&amp;$B383,'KU Inputs'!$C$2:$J$530,MATCH('KU UtilityData'!M$1,'KU Inputs'!$C$1:$J$1,0),0)</f>
        <v>215638.64605623233</v>
      </c>
      <c r="N383" s="246">
        <f t="shared" si="24"/>
        <v>134.87</v>
      </c>
      <c r="O383" s="246">
        <f t="shared" si="24"/>
        <v>71.42</v>
      </c>
      <c r="P383" s="159">
        <v>4512</v>
      </c>
      <c r="Q383" s="159">
        <v>1455</v>
      </c>
      <c r="R383" s="271">
        <f t="shared" si="20"/>
        <v>0.40109181913562963</v>
      </c>
    </row>
    <row r="384" spans="1:18" x14ac:dyDescent="0.2">
      <c r="A384" s="147">
        <v>2032</v>
      </c>
      <c r="B384" s="147">
        <v>11</v>
      </c>
      <c r="D384" s="258" t="e">
        <f t="shared" si="19"/>
        <v>#REF!</v>
      </c>
      <c r="E384" s="257" t="e">
        <f t="shared" si="21"/>
        <v>#REF!</v>
      </c>
      <c r="F384" s="166">
        <v>29.76</v>
      </c>
      <c r="G384" s="148">
        <v>4193.0108558119091</v>
      </c>
      <c r="H384" s="181">
        <f>VLOOKUP($A384&amp;$B384,'KU Inputs'!$C$2:$J$530,MATCH('KU UtilityData'!H$1,'KU Inputs'!$C$1:$J$1,0),0)*1000</f>
        <v>4836300</v>
      </c>
      <c r="I384" s="181">
        <f>VLOOKUP($A384&amp;$B384,'KU Inputs'!$C$2:$J$530,MATCH('KU UtilityData'!I$1,'KU Inputs'!$C$1:$J$1,0),0)*1000</f>
        <v>5039113</v>
      </c>
      <c r="J384" s="181">
        <f>VLOOKUP($A384&amp;$B384,'KU Inputs'!$C$2:$J$530,MATCH('KU UtilityData'!J$1,'KU Inputs'!$C$1:$J$1,0),0)*1000</f>
        <v>2021147</v>
      </c>
      <c r="K384" s="231">
        <v>483811.66</v>
      </c>
      <c r="L384" s="181">
        <f>VLOOKUP($A384&amp;$B384,'KU Inputs'!$C$2:$J$530,MATCH('KU UtilityData'!L$1,'KU Inputs'!$C$1:$J$1,0),0)</f>
        <v>212819.59099999999</v>
      </c>
      <c r="M384" s="181">
        <f>VLOOKUP($A384&amp;$B384,'KU Inputs'!$C$2:$J$530,MATCH('KU UtilityData'!M$1,'KU Inputs'!$C$1:$J$1,0),0)</f>
        <v>215638.64605623233</v>
      </c>
      <c r="N384" s="246">
        <f t="shared" si="24"/>
        <v>396.30250000000001</v>
      </c>
      <c r="O384" s="246">
        <f t="shared" si="24"/>
        <v>6.6950000000000003</v>
      </c>
      <c r="P384" s="159">
        <v>4512</v>
      </c>
      <c r="Q384" s="159">
        <v>1455</v>
      </c>
      <c r="R384" s="271">
        <f t="shared" si="20"/>
        <v>0.40109181913562963</v>
      </c>
    </row>
    <row r="385" spans="1:18" x14ac:dyDescent="0.2">
      <c r="A385" s="147">
        <v>2032</v>
      </c>
      <c r="B385" s="147">
        <v>12</v>
      </c>
      <c r="D385" s="258" t="e">
        <f t="shared" si="19"/>
        <v>#REF!</v>
      </c>
      <c r="E385" s="257" t="e">
        <f t="shared" si="21"/>
        <v>#REF!</v>
      </c>
      <c r="F385" s="166">
        <v>31.38</v>
      </c>
      <c r="G385" s="148">
        <v>4194.8402354475047</v>
      </c>
      <c r="H385" s="181">
        <f>VLOOKUP($A385&amp;$B385,'KU Inputs'!$C$2:$J$530,MATCH('KU UtilityData'!H$1,'KU Inputs'!$C$1:$J$1,0),0)*1000</f>
        <v>4836300</v>
      </c>
      <c r="I385" s="181">
        <f>VLOOKUP($A385&amp;$B385,'KU Inputs'!$C$2:$J$530,MATCH('KU UtilityData'!I$1,'KU Inputs'!$C$1:$J$1,0),0)*1000</f>
        <v>5039113</v>
      </c>
      <c r="J385" s="181">
        <f>VLOOKUP($A385&amp;$B385,'KU Inputs'!$C$2:$J$530,MATCH('KU UtilityData'!J$1,'KU Inputs'!$C$1:$J$1,0),0)*1000</f>
        <v>2021147</v>
      </c>
      <c r="K385" s="231">
        <v>483811.66</v>
      </c>
      <c r="L385" s="181">
        <f>VLOOKUP($A385&amp;$B385,'KU Inputs'!$C$2:$J$530,MATCH('KU UtilityData'!L$1,'KU Inputs'!$C$1:$J$1,0),0)</f>
        <v>212819.59099999999</v>
      </c>
      <c r="M385" s="181">
        <f>VLOOKUP($A385&amp;$B385,'KU Inputs'!$C$2:$J$530,MATCH('KU UtilityData'!M$1,'KU Inputs'!$C$1:$J$1,0),0)</f>
        <v>215638.64605623233</v>
      </c>
      <c r="N385" s="246">
        <f t="shared" si="24"/>
        <v>714.28500000000008</v>
      </c>
      <c r="O385" s="246">
        <f t="shared" si="24"/>
        <v>0.25</v>
      </c>
      <c r="P385" s="159">
        <v>4512</v>
      </c>
      <c r="Q385" s="159">
        <v>1455</v>
      </c>
      <c r="R385" s="271">
        <f t="shared" si="20"/>
        <v>0.40109181913562963</v>
      </c>
    </row>
    <row r="386" spans="1:18" x14ac:dyDescent="0.2">
      <c r="A386" s="147">
        <v>2033</v>
      </c>
      <c r="B386" s="147">
        <v>1</v>
      </c>
      <c r="D386" s="258" t="e">
        <f t="shared" si="19"/>
        <v>#REF!</v>
      </c>
      <c r="E386" s="257" t="e">
        <f t="shared" si="21"/>
        <v>#REF!</v>
      </c>
      <c r="F386" s="166">
        <v>32.71</v>
      </c>
      <c r="G386" s="148">
        <v>4196.6696150831003</v>
      </c>
      <c r="H386" s="181">
        <f>VLOOKUP($A386&amp;$B386,'KU Inputs'!$C$2:$J$530,MATCH('KU UtilityData'!H$1,'KU Inputs'!$C$1:$J$1,0),0)*1000</f>
        <v>4840623</v>
      </c>
      <c r="I386" s="181">
        <f>VLOOKUP($A386&amp;$B386,'KU Inputs'!$C$2:$J$530,MATCH('KU UtilityData'!I$1,'KU Inputs'!$C$1:$J$1,0),0)*1000</f>
        <v>5046103</v>
      </c>
      <c r="J386" s="181">
        <f>VLOOKUP($A386&amp;$B386,'KU Inputs'!$C$2:$J$530,MATCH('KU UtilityData'!J$1,'KU Inputs'!$C$1:$J$1,0),0)*1000</f>
        <v>2024240</v>
      </c>
      <c r="K386" s="231">
        <v>484572.88</v>
      </c>
      <c r="L386" s="181">
        <f>VLOOKUP($A386&amp;$B386,'KU Inputs'!$C$2:$J$530,MATCH('KU UtilityData'!L$1,'KU Inputs'!$C$1:$J$1,0),0)</f>
        <v>214486.36799999999</v>
      </c>
      <c r="M386" s="181">
        <f>VLOOKUP($A386&amp;$B386,'KU Inputs'!$C$2:$J$530,MATCH('KU UtilityData'!M$1,'KU Inputs'!$C$1:$J$1,0),0)</f>
        <v>217240.60032855472</v>
      </c>
      <c r="N386" s="246">
        <f t="shared" si="24"/>
        <v>991.4375</v>
      </c>
      <c r="O386" s="246">
        <f t="shared" si="24"/>
        <v>0</v>
      </c>
      <c r="P386" s="159">
        <v>4512</v>
      </c>
      <c r="Q386" s="159">
        <v>1455</v>
      </c>
      <c r="R386" s="271">
        <f t="shared" si="20"/>
        <v>0.40114916401825329</v>
      </c>
    </row>
    <row r="387" spans="1:18" x14ac:dyDescent="0.2">
      <c r="A387" s="147">
        <v>2033</v>
      </c>
      <c r="B387" s="147">
        <v>2</v>
      </c>
      <c r="D387" s="258" t="e">
        <f t="shared" ref="D387:D450" si="25">D375*(1+0.02)</f>
        <v>#REF!</v>
      </c>
      <c r="E387" s="257" t="e">
        <f t="shared" si="21"/>
        <v>#REF!</v>
      </c>
      <c r="F387" s="166">
        <v>29.81</v>
      </c>
      <c r="G387" s="148">
        <v>4198.4989947186959</v>
      </c>
      <c r="H387" s="181">
        <f>VLOOKUP($A387&amp;$B387,'KU Inputs'!$C$2:$J$530,MATCH('KU UtilityData'!H$1,'KU Inputs'!$C$1:$J$1,0),0)*1000</f>
        <v>4840623</v>
      </c>
      <c r="I387" s="181">
        <f>VLOOKUP($A387&amp;$B387,'KU Inputs'!$C$2:$J$530,MATCH('KU UtilityData'!I$1,'KU Inputs'!$C$1:$J$1,0),0)*1000</f>
        <v>5046103</v>
      </c>
      <c r="J387" s="181">
        <f>VLOOKUP($A387&amp;$B387,'KU Inputs'!$C$2:$J$530,MATCH('KU UtilityData'!J$1,'KU Inputs'!$C$1:$J$1,0),0)*1000</f>
        <v>2024240</v>
      </c>
      <c r="K387" s="231">
        <v>484572.88</v>
      </c>
      <c r="L387" s="181">
        <f>VLOOKUP($A387&amp;$B387,'KU Inputs'!$C$2:$J$530,MATCH('KU UtilityData'!L$1,'KU Inputs'!$C$1:$J$1,0),0)</f>
        <v>214486.36799999999</v>
      </c>
      <c r="M387" s="181">
        <f>VLOOKUP($A387&amp;$B387,'KU Inputs'!$C$2:$J$530,MATCH('KU UtilityData'!M$1,'KU Inputs'!$C$1:$J$1,0),0)</f>
        <v>217240.60032855472</v>
      </c>
      <c r="N387" s="246">
        <f t="shared" si="24"/>
        <v>890.05499999999995</v>
      </c>
      <c r="O387" s="246">
        <f t="shared" si="24"/>
        <v>0</v>
      </c>
      <c r="P387" s="159">
        <v>4512</v>
      </c>
      <c r="Q387" s="159">
        <v>1455</v>
      </c>
      <c r="R387" s="271">
        <f t="shared" ref="R387:R450" si="26">J387/I387</f>
        <v>0.40114916401825329</v>
      </c>
    </row>
    <row r="388" spans="1:18" x14ac:dyDescent="0.2">
      <c r="A388" s="147">
        <v>2033</v>
      </c>
      <c r="B388" s="147">
        <v>3</v>
      </c>
      <c r="D388" s="258" t="e">
        <f t="shared" si="25"/>
        <v>#REF!</v>
      </c>
      <c r="E388" s="257" t="e">
        <f t="shared" si="21"/>
        <v>#REF!</v>
      </c>
      <c r="F388" s="166">
        <v>30.33</v>
      </c>
      <c r="G388" s="148">
        <v>4200.3283743542916</v>
      </c>
      <c r="H388" s="181">
        <f>VLOOKUP($A388&amp;$B388,'KU Inputs'!$C$2:$J$530,MATCH('KU UtilityData'!H$1,'KU Inputs'!$C$1:$J$1,0),0)*1000</f>
        <v>4840623</v>
      </c>
      <c r="I388" s="181">
        <f>VLOOKUP($A388&amp;$B388,'KU Inputs'!$C$2:$J$530,MATCH('KU UtilityData'!I$1,'KU Inputs'!$C$1:$J$1,0),0)*1000</f>
        <v>5046103</v>
      </c>
      <c r="J388" s="181">
        <f>VLOOKUP($A388&amp;$B388,'KU Inputs'!$C$2:$J$530,MATCH('KU UtilityData'!J$1,'KU Inputs'!$C$1:$J$1,0),0)*1000</f>
        <v>2024240</v>
      </c>
      <c r="K388" s="231">
        <v>484572.88</v>
      </c>
      <c r="L388" s="181">
        <f>VLOOKUP($A388&amp;$B388,'KU Inputs'!$C$2:$J$530,MATCH('KU UtilityData'!L$1,'KU Inputs'!$C$1:$J$1,0),0)</f>
        <v>214486.36799999999</v>
      </c>
      <c r="M388" s="181">
        <f>VLOOKUP($A388&amp;$B388,'KU Inputs'!$C$2:$J$530,MATCH('KU UtilityData'!M$1,'KU Inputs'!$C$1:$J$1,0),0)</f>
        <v>217240.60032855472</v>
      </c>
      <c r="N388" s="246">
        <f t="shared" si="24"/>
        <v>724.63750000000005</v>
      </c>
      <c r="O388" s="246">
        <f t="shared" si="24"/>
        <v>0.92249999999999999</v>
      </c>
      <c r="P388" s="159">
        <v>4512</v>
      </c>
      <c r="Q388" s="159">
        <v>1455</v>
      </c>
      <c r="R388" s="271">
        <f t="shared" si="26"/>
        <v>0.40114916401825329</v>
      </c>
    </row>
    <row r="389" spans="1:18" x14ac:dyDescent="0.2">
      <c r="A389" s="147">
        <v>2033</v>
      </c>
      <c r="B389" s="147">
        <v>4</v>
      </c>
      <c r="D389" s="258" t="e">
        <f t="shared" si="25"/>
        <v>#REF!</v>
      </c>
      <c r="E389" s="257" t="e">
        <f t="shared" si="21"/>
        <v>#REF!</v>
      </c>
      <c r="F389" s="166">
        <v>30.19</v>
      </c>
      <c r="G389" s="148">
        <v>4202.1577539898872</v>
      </c>
      <c r="H389" s="181">
        <f>VLOOKUP($A389&amp;$B389,'KU Inputs'!$C$2:$J$530,MATCH('KU UtilityData'!H$1,'KU Inputs'!$C$1:$J$1,0),0)*1000</f>
        <v>4844915</v>
      </c>
      <c r="I389" s="181">
        <f>VLOOKUP($A389&amp;$B389,'KU Inputs'!$C$2:$J$530,MATCH('KU UtilityData'!I$1,'KU Inputs'!$C$1:$J$1,0),0)*1000</f>
        <v>5053065</v>
      </c>
      <c r="J389" s="181">
        <f>VLOOKUP($A389&amp;$B389,'KU Inputs'!$C$2:$J$530,MATCH('KU UtilityData'!J$1,'KU Inputs'!$C$1:$J$1,0),0)*1000</f>
        <v>2027264</v>
      </c>
      <c r="K389" s="231">
        <v>485332.34</v>
      </c>
      <c r="L389" s="181">
        <f>VLOOKUP($A389&amp;$B389,'KU Inputs'!$C$2:$J$530,MATCH('KU UtilityData'!L$1,'KU Inputs'!$C$1:$J$1,0),0)</f>
        <v>215382.42600000001</v>
      </c>
      <c r="M389" s="181">
        <f>VLOOKUP($A389&amp;$B389,'KU Inputs'!$C$2:$J$530,MATCH('KU UtilityData'!M$1,'KU Inputs'!$C$1:$J$1,0),0)</f>
        <v>218100.32282001979</v>
      </c>
      <c r="N389" s="246">
        <f t="shared" si="24"/>
        <v>433.4375</v>
      </c>
      <c r="O389" s="246">
        <f t="shared" si="24"/>
        <v>13.477500000000001</v>
      </c>
      <c r="P389" s="159">
        <v>4512</v>
      </c>
      <c r="Q389" s="159">
        <v>1455</v>
      </c>
      <c r="R389" s="271">
        <f t="shared" si="26"/>
        <v>0.4011949183317452</v>
      </c>
    </row>
    <row r="390" spans="1:18" x14ac:dyDescent="0.2">
      <c r="A390" s="147">
        <v>2033</v>
      </c>
      <c r="B390" s="147">
        <v>5</v>
      </c>
      <c r="D390" s="258" t="e">
        <f t="shared" si="25"/>
        <v>#REF!</v>
      </c>
      <c r="E390" s="257" t="e">
        <f t="shared" si="21"/>
        <v>#REF!</v>
      </c>
      <c r="F390" s="166">
        <v>30.14</v>
      </c>
      <c r="G390" s="148">
        <v>4203.9871336254828</v>
      </c>
      <c r="H390" s="181">
        <f>VLOOKUP($A390&amp;$B390,'KU Inputs'!$C$2:$J$530,MATCH('KU UtilityData'!H$1,'KU Inputs'!$C$1:$J$1,0),0)*1000</f>
        <v>4844915</v>
      </c>
      <c r="I390" s="181">
        <f>VLOOKUP($A390&amp;$B390,'KU Inputs'!$C$2:$J$530,MATCH('KU UtilityData'!I$1,'KU Inputs'!$C$1:$J$1,0),0)*1000</f>
        <v>5053065</v>
      </c>
      <c r="J390" s="181">
        <f>VLOOKUP($A390&amp;$B390,'KU Inputs'!$C$2:$J$530,MATCH('KU UtilityData'!J$1,'KU Inputs'!$C$1:$J$1,0),0)*1000</f>
        <v>2027264</v>
      </c>
      <c r="K390" s="231">
        <v>485332.34</v>
      </c>
      <c r="L390" s="181">
        <f>VLOOKUP($A390&amp;$B390,'KU Inputs'!$C$2:$J$530,MATCH('KU UtilityData'!L$1,'KU Inputs'!$C$1:$J$1,0),0)</f>
        <v>215382.42600000001</v>
      </c>
      <c r="M390" s="181">
        <f>VLOOKUP($A390&amp;$B390,'KU Inputs'!$C$2:$J$530,MATCH('KU UtilityData'!M$1,'KU Inputs'!$C$1:$J$1,0),0)</f>
        <v>218100.32282001979</v>
      </c>
      <c r="N390" s="246">
        <f t="shared" si="24"/>
        <v>189.125</v>
      </c>
      <c r="O390" s="246">
        <f t="shared" si="24"/>
        <v>46.06</v>
      </c>
      <c r="P390" s="159">
        <v>4512</v>
      </c>
      <c r="Q390" s="159">
        <v>1455</v>
      </c>
      <c r="R390" s="271">
        <f t="shared" si="26"/>
        <v>0.4011949183317452</v>
      </c>
    </row>
    <row r="391" spans="1:18" x14ac:dyDescent="0.2">
      <c r="A391" s="147">
        <v>2033</v>
      </c>
      <c r="B391" s="147">
        <v>6</v>
      </c>
      <c r="D391" s="258" t="e">
        <f t="shared" si="25"/>
        <v>#REF!</v>
      </c>
      <c r="E391" s="257" t="e">
        <f t="shared" si="21"/>
        <v>#REF!</v>
      </c>
      <c r="F391" s="166">
        <v>30.67</v>
      </c>
      <c r="G391" s="148">
        <v>4205.8165132610793</v>
      </c>
      <c r="H391" s="181">
        <f>VLOOKUP($A391&amp;$B391,'KU Inputs'!$C$2:$J$530,MATCH('KU UtilityData'!H$1,'KU Inputs'!$C$1:$J$1,0),0)*1000</f>
        <v>4844915</v>
      </c>
      <c r="I391" s="181">
        <f>VLOOKUP($A391&amp;$B391,'KU Inputs'!$C$2:$J$530,MATCH('KU UtilityData'!I$1,'KU Inputs'!$C$1:$J$1,0),0)*1000</f>
        <v>5053065</v>
      </c>
      <c r="J391" s="181">
        <f>VLOOKUP($A391&amp;$B391,'KU Inputs'!$C$2:$J$530,MATCH('KU UtilityData'!J$1,'KU Inputs'!$C$1:$J$1,0),0)*1000</f>
        <v>2027264</v>
      </c>
      <c r="K391" s="231">
        <v>485332.34</v>
      </c>
      <c r="L391" s="181">
        <f>VLOOKUP($A391&amp;$B391,'KU Inputs'!$C$2:$J$530,MATCH('KU UtilityData'!L$1,'KU Inputs'!$C$1:$J$1,0),0)</f>
        <v>215382.42600000001</v>
      </c>
      <c r="M391" s="181">
        <f>VLOOKUP($A391&amp;$B391,'KU Inputs'!$C$2:$J$530,MATCH('KU UtilityData'!M$1,'KU Inputs'!$C$1:$J$1,0),0)</f>
        <v>218100.32282001979</v>
      </c>
      <c r="N391" s="246">
        <f t="shared" si="24"/>
        <v>50.362499999999997</v>
      </c>
      <c r="O391" s="246">
        <f t="shared" si="24"/>
        <v>166.4075</v>
      </c>
      <c r="P391" s="159">
        <v>4512</v>
      </c>
      <c r="Q391" s="159">
        <v>1455</v>
      </c>
      <c r="R391" s="271">
        <f t="shared" si="26"/>
        <v>0.4011949183317452</v>
      </c>
    </row>
    <row r="392" spans="1:18" x14ac:dyDescent="0.2">
      <c r="A392" s="147">
        <v>2033</v>
      </c>
      <c r="B392" s="147">
        <v>7</v>
      </c>
      <c r="D392" s="258" t="e">
        <f t="shared" si="25"/>
        <v>#REF!</v>
      </c>
      <c r="E392" s="257" t="e">
        <f t="shared" si="21"/>
        <v>#REF!</v>
      </c>
      <c r="F392" s="166">
        <v>30.71</v>
      </c>
      <c r="G392" s="148">
        <v>4207.6022404008172</v>
      </c>
      <c r="H392" s="181">
        <f>VLOOKUP($A392&amp;$B392,'KU Inputs'!$C$2:$J$530,MATCH('KU UtilityData'!H$1,'KU Inputs'!$C$1:$J$1,0),0)*1000</f>
        <v>4849174</v>
      </c>
      <c r="I392" s="181">
        <f>VLOOKUP($A392&amp;$B392,'KU Inputs'!$C$2:$J$530,MATCH('KU UtilityData'!I$1,'KU Inputs'!$C$1:$J$1,0),0)*1000</f>
        <v>5060000</v>
      </c>
      <c r="J392" s="181">
        <f>VLOOKUP($A392&amp;$B392,'KU Inputs'!$C$2:$J$530,MATCH('KU UtilityData'!J$1,'KU Inputs'!$C$1:$J$1,0),0)*1000</f>
        <v>2030610</v>
      </c>
      <c r="K392" s="231">
        <v>486085.9</v>
      </c>
      <c r="L392" s="181">
        <f>VLOOKUP($A392&amp;$B392,'KU Inputs'!$C$2:$J$530,MATCH('KU UtilityData'!L$1,'KU Inputs'!$C$1:$J$1,0),0)</f>
        <v>216207.60200000001</v>
      </c>
      <c r="M392" s="181">
        <f>VLOOKUP($A392&amp;$B392,'KU Inputs'!$C$2:$J$530,MATCH('KU UtilityData'!M$1,'KU Inputs'!$C$1:$J$1,0),0)</f>
        <v>218857.93449476099</v>
      </c>
      <c r="N392" s="246">
        <f t="shared" si="24"/>
        <v>1.625</v>
      </c>
      <c r="O392" s="246">
        <f t="shared" si="24"/>
        <v>326.005</v>
      </c>
      <c r="P392" s="159">
        <v>4512</v>
      </c>
      <c r="Q392" s="159">
        <v>1455</v>
      </c>
      <c r="R392" s="271">
        <f t="shared" si="26"/>
        <v>0.40130632411067196</v>
      </c>
    </row>
    <row r="393" spans="1:18" x14ac:dyDescent="0.2">
      <c r="A393" s="147">
        <v>2033</v>
      </c>
      <c r="B393" s="147">
        <v>8</v>
      </c>
      <c r="D393" s="258" t="e">
        <f t="shared" si="25"/>
        <v>#REF!</v>
      </c>
      <c r="E393" s="257" t="e">
        <f t="shared" si="21"/>
        <v>#REF!</v>
      </c>
      <c r="F393" s="166">
        <v>29.52</v>
      </c>
      <c r="G393" s="148">
        <v>4209.387967540556</v>
      </c>
      <c r="H393" s="181">
        <f>VLOOKUP($A393&amp;$B393,'KU Inputs'!$C$2:$J$530,MATCH('KU UtilityData'!H$1,'KU Inputs'!$C$1:$J$1,0),0)*1000</f>
        <v>4849174</v>
      </c>
      <c r="I393" s="181">
        <f>VLOOKUP($A393&amp;$B393,'KU Inputs'!$C$2:$J$530,MATCH('KU UtilityData'!I$1,'KU Inputs'!$C$1:$J$1,0),0)*1000</f>
        <v>5060000</v>
      </c>
      <c r="J393" s="181">
        <f>VLOOKUP($A393&amp;$B393,'KU Inputs'!$C$2:$J$530,MATCH('KU UtilityData'!J$1,'KU Inputs'!$C$1:$J$1,0),0)*1000</f>
        <v>2030610</v>
      </c>
      <c r="K393" s="231">
        <v>486085.9</v>
      </c>
      <c r="L393" s="181">
        <f>VLOOKUP($A393&amp;$B393,'KU Inputs'!$C$2:$J$530,MATCH('KU UtilityData'!L$1,'KU Inputs'!$C$1:$J$1,0),0)</f>
        <v>216207.60200000001</v>
      </c>
      <c r="M393" s="181">
        <f>VLOOKUP($A393&amp;$B393,'KU Inputs'!$C$2:$J$530,MATCH('KU UtilityData'!M$1,'KU Inputs'!$C$1:$J$1,0),0)</f>
        <v>218857.93449476099</v>
      </c>
      <c r="N393" s="246">
        <f t="shared" si="24"/>
        <v>0.75</v>
      </c>
      <c r="O393" s="246">
        <f t="shared" si="24"/>
        <v>348.8175</v>
      </c>
      <c r="P393" s="159">
        <v>4512</v>
      </c>
      <c r="Q393" s="159">
        <v>1455</v>
      </c>
      <c r="R393" s="271">
        <f t="shared" si="26"/>
        <v>0.40130632411067196</v>
      </c>
    </row>
    <row r="394" spans="1:18" x14ac:dyDescent="0.2">
      <c r="A394" s="147">
        <v>2033</v>
      </c>
      <c r="B394" s="147">
        <v>9</v>
      </c>
      <c r="D394" s="258" t="e">
        <f t="shared" si="25"/>
        <v>#REF!</v>
      </c>
      <c r="E394" s="257" t="e">
        <f t="shared" si="21"/>
        <v>#REF!</v>
      </c>
      <c r="F394" s="166">
        <v>30.52</v>
      </c>
      <c r="G394" s="148">
        <v>4211.1736946802939</v>
      </c>
      <c r="H394" s="181">
        <f>VLOOKUP($A394&amp;$B394,'KU Inputs'!$C$2:$J$530,MATCH('KU UtilityData'!H$1,'KU Inputs'!$C$1:$J$1,0),0)*1000</f>
        <v>4849174</v>
      </c>
      <c r="I394" s="181">
        <f>VLOOKUP($A394&amp;$B394,'KU Inputs'!$C$2:$J$530,MATCH('KU UtilityData'!I$1,'KU Inputs'!$C$1:$J$1,0),0)*1000</f>
        <v>5060000</v>
      </c>
      <c r="J394" s="181">
        <f>VLOOKUP($A394&amp;$B394,'KU Inputs'!$C$2:$J$530,MATCH('KU UtilityData'!J$1,'KU Inputs'!$C$1:$J$1,0),0)*1000</f>
        <v>2030610</v>
      </c>
      <c r="K394" s="231">
        <v>486085.9</v>
      </c>
      <c r="L394" s="181">
        <f>VLOOKUP($A394&amp;$B394,'KU Inputs'!$C$2:$J$530,MATCH('KU UtilityData'!L$1,'KU Inputs'!$C$1:$J$1,0),0)</f>
        <v>216207.60200000001</v>
      </c>
      <c r="M394" s="181">
        <f>VLOOKUP($A394&amp;$B394,'KU Inputs'!$C$2:$J$530,MATCH('KU UtilityData'!M$1,'KU Inputs'!$C$1:$J$1,0),0)</f>
        <v>218857.93449476099</v>
      </c>
      <c r="N394" s="246">
        <f t="shared" si="24"/>
        <v>11.752500000000001</v>
      </c>
      <c r="O394" s="246">
        <f t="shared" si="24"/>
        <v>258.88</v>
      </c>
      <c r="P394" s="159">
        <v>4512</v>
      </c>
      <c r="Q394" s="159">
        <v>1455</v>
      </c>
      <c r="R394" s="271">
        <f t="shared" si="26"/>
        <v>0.40130632411067196</v>
      </c>
    </row>
    <row r="395" spans="1:18" x14ac:dyDescent="0.2">
      <c r="A395" s="147">
        <v>2033</v>
      </c>
      <c r="B395" s="147">
        <v>10</v>
      </c>
      <c r="D395" s="258" t="e">
        <f t="shared" si="25"/>
        <v>#REF!</v>
      </c>
      <c r="E395" s="257" t="e">
        <f t="shared" ref="E395:E458" si="27">E383*(1.02)</f>
        <v>#REF!</v>
      </c>
      <c r="F395" s="166">
        <v>29.62</v>
      </c>
      <c r="G395" s="148">
        <v>4212.9594218200327</v>
      </c>
      <c r="H395" s="181">
        <f>VLOOKUP($A395&amp;$B395,'KU Inputs'!$C$2:$J$530,MATCH('KU UtilityData'!H$1,'KU Inputs'!$C$1:$J$1,0),0)*1000</f>
        <v>4853390</v>
      </c>
      <c r="I395" s="181">
        <f>VLOOKUP($A395&amp;$B395,'KU Inputs'!$C$2:$J$530,MATCH('KU UtilityData'!I$1,'KU Inputs'!$C$1:$J$1,0),0)*1000</f>
        <v>5066896</v>
      </c>
      <c r="J395" s="181">
        <f>VLOOKUP($A395&amp;$B395,'KU Inputs'!$C$2:$J$530,MATCH('KU UtilityData'!J$1,'KU Inputs'!$C$1:$J$1,0),0)*1000</f>
        <v>2034003</v>
      </c>
      <c r="K395" s="231">
        <v>486849.52</v>
      </c>
      <c r="L395" s="181">
        <f>VLOOKUP($A395&amp;$B395,'KU Inputs'!$C$2:$J$530,MATCH('KU UtilityData'!L$1,'KU Inputs'!$C$1:$J$1,0),0)</f>
        <v>217023.29399999999</v>
      </c>
      <c r="M395" s="181">
        <f>VLOOKUP($A395&amp;$B395,'KU Inputs'!$C$2:$J$530,MATCH('KU UtilityData'!M$1,'KU Inputs'!$C$1:$J$1,0),0)</f>
        <v>219617.17998724207</v>
      </c>
      <c r="N395" s="246">
        <f t="shared" si="24"/>
        <v>134.87</v>
      </c>
      <c r="O395" s="246">
        <f t="shared" si="24"/>
        <v>71.42</v>
      </c>
      <c r="P395" s="159">
        <v>4512</v>
      </c>
      <c r="Q395" s="159">
        <v>1455</v>
      </c>
      <c r="R395" s="271">
        <f t="shared" si="26"/>
        <v>0.40142979054632266</v>
      </c>
    </row>
    <row r="396" spans="1:18" x14ac:dyDescent="0.2">
      <c r="A396" s="147">
        <v>2033</v>
      </c>
      <c r="B396" s="147">
        <v>11</v>
      </c>
      <c r="D396" s="258" t="e">
        <f t="shared" si="25"/>
        <v>#REF!</v>
      </c>
      <c r="E396" s="257" t="e">
        <f t="shared" si="27"/>
        <v>#REF!</v>
      </c>
      <c r="F396" s="166">
        <v>29.95</v>
      </c>
      <c r="G396" s="148">
        <v>4214.7451489597706</v>
      </c>
      <c r="H396" s="181">
        <f>VLOOKUP($A396&amp;$B396,'KU Inputs'!$C$2:$J$530,MATCH('KU UtilityData'!H$1,'KU Inputs'!$C$1:$J$1,0),0)*1000</f>
        <v>4853390</v>
      </c>
      <c r="I396" s="181">
        <f>VLOOKUP($A396&amp;$B396,'KU Inputs'!$C$2:$J$530,MATCH('KU UtilityData'!I$1,'KU Inputs'!$C$1:$J$1,0),0)*1000</f>
        <v>5066896</v>
      </c>
      <c r="J396" s="181">
        <f>VLOOKUP($A396&amp;$B396,'KU Inputs'!$C$2:$J$530,MATCH('KU UtilityData'!J$1,'KU Inputs'!$C$1:$J$1,0),0)*1000</f>
        <v>2034003</v>
      </c>
      <c r="K396" s="231">
        <v>486849.52</v>
      </c>
      <c r="L396" s="181">
        <f>VLOOKUP($A396&amp;$B396,'KU Inputs'!$C$2:$J$530,MATCH('KU UtilityData'!L$1,'KU Inputs'!$C$1:$J$1,0),0)</f>
        <v>217023.29399999999</v>
      </c>
      <c r="M396" s="181">
        <f>VLOOKUP($A396&amp;$B396,'KU Inputs'!$C$2:$J$530,MATCH('KU UtilityData'!M$1,'KU Inputs'!$C$1:$J$1,0),0)</f>
        <v>219617.17998724207</v>
      </c>
      <c r="N396" s="246">
        <f t="shared" si="24"/>
        <v>396.30250000000001</v>
      </c>
      <c r="O396" s="246">
        <f t="shared" si="24"/>
        <v>6.6950000000000003</v>
      </c>
      <c r="P396" s="159">
        <v>4512</v>
      </c>
      <c r="Q396" s="159">
        <v>1455</v>
      </c>
      <c r="R396" s="271">
        <f t="shared" si="26"/>
        <v>0.40142979054632266</v>
      </c>
    </row>
    <row r="397" spans="1:18" x14ac:dyDescent="0.2">
      <c r="A397" s="147">
        <v>2033</v>
      </c>
      <c r="B397" s="147">
        <v>12</v>
      </c>
      <c r="D397" s="258" t="e">
        <f t="shared" si="25"/>
        <v>#REF!</v>
      </c>
      <c r="E397" s="257" t="e">
        <f t="shared" si="27"/>
        <v>#REF!</v>
      </c>
      <c r="F397" s="166">
        <v>32</v>
      </c>
      <c r="G397" s="148">
        <v>4216.5308760995094</v>
      </c>
      <c r="H397" s="181">
        <f>VLOOKUP($A397&amp;$B397,'KU Inputs'!$C$2:$J$530,MATCH('KU UtilityData'!H$1,'KU Inputs'!$C$1:$J$1,0),0)*1000</f>
        <v>4853390</v>
      </c>
      <c r="I397" s="181">
        <f>VLOOKUP($A397&amp;$B397,'KU Inputs'!$C$2:$J$530,MATCH('KU UtilityData'!I$1,'KU Inputs'!$C$1:$J$1,0),0)*1000</f>
        <v>5066896</v>
      </c>
      <c r="J397" s="181">
        <f>VLOOKUP($A397&amp;$B397,'KU Inputs'!$C$2:$J$530,MATCH('KU UtilityData'!J$1,'KU Inputs'!$C$1:$J$1,0),0)*1000</f>
        <v>2034003</v>
      </c>
      <c r="K397" s="231">
        <v>486849.52</v>
      </c>
      <c r="L397" s="181">
        <f>VLOOKUP($A397&amp;$B397,'KU Inputs'!$C$2:$J$530,MATCH('KU UtilityData'!L$1,'KU Inputs'!$C$1:$J$1,0),0)</f>
        <v>217023.29399999999</v>
      </c>
      <c r="M397" s="181">
        <f>VLOOKUP($A397&amp;$B397,'KU Inputs'!$C$2:$J$530,MATCH('KU UtilityData'!M$1,'KU Inputs'!$C$1:$J$1,0),0)</f>
        <v>219617.17998724207</v>
      </c>
      <c r="N397" s="246">
        <f t="shared" si="24"/>
        <v>714.28500000000008</v>
      </c>
      <c r="O397" s="246">
        <f t="shared" si="24"/>
        <v>0.25</v>
      </c>
      <c r="P397" s="159">
        <v>4512</v>
      </c>
      <c r="Q397" s="159">
        <v>1455</v>
      </c>
      <c r="R397" s="271">
        <f t="shared" si="26"/>
        <v>0.40142979054632266</v>
      </c>
    </row>
    <row r="398" spans="1:18" x14ac:dyDescent="0.2">
      <c r="A398" s="147">
        <v>2034</v>
      </c>
      <c r="B398" s="147">
        <v>1</v>
      </c>
      <c r="D398" s="258" t="e">
        <f t="shared" si="25"/>
        <v>#REF!</v>
      </c>
      <c r="E398" s="257" t="e">
        <f t="shared" si="27"/>
        <v>#REF!</v>
      </c>
      <c r="F398" s="166">
        <v>31.9</v>
      </c>
      <c r="G398" s="148">
        <v>4218.3166032392473</v>
      </c>
      <c r="H398" s="181">
        <f>VLOOKUP($A398&amp;$B398,'KU Inputs'!$C$2:$J$530,MATCH('KU UtilityData'!H$1,'KU Inputs'!$C$1:$J$1,0),0)*1000</f>
        <v>4857575</v>
      </c>
      <c r="I398" s="181">
        <f>VLOOKUP($A398&amp;$B398,'KU Inputs'!$C$2:$J$530,MATCH('KU UtilityData'!I$1,'KU Inputs'!$C$1:$J$1,0),0)*1000</f>
        <v>5073765</v>
      </c>
      <c r="J398" s="181">
        <f>VLOOKUP($A398&amp;$B398,'KU Inputs'!$C$2:$J$530,MATCH('KU UtilityData'!J$1,'KU Inputs'!$C$1:$J$1,0),0)*1000</f>
        <v>2037278</v>
      </c>
      <c r="K398" s="231">
        <v>487602.86</v>
      </c>
      <c r="L398" s="181">
        <f>VLOOKUP($A398&amp;$B398,'KU Inputs'!$C$2:$J$530,MATCH('KU UtilityData'!L$1,'KU Inputs'!$C$1:$J$1,0),0)</f>
        <v>218712.25599999999</v>
      </c>
      <c r="M398" s="181">
        <f>VLOOKUP($A398&amp;$B398,'KU Inputs'!$C$2:$J$530,MATCH('KU UtilityData'!M$1,'KU Inputs'!$C$1:$J$1,0),0)</f>
        <v>221265.80377058705</v>
      </c>
      <c r="N398" s="246">
        <f t="shared" ref="N398:O417" si="28">N386</f>
        <v>991.4375</v>
      </c>
      <c r="O398" s="246">
        <f t="shared" si="28"/>
        <v>0</v>
      </c>
      <c r="P398" s="159">
        <v>4512</v>
      </c>
      <c r="Q398" s="159">
        <v>1455</v>
      </c>
      <c r="R398" s="271">
        <f t="shared" si="26"/>
        <v>0.40153180133490612</v>
      </c>
    </row>
    <row r="399" spans="1:18" x14ac:dyDescent="0.2">
      <c r="A399" s="147">
        <v>2034</v>
      </c>
      <c r="B399" s="147">
        <v>2</v>
      </c>
      <c r="D399" s="258" t="e">
        <f t="shared" si="25"/>
        <v>#REF!</v>
      </c>
      <c r="E399" s="257" t="e">
        <f t="shared" si="27"/>
        <v>#REF!</v>
      </c>
      <c r="F399" s="166">
        <v>31.29</v>
      </c>
      <c r="G399" s="148">
        <v>4220.1023303789862</v>
      </c>
      <c r="H399" s="181">
        <f>VLOOKUP($A399&amp;$B399,'KU Inputs'!$C$2:$J$530,MATCH('KU UtilityData'!H$1,'KU Inputs'!$C$1:$J$1,0),0)*1000</f>
        <v>4857575</v>
      </c>
      <c r="I399" s="181">
        <f>VLOOKUP($A399&amp;$B399,'KU Inputs'!$C$2:$J$530,MATCH('KU UtilityData'!I$1,'KU Inputs'!$C$1:$J$1,0),0)*1000</f>
        <v>5073765</v>
      </c>
      <c r="J399" s="181">
        <f>VLOOKUP($A399&amp;$B399,'KU Inputs'!$C$2:$J$530,MATCH('KU UtilityData'!J$1,'KU Inputs'!$C$1:$J$1,0),0)*1000</f>
        <v>2037278</v>
      </c>
      <c r="K399" s="231">
        <v>487602.86</v>
      </c>
      <c r="L399" s="181">
        <f>VLOOKUP($A399&amp;$B399,'KU Inputs'!$C$2:$J$530,MATCH('KU UtilityData'!L$1,'KU Inputs'!$C$1:$J$1,0),0)</f>
        <v>218712.25599999999</v>
      </c>
      <c r="M399" s="181">
        <f>VLOOKUP($A399&amp;$B399,'KU Inputs'!$C$2:$J$530,MATCH('KU UtilityData'!M$1,'KU Inputs'!$C$1:$J$1,0),0)</f>
        <v>221265.80377058705</v>
      </c>
      <c r="N399" s="246">
        <f t="shared" si="28"/>
        <v>890.05499999999995</v>
      </c>
      <c r="O399" s="246">
        <f t="shared" si="28"/>
        <v>0</v>
      </c>
      <c r="P399" s="159">
        <v>4512</v>
      </c>
      <c r="Q399" s="159">
        <v>1455</v>
      </c>
      <c r="R399" s="271">
        <f t="shared" si="26"/>
        <v>0.40153180133490612</v>
      </c>
    </row>
    <row r="400" spans="1:18" x14ac:dyDescent="0.2">
      <c r="A400" s="147">
        <v>2034</v>
      </c>
      <c r="B400" s="147">
        <v>3</v>
      </c>
      <c r="D400" s="258" t="e">
        <f t="shared" si="25"/>
        <v>#REF!</v>
      </c>
      <c r="E400" s="257" t="e">
        <f t="shared" si="27"/>
        <v>#REF!</v>
      </c>
      <c r="F400" s="166">
        <v>30.33</v>
      </c>
      <c r="G400" s="148">
        <v>4221.8880575187241</v>
      </c>
      <c r="H400" s="181">
        <f>VLOOKUP($A400&amp;$B400,'KU Inputs'!$C$2:$J$530,MATCH('KU UtilityData'!H$1,'KU Inputs'!$C$1:$J$1,0),0)*1000</f>
        <v>4857575</v>
      </c>
      <c r="I400" s="181">
        <f>VLOOKUP($A400&amp;$B400,'KU Inputs'!$C$2:$J$530,MATCH('KU UtilityData'!I$1,'KU Inputs'!$C$1:$J$1,0),0)*1000</f>
        <v>5073765</v>
      </c>
      <c r="J400" s="181">
        <f>VLOOKUP($A400&amp;$B400,'KU Inputs'!$C$2:$J$530,MATCH('KU UtilityData'!J$1,'KU Inputs'!$C$1:$J$1,0),0)*1000</f>
        <v>2037278</v>
      </c>
      <c r="K400" s="231">
        <v>487602.86</v>
      </c>
      <c r="L400" s="181">
        <f>VLOOKUP($A400&amp;$B400,'KU Inputs'!$C$2:$J$530,MATCH('KU UtilityData'!L$1,'KU Inputs'!$C$1:$J$1,0),0)</f>
        <v>218712.25599999999</v>
      </c>
      <c r="M400" s="181">
        <f>VLOOKUP($A400&amp;$B400,'KU Inputs'!$C$2:$J$530,MATCH('KU UtilityData'!M$1,'KU Inputs'!$C$1:$J$1,0),0)</f>
        <v>221265.80377058705</v>
      </c>
      <c r="N400" s="246">
        <f t="shared" si="28"/>
        <v>724.63750000000005</v>
      </c>
      <c r="O400" s="246">
        <f t="shared" si="28"/>
        <v>0.92249999999999999</v>
      </c>
      <c r="P400" s="159">
        <v>4512</v>
      </c>
      <c r="Q400" s="159">
        <v>1455</v>
      </c>
      <c r="R400" s="271">
        <f t="shared" si="26"/>
        <v>0.40153180133490612</v>
      </c>
    </row>
    <row r="401" spans="1:18" x14ac:dyDescent="0.2">
      <c r="A401" s="147">
        <v>2034</v>
      </c>
      <c r="B401" s="147">
        <v>4</v>
      </c>
      <c r="D401" s="258" t="e">
        <f t="shared" si="25"/>
        <v>#REF!</v>
      </c>
      <c r="E401" s="257" t="e">
        <f t="shared" si="27"/>
        <v>#REF!</v>
      </c>
      <c r="F401" s="166">
        <v>30.65</v>
      </c>
      <c r="G401" s="148">
        <v>4223.6737846584629</v>
      </c>
      <c r="H401" s="181">
        <f>VLOOKUP($A401&amp;$B401,'KU Inputs'!$C$2:$J$530,MATCH('KU UtilityData'!H$1,'KU Inputs'!$C$1:$J$1,0),0)*1000</f>
        <v>4861730</v>
      </c>
      <c r="I401" s="181">
        <f>VLOOKUP($A401&amp;$B401,'KU Inputs'!$C$2:$J$530,MATCH('KU UtilityData'!I$1,'KU Inputs'!$C$1:$J$1,0),0)*1000</f>
        <v>5080609</v>
      </c>
      <c r="J401" s="181">
        <f>VLOOKUP($A401&amp;$B401,'KU Inputs'!$C$2:$J$530,MATCH('KU UtilityData'!J$1,'KU Inputs'!$C$1:$J$1,0),0)*1000</f>
        <v>2040769</v>
      </c>
      <c r="K401" s="231">
        <v>488361.66</v>
      </c>
      <c r="L401" s="181">
        <f>VLOOKUP($A401&amp;$B401,'KU Inputs'!$C$2:$J$530,MATCH('KU UtilityData'!L$1,'KU Inputs'!$C$1:$J$1,0),0)</f>
        <v>219678.68900000001</v>
      </c>
      <c r="M401" s="181">
        <f>VLOOKUP($A401&amp;$B401,'KU Inputs'!$C$2:$J$530,MATCH('KU UtilityData'!M$1,'KU Inputs'!$C$1:$J$1,0),0)</f>
        <v>222192.47658107537</v>
      </c>
      <c r="N401" s="246">
        <f t="shared" si="28"/>
        <v>433.4375</v>
      </c>
      <c r="O401" s="246">
        <f t="shared" si="28"/>
        <v>13.477500000000001</v>
      </c>
      <c r="P401" s="159">
        <v>4512</v>
      </c>
      <c r="Q401" s="159">
        <v>1455</v>
      </c>
      <c r="R401" s="271">
        <f t="shared" si="26"/>
        <v>0.40167802718138712</v>
      </c>
    </row>
    <row r="402" spans="1:18" x14ac:dyDescent="0.2">
      <c r="A402" s="147">
        <v>2034</v>
      </c>
      <c r="B402" s="147">
        <v>5</v>
      </c>
      <c r="D402" s="258" t="e">
        <f t="shared" si="25"/>
        <v>#REF!</v>
      </c>
      <c r="E402" s="257" t="e">
        <f t="shared" si="27"/>
        <v>#REF!</v>
      </c>
      <c r="F402" s="166">
        <v>29.71</v>
      </c>
      <c r="G402" s="148">
        <v>4225.4595117982008</v>
      </c>
      <c r="H402" s="181">
        <f>VLOOKUP($A402&amp;$B402,'KU Inputs'!$C$2:$J$530,MATCH('KU UtilityData'!H$1,'KU Inputs'!$C$1:$J$1,0),0)*1000</f>
        <v>4861730</v>
      </c>
      <c r="I402" s="181">
        <f>VLOOKUP($A402&amp;$B402,'KU Inputs'!$C$2:$J$530,MATCH('KU UtilityData'!I$1,'KU Inputs'!$C$1:$J$1,0),0)*1000</f>
        <v>5080609</v>
      </c>
      <c r="J402" s="181">
        <f>VLOOKUP($A402&amp;$B402,'KU Inputs'!$C$2:$J$530,MATCH('KU UtilityData'!J$1,'KU Inputs'!$C$1:$J$1,0),0)*1000</f>
        <v>2040769</v>
      </c>
      <c r="K402" s="231">
        <v>488361.66</v>
      </c>
      <c r="L402" s="181">
        <f>VLOOKUP($A402&amp;$B402,'KU Inputs'!$C$2:$J$530,MATCH('KU UtilityData'!L$1,'KU Inputs'!$C$1:$J$1,0),0)</f>
        <v>219678.68900000001</v>
      </c>
      <c r="M402" s="181">
        <f>VLOOKUP($A402&amp;$B402,'KU Inputs'!$C$2:$J$530,MATCH('KU UtilityData'!M$1,'KU Inputs'!$C$1:$J$1,0),0)</f>
        <v>222192.47658107537</v>
      </c>
      <c r="N402" s="246">
        <f t="shared" si="28"/>
        <v>189.125</v>
      </c>
      <c r="O402" s="246">
        <f t="shared" si="28"/>
        <v>46.06</v>
      </c>
      <c r="P402" s="159">
        <v>4512</v>
      </c>
      <c r="Q402" s="159">
        <v>1455</v>
      </c>
      <c r="R402" s="271">
        <f t="shared" si="26"/>
        <v>0.40167802718138712</v>
      </c>
    </row>
    <row r="403" spans="1:18" x14ac:dyDescent="0.2">
      <c r="A403" s="147">
        <v>2034</v>
      </c>
      <c r="B403" s="147">
        <v>6</v>
      </c>
      <c r="D403" s="258" t="e">
        <f t="shared" si="25"/>
        <v>#REF!</v>
      </c>
      <c r="E403" s="257" t="e">
        <f t="shared" si="27"/>
        <v>#REF!</v>
      </c>
      <c r="F403" s="166">
        <v>30.62</v>
      </c>
      <c r="G403" s="148">
        <v>4227.2452389379441</v>
      </c>
      <c r="H403" s="181">
        <f>VLOOKUP($A403&amp;$B403,'KU Inputs'!$C$2:$J$530,MATCH('KU UtilityData'!H$1,'KU Inputs'!$C$1:$J$1,0),0)*1000</f>
        <v>4861730</v>
      </c>
      <c r="I403" s="181">
        <f>VLOOKUP($A403&amp;$B403,'KU Inputs'!$C$2:$J$530,MATCH('KU UtilityData'!I$1,'KU Inputs'!$C$1:$J$1,0),0)*1000</f>
        <v>5080609</v>
      </c>
      <c r="J403" s="181">
        <f>VLOOKUP($A403&amp;$B403,'KU Inputs'!$C$2:$J$530,MATCH('KU UtilityData'!J$1,'KU Inputs'!$C$1:$J$1,0),0)*1000</f>
        <v>2040769</v>
      </c>
      <c r="K403" s="231">
        <v>488361.66</v>
      </c>
      <c r="L403" s="181">
        <f>VLOOKUP($A403&amp;$B403,'KU Inputs'!$C$2:$J$530,MATCH('KU UtilityData'!L$1,'KU Inputs'!$C$1:$J$1,0),0)</f>
        <v>219678.68900000001</v>
      </c>
      <c r="M403" s="181">
        <f>VLOOKUP($A403&amp;$B403,'KU Inputs'!$C$2:$J$530,MATCH('KU UtilityData'!M$1,'KU Inputs'!$C$1:$J$1,0),0)</f>
        <v>222192.47658107537</v>
      </c>
      <c r="N403" s="246">
        <f t="shared" si="28"/>
        <v>50.362499999999997</v>
      </c>
      <c r="O403" s="246">
        <f t="shared" si="28"/>
        <v>166.4075</v>
      </c>
      <c r="P403" s="159">
        <v>4512</v>
      </c>
      <c r="Q403" s="159">
        <v>1455</v>
      </c>
      <c r="R403" s="271">
        <f t="shared" si="26"/>
        <v>0.40167802718138712</v>
      </c>
    </row>
    <row r="404" spans="1:18" x14ac:dyDescent="0.2">
      <c r="A404" s="147">
        <v>2034</v>
      </c>
      <c r="B404" s="147">
        <v>7</v>
      </c>
      <c r="D404" s="258" t="e">
        <f t="shared" si="25"/>
        <v>#REF!</v>
      </c>
      <c r="E404" s="257" t="e">
        <f t="shared" si="27"/>
        <v>#REF!</v>
      </c>
      <c r="F404" s="166">
        <v>30.81</v>
      </c>
      <c r="G404" s="148">
        <v>4228.9908529733821</v>
      </c>
      <c r="H404" s="181">
        <f>VLOOKUP($A404&amp;$B404,'KU Inputs'!$C$2:$J$530,MATCH('KU UtilityData'!H$1,'KU Inputs'!$C$1:$J$1,0),0)*1000</f>
        <v>4865865</v>
      </c>
      <c r="I404" s="181">
        <f>VLOOKUP($A404&amp;$B404,'KU Inputs'!$C$2:$J$530,MATCH('KU UtilityData'!I$1,'KU Inputs'!$C$1:$J$1,0),0)*1000</f>
        <v>5087441</v>
      </c>
      <c r="J404" s="181">
        <f>VLOOKUP($A404&amp;$B404,'KU Inputs'!$C$2:$J$530,MATCH('KU UtilityData'!J$1,'KU Inputs'!$C$1:$J$1,0),0)*1000</f>
        <v>2044178</v>
      </c>
      <c r="K404" s="231">
        <v>489525.9</v>
      </c>
      <c r="L404" s="181">
        <f>VLOOKUP($A404&amp;$B404,'KU Inputs'!$C$2:$J$530,MATCH('KU UtilityData'!L$1,'KU Inputs'!$C$1:$J$1,0),0)</f>
        <v>220588.57</v>
      </c>
      <c r="M404" s="181">
        <f>VLOOKUP($A404&amp;$B404,'KU Inputs'!$C$2:$J$530,MATCH('KU UtilityData'!M$1,'KU Inputs'!$C$1:$J$1,0),0)</f>
        <v>223003.41070905284</v>
      </c>
      <c r="N404" s="246">
        <f t="shared" si="28"/>
        <v>1.625</v>
      </c>
      <c r="O404" s="246">
        <f t="shared" si="28"/>
        <v>326.005</v>
      </c>
      <c r="P404" s="159">
        <v>4512</v>
      </c>
      <c r="Q404" s="159">
        <v>1455</v>
      </c>
      <c r="R404" s="271">
        <f t="shared" si="26"/>
        <v>0.40180868928013119</v>
      </c>
    </row>
    <row r="405" spans="1:18" x14ac:dyDescent="0.2">
      <c r="A405" s="147">
        <v>2034</v>
      </c>
      <c r="B405" s="147">
        <v>8</v>
      </c>
      <c r="D405" s="258" t="e">
        <f t="shared" si="25"/>
        <v>#REF!</v>
      </c>
      <c r="E405" s="257" t="e">
        <f t="shared" si="27"/>
        <v>#REF!</v>
      </c>
      <c r="F405" s="166">
        <v>29.43</v>
      </c>
      <c r="G405" s="148">
        <v>4230.73646700882</v>
      </c>
      <c r="H405" s="181">
        <f>VLOOKUP($A405&amp;$B405,'KU Inputs'!$C$2:$J$530,MATCH('KU UtilityData'!H$1,'KU Inputs'!$C$1:$J$1,0),0)*1000</f>
        <v>4865865</v>
      </c>
      <c r="I405" s="181">
        <f>VLOOKUP($A405&amp;$B405,'KU Inputs'!$C$2:$J$530,MATCH('KU UtilityData'!I$1,'KU Inputs'!$C$1:$J$1,0),0)*1000</f>
        <v>5087441</v>
      </c>
      <c r="J405" s="181">
        <f>VLOOKUP($A405&amp;$B405,'KU Inputs'!$C$2:$J$530,MATCH('KU UtilityData'!J$1,'KU Inputs'!$C$1:$J$1,0),0)*1000</f>
        <v>2044178</v>
      </c>
      <c r="K405" s="231">
        <v>489525.9</v>
      </c>
      <c r="L405" s="181">
        <f>VLOOKUP($A405&amp;$B405,'KU Inputs'!$C$2:$J$530,MATCH('KU UtilityData'!L$1,'KU Inputs'!$C$1:$J$1,0),0)</f>
        <v>220588.57</v>
      </c>
      <c r="M405" s="181">
        <f>VLOOKUP($A405&amp;$B405,'KU Inputs'!$C$2:$J$530,MATCH('KU UtilityData'!M$1,'KU Inputs'!$C$1:$J$1,0),0)</f>
        <v>223003.41070905284</v>
      </c>
      <c r="N405" s="246">
        <f t="shared" si="28"/>
        <v>0.75</v>
      </c>
      <c r="O405" s="246">
        <f t="shared" si="28"/>
        <v>348.8175</v>
      </c>
      <c r="P405" s="159">
        <v>4512</v>
      </c>
      <c r="Q405" s="159">
        <v>1455</v>
      </c>
      <c r="R405" s="271">
        <f t="shared" si="26"/>
        <v>0.40180868928013119</v>
      </c>
    </row>
    <row r="406" spans="1:18" x14ac:dyDescent="0.2">
      <c r="A406" s="147">
        <v>2034</v>
      </c>
      <c r="B406" s="147">
        <v>9</v>
      </c>
      <c r="D406" s="258" t="e">
        <f t="shared" si="25"/>
        <v>#REF!</v>
      </c>
      <c r="E406" s="257" t="e">
        <f t="shared" si="27"/>
        <v>#REF!</v>
      </c>
      <c r="F406" s="166">
        <v>30.57</v>
      </c>
      <c r="G406" s="148">
        <v>4232.4820810442579</v>
      </c>
      <c r="H406" s="181">
        <f>VLOOKUP($A406&amp;$B406,'KU Inputs'!$C$2:$J$530,MATCH('KU UtilityData'!H$1,'KU Inputs'!$C$1:$J$1,0),0)*1000</f>
        <v>4865865</v>
      </c>
      <c r="I406" s="181">
        <f>VLOOKUP($A406&amp;$B406,'KU Inputs'!$C$2:$J$530,MATCH('KU UtilityData'!I$1,'KU Inputs'!$C$1:$J$1,0),0)*1000</f>
        <v>5087441</v>
      </c>
      <c r="J406" s="181">
        <f>VLOOKUP($A406&amp;$B406,'KU Inputs'!$C$2:$J$530,MATCH('KU UtilityData'!J$1,'KU Inputs'!$C$1:$J$1,0),0)*1000</f>
        <v>2044178</v>
      </c>
      <c r="K406" s="231">
        <v>489525.9</v>
      </c>
      <c r="L406" s="181">
        <f>VLOOKUP($A406&amp;$B406,'KU Inputs'!$C$2:$J$530,MATCH('KU UtilityData'!L$1,'KU Inputs'!$C$1:$J$1,0),0)</f>
        <v>220588.57</v>
      </c>
      <c r="M406" s="181">
        <f>VLOOKUP($A406&amp;$B406,'KU Inputs'!$C$2:$J$530,MATCH('KU UtilityData'!M$1,'KU Inputs'!$C$1:$J$1,0),0)</f>
        <v>223003.41070905284</v>
      </c>
      <c r="N406" s="246">
        <f t="shared" si="28"/>
        <v>11.752500000000001</v>
      </c>
      <c r="O406" s="246">
        <f t="shared" si="28"/>
        <v>258.88</v>
      </c>
      <c r="P406" s="159">
        <v>4512</v>
      </c>
      <c r="Q406" s="159">
        <v>1455</v>
      </c>
      <c r="R406" s="271">
        <f t="shared" si="26"/>
        <v>0.40180868928013119</v>
      </c>
    </row>
    <row r="407" spans="1:18" x14ac:dyDescent="0.2">
      <c r="A407" s="147">
        <v>2034</v>
      </c>
      <c r="B407" s="147">
        <v>10</v>
      </c>
      <c r="D407" s="258" t="e">
        <f t="shared" si="25"/>
        <v>#REF!</v>
      </c>
      <c r="E407" s="257" t="e">
        <f t="shared" si="27"/>
        <v>#REF!</v>
      </c>
      <c r="F407" s="166">
        <v>29.67</v>
      </c>
      <c r="G407" s="148">
        <v>4234.2276950796959</v>
      </c>
      <c r="H407" s="181">
        <f>VLOOKUP($A407&amp;$B407,'KU Inputs'!$C$2:$J$530,MATCH('KU UtilityData'!H$1,'KU Inputs'!$C$1:$J$1,0),0)*1000</f>
        <v>4869960</v>
      </c>
      <c r="I407" s="181">
        <f>VLOOKUP($A407&amp;$B407,'KU Inputs'!$C$2:$J$530,MATCH('KU UtilityData'!I$1,'KU Inputs'!$C$1:$J$1,0),0)*1000</f>
        <v>5094236</v>
      </c>
      <c r="J407" s="181">
        <f>VLOOKUP($A407&amp;$B407,'KU Inputs'!$C$2:$J$530,MATCH('KU UtilityData'!J$1,'KU Inputs'!$C$1:$J$1,0),0)*1000</f>
        <v>2047549</v>
      </c>
      <c r="K407" s="231">
        <v>490058.37</v>
      </c>
      <c r="L407" s="181">
        <f>VLOOKUP($A407&amp;$B407,'KU Inputs'!$C$2:$J$530,MATCH('KU UtilityData'!L$1,'KU Inputs'!$C$1:$J$1,0),0)</f>
        <v>221480.42499999999</v>
      </c>
      <c r="M407" s="181">
        <f>VLOOKUP($A407&amp;$B407,'KU Inputs'!$C$2:$J$530,MATCH('KU UtilityData'!M$1,'KU Inputs'!$C$1:$J$1,0),0)</f>
        <v>223817.31951943206</v>
      </c>
      <c r="N407" s="246">
        <f t="shared" si="28"/>
        <v>134.87</v>
      </c>
      <c r="O407" s="246">
        <f t="shared" si="28"/>
        <v>71.42</v>
      </c>
      <c r="P407" s="159">
        <v>4512</v>
      </c>
      <c r="Q407" s="159">
        <v>1455</v>
      </c>
      <c r="R407" s="271">
        <f t="shared" si="26"/>
        <v>0.40193446082984768</v>
      </c>
    </row>
    <row r="408" spans="1:18" x14ac:dyDescent="0.2">
      <c r="A408" s="147">
        <v>2034</v>
      </c>
      <c r="B408" s="147">
        <v>11</v>
      </c>
      <c r="D408" s="258" t="e">
        <f t="shared" si="25"/>
        <v>#REF!</v>
      </c>
      <c r="E408" s="257" t="e">
        <f t="shared" si="27"/>
        <v>#REF!</v>
      </c>
      <c r="F408" s="166">
        <v>29.05</v>
      </c>
      <c r="G408" s="148">
        <v>4235.9733091151329</v>
      </c>
      <c r="H408" s="181">
        <f>VLOOKUP($A408&amp;$B408,'KU Inputs'!$C$2:$J$530,MATCH('KU UtilityData'!H$1,'KU Inputs'!$C$1:$J$1,0),0)*1000</f>
        <v>4869960</v>
      </c>
      <c r="I408" s="181">
        <f>VLOOKUP($A408&amp;$B408,'KU Inputs'!$C$2:$J$530,MATCH('KU UtilityData'!I$1,'KU Inputs'!$C$1:$J$1,0),0)*1000</f>
        <v>5094236</v>
      </c>
      <c r="J408" s="181">
        <f>VLOOKUP($A408&amp;$B408,'KU Inputs'!$C$2:$J$530,MATCH('KU UtilityData'!J$1,'KU Inputs'!$C$1:$J$1,0),0)*1000</f>
        <v>2047549</v>
      </c>
      <c r="K408" s="231">
        <v>490058.37</v>
      </c>
      <c r="L408" s="181">
        <f>VLOOKUP($A408&amp;$B408,'KU Inputs'!$C$2:$J$530,MATCH('KU UtilityData'!L$1,'KU Inputs'!$C$1:$J$1,0),0)</f>
        <v>221480.42499999999</v>
      </c>
      <c r="M408" s="181">
        <f>VLOOKUP($A408&amp;$B408,'KU Inputs'!$C$2:$J$530,MATCH('KU UtilityData'!M$1,'KU Inputs'!$C$1:$J$1,0),0)</f>
        <v>223817.31951943206</v>
      </c>
      <c r="N408" s="246">
        <f t="shared" si="28"/>
        <v>396.30250000000001</v>
      </c>
      <c r="O408" s="246">
        <f t="shared" si="28"/>
        <v>6.6950000000000003</v>
      </c>
      <c r="P408" s="159">
        <v>4512</v>
      </c>
      <c r="Q408" s="159">
        <v>1455</v>
      </c>
      <c r="R408" s="271">
        <f t="shared" si="26"/>
        <v>0.40193446082984768</v>
      </c>
    </row>
    <row r="409" spans="1:18" x14ac:dyDescent="0.2">
      <c r="A409" s="147">
        <v>2034</v>
      </c>
      <c r="B409" s="147">
        <v>12</v>
      </c>
      <c r="D409" s="258" t="e">
        <f t="shared" si="25"/>
        <v>#REF!</v>
      </c>
      <c r="E409" s="257" t="e">
        <f t="shared" si="27"/>
        <v>#REF!</v>
      </c>
      <c r="F409" s="166">
        <v>31</v>
      </c>
      <c r="G409" s="148">
        <v>4237.7189231505708</v>
      </c>
      <c r="H409" s="181">
        <f>VLOOKUP($A409&amp;$B409,'KU Inputs'!$C$2:$J$530,MATCH('KU UtilityData'!H$1,'KU Inputs'!$C$1:$J$1,0),0)*1000</f>
        <v>4869960</v>
      </c>
      <c r="I409" s="181">
        <f>VLOOKUP($A409&amp;$B409,'KU Inputs'!$C$2:$J$530,MATCH('KU UtilityData'!I$1,'KU Inputs'!$C$1:$J$1,0),0)*1000</f>
        <v>5094236</v>
      </c>
      <c r="J409" s="181">
        <f>VLOOKUP($A409&amp;$B409,'KU Inputs'!$C$2:$J$530,MATCH('KU UtilityData'!J$1,'KU Inputs'!$C$1:$J$1,0),0)*1000</f>
        <v>2047549</v>
      </c>
      <c r="K409" s="231">
        <v>490058.37</v>
      </c>
      <c r="L409" s="181">
        <f>VLOOKUP($A409&amp;$B409,'KU Inputs'!$C$2:$J$530,MATCH('KU UtilityData'!L$1,'KU Inputs'!$C$1:$J$1,0),0)</f>
        <v>221480.42499999999</v>
      </c>
      <c r="M409" s="181">
        <f>VLOOKUP($A409&amp;$B409,'KU Inputs'!$C$2:$J$530,MATCH('KU UtilityData'!M$1,'KU Inputs'!$C$1:$J$1,0),0)</f>
        <v>223817.31951943206</v>
      </c>
      <c r="N409" s="246">
        <f t="shared" si="28"/>
        <v>714.28500000000008</v>
      </c>
      <c r="O409" s="246">
        <f t="shared" si="28"/>
        <v>0.25</v>
      </c>
      <c r="P409" s="159">
        <v>4512</v>
      </c>
      <c r="Q409" s="159">
        <v>1455</v>
      </c>
      <c r="R409" s="271">
        <f t="shared" si="26"/>
        <v>0.40193446082984768</v>
      </c>
    </row>
    <row r="410" spans="1:18" x14ac:dyDescent="0.2">
      <c r="A410" s="147">
        <v>2035</v>
      </c>
      <c r="B410" s="147">
        <v>1</v>
      </c>
      <c r="D410" s="258" t="e">
        <f t="shared" si="25"/>
        <v>#REF!</v>
      </c>
      <c r="E410" s="257" t="e">
        <f t="shared" si="27"/>
        <v>#REF!</v>
      </c>
      <c r="F410" s="166">
        <v>32.33</v>
      </c>
      <c r="G410" s="148">
        <v>4239.4645371860088</v>
      </c>
      <c r="H410" s="181">
        <f>VLOOKUP($A410&amp;$B410,'KU Inputs'!$C$2:$J$530,MATCH('KU UtilityData'!H$1,'KU Inputs'!$C$1:$J$1,0),0)*1000</f>
        <v>4874023</v>
      </c>
      <c r="I410" s="181">
        <f>VLOOKUP($A410&amp;$B410,'KU Inputs'!$C$2:$J$530,MATCH('KU UtilityData'!I$1,'KU Inputs'!$C$1:$J$1,0),0)*1000</f>
        <v>5101006</v>
      </c>
      <c r="J410" s="181">
        <f>VLOOKUP($A410&amp;$B410,'KU Inputs'!$C$2:$J$530,MATCH('KU UtilityData'!J$1,'KU Inputs'!$C$1:$J$1,0),0)*1000</f>
        <v>2050752</v>
      </c>
      <c r="K410" s="231">
        <v>490779.57</v>
      </c>
      <c r="L410" s="181">
        <f>VLOOKUP($A410&amp;$B410,'KU Inputs'!$C$2:$J$530,MATCH('KU UtilityData'!L$1,'KU Inputs'!$C$1:$J$1,0),0)</f>
        <v>223274.90299999999</v>
      </c>
      <c r="M410" s="181">
        <f>VLOOKUP($A410&amp;$B410,'KU Inputs'!$C$2:$J$530,MATCH('KU UtilityData'!M$1,'KU Inputs'!$C$1:$J$1,0),0)</f>
        <v>225527.41153885462</v>
      </c>
      <c r="N410" s="246">
        <f t="shared" si="28"/>
        <v>991.4375</v>
      </c>
      <c r="O410" s="246">
        <f t="shared" si="28"/>
        <v>0</v>
      </c>
      <c r="P410" s="159">
        <v>4512</v>
      </c>
      <c r="Q410" s="159">
        <v>1455</v>
      </c>
      <c r="R410" s="271">
        <f t="shared" si="26"/>
        <v>0.40202893311633037</v>
      </c>
    </row>
    <row r="411" spans="1:18" x14ac:dyDescent="0.2">
      <c r="A411" s="147">
        <v>2035</v>
      </c>
      <c r="B411" s="147">
        <v>2</v>
      </c>
      <c r="D411" s="258" t="e">
        <f t="shared" si="25"/>
        <v>#REF!</v>
      </c>
      <c r="E411" s="257" t="e">
        <f t="shared" si="27"/>
        <v>#REF!</v>
      </c>
      <c r="F411" s="166">
        <v>29.86</v>
      </c>
      <c r="G411" s="148">
        <v>4241.2101512214467</v>
      </c>
      <c r="H411" s="181">
        <f>VLOOKUP($A411&amp;$B411,'KU Inputs'!$C$2:$J$530,MATCH('KU UtilityData'!H$1,'KU Inputs'!$C$1:$J$1,0),0)*1000</f>
        <v>4874023</v>
      </c>
      <c r="I411" s="181">
        <f>VLOOKUP($A411&amp;$B411,'KU Inputs'!$C$2:$J$530,MATCH('KU UtilityData'!I$1,'KU Inputs'!$C$1:$J$1,0),0)*1000</f>
        <v>5101006</v>
      </c>
      <c r="J411" s="181">
        <f>VLOOKUP($A411&amp;$B411,'KU Inputs'!$C$2:$J$530,MATCH('KU UtilityData'!J$1,'KU Inputs'!$C$1:$J$1,0),0)*1000</f>
        <v>2050752</v>
      </c>
      <c r="K411" s="231">
        <v>490779.57</v>
      </c>
      <c r="L411" s="181">
        <f>VLOOKUP($A411&amp;$B411,'KU Inputs'!$C$2:$J$530,MATCH('KU UtilityData'!L$1,'KU Inputs'!$C$1:$J$1,0),0)</f>
        <v>223274.90299999999</v>
      </c>
      <c r="M411" s="181">
        <f>VLOOKUP($A411&amp;$B411,'KU Inputs'!$C$2:$J$530,MATCH('KU UtilityData'!M$1,'KU Inputs'!$C$1:$J$1,0),0)</f>
        <v>225527.41153885462</v>
      </c>
      <c r="N411" s="246">
        <f t="shared" si="28"/>
        <v>890.05499999999995</v>
      </c>
      <c r="O411" s="246">
        <f t="shared" si="28"/>
        <v>0</v>
      </c>
      <c r="P411" s="159">
        <v>4512</v>
      </c>
      <c r="Q411" s="159">
        <v>1455</v>
      </c>
      <c r="R411" s="271">
        <f t="shared" si="26"/>
        <v>0.40202893311633037</v>
      </c>
    </row>
    <row r="412" spans="1:18" x14ac:dyDescent="0.2">
      <c r="A412" s="147">
        <v>2035</v>
      </c>
      <c r="B412" s="147">
        <v>3</v>
      </c>
      <c r="D412" s="258" t="e">
        <f t="shared" si="25"/>
        <v>#REF!</v>
      </c>
      <c r="E412" s="257" t="e">
        <f t="shared" si="27"/>
        <v>#REF!</v>
      </c>
      <c r="F412" s="166">
        <v>30.76</v>
      </c>
      <c r="G412" s="148">
        <v>4242.9557652568847</v>
      </c>
      <c r="H412" s="181">
        <f>VLOOKUP($A412&amp;$B412,'KU Inputs'!$C$2:$J$530,MATCH('KU UtilityData'!H$1,'KU Inputs'!$C$1:$J$1,0),0)*1000</f>
        <v>4874023</v>
      </c>
      <c r="I412" s="181">
        <f>VLOOKUP($A412&amp;$B412,'KU Inputs'!$C$2:$J$530,MATCH('KU UtilityData'!I$1,'KU Inputs'!$C$1:$J$1,0),0)*1000</f>
        <v>5101006</v>
      </c>
      <c r="J412" s="181">
        <f>VLOOKUP($A412&amp;$B412,'KU Inputs'!$C$2:$J$530,MATCH('KU UtilityData'!J$1,'KU Inputs'!$C$1:$J$1,0),0)*1000</f>
        <v>2050752</v>
      </c>
      <c r="K412" s="231">
        <v>490779.57</v>
      </c>
      <c r="L412" s="181">
        <f>VLOOKUP($A412&amp;$B412,'KU Inputs'!$C$2:$J$530,MATCH('KU UtilityData'!L$1,'KU Inputs'!$C$1:$J$1,0),0)</f>
        <v>223274.90299999999</v>
      </c>
      <c r="M412" s="181">
        <f>VLOOKUP($A412&amp;$B412,'KU Inputs'!$C$2:$J$530,MATCH('KU UtilityData'!M$1,'KU Inputs'!$C$1:$J$1,0),0)</f>
        <v>225527.41153885462</v>
      </c>
      <c r="N412" s="246">
        <f t="shared" si="28"/>
        <v>724.63750000000005</v>
      </c>
      <c r="O412" s="246">
        <f t="shared" si="28"/>
        <v>0.92249999999999999</v>
      </c>
      <c r="P412" s="159">
        <v>4512</v>
      </c>
      <c r="Q412" s="159">
        <v>1455</v>
      </c>
      <c r="R412" s="271">
        <f t="shared" si="26"/>
        <v>0.40202893311633037</v>
      </c>
    </row>
    <row r="413" spans="1:18" x14ac:dyDescent="0.2">
      <c r="A413" s="147">
        <v>2035</v>
      </c>
      <c r="B413" s="147">
        <v>4</v>
      </c>
      <c r="D413" s="258" t="e">
        <f t="shared" si="25"/>
        <v>#REF!</v>
      </c>
      <c r="E413" s="257" t="e">
        <f t="shared" si="27"/>
        <v>#REF!</v>
      </c>
      <c r="F413" s="166">
        <v>30.38</v>
      </c>
      <c r="G413" s="148">
        <v>4244.7013792923226</v>
      </c>
      <c r="H413" s="181">
        <f>VLOOKUP($A413&amp;$B413,'KU Inputs'!$C$2:$J$530,MATCH('KU UtilityData'!H$1,'KU Inputs'!$C$1:$J$1,0),0)*1000</f>
        <v>4878057</v>
      </c>
      <c r="I413" s="181">
        <f>VLOOKUP($A413&amp;$B413,'KU Inputs'!$C$2:$J$530,MATCH('KU UtilityData'!I$1,'KU Inputs'!$C$1:$J$1,0),0)*1000</f>
        <v>5107751</v>
      </c>
      <c r="J413" s="181">
        <f>VLOOKUP($A413&amp;$B413,'KU Inputs'!$C$2:$J$530,MATCH('KU UtilityData'!J$1,'KU Inputs'!$C$1:$J$1,0),0)*1000</f>
        <v>2054154</v>
      </c>
      <c r="K413" s="231">
        <v>491499.45</v>
      </c>
      <c r="L413" s="181">
        <f>VLOOKUP($A413&amp;$B413,'KU Inputs'!$C$2:$J$530,MATCH('KU UtilityData'!L$1,'KU Inputs'!$C$1:$J$1,0),0)</f>
        <v>224274.87700000001</v>
      </c>
      <c r="M413" s="181">
        <f>VLOOKUP($A413&amp;$B413,'KU Inputs'!$C$2:$J$530,MATCH('KU UtilityData'!M$1,'KU Inputs'!$C$1:$J$1,0),0)</f>
        <v>226461.76289008776</v>
      </c>
      <c r="N413" s="246">
        <f t="shared" si="28"/>
        <v>433.4375</v>
      </c>
      <c r="O413" s="246">
        <f t="shared" si="28"/>
        <v>13.477500000000001</v>
      </c>
      <c r="P413" s="159">
        <v>4512</v>
      </c>
      <c r="Q413" s="159">
        <v>1455</v>
      </c>
      <c r="R413" s="271">
        <f t="shared" si="26"/>
        <v>0.40216408356632888</v>
      </c>
    </row>
    <row r="414" spans="1:18" x14ac:dyDescent="0.2">
      <c r="A414" s="147">
        <v>2035</v>
      </c>
      <c r="B414" s="147">
        <v>5</v>
      </c>
      <c r="D414" s="258" t="e">
        <f t="shared" si="25"/>
        <v>#REF!</v>
      </c>
      <c r="E414" s="257" t="e">
        <f t="shared" si="27"/>
        <v>#REF!</v>
      </c>
      <c r="F414" s="166">
        <v>29.52</v>
      </c>
      <c r="G414" s="148">
        <v>4246.4469933277605</v>
      </c>
      <c r="H414" s="181">
        <f>VLOOKUP($A414&amp;$B414,'KU Inputs'!$C$2:$J$530,MATCH('KU UtilityData'!H$1,'KU Inputs'!$C$1:$J$1,0),0)*1000</f>
        <v>4878057</v>
      </c>
      <c r="I414" s="181">
        <f>VLOOKUP($A414&amp;$B414,'KU Inputs'!$C$2:$J$530,MATCH('KU UtilityData'!I$1,'KU Inputs'!$C$1:$J$1,0),0)*1000</f>
        <v>5107751</v>
      </c>
      <c r="J414" s="181">
        <f>VLOOKUP($A414&amp;$B414,'KU Inputs'!$C$2:$J$530,MATCH('KU UtilityData'!J$1,'KU Inputs'!$C$1:$J$1,0),0)*1000</f>
        <v>2054154</v>
      </c>
      <c r="K414" s="231">
        <v>491499.45</v>
      </c>
      <c r="L414" s="181">
        <f>VLOOKUP($A414&amp;$B414,'KU Inputs'!$C$2:$J$530,MATCH('KU UtilityData'!L$1,'KU Inputs'!$C$1:$J$1,0),0)</f>
        <v>224274.87700000001</v>
      </c>
      <c r="M414" s="181">
        <f>VLOOKUP($A414&amp;$B414,'KU Inputs'!$C$2:$J$530,MATCH('KU UtilityData'!M$1,'KU Inputs'!$C$1:$J$1,0),0)</f>
        <v>226461.76289008776</v>
      </c>
      <c r="N414" s="246">
        <f t="shared" si="28"/>
        <v>189.125</v>
      </c>
      <c r="O414" s="246">
        <f t="shared" si="28"/>
        <v>46.06</v>
      </c>
      <c r="P414" s="159">
        <v>4512</v>
      </c>
      <c r="Q414" s="159">
        <v>1455</v>
      </c>
      <c r="R414" s="271">
        <f t="shared" si="26"/>
        <v>0.40216408356632888</v>
      </c>
    </row>
    <row r="415" spans="1:18" x14ac:dyDescent="0.2">
      <c r="A415" s="147">
        <v>2035</v>
      </c>
      <c r="B415" s="147">
        <v>6</v>
      </c>
      <c r="D415" s="258" t="e">
        <f t="shared" si="25"/>
        <v>#REF!</v>
      </c>
      <c r="E415" s="257" t="e">
        <f t="shared" si="27"/>
        <v>#REF!</v>
      </c>
      <c r="F415" s="166">
        <v>30.62</v>
      </c>
      <c r="G415" s="148">
        <v>4248.1926073631976</v>
      </c>
      <c r="H415" s="181">
        <f>VLOOKUP($A415&amp;$B415,'KU Inputs'!$C$2:$J$530,MATCH('KU UtilityData'!H$1,'KU Inputs'!$C$1:$J$1,0),0)*1000</f>
        <v>4878057</v>
      </c>
      <c r="I415" s="181">
        <f>VLOOKUP($A415&amp;$B415,'KU Inputs'!$C$2:$J$530,MATCH('KU UtilityData'!I$1,'KU Inputs'!$C$1:$J$1,0),0)*1000</f>
        <v>5107751</v>
      </c>
      <c r="J415" s="181">
        <f>VLOOKUP($A415&amp;$B415,'KU Inputs'!$C$2:$J$530,MATCH('KU UtilityData'!J$1,'KU Inputs'!$C$1:$J$1,0),0)*1000</f>
        <v>2054154</v>
      </c>
      <c r="K415" s="231">
        <v>491499.45</v>
      </c>
      <c r="L415" s="181">
        <f>VLOOKUP($A415&amp;$B415,'KU Inputs'!$C$2:$J$530,MATCH('KU UtilityData'!L$1,'KU Inputs'!$C$1:$J$1,0),0)</f>
        <v>224274.87700000001</v>
      </c>
      <c r="M415" s="181">
        <f>VLOOKUP($A415&amp;$B415,'KU Inputs'!$C$2:$J$530,MATCH('KU UtilityData'!M$1,'KU Inputs'!$C$1:$J$1,0),0)</f>
        <v>226461.76289008776</v>
      </c>
      <c r="N415" s="246">
        <f t="shared" si="28"/>
        <v>50.362499999999997</v>
      </c>
      <c r="O415" s="246">
        <f t="shared" si="28"/>
        <v>166.4075</v>
      </c>
      <c r="P415" s="159">
        <v>4512</v>
      </c>
      <c r="Q415" s="159">
        <v>1455</v>
      </c>
      <c r="R415" s="271">
        <f t="shared" si="26"/>
        <v>0.40216408356632888</v>
      </c>
    </row>
    <row r="416" spans="1:18" x14ac:dyDescent="0.2">
      <c r="A416" s="147">
        <v>2035</v>
      </c>
      <c r="B416" s="147">
        <v>7</v>
      </c>
      <c r="D416" s="258" t="e">
        <f t="shared" si="25"/>
        <v>#REF!</v>
      </c>
      <c r="E416" s="257" t="e">
        <f t="shared" si="27"/>
        <v>#REF!</v>
      </c>
      <c r="F416" s="166">
        <v>30.76</v>
      </c>
      <c r="G416" s="148">
        <v>4249.9035214814203</v>
      </c>
      <c r="H416" s="181">
        <f>VLOOKUP($A416&amp;$B416,'KU Inputs'!$C$2:$J$530,MATCH('KU UtilityData'!H$1,'KU Inputs'!$C$1:$J$1,0),0)*1000</f>
        <v>4882061</v>
      </c>
      <c r="I416" s="181">
        <f>VLOOKUP($A416&amp;$B416,'KU Inputs'!$C$2:$J$530,MATCH('KU UtilityData'!I$1,'KU Inputs'!$C$1:$J$1,0),0)*1000</f>
        <v>5114472</v>
      </c>
      <c r="J416" s="181">
        <f>VLOOKUP($A416&amp;$B416,'KU Inputs'!$C$2:$J$530,MATCH('KU UtilityData'!J$1,'KU Inputs'!$C$1:$J$1,0),0)*1000</f>
        <v>2057520</v>
      </c>
      <c r="K416" s="231">
        <v>492216.71</v>
      </c>
      <c r="L416" s="181">
        <f>VLOOKUP($A416&amp;$B416,'KU Inputs'!$C$2:$J$530,MATCH('KU UtilityData'!L$1,'KU Inputs'!$C$1:$J$1,0),0)</f>
        <v>225199.902</v>
      </c>
      <c r="M416" s="181">
        <f>VLOOKUP($A416&amp;$B416,'KU Inputs'!$C$2:$J$530,MATCH('KU UtilityData'!M$1,'KU Inputs'!$C$1:$J$1,0),0)</f>
        <v>227297.86248107164</v>
      </c>
      <c r="N416" s="246">
        <f t="shared" si="28"/>
        <v>1.625</v>
      </c>
      <c r="O416" s="246">
        <f t="shared" si="28"/>
        <v>326.005</v>
      </c>
      <c r="P416" s="159">
        <v>4512</v>
      </c>
      <c r="Q416" s="159">
        <v>1455</v>
      </c>
      <c r="R416" s="271">
        <f t="shared" si="26"/>
        <v>0.40229372650783896</v>
      </c>
    </row>
    <row r="417" spans="1:18" x14ac:dyDescent="0.2">
      <c r="A417" s="147">
        <v>2035</v>
      </c>
      <c r="B417" s="147">
        <v>8</v>
      </c>
      <c r="D417" s="258" t="e">
        <f t="shared" si="25"/>
        <v>#REF!</v>
      </c>
      <c r="E417" s="257" t="e">
        <f t="shared" si="27"/>
        <v>#REF!</v>
      </c>
      <c r="F417" s="166">
        <v>29.48</v>
      </c>
      <c r="G417" s="148">
        <v>4251.6144355996421</v>
      </c>
      <c r="H417" s="181">
        <f>VLOOKUP($A417&amp;$B417,'KU Inputs'!$C$2:$J$530,MATCH('KU UtilityData'!H$1,'KU Inputs'!$C$1:$J$1,0),0)*1000</f>
        <v>4882061</v>
      </c>
      <c r="I417" s="181">
        <f>VLOOKUP($A417&amp;$B417,'KU Inputs'!$C$2:$J$530,MATCH('KU UtilityData'!I$1,'KU Inputs'!$C$1:$J$1,0),0)*1000</f>
        <v>5114472</v>
      </c>
      <c r="J417" s="181">
        <f>VLOOKUP($A417&amp;$B417,'KU Inputs'!$C$2:$J$530,MATCH('KU UtilityData'!J$1,'KU Inputs'!$C$1:$J$1,0),0)*1000</f>
        <v>2057520</v>
      </c>
      <c r="K417" s="231">
        <v>492216.71</v>
      </c>
      <c r="L417" s="181">
        <f>VLOOKUP($A417&amp;$B417,'KU Inputs'!$C$2:$J$530,MATCH('KU UtilityData'!L$1,'KU Inputs'!$C$1:$J$1,0),0)</f>
        <v>225199.902</v>
      </c>
      <c r="M417" s="181">
        <f>VLOOKUP($A417&amp;$B417,'KU Inputs'!$C$2:$J$530,MATCH('KU UtilityData'!M$1,'KU Inputs'!$C$1:$J$1,0),0)</f>
        <v>227297.86248107164</v>
      </c>
      <c r="N417" s="246">
        <f t="shared" si="28"/>
        <v>0.75</v>
      </c>
      <c r="O417" s="246">
        <f t="shared" si="28"/>
        <v>348.8175</v>
      </c>
      <c r="P417" s="159">
        <v>4512</v>
      </c>
      <c r="Q417" s="159">
        <v>1455</v>
      </c>
      <c r="R417" s="271">
        <f t="shared" si="26"/>
        <v>0.40229372650783896</v>
      </c>
    </row>
    <row r="418" spans="1:18" x14ac:dyDescent="0.2">
      <c r="A418" s="147">
        <v>2035</v>
      </c>
      <c r="B418" s="147">
        <v>9</v>
      </c>
      <c r="D418" s="258" t="e">
        <f t="shared" si="25"/>
        <v>#REF!</v>
      </c>
      <c r="E418" s="257" t="e">
        <f t="shared" si="27"/>
        <v>#REF!</v>
      </c>
      <c r="F418" s="166">
        <v>30.57</v>
      </c>
      <c r="G418" s="148">
        <v>4253.3253497178639</v>
      </c>
      <c r="H418" s="181">
        <f>VLOOKUP($A418&amp;$B418,'KU Inputs'!$C$2:$J$530,MATCH('KU UtilityData'!H$1,'KU Inputs'!$C$1:$J$1,0),0)*1000</f>
        <v>4882061</v>
      </c>
      <c r="I418" s="181">
        <f>VLOOKUP($A418&amp;$B418,'KU Inputs'!$C$2:$J$530,MATCH('KU UtilityData'!I$1,'KU Inputs'!$C$1:$J$1,0),0)*1000</f>
        <v>5114472</v>
      </c>
      <c r="J418" s="181">
        <f>VLOOKUP($A418&amp;$B418,'KU Inputs'!$C$2:$J$530,MATCH('KU UtilityData'!J$1,'KU Inputs'!$C$1:$J$1,0),0)*1000</f>
        <v>2057520</v>
      </c>
      <c r="K418" s="231">
        <v>492216.71</v>
      </c>
      <c r="L418" s="181">
        <f>VLOOKUP($A418&amp;$B418,'KU Inputs'!$C$2:$J$530,MATCH('KU UtilityData'!L$1,'KU Inputs'!$C$1:$J$1,0),0)</f>
        <v>225199.902</v>
      </c>
      <c r="M418" s="181">
        <f>VLOOKUP($A418&amp;$B418,'KU Inputs'!$C$2:$J$530,MATCH('KU UtilityData'!M$1,'KU Inputs'!$C$1:$J$1,0),0)</f>
        <v>227297.86248107164</v>
      </c>
      <c r="N418" s="246">
        <f t="shared" ref="N418:O437" si="29">N406</f>
        <v>11.752500000000001</v>
      </c>
      <c r="O418" s="246">
        <f t="shared" si="29"/>
        <v>258.88</v>
      </c>
      <c r="P418" s="159">
        <v>4512</v>
      </c>
      <c r="Q418" s="159">
        <v>1455</v>
      </c>
      <c r="R418" s="271">
        <f t="shared" si="26"/>
        <v>0.40229372650783896</v>
      </c>
    </row>
    <row r="419" spans="1:18" x14ac:dyDescent="0.2">
      <c r="A419" s="147">
        <v>2035</v>
      </c>
      <c r="B419" s="147">
        <v>10</v>
      </c>
      <c r="D419" s="258" t="e">
        <f t="shared" si="25"/>
        <v>#REF!</v>
      </c>
      <c r="E419" s="257" t="e">
        <f t="shared" si="27"/>
        <v>#REF!</v>
      </c>
      <c r="F419" s="166">
        <v>29.67</v>
      </c>
      <c r="G419" s="148">
        <v>4255.0362638360857</v>
      </c>
      <c r="H419" s="181">
        <f>VLOOKUP($A419&amp;$B419,'KU Inputs'!$C$2:$J$530,MATCH('KU UtilityData'!H$1,'KU Inputs'!$C$1:$J$1,0),0)*1000</f>
        <v>4886025</v>
      </c>
      <c r="I419" s="181">
        <f>VLOOKUP($A419&amp;$B419,'KU Inputs'!$C$2:$J$530,MATCH('KU UtilityData'!I$1,'KU Inputs'!$C$1:$J$1,0),0)*1000</f>
        <v>5121157</v>
      </c>
      <c r="J419" s="181">
        <f>VLOOKUP($A419&amp;$B419,'KU Inputs'!$C$2:$J$530,MATCH('KU UtilityData'!J$1,'KU Inputs'!$C$1:$J$1,0),0)*1000</f>
        <v>2060862</v>
      </c>
      <c r="K419" s="231">
        <v>492935.94</v>
      </c>
      <c r="L419" s="181">
        <f>VLOOKUP($A419&amp;$B419,'KU Inputs'!$C$2:$J$530,MATCH('KU UtilityData'!L$1,'KU Inputs'!$C$1:$J$1,0),0)</f>
        <v>226081.57399999999</v>
      </c>
      <c r="M419" s="181">
        <f>VLOOKUP($A419&amp;$B419,'KU Inputs'!$C$2:$J$530,MATCH('KU UtilityData'!M$1,'KU Inputs'!$C$1:$J$1,0),0)</f>
        <v>228101.47806925458</v>
      </c>
      <c r="N419" s="246">
        <f t="shared" si="29"/>
        <v>134.87</v>
      </c>
      <c r="O419" s="246">
        <f t="shared" si="29"/>
        <v>71.42</v>
      </c>
      <c r="P419" s="159">
        <v>4512</v>
      </c>
      <c r="Q419" s="159">
        <v>1455</v>
      </c>
      <c r="R419" s="271">
        <f t="shared" si="26"/>
        <v>0.40242117162195967</v>
      </c>
    </row>
    <row r="420" spans="1:18" x14ac:dyDescent="0.2">
      <c r="A420" s="147">
        <v>2035</v>
      </c>
      <c r="B420" s="147">
        <v>11</v>
      </c>
      <c r="D420" s="258" t="e">
        <f t="shared" si="25"/>
        <v>#REF!</v>
      </c>
      <c r="E420" s="257" t="e">
        <f t="shared" si="27"/>
        <v>#REF!</v>
      </c>
      <c r="F420" s="166">
        <v>29.95</v>
      </c>
      <c r="G420" s="148">
        <v>4256.7471779543075</v>
      </c>
      <c r="H420" s="181">
        <f>VLOOKUP($A420&amp;$B420,'KU Inputs'!$C$2:$J$530,MATCH('KU UtilityData'!H$1,'KU Inputs'!$C$1:$J$1,0),0)*1000</f>
        <v>4886025</v>
      </c>
      <c r="I420" s="181">
        <f>VLOOKUP($A420&amp;$B420,'KU Inputs'!$C$2:$J$530,MATCH('KU UtilityData'!I$1,'KU Inputs'!$C$1:$J$1,0),0)*1000</f>
        <v>5121157</v>
      </c>
      <c r="J420" s="181">
        <f>VLOOKUP($A420&amp;$B420,'KU Inputs'!$C$2:$J$530,MATCH('KU UtilityData'!J$1,'KU Inputs'!$C$1:$J$1,0),0)*1000</f>
        <v>2060862</v>
      </c>
      <c r="K420" s="231">
        <v>492935.94</v>
      </c>
      <c r="L420" s="181">
        <f>VLOOKUP($A420&amp;$B420,'KU Inputs'!$C$2:$J$530,MATCH('KU UtilityData'!L$1,'KU Inputs'!$C$1:$J$1,0),0)</f>
        <v>226081.57399999999</v>
      </c>
      <c r="M420" s="181">
        <f>VLOOKUP($A420&amp;$B420,'KU Inputs'!$C$2:$J$530,MATCH('KU UtilityData'!M$1,'KU Inputs'!$C$1:$J$1,0),0)</f>
        <v>228101.47806925458</v>
      </c>
      <c r="N420" s="246">
        <f t="shared" si="29"/>
        <v>396.30250000000001</v>
      </c>
      <c r="O420" s="246">
        <f t="shared" si="29"/>
        <v>6.6950000000000003</v>
      </c>
      <c r="P420" s="159">
        <v>4512</v>
      </c>
      <c r="Q420" s="159">
        <v>1455</v>
      </c>
      <c r="R420" s="271">
        <f t="shared" si="26"/>
        <v>0.40242117162195967</v>
      </c>
    </row>
    <row r="421" spans="1:18" x14ac:dyDescent="0.2">
      <c r="A421" s="147">
        <v>2035</v>
      </c>
      <c r="B421" s="147">
        <v>12</v>
      </c>
      <c r="D421" s="258" t="e">
        <f t="shared" si="25"/>
        <v>#REF!</v>
      </c>
      <c r="E421" s="257" t="e">
        <f t="shared" si="27"/>
        <v>#REF!</v>
      </c>
      <c r="F421" s="166">
        <v>31.38</v>
      </c>
      <c r="G421" s="154">
        <v>4258.4580920725293</v>
      </c>
      <c r="H421" s="181">
        <f>VLOOKUP($A421&amp;$B421,'KU Inputs'!$C$2:$J$530,MATCH('KU UtilityData'!H$1,'KU Inputs'!$C$1:$J$1,0),0)*1000</f>
        <v>4886025</v>
      </c>
      <c r="I421" s="181">
        <f>VLOOKUP($A421&amp;$B421,'KU Inputs'!$C$2:$J$530,MATCH('KU UtilityData'!I$1,'KU Inputs'!$C$1:$J$1,0),0)*1000</f>
        <v>5121157</v>
      </c>
      <c r="J421" s="181">
        <f>VLOOKUP($A421&amp;$B421,'KU Inputs'!$C$2:$J$530,MATCH('KU UtilityData'!J$1,'KU Inputs'!$C$1:$J$1,0),0)*1000</f>
        <v>2060862</v>
      </c>
      <c r="K421" s="231">
        <v>492935.94</v>
      </c>
      <c r="L421" s="181">
        <f>VLOOKUP($A421&amp;$B421,'KU Inputs'!$C$2:$J$530,MATCH('KU UtilityData'!L$1,'KU Inputs'!$C$1:$J$1,0),0)</f>
        <v>226081.57399999999</v>
      </c>
      <c r="M421" s="181">
        <f>VLOOKUP($A421&amp;$B421,'KU Inputs'!$C$2:$J$530,MATCH('KU UtilityData'!M$1,'KU Inputs'!$C$1:$J$1,0),0)</f>
        <v>228101.47806925458</v>
      </c>
      <c r="N421" s="246">
        <f t="shared" si="29"/>
        <v>714.28500000000008</v>
      </c>
      <c r="O421" s="246">
        <f t="shared" si="29"/>
        <v>0.25</v>
      </c>
      <c r="P421" s="159">
        <v>4512</v>
      </c>
      <c r="Q421" s="159">
        <v>1455</v>
      </c>
      <c r="R421" s="271">
        <f t="shared" si="26"/>
        <v>0.40242117162195967</v>
      </c>
    </row>
    <row r="422" spans="1:18" x14ac:dyDescent="0.2">
      <c r="A422" s="147">
        <v>2036</v>
      </c>
      <c r="B422" s="147">
        <v>1</v>
      </c>
      <c r="D422" s="258" t="e">
        <f t="shared" si="25"/>
        <v>#REF!</v>
      </c>
      <c r="E422" s="257" t="e">
        <f t="shared" si="27"/>
        <v>#REF!</v>
      </c>
      <c r="F422" s="166">
        <v>32.43</v>
      </c>
      <c r="G422" s="148">
        <v>4260.169006190752</v>
      </c>
      <c r="H422" s="181">
        <f>VLOOKUP($A422&amp;$B422,'KU Inputs'!$C$2:$J$530,MATCH('KU UtilityData'!H$1,'KU Inputs'!$C$1:$J$1,0),0)*1000</f>
        <v>4889974</v>
      </c>
      <c r="I422" s="181">
        <f>VLOOKUP($A422&amp;$B422,'KU Inputs'!$C$2:$J$530,MATCH('KU UtilityData'!I$1,'KU Inputs'!$C$1:$J$1,0),0)*1000</f>
        <v>5127834</v>
      </c>
      <c r="J422" s="181">
        <f>VLOOKUP($A422&amp;$B422,'KU Inputs'!$C$2:$J$530,MATCH('KU UtilityData'!J$1,'KU Inputs'!$C$1:$J$1,0),0)*1000</f>
        <v>2064051</v>
      </c>
      <c r="K422" s="231">
        <v>493663.25</v>
      </c>
      <c r="L422" s="181">
        <f>VLOOKUP($A422&amp;$B422,'KU Inputs'!$C$2:$J$530,MATCH('KU UtilityData'!L$1,'KU Inputs'!$C$1:$J$1,0),0)</f>
        <v>227897.829</v>
      </c>
      <c r="M422" s="181">
        <f>VLOOKUP($A422&amp;$B422,'KU Inputs'!$C$2:$J$530,MATCH('KU UtilityData'!M$1,'KU Inputs'!$C$1:$J$1,0),0)</f>
        <v>229844.3734857724</v>
      </c>
      <c r="N422" s="246">
        <f t="shared" si="29"/>
        <v>991.4375</v>
      </c>
      <c r="O422" s="246">
        <f t="shared" si="29"/>
        <v>0</v>
      </c>
      <c r="P422" s="159">
        <v>4512</v>
      </c>
      <c r="Q422" s="159">
        <v>1455</v>
      </c>
      <c r="R422" s="271">
        <f t="shared" si="26"/>
        <v>0.40251907530547987</v>
      </c>
    </row>
    <row r="423" spans="1:18" x14ac:dyDescent="0.2">
      <c r="A423" s="147">
        <v>2036</v>
      </c>
      <c r="B423" s="147">
        <v>2</v>
      </c>
      <c r="D423" s="258" t="e">
        <f t="shared" si="25"/>
        <v>#REF!</v>
      </c>
      <c r="E423" s="257" t="e">
        <f t="shared" si="27"/>
        <v>#REF!</v>
      </c>
      <c r="F423" s="166">
        <v>29.9</v>
      </c>
      <c r="G423" s="148">
        <v>4261.8799203089739</v>
      </c>
      <c r="H423" s="181">
        <f>VLOOKUP($A423&amp;$B423,'KU Inputs'!$C$2:$J$530,MATCH('KU UtilityData'!H$1,'KU Inputs'!$C$1:$J$1,0),0)*1000</f>
        <v>4889974</v>
      </c>
      <c r="I423" s="181">
        <f>VLOOKUP($A423&amp;$B423,'KU Inputs'!$C$2:$J$530,MATCH('KU UtilityData'!I$1,'KU Inputs'!$C$1:$J$1,0),0)*1000</f>
        <v>5127834</v>
      </c>
      <c r="J423" s="181">
        <f>VLOOKUP($A423&amp;$B423,'KU Inputs'!$C$2:$J$530,MATCH('KU UtilityData'!J$1,'KU Inputs'!$C$1:$J$1,0),0)*1000</f>
        <v>2064051</v>
      </c>
      <c r="K423" s="231">
        <v>493663.25</v>
      </c>
      <c r="L423" s="181">
        <f>VLOOKUP($A423&amp;$B423,'KU Inputs'!$C$2:$J$530,MATCH('KU UtilityData'!L$1,'KU Inputs'!$C$1:$J$1,0),0)</f>
        <v>227897.829</v>
      </c>
      <c r="M423" s="181">
        <f>VLOOKUP($A423&amp;$B423,'KU Inputs'!$C$2:$J$530,MATCH('KU UtilityData'!M$1,'KU Inputs'!$C$1:$J$1,0),0)</f>
        <v>229844.3734857724</v>
      </c>
      <c r="N423" s="246">
        <f t="shared" si="29"/>
        <v>890.05499999999995</v>
      </c>
      <c r="O423" s="246">
        <f t="shared" si="29"/>
        <v>0</v>
      </c>
      <c r="P423" s="159">
        <v>4512</v>
      </c>
      <c r="Q423" s="159">
        <v>1455</v>
      </c>
      <c r="R423" s="271">
        <f t="shared" si="26"/>
        <v>0.40251907530547987</v>
      </c>
    </row>
    <row r="424" spans="1:18" x14ac:dyDescent="0.2">
      <c r="A424" s="147">
        <v>2036</v>
      </c>
      <c r="B424" s="147">
        <v>3</v>
      </c>
      <c r="D424" s="258" t="e">
        <f t="shared" si="25"/>
        <v>#REF!</v>
      </c>
      <c r="E424" s="257" t="e">
        <f t="shared" si="27"/>
        <v>#REF!</v>
      </c>
      <c r="F424" s="166">
        <v>30.33</v>
      </c>
      <c r="G424" s="148">
        <v>4263.5908344271957</v>
      </c>
      <c r="H424" s="181">
        <f>VLOOKUP($A424&amp;$B424,'KU Inputs'!$C$2:$J$530,MATCH('KU UtilityData'!H$1,'KU Inputs'!$C$1:$J$1,0),0)*1000</f>
        <v>4889974</v>
      </c>
      <c r="I424" s="181">
        <f>VLOOKUP($A424&amp;$B424,'KU Inputs'!$C$2:$J$530,MATCH('KU UtilityData'!I$1,'KU Inputs'!$C$1:$J$1,0),0)*1000</f>
        <v>5127834</v>
      </c>
      <c r="J424" s="181">
        <f>VLOOKUP($A424&amp;$B424,'KU Inputs'!$C$2:$J$530,MATCH('KU UtilityData'!J$1,'KU Inputs'!$C$1:$J$1,0),0)*1000</f>
        <v>2064051</v>
      </c>
      <c r="K424" s="231">
        <v>493663.25</v>
      </c>
      <c r="L424" s="181">
        <f>VLOOKUP($A424&amp;$B424,'KU Inputs'!$C$2:$J$530,MATCH('KU UtilityData'!L$1,'KU Inputs'!$C$1:$J$1,0),0)</f>
        <v>227897.829</v>
      </c>
      <c r="M424" s="181">
        <f>VLOOKUP($A424&amp;$B424,'KU Inputs'!$C$2:$J$530,MATCH('KU UtilityData'!M$1,'KU Inputs'!$C$1:$J$1,0),0)</f>
        <v>229844.3734857724</v>
      </c>
      <c r="N424" s="246">
        <f t="shared" si="29"/>
        <v>724.63750000000005</v>
      </c>
      <c r="O424" s="246">
        <f t="shared" si="29"/>
        <v>0.92249999999999999</v>
      </c>
      <c r="P424" s="159">
        <v>4512</v>
      </c>
      <c r="Q424" s="159">
        <v>1455</v>
      </c>
      <c r="R424" s="271">
        <f t="shared" si="26"/>
        <v>0.40251907530547987</v>
      </c>
    </row>
    <row r="425" spans="1:18" x14ac:dyDescent="0.2">
      <c r="A425" s="147">
        <v>2036</v>
      </c>
      <c r="B425" s="147">
        <v>4</v>
      </c>
      <c r="D425" s="258" t="e">
        <f t="shared" si="25"/>
        <v>#REF!</v>
      </c>
      <c r="E425" s="257" t="e">
        <f t="shared" si="27"/>
        <v>#REF!</v>
      </c>
      <c r="F425" s="166">
        <v>30.29</v>
      </c>
      <c r="G425" s="148">
        <v>4265.3017485454175</v>
      </c>
      <c r="H425" s="181">
        <f>VLOOKUP($A425&amp;$B425,'KU Inputs'!$C$2:$J$530,MATCH('KU UtilityData'!H$1,'KU Inputs'!$C$1:$J$1,0),0)*1000</f>
        <v>4893921</v>
      </c>
      <c r="I425" s="181">
        <f>VLOOKUP($A425&amp;$B425,'KU Inputs'!$C$2:$J$530,MATCH('KU UtilityData'!I$1,'KU Inputs'!$C$1:$J$1,0),0)*1000</f>
        <v>5134516</v>
      </c>
      <c r="J425" s="181">
        <f>VLOOKUP($A425&amp;$B425,'KU Inputs'!$C$2:$J$530,MATCH('KU UtilityData'!J$1,'KU Inputs'!$C$1:$J$1,0),0)*1000</f>
        <v>2067456.0000000002</v>
      </c>
      <c r="K425" s="231">
        <v>494380.73</v>
      </c>
      <c r="L425" s="181">
        <f>VLOOKUP($A425&amp;$B425,'KU Inputs'!$C$2:$J$530,MATCH('KU UtilityData'!L$1,'KU Inputs'!$C$1:$J$1,0),0)</f>
        <v>228888.74400000001</v>
      </c>
      <c r="M425" s="181">
        <f>VLOOKUP($A425&amp;$B425,'KU Inputs'!$C$2:$J$530,MATCH('KU UtilityData'!M$1,'KU Inputs'!$C$1:$J$1,0),0)</f>
        <v>230765.78295090122</v>
      </c>
      <c r="N425" s="246">
        <f t="shared" si="29"/>
        <v>433.4375</v>
      </c>
      <c r="O425" s="246">
        <f t="shared" si="29"/>
        <v>13.477500000000001</v>
      </c>
      <c r="P425" s="159">
        <v>4512</v>
      </c>
      <c r="Q425" s="159">
        <v>1455</v>
      </c>
      <c r="R425" s="271">
        <f t="shared" si="26"/>
        <v>0.40265840051915319</v>
      </c>
    </row>
    <row r="426" spans="1:18" x14ac:dyDescent="0.2">
      <c r="A426" s="147">
        <v>2036</v>
      </c>
      <c r="B426" s="147">
        <v>5</v>
      </c>
      <c r="D426" s="258" t="e">
        <f t="shared" si="25"/>
        <v>#REF!</v>
      </c>
      <c r="E426" s="257" t="e">
        <f t="shared" si="27"/>
        <v>#REF!</v>
      </c>
      <c r="F426" s="166">
        <v>30.05</v>
      </c>
      <c r="G426" s="148">
        <v>4267.0126626636393</v>
      </c>
      <c r="H426" s="181">
        <f>VLOOKUP($A426&amp;$B426,'KU Inputs'!$C$2:$J$530,MATCH('KU UtilityData'!H$1,'KU Inputs'!$C$1:$J$1,0),0)*1000</f>
        <v>4893921</v>
      </c>
      <c r="I426" s="181">
        <f>VLOOKUP($A426&amp;$B426,'KU Inputs'!$C$2:$J$530,MATCH('KU UtilityData'!I$1,'KU Inputs'!$C$1:$J$1,0),0)*1000</f>
        <v>5134516</v>
      </c>
      <c r="J426" s="181">
        <f>VLOOKUP($A426&amp;$B426,'KU Inputs'!$C$2:$J$530,MATCH('KU UtilityData'!J$1,'KU Inputs'!$C$1:$J$1,0),0)*1000</f>
        <v>2067456.0000000002</v>
      </c>
      <c r="K426" s="231">
        <v>494380.73</v>
      </c>
      <c r="L426" s="181">
        <f>VLOOKUP($A426&amp;$B426,'KU Inputs'!$C$2:$J$530,MATCH('KU UtilityData'!L$1,'KU Inputs'!$C$1:$J$1,0),0)</f>
        <v>228888.74400000001</v>
      </c>
      <c r="M426" s="181">
        <f>VLOOKUP($A426&amp;$B426,'KU Inputs'!$C$2:$J$530,MATCH('KU UtilityData'!M$1,'KU Inputs'!$C$1:$J$1,0),0)</f>
        <v>230765.78295090122</v>
      </c>
      <c r="N426" s="246">
        <f t="shared" si="29"/>
        <v>189.125</v>
      </c>
      <c r="O426" s="246">
        <f t="shared" si="29"/>
        <v>46.06</v>
      </c>
      <c r="P426" s="159">
        <v>4512</v>
      </c>
      <c r="Q426" s="159">
        <v>1455</v>
      </c>
      <c r="R426" s="271">
        <f t="shared" si="26"/>
        <v>0.40265840051915319</v>
      </c>
    </row>
    <row r="427" spans="1:18" x14ac:dyDescent="0.2">
      <c r="A427" s="147">
        <v>2036</v>
      </c>
      <c r="B427" s="147">
        <v>6</v>
      </c>
      <c r="D427" s="258" t="e">
        <f t="shared" si="25"/>
        <v>#REF!</v>
      </c>
      <c r="E427" s="257" t="e">
        <f t="shared" si="27"/>
        <v>#REF!</v>
      </c>
      <c r="F427" s="166">
        <v>30.67</v>
      </c>
      <c r="G427" s="148">
        <v>4268.7235767818665</v>
      </c>
      <c r="H427" s="181">
        <f>VLOOKUP($A427&amp;$B427,'KU Inputs'!$C$2:$J$530,MATCH('KU UtilityData'!H$1,'KU Inputs'!$C$1:$J$1,0),0)*1000</f>
        <v>4893921</v>
      </c>
      <c r="I427" s="181">
        <f>VLOOKUP($A427&amp;$B427,'KU Inputs'!$C$2:$J$530,MATCH('KU UtilityData'!I$1,'KU Inputs'!$C$1:$J$1,0),0)*1000</f>
        <v>5134516</v>
      </c>
      <c r="J427" s="181">
        <f>VLOOKUP($A427&amp;$B427,'KU Inputs'!$C$2:$J$530,MATCH('KU UtilityData'!J$1,'KU Inputs'!$C$1:$J$1,0),0)*1000</f>
        <v>2067456.0000000002</v>
      </c>
      <c r="K427" s="231">
        <v>494380.73</v>
      </c>
      <c r="L427" s="181">
        <f>VLOOKUP($A427&amp;$B427,'KU Inputs'!$C$2:$J$530,MATCH('KU UtilityData'!L$1,'KU Inputs'!$C$1:$J$1,0),0)</f>
        <v>228888.74400000001</v>
      </c>
      <c r="M427" s="181">
        <f>VLOOKUP($A427&amp;$B427,'KU Inputs'!$C$2:$J$530,MATCH('KU UtilityData'!M$1,'KU Inputs'!$C$1:$J$1,0),0)</f>
        <v>230765.78295090122</v>
      </c>
      <c r="N427" s="246">
        <f t="shared" si="29"/>
        <v>50.362499999999997</v>
      </c>
      <c r="O427" s="246">
        <f t="shared" si="29"/>
        <v>166.4075</v>
      </c>
      <c r="P427" s="159">
        <v>4512</v>
      </c>
      <c r="Q427" s="159">
        <v>1455</v>
      </c>
      <c r="R427" s="271">
        <f t="shared" si="26"/>
        <v>0.40265840051915319</v>
      </c>
    </row>
    <row r="428" spans="1:18" x14ac:dyDescent="0.2">
      <c r="A428" s="147">
        <v>2036</v>
      </c>
      <c r="B428" s="147">
        <v>7</v>
      </c>
      <c r="D428" s="258" t="e">
        <f t="shared" si="25"/>
        <v>#REF!</v>
      </c>
      <c r="E428" s="257" t="e">
        <f t="shared" si="27"/>
        <v>#REF!</v>
      </c>
      <c r="F428" s="166">
        <v>30.62</v>
      </c>
      <c r="G428" s="148">
        <v>4270.4142261484349</v>
      </c>
      <c r="H428" s="181">
        <f>VLOOKUP($A428&amp;$B428,'KU Inputs'!$C$2:$J$530,MATCH('KU UtilityData'!H$1,'KU Inputs'!$C$1:$J$1,0),0)*1000</f>
        <v>4897855</v>
      </c>
      <c r="I428" s="181">
        <f>VLOOKUP($A428&amp;$B428,'KU Inputs'!$C$2:$J$530,MATCH('KU UtilityData'!I$1,'KU Inputs'!$C$1:$J$1,0),0)*1000</f>
        <v>5141193</v>
      </c>
      <c r="J428" s="181">
        <f>VLOOKUP($A428&amp;$B428,'KU Inputs'!$C$2:$J$530,MATCH('KU UtilityData'!J$1,'KU Inputs'!$C$1:$J$1,0),0)*1000</f>
        <v>2070819</v>
      </c>
      <c r="K428" s="231">
        <v>495096.68</v>
      </c>
      <c r="L428" s="181">
        <f>VLOOKUP($A428&amp;$B428,'KU Inputs'!$C$2:$J$530,MATCH('KU UtilityData'!L$1,'KU Inputs'!$C$1:$J$1,0),0)</f>
        <v>229812.7</v>
      </c>
      <c r="M428" s="181">
        <f>VLOOKUP($A428&amp;$B428,'KU Inputs'!$C$2:$J$530,MATCH('KU UtilityData'!M$1,'KU Inputs'!$C$1:$J$1,0),0)</f>
        <v>231582.87755786235</v>
      </c>
      <c r="N428" s="246">
        <f t="shared" si="29"/>
        <v>1.625</v>
      </c>
      <c r="O428" s="246">
        <f t="shared" si="29"/>
        <v>326.005</v>
      </c>
      <c r="P428" s="159">
        <v>4512</v>
      </c>
      <c r="Q428" s="159">
        <v>1455</v>
      </c>
      <c r="R428" s="271">
        <f t="shared" si="26"/>
        <v>0.40278958599686882</v>
      </c>
    </row>
    <row r="429" spans="1:18" x14ac:dyDescent="0.2">
      <c r="A429" s="147">
        <v>2036</v>
      </c>
      <c r="B429" s="147">
        <v>8</v>
      </c>
      <c r="D429" s="258" t="e">
        <f t="shared" si="25"/>
        <v>#REF!</v>
      </c>
      <c r="E429" s="257" t="e">
        <f t="shared" si="27"/>
        <v>#REF!</v>
      </c>
      <c r="F429" s="166">
        <v>29.52</v>
      </c>
      <c r="G429" s="148">
        <v>4272.1048755150041</v>
      </c>
      <c r="H429" s="181">
        <f>VLOOKUP($A429&amp;$B429,'KU Inputs'!$C$2:$J$530,MATCH('KU UtilityData'!H$1,'KU Inputs'!$C$1:$J$1,0),0)*1000</f>
        <v>4897855</v>
      </c>
      <c r="I429" s="181">
        <f>VLOOKUP($A429&amp;$B429,'KU Inputs'!$C$2:$J$530,MATCH('KU UtilityData'!I$1,'KU Inputs'!$C$1:$J$1,0),0)*1000</f>
        <v>5141193</v>
      </c>
      <c r="J429" s="181">
        <f>VLOOKUP($A429&amp;$B429,'KU Inputs'!$C$2:$J$530,MATCH('KU UtilityData'!J$1,'KU Inputs'!$C$1:$J$1,0),0)*1000</f>
        <v>2070819</v>
      </c>
      <c r="K429" s="231">
        <v>495096.68</v>
      </c>
      <c r="L429" s="181">
        <f>VLOOKUP($A429&amp;$B429,'KU Inputs'!$C$2:$J$530,MATCH('KU UtilityData'!L$1,'KU Inputs'!$C$1:$J$1,0),0)</f>
        <v>229812.7</v>
      </c>
      <c r="M429" s="181">
        <f>VLOOKUP($A429&amp;$B429,'KU Inputs'!$C$2:$J$530,MATCH('KU UtilityData'!M$1,'KU Inputs'!$C$1:$J$1,0),0)</f>
        <v>231582.87755786235</v>
      </c>
      <c r="N429" s="246">
        <f t="shared" si="29"/>
        <v>0.75</v>
      </c>
      <c r="O429" s="246">
        <f t="shared" si="29"/>
        <v>348.8175</v>
      </c>
      <c r="P429" s="159">
        <v>4512</v>
      </c>
      <c r="Q429" s="159">
        <v>1455</v>
      </c>
      <c r="R429" s="271">
        <f t="shared" si="26"/>
        <v>0.40278958599686882</v>
      </c>
    </row>
    <row r="430" spans="1:18" x14ac:dyDescent="0.2">
      <c r="A430" s="147">
        <v>2036</v>
      </c>
      <c r="B430" s="147">
        <v>9</v>
      </c>
      <c r="D430" s="258" t="e">
        <f t="shared" si="25"/>
        <v>#REF!</v>
      </c>
      <c r="E430" s="257" t="e">
        <f t="shared" si="27"/>
        <v>#REF!</v>
      </c>
      <c r="F430" s="166">
        <v>30.71</v>
      </c>
      <c r="G430" s="148">
        <v>4273.7955248815724</v>
      </c>
      <c r="H430" s="181">
        <f>VLOOKUP($A430&amp;$B430,'KU Inputs'!$C$2:$J$530,MATCH('KU UtilityData'!H$1,'KU Inputs'!$C$1:$J$1,0),0)*1000</f>
        <v>4897855</v>
      </c>
      <c r="I430" s="181">
        <f>VLOOKUP($A430&amp;$B430,'KU Inputs'!$C$2:$J$530,MATCH('KU UtilityData'!I$1,'KU Inputs'!$C$1:$J$1,0),0)*1000</f>
        <v>5141193</v>
      </c>
      <c r="J430" s="181">
        <f>VLOOKUP($A430&amp;$B430,'KU Inputs'!$C$2:$J$530,MATCH('KU UtilityData'!J$1,'KU Inputs'!$C$1:$J$1,0),0)*1000</f>
        <v>2070819</v>
      </c>
      <c r="K430" s="231">
        <v>495096.68</v>
      </c>
      <c r="L430" s="181">
        <f>VLOOKUP($A430&amp;$B430,'KU Inputs'!$C$2:$J$530,MATCH('KU UtilityData'!L$1,'KU Inputs'!$C$1:$J$1,0),0)</f>
        <v>229812.7</v>
      </c>
      <c r="M430" s="181">
        <f>VLOOKUP($A430&amp;$B430,'KU Inputs'!$C$2:$J$530,MATCH('KU UtilityData'!M$1,'KU Inputs'!$C$1:$J$1,0),0)</f>
        <v>231582.87755786235</v>
      </c>
      <c r="N430" s="246">
        <f t="shared" si="29"/>
        <v>11.752500000000001</v>
      </c>
      <c r="O430" s="246">
        <f t="shared" si="29"/>
        <v>258.88</v>
      </c>
      <c r="P430" s="159">
        <v>4512</v>
      </c>
      <c r="Q430" s="159">
        <v>1455</v>
      </c>
      <c r="R430" s="271">
        <f t="shared" si="26"/>
        <v>0.40278958599686882</v>
      </c>
    </row>
    <row r="431" spans="1:18" x14ac:dyDescent="0.2">
      <c r="A431" s="147">
        <v>2036</v>
      </c>
      <c r="B431" s="147">
        <v>10</v>
      </c>
      <c r="D431" s="258" t="e">
        <f t="shared" si="25"/>
        <v>#REF!</v>
      </c>
      <c r="E431" s="257" t="e">
        <f t="shared" si="27"/>
        <v>#REF!</v>
      </c>
      <c r="F431" s="166">
        <v>29.52</v>
      </c>
      <c r="G431" s="148">
        <v>4275.4861742481417</v>
      </c>
      <c r="H431" s="181">
        <f>VLOOKUP($A431&amp;$B431,'KU Inputs'!$C$2:$J$530,MATCH('KU UtilityData'!H$1,'KU Inputs'!$C$1:$J$1,0),0)*1000</f>
        <v>4901766</v>
      </c>
      <c r="I431" s="181">
        <f>VLOOKUP($A431&amp;$B431,'KU Inputs'!$C$2:$J$530,MATCH('KU UtilityData'!I$1,'KU Inputs'!$C$1:$J$1,0),0)*1000</f>
        <v>5147851</v>
      </c>
      <c r="J431" s="181">
        <f>VLOOKUP($A431&amp;$B431,'KU Inputs'!$C$2:$J$530,MATCH('KU UtilityData'!J$1,'KU Inputs'!$C$1:$J$1,0),0)*1000</f>
        <v>2074005.9999999998</v>
      </c>
      <c r="K431" s="231">
        <v>495807.81</v>
      </c>
      <c r="L431" s="181">
        <f>VLOOKUP($A431&amp;$B431,'KU Inputs'!$C$2:$J$530,MATCH('KU UtilityData'!L$1,'KU Inputs'!$C$1:$J$1,0),0)</f>
        <v>230688.69399999999</v>
      </c>
      <c r="M431" s="181">
        <f>VLOOKUP($A431&amp;$B431,'KU Inputs'!$C$2:$J$530,MATCH('KU UtilityData'!M$1,'KU Inputs'!$C$1:$J$1,0),0)</f>
        <v>232376.24896003361</v>
      </c>
      <c r="N431" s="246">
        <f t="shared" si="29"/>
        <v>134.87</v>
      </c>
      <c r="O431" s="246">
        <f t="shared" si="29"/>
        <v>71.42</v>
      </c>
      <c r="P431" s="159">
        <v>4512</v>
      </c>
      <c r="Q431" s="159">
        <v>1455</v>
      </c>
      <c r="R431" s="271">
        <f t="shared" si="26"/>
        <v>0.40288772926799937</v>
      </c>
    </row>
    <row r="432" spans="1:18" x14ac:dyDescent="0.2">
      <c r="A432" s="147">
        <v>2036</v>
      </c>
      <c r="B432" s="147">
        <v>11</v>
      </c>
      <c r="D432" s="258" t="e">
        <f t="shared" si="25"/>
        <v>#REF!</v>
      </c>
      <c r="E432" s="257" t="e">
        <f t="shared" si="27"/>
        <v>#REF!</v>
      </c>
      <c r="F432" s="166">
        <v>29.38</v>
      </c>
      <c r="G432" s="148">
        <v>4277.17682361471</v>
      </c>
      <c r="H432" s="181">
        <f>VLOOKUP($A432&amp;$B432,'KU Inputs'!$C$2:$J$530,MATCH('KU UtilityData'!H$1,'KU Inputs'!$C$1:$J$1,0),0)*1000</f>
        <v>4901766</v>
      </c>
      <c r="I432" s="181">
        <f>VLOOKUP($A432&amp;$B432,'KU Inputs'!$C$2:$J$530,MATCH('KU UtilityData'!I$1,'KU Inputs'!$C$1:$J$1,0),0)*1000</f>
        <v>5147851</v>
      </c>
      <c r="J432" s="181">
        <f>VLOOKUP($A432&amp;$B432,'KU Inputs'!$C$2:$J$530,MATCH('KU UtilityData'!J$1,'KU Inputs'!$C$1:$J$1,0),0)*1000</f>
        <v>2074005.9999999998</v>
      </c>
      <c r="K432" s="231">
        <v>495807.81</v>
      </c>
      <c r="L432" s="181">
        <f>VLOOKUP($A432&amp;$B432,'KU Inputs'!$C$2:$J$530,MATCH('KU UtilityData'!L$1,'KU Inputs'!$C$1:$J$1,0),0)</f>
        <v>230688.69399999999</v>
      </c>
      <c r="M432" s="181">
        <f>VLOOKUP($A432&amp;$B432,'KU Inputs'!$C$2:$J$530,MATCH('KU UtilityData'!M$1,'KU Inputs'!$C$1:$J$1,0),0)</f>
        <v>232376.24896003361</v>
      </c>
      <c r="N432" s="246">
        <f t="shared" si="29"/>
        <v>396.30250000000001</v>
      </c>
      <c r="O432" s="246">
        <f t="shared" si="29"/>
        <v>6.6950000000000003</v>
      </c>
      <c r="P432" s="159">
        <v>4512</v>
      </c>
      <c r="Q432" s="159">
        <v>1455</v>
      </c>
      <c r="R432" s="271">
        <f t="shared" si="26"/>
        <v>0.40288772926799937</v>
      </c>
    </row>
    <row r="433" spans="1:18" x14ac:dyDescent="0.2">
      <c r="A433" s="147">
        <v>2036</v>
      </c>
      <c r="B433" s="147">
        <v>12</v>
      </c>
      <c r="D433" s="258" t="e">
        <f t="shared" si="25"/>
        <v>#REF!</v>
      </c>
      <c r="E433" s="257" t="e">
        <f t="shared" si="27"/>
        <v>#REF!</v>
      </c>
      <c r="F433" s="166">
        <v>32.81</v>
      </c>
      <c r="G433" s="148">
        <v>4278.8674729812792</v>
      </c>
      <c r="H433" s="181">
        <f>VLOOKUP($A433&amp;$B433,'KU Inputs'!$C$2:$J$530,MATCH('KU UtilityData'!H$1,'KU Inputs'!$C$1:$J$1,0),0)*1000</f>
        <v>4901766</v>
      </c>
      <c r="I433" s="181">
        <f>VLOOKUP($A433&amp;$B433,'KU Inputs'!$C$2:$J$530,MATCH('KU UtilityData'!I$1,'KU Inputs'!$C$1:$J$1,0),0)*1000</f>
        <v>5147851</v>
      </c>
      <c r="J433" s="181">
        <f>VLOOKUP($A433&amp;$B433,'KU Inputs'!$C$2:$J$530,MATCH('KU UtilityData'!J$1,'KU Inputs'!$C$1:$J$1,0),0)*1000</f>
        <v>2074005.9999999998</v>
      </c>
      <c r="K433" s="231">
        <v>495807.81</v>
      </c>
      <c r="L433" s="181">
        <f>VLOOKUP($A433&amp;$B433,'KU Inputs'!$C$2:$J$530,MATCH('KU UtilityData'!L$1,'KU Inputs'!$C$1:$J$1,0),0)</f>
        <v>230688.69399999999</v>
      </c>
      <c r="M433" s="181">
        <f>VLOOKUP($A433&amp;$B433,'KU Inputs'!$C$2:$J$530,MATCH('KU UtilityData'!M$1,'KU Inputs'!$C$1:$J$1,0),0)</f>
        <v>232376.24896003361</v>
      </c>
      <c r="N433" s="246">
        <f t="shared" si="29"/>
        <v>714.28500000000008</v>
      </c>
      <c r="O433" s="246">
        <f t="shared" si="29"/>
        <v>0.25</v>
      </c>
      <c r="P433" s="159">
        <v>4512</v>
      </c>
      <c r="Q433" s="159">
        <v>1455</v>
      </c>
      <c r="R433" s="271">
        <f t="shared" si="26"/>
        <v>0.40288772926799937</v>
      </c>
    </row>
    <row r="434" spans="1:18" x14ac:dyDescent="0.2">
      <c r="A434" s="147">
        <v>2037</v>
      </c>
      <c r="B434" s="147">
        <v>1</v>
      </c>
      <c r="D434" s="258" t="e">
        <f t="shared" si="25"/>
        <v>#REF!</v>
      </c>
      <c r="E434" s="257" t="e">
        <f t="shared" si="27"/>
        <v>#REF!</v>
      </c>
      <c r="F434" s="166">
        <v>32.43</v>
      </c>
      <c r="G434" s="148">
        <v>4280.5581223478475</v>
      </c>
      <c r="H434" s="181">
        <f>VLOOKUP($A434&amp;$B434,'KU Inputs'!$C$2:$J$530,MATCH('KU UtilityData'!H$1,'KU Inputs'!$C$1:$J$1,0),0)*1000</f>
        <v>4905664</v>
      </c>
      <c r="I434" s="181">
        <f>VLOOKUP($A434&amp;$B434,'KU Inputs'!$C$2:$J$530,MATCH('KU UtilityData'!I$1,'KU Inputs'!$C$1:$J$1,0),0)*1000</f>
        <v>5154503</v>
      </c>
      <c r="J434" s="181">
        <f>VLOOKUP($A434&amp;$B434,'KU Inputs'!$C$2:$J$530,MATCH('KU UtilityData'!J$1,'KU Inputs'!$C$1:$J$1,0),0)*1000</f>
        <v>2077406</v>
      </c>
      <c r="K434" s="231">
        <v>496881.08</v>
      </c>
      <c r="L434" s="181">
        <f>VLOOKUP($A434&amp;$B434,'KU Inputs'!$C$2:$J$530,MATCH('KU UtilityData'!L$1,'KU Inputs'!$C$1:$J$1,0),0)</f>
        <v>232435.19899999999</v>
      </c>
      <c r="M434" s="181">
        <f>VLOOKUP($A434&amp;$B434,'KU Inputs'!$C$2:$J$530,MATCH('KU UtilityData'!M$1,'KU Inputs'!$C$1:$J$1,0),0)</f>
        <v>234041.8878051943</v>
      </c>
      <c r="N434" s="246">
        <f t="shared" si="29"/>
        <v>991.4375</v>
      </c>
      <c r="O434" s="246">
        <f t="shared" si="29"/>
        <v>0</v>
      </c>
      <c r="P434" s="159">
        <v>4512</v>
      </c>
      <c r="Q434" s="159">
        <v>1455</v>
      </c>
      <c r="R434" s="271">
        <f t="shared" si="26"/>
        <v>0.4030274111781485</v>
      </c>
    </row>
    <row r="435" spans="1:18" x14ac:dyDescent="0.2">
      <c r="A435" s="147">
        <v>2037</v>
      </c>
      <c r="B435" s="147">
        <v>2</v>
      </c>
      <c r="D435" s="258" t="e">
        <f t="shared" si="25"/>
        <v>#REF!</v>
      </c>
      <c r="E435" s="257" t="e">
        <f t="shared" si="27"/>
        <v>#REF!</v>
      </c>
      <c r="F435" s="166">
        <v>29.9</v>
      </c>
      <c r="G435" s="148">
        <v>4282.2487717144168</v>
      </c>
      <c r="H435" s="181">
        <f>VLOOKUP($A435&amp;$B435,'KU Inputs'!$C$2:$J$530,MATCH('KU UtilityData'!H$1,'KU Inputs'!$C$1:$J$1,0),0)*1000</f>
        <v>4905664</v>
      </c>
      <c r="I435" s="181">
        <f>VLOOKUP($A435&amp;$B435,'KU Inputs'!$C$2:$J$530,MATCH('KU UtilityData'!I$1,'KU Inputs'!$C$1:$J$1,0),0)*1000</f>
        <v>5154503</v>
      </c>
      <c r="J435" s="181">
        <f>VLOOKUP($A435&amp;$B435,'KU Inputs'!$C$2:$J$530,MATCH('KU UtilityData'!J$1,'KU Inputs'!$C$1:$J$1,0),0)*1000</f>
        <v>2077406</v>
      </c>
      <c r="K435" s="231">
        <v>496881.08</v>
      </c>
      <c r="L435" s="181">
        <f>VLOOKUP($A435&amp;$B435,'KU Inputs'!$C$2:$J$530,MATCH('KU UtilityData'!L$1,'KU Inputs'!$C$1:$J$1,0),0)</f>
        <v>232435.19899999999</v>
      </c>
      <c r="M435" s="181">
        <f>VLOOKUP($A435&amp;$B435,'KU Inputs'!$C$2:$J$530,MATCH('KU UtilityData'!M$1,'KU Inputs'!$C$1:$J$1,0),0)</f>
        <v>234041.8878051943</v>
      </c>
      <c r="N435" s="246">
        <f t="shared" si="29"/>
        <v>890.05499999999995</v>
      </c>
      <c r="O435" s="246">
        <f t="shared" si="29"/>
        <v>0</v>
      </c>
      <c r="P435" s="159">
        <v>4512</v>
      </c>
      <c r="Q435" s="159">
        <v>1455</v>
      </c>
      <c r="R435" s="271">
        <f t="shared" si="26"/>
        <v>0.4030274111781485</v>
      </c>
    </row>
    <row r="436" spans="1:18" x14ac:dyDescent="0.2">
      <c r="A436" s="147">
        <v>2037</v>
      </c>
      <c r="B436" s="147">
        <v>3</v>
      </c>
      <c r="D436" s="258" t="e">
        <f t="shared" si="25"/>
        <v>#REF!</v>
      </c>
      <c r="E436" s="257" t="e">
        <f t="shared" si="27"/>
        <v>#REF!</v>
      </c>
      <c r="F436" s="166">
        <v>30.33</v>
      </c>
      <c r="G436" s="148">
        <v>4283.9394210809851</v>
      </c>
      <c r="H436" s="181">
        <f>VLOOKUP($A436&amp;$B436,'KU Inputs'!$C$2:$J$530,MATCH('KU UtilityData'!H$1,'KU Inputs'!$C$1:$J$1,0),0)*1000</f>
        <v>4905664</v>
      </c>
      <c r="I436" s="181">
        <f>VLOOKUP($A436&amp;$B436,'KU Inputs'!$C$2:$J$530,MATCH('KU UtilityData'!I$1,'KU Inputs'!$C$1:$J$1,0),0)*1000</f>
        <v>5154503</v>
      </c>
      <c r="J436" s="181">
        <f>VLOOKUP($A436&amp;$B436,'KU Inputs'!$C$2:$J$530,MATCH('KU UtilityData'!J$1,'KU Inputs'!$C$1:$J$1,0),0)*1000</f>
        <v>2077406</v>
      </c>
      <c r="K436" s="231">
        <v>496881.08</v>
      </c>
      <c r="L436" s="181">
        <f>VLOOKUP($A436&amp;$B436,'KU Inputs'!$C$2:$J$530,MATCH('KU UtilityData'!L$1,'KU Inputs'!$C$1:$J$1,0),0)</f>
        <v>232435.19899999999</v>
      </c>
      <c r="M436" s="181">
        <f>VLOOKUP($A436&amp;$B436,'KU Inputs'!$C$2:$J$530,MATCH('KU UtilityData'!M$1,'KU Inputs'!$C$1:$J$1,0),0)</f>
        <v>234041.8878051943</v>
      </c>
      <c r="N436" s="246">
        <f t="shared" si="29"/>
        <v>724.63750000000005</v>
      </c>
      <c r="O436" s="246">
        <f t="shared" si="29"/>
        <v>0.92249999999999999</v>
      </c>
      <c r="P436" s="159">
        <v>4512</v>
      </c>
      <c r="Q436" s="159">
        <v>1455</v>
      </c>
      <c r="R436" s="271">
        <f t="shared" si="26"/>
        <v>0.4030274111781485</v>
      </c>
    </row>
    <row r="437" spans="1:18" x14ac:dyDescent="0.2">
      <c r="A437" s="147">
        <v>2037</v>
      </c>
      <c r="B437" s="147">
        <v>4</v>
      </c>
      <c r="D437" s="258" t="e">
        <f t="shared" si="25"/>
        <v>#REF!</v>
      </c>
      <c r="E437" s="257" t="e">
        <f t="shared" si="27"/>
        <v>#REF!</v>
      </c>
      <c r="F437" s="166">
        <v>30.29</v>
      </c>
      <c r="G437" s="148">
        <v>4285.6300704475543</v>
      </c>
      <c r="H437" s="181">
        <f>VLOOKUP($A437&amp;$B437,'KU Inputs'!$C$2:$J$530,MATCH('KU UtilityData'!H$1,'KU Inputs'!$C$1:$J$1,0),0)*1000</f>
        <v>4909552</v>
      </c>
      <c r="I437" s="181">
        <f>VLOOKUP($A437&amp;$B437,'KU Inputs'!$C$2:$J$530,MATCH('KU UtilityData'!I$1,'KU Inputs'!$C$1:$J$1,0),0)*1000</f>
        <v>5161152</v>
      </c>
      <c r="J437" s="181">
        <f>VLOOKUP($A437&amp;$B437,'KU Inputs'!$C$2:$J$530,MATCH('KU UtilityData'!J$1,'KU Inputs'!$C$1:$J$1,0),0)*1000</f>
        <v>2080764.9999999998</v>
      </c>
      <c r="K437" s="231">
        <v>497416.84</v>
      </c>
      <c r="L437" s="181">
        <f>VLOOKUP($A437&amp;$B437,'KU Inputs'!$C$2:$J$530,MATCH('KU UtilityData'!L$1,'KU Inputs'!$C$1:$J$1,0),0)</f>
        <v>233443.413</v>
      </c>
      <c r="M437" s="181">
        <f>VLOOKUP($A437&amp;$B437,'KU Inputs'!$C$2:$J$530,MATCH('KU UtilityData'!M$1,'KU Inputs'!$C$1:$J$1,0),0)</f>
        <v>235014.92108753874</v>
      </c>
      <c r="N437" s="246">
        <f t="shared" si="29"/>
        <v>433.4375</v>
      </c>
      <c r="O437" s="246">
        <f t="shared" si="29"/>
        <v>13.477500000000001</v>
      </c>
      <c r="P437" s="159">
        <v>4512</v>
      </c>
      <c r="Q437" s="159">
        <v>1455</v>
      </c>
      <c r="R437" s="271">
        <f t="shared" si="26"/>
        <v>0.40315902341182741</v>
      </c>
    </row>
    <row r="438" spans="1:18" x14ac:dyDescent="0.2">
      <c r="A438" s="147">
        <v>2037</v>
      </c>
      <c r="B438" s="147">
        <v>5</v>
      </c>
      <c r="D438" s="258" t="e">
        <f t="shared" si="25"/>
        <v>#REF!</v>
      </c>
      <c r="E438" s="257" t="e">
        <f t="shared" si="27"/>
        <v>#REF!</v>
      </c>
      <c r="F438" s="166">
        <v>30.05</v>
      </c>
      <c r="G438" s="148">
        <v>4287.3207198141226</v>
      </c>
      <c r="H438" s="181">
        <f>VLOOKUP($A438&amp;$B438,'KU Inputs'!$C$2:$J$530,MATCH('KU UtilityData'!H$1,'KU Inputs'!$C$1:$J$1,0),0)*1000</f>
        <v>4909552</v>
      </c>
      <c r="I438" s="181">
        <f>VLOOKUP($A438&amp;$B438,'KU Inputs'!$C$2:$J$530,MATCH('KU UtilityData'!I$1,'KU Inputs'!$C$1:$J$1,0),0)*1000</f>
        <v>5161152</v>
      </c>
      <c r="J438" s="181">
        <f>VLOOKUP($A438&amp;$B438,'KU Inputs'!$C$2:$J$530,MATCH('KU UtilityData'!J$1,'KU Inputs'!$C$1:$J$1,0),0)*1000</f>
        <v>2080764.9999999998</v>
      </c>
      <c r="K438" s="231">
        <v>497416.84</v>
      </c>
      <c r="L438" s="181">
        <f>VLOOKUP($A438&amp;$B438,'KU Inputs'!$C$2:$J$530,MATCH('KU UtilityData'!L$1,'KU Inputs'!$C$1:$J$1,0),0)</f>
        <v>233443.413</v>
      </c>
      <c r="M438" s="181">
        <f>VLOOKUP($A438&amp;$B438,'KU Inputs'!$C$2:$J$530,MATCH('KU UtilityData'!M$1,'KU Inputs'!$C$1:$J$1,0),0)</f>
        <v>235014.92108753874</v>
      </c>
      <c r="N438" s="246">
        <f t="shared" ref="N438:O457" si="30">N426</f>
        <v>189.125</v>
      </c>
      <c r="O438" s="246">
        <f t="shared" si="30"/>
        <v>46.06</v>
      </c>
      <c r="P438" s="159">
        <v>4512</v>
      </c>
      <c r="Q438" s="159">
        <v>1455</v>
      </c>
      <c r="R438" s="271">
        <f t="shared" si="26"/>
        <v>0.40315902341182741</v>
      </c>
    </row>
    <row r="439" spans="1:18" x14ac:dyDescent="0.2">
      <c r="A439" s="147">
        <v>2037</v>
      </c>
      <c r="B439" s="147">
        <v>6</v>
      </c>
      <c r="D439" s="258" t="e">
        <f t="shared" si="25"/>
        <v>#REF!</v>
      </c>
      <c r="E439" s="257" t="e">
        <f t="shared" si="27"/>
        <v>#REF!</v>
      </c>
      <c r="F439" s="166">
        <v>30.67</v>
      </c>
      <c r="G439" s="148">
        <v>4289.0113691806882</v>
      </c>
      <c r="H439" s="181">
        <f>VLOOKUP($A439&amp;$B439,'KU Inputs'!$C$2:$J$530,MATCH('KU UtilityData'!H$1,'KU Inputs'!$C$1:$J$1,0),0)*1000</f>
        <v>4909552</v>
      </c>
      <c r="I439" s="181">
        <f>VLOOKUP($A439&amp;$B439,'KU Inputs'!$C$2:$J$530,MATCH('KU UtilityData'!I$1,'KU Inputs'!$C$1:$J$1,0),0)*1000</f>
        <v>5161152</v>
      </c>
      <c r="J439" s="181">
        <f>VLOOKUP($A439&amp;$B439,'KU Inputs'!$C$2:$J$530,MATCH('KU UtilityData'!J$1,'KU Inputs'!$C$1:$J$1,0),0)*1000</f>
        <v>2080764.9999999998</v>
      </c>
      <c r="K439" s="231">
        <v>497416.84</v>
      </c>
      <c r="L439" s="181">
        <f>VLOOKUP($A439&amp;$B439,'KU Inputs'!$C$2:$J$530,MATCH('KU UtilityData'!L$1,'KU Inputs'!$C$1:$J$1,0),0)</f>
        <v>233443.413</v>
      </c>
      <c r="M439" s="181">
        <f>VLOOKUP($A439&amp;$B439,'KU Inputs'!$C$2:$J$530,MATCH('KU UtilityData'!M$1,'KU Inputs'!$C$1:$J$1,0),0)</f>
        <v>235014.92108753874</v>
      </c>
      <c r="N439" s="246">
        <f t="shared" si="30"/>
        <v>50.362499999999997</v>
      </c>
      <c r="O439" s="246">
        <f t="shared" si="30"/>
        <v>166.4075</v>
      </c>
      <c r="P439" s="159">
        <v>4512</v>
      </c>
      <c r="Q439" s="159">
        <v>1455</v>
      </c>
      <c r="R439" s="271">
        <f t="shared" si="26"/>
        <v>0.40315902341182741</v>
      </c>
    </row>
    <row r="440" spans="1:18" x14ac:dyDescent="0.2">
      <c r="A440" s="147">
        <v>2037</v>
      </c>
      <c r="B440" s="147">
        <v>7</v>
      </c>
      <c r="D440" s="258" t="e">
        <f t="shared" si="25"/>
        <v>#REF!</v>
      </c>
      <c r="E440" s="257" t="e">
        <f t="shared" si="27"/>
        <v>#REF!</v>
      </c>
      <c r="F440" s="166">
        <v>30.62</v>
      </c>
      <c r="G440" s="148">
        <v>4290.6880691805372</v>
      </c>
      <c r="H440" s="181">
        <f>VLOOKUP($A440&amp;$B440,'KU Inputs'!$C$2:$J$530,MATCH('KU UtilityData'!H$1,'KU Inputs'!$C$1:$J$1,0),0)*1000</f>
        <v>4913441</v>
      </c>
      <c r="I440" s="181">
        <f>VLOOKUP($A440&amp;$B440,'KU Inputs'!$C$2:$J$530,MATCH('KU UtilityData'!I$1,'KU Inputs'!$C$1:$J$1,0),0)*1000</f>
        <v>5167811</v>
      </c>
      <c r="J440" s="181">
        <f>VLOOKUP($A440&amp;$B440,'KU Inputs'!$C$2:$J$530,MATCH('KU UtilityData'!J$1,'KU Inputs'!$C$1:$J$1,0),0)*1000</f>
        <v>2084114.9999999998</v>
      </c>
      <c r="K440" s="231">
        <v>498067.18</v>
      </c>
      <c r="L440" s="181">
        <f>VLOOKUP($A440&amp;$B440,'KU Inputs'!$C$2:$J$530,MATCH('KU UtilityData'!L$1,'KU Inputs'!$C$1:$J$1,0),0)</f>
        <v>234353.842</v>
      </c>
      <c r="M440" s="181">
        <f>VLOOKUP($A440&amp;$B440,'KU Inputs'!$C$2:$J$530,MATCH('KU UtilityData'!M$1,'KU Inputs'!$C$1:$J$1,0),0)</f>
        <v>235880.41418362912</v>
      </c>
      <c r="N440" s="246">
        <f t="shared" si="30"/>
        <v>1.625</v>
      </c>
      <c r="O440" s="246">
        <f t="shared" si="30"/>
        <v>326.005</v>
      </c>
      <c r="P440" s="159">
        <v>4512</v>
      </c>
      <c r="Q440" s="159">
        <v>1455</v>
      </c>
      <c r="R440" s="271">
        <f t="shared" si="26"/>
        <v>0.40328777503666441</v>
      </c>
    </row>
    <row r="441" spans="1:18" x14ac:dyDescent="0.2">
      <c r="A441" s="147">
        <v>2037</v>
      </c>
      <c r="B441" s="147">
        <v>8</v>
      </c>
      <c r="D441" s="258" t="e">
        <f t="shared" si="25"/>
        <v>#REF!</v>
      </c>
      <c r="E441" s="257" t="e">
        <f t="shared" si="27"/>
        <v>#REF!</v>
      </c>
      <c r="F441" s="166">
        <v>29.52</v>
      </c>
      <c r="G441" s="148">
        <v>4292.3647691803853</v>
      </c>
      <c r="H441" s="181">
        <f>VLOOKUP($A441&amp;$B441,'KU Inputs'!$C$2:$J$530,MATCH('KU UtilityData'!H$1,'KU Inputs'!$C$1:$J$1,0),0)*1000</f>
        <v>4913441</v>
      </c>
      <c r="I441" s="181">
        <f>VLOOKUP($A441&amp;$B441,'KU Inputs'!$C$2:$J$530,MATCH('KU UtilityData'!I$1,'KU Inputs'!$C$1:$J$1,0),0)*1000</f>
        <v>5167811</v>
      </c>
      <c r="J441" s="181">
        <f>VLOOKUP($A441&amp;$B441,'KU Inputs'!$C$2:$J$530,MATCH('KU UtilityData'!J$1,'KU Inputs'!$C$1:$J$1,0),0)*1000</f>
        <v>2084114.9999999998</v>
      </c>
      <c r="K441" s="231">
        <v>498067.18</v>
      </c>
      <c r="L441" s="181">
        <f>VLOOKUP($A441&amp;$B441,'KU Inputs'!$C$2:$J$530,MATCH('KU UtilityData'!L$1,'KU Inputs'!$C$1:$J$1,0),0)</f>
        <v>234353.842</v>
      </c>
      <c r="M441" s="181">
        <f>VLOOKUP($A441&amp;$B441,'KU Inputs'!$C$2:$J$530,MATCH('KU UtilityData'!M$1,'KU Inputs'!$C$1:$J$1,0),0)</f>
        <v>235880.41418362912</v>
      </c>
      <c r="N441" s="246">
        <f t="shared" si="30"/>
        <v>0.75</v>
      </c>
      <c r="O441" s="246">
        <f t="shared" si="30"/>
        <v>348.8175</v>
      </c>
      <c r="P441" s="159">
        <v>4512</v>
      </c>
      <c r="Q441" s="159">
        <v>1455</v>
      </c>
      <c r="R441" s="271">
        <f t="shared" si="26"/>
        <v>0.40328777503666441</v>
      </c>
    </row>
    <row r="442" spans="1:18" x14ac:dyDescent="0.2">
      <c r="A442" s="147">
        <v>2037</v>
      </c>
      <c r="B442" s="147">
        <v>9</v>
      </c>
      <c r="D442" s="258" t="e">
        <f t="shared" si="25"/>
        <v>#REF!</v>
      </c>
      <c r="E442" s="257" t="e">
        <f t="shared" si="27"/>
        <v>#REF!</v>
      </c>
      <c r="F442" s="166">
        <v>30.71</v>
      </c>
      <c r="G442" s="148">
        <v>4294.0414691802334</v>
      </c>
      <c r="H442" s="181">
        <f>VLOOKUP($A442&amp;$B442,'KU Inputs'!$C$2:$J$530,MATCH('KU UtilityData'!H$1,'KU Inputs'!$C$1:$J$1,0),0)*1000</f>
        <v>4913441</v>
      </c>
      <c r="I442" s="181">
        <f>VLOOKUP($A442&amp;$B442,'KU Inputs'!$C$2:$J$530,MATCH('KU UtilityData'!I$1,'KU Inputs'!$C$1:$J$1,0),0)*1000</f>
        <v>5167811</v>
      </c>
      <c r="J442" s="181">
        <f>VLOOKUP($A442&amp;$B442,'KU Inputs'!$C$2:$J$530,MATCH('KU UtilityData'!J$1,'KU Inputs'!$C$1:$J$1,0),0)*1000</f>
        <v>2084114.9999999998</v>
      </c>
      <c r="K442" s="231">
        <v>498067.18</v>
      </c>
      <c r="L442" s="181">
        <f>VLOOKUP($A442&amp;$B442,'KU Inputs'!$C$2:$J$530,MATCH('KU UtilityData'!L$1,'KU Inputs'!$C$1:$J$1,0),0)</f>
        <v>234353.842</v>
      </c>
      <c r="M442" s="181">
        <f>VLOOKUP($A442&amp;$B442,'KU Inputs'!$C$2:$J$530,MATCH('KU UtilityData'!M$1,'KU Inputs'!$C$1:$J$1,0),0)</f>
        <v>235880.41418362912</v>
      </c>
      <c r="N442" s="246">
        <f t="shared" si="30"/>
        <v>11.752500000000001</v>
      </c>
      <c r="O442" s="246">
        <f t="shared" si="30"/>
        <v>258.88</v>
      </c>
      <c r="P442" s="159">
        <v>4512</v>
      </c>
      <c r="Q442" s="159">
        <v>1455</v>
      </c>
      <c r="R442" s="271">
        <f t="shared" si="26"/>
        <v>0.40328777503666441</v>
      </c>
    </row>
    <row r="443" spans="1:18" x14ac:dyDescent="0.2">
      <c r="A443" s="147">
        <v>2037</v>
      </c>
      <c r="B443" s="147">
        <v>10</v>
      </c>
      <c r="D443" s="258" t="e">
        <f t="shared" si="25"/>
        <v>#REF!</v>
      </c>
      <c r="E443" s="257" t="e">
        <f t="shared" si="27"/>
        <v>#REF!</v>
      </c>
      <c r="F443" s="166">
        <v>29.52</v>
      </c>
      <c r="G443" s="148">
        <v>4295.7181691800824</v>
      </c>
      <c r="H443" s="181">
        <f>VLOOKUP($A443&amp;$B443,'KU Inputs'!$C$2:$J$530,MATCH('KU UtilityData'!H$1,'KU Inputs'!$C$1:$J$1,0),0)*1000</f>
        <v>4917309</v>
      </c>
      <c r="I443" s="181">
        <f>VLOOKUP($A443&amp;$B443,'KU Inputs'!$C$2:$J$530,MATCH('KU UtilityData'!I$1,'KU Inputs'!$C$1:$J$1,0),0)*1000</f>
        <v>5174454</v>
      </c>
      <c r="J443" s="181">
        <f>VLOOKUP($A443&amp;$B443,'KU Inputs'!$C$2:$J$530,MATCH('KU UtilityData'!J$1,'KU Inputs'!$C$1:$J$1,0),0)*1000</f>
        <v>2087301</v>
      </c>
      <c r="K443" s="231">
        <v>498711.4</v>
      </c>
      <c r="L443" s="181">
        <f>VLOOKUP($A443&amp;$B443,'KU Inputs'!$C$2:$J$530,MATCH('KU UtilityData'!L$1,'KU Inputs'!$C$1:$J$1,0),0)</f>
        <v>235229.45199999999</v>
      </c>
      <c r="M443" s="181">
        <f>VLOOKUP($A443&amp;$B443,'KU Inputs'!$C$2:$J$530,MATCH('KU UtilityData'!M$1,'KU Inputs'!$C$1:$J$1,0),0)</f>
        <v>236746.10323013621</v>
      </c>
      <c r="N443" s="246">
        <f t="shared" si="30"/>
        <v>134.87</v>
      </c>
      <c r="O443" s="246">
        <f t="shared" si="30"/>
        <v>71.42</v>
      </c>
      <c r="P443" s="159">
        <v>4512</v>
      </c>
      <c r="Q443" s="159">
        <v>1455</v>
      </c>
      <c r="R443" s="271">
        <f t="shared" si="26"/>
        <v>0.40338574852535164</v>
      </c>
    </row>
    <row r="444" spans="1:18" x14ac:dyDescent="0.2">
      <c r="A444" s="147">
        <v>2037</v>
      </c>
      <c r="B444" s="147">
        <v>11</v>
      </c>
      <c r="D444" s="258" t="e">
        <f t="shared" si="25"/>
        <v>#REF!</v>
      </c>
      <c r="E444" s="257" t="e">
        <f t="shared" si="27"/>
        <v>#REF!</v>
      </c>
      <c r="F444" s="166">
        <v>29.38</v>
      </c>
      <c r="G444" s="148">
        <v>4297.3948691799305</v>
      </c>
      <c r="H444" s="181">
        <f>VLOOKUP($A444&amp;$B444,'KU Inputs'!$C$2:$J$530,MATCH('KU UtilityData'!H$1,'KU Inputs'!$C$1:$J$1,0),0)*1000</f>
        <v>4917309</v>
      </c>
      <c r="I444" s="181">
        <f>VLOOKUP($A444&amp;$B444,'KU Inputs'!$C$2:$J$530,MATCH('KU UtilityData'!I$1,'KU Inputs'!$C$1:$J$1,0),0)*1000</f>
        <v>5174454</v>
      </c>
      <c r="J444" s="181">
        <f>VLOOKUP($A444&amp;$B444,'KU Inputs'!$C$2:$J$530,MATCH('KU UtilityData'!J$1,'KU Inputs'!$C$1:$J$1,0),0)*1000</f>
        <v>2087301</v>
      </c>
      <c r="K444" s="231">
        <v>498711.4</v>
      </c>
      <c r="L444" s="181">
        <f>VLOOKUP($A444&amp;$B444,'KU Inputs'!$C$2:$J$530,MATCH('KU UtilityData'!L$1,'KU Inputs'!$C$1:$J$1,0),0)</f>
        <v>235229.45199999999</v>
      </c>
      <c r="M444" s="181">
        <f>VLOOKUP($A444&amp;$B444,'KU Inputs'!$C$2:$J$530,MATCH('KU UtilityData'!M$1,'KU Inputs'!$C$1:$J$1,0),0)</f>
        <v>236746.10323013621</v>
      </c>
      <c r="N444" s="246">
        <f t="shared" si="30"/>
        <v>396.30250000000001</v>
      </c>
      <c r="O444" s="246">
        <f t="shared" si="30"/>
        <v>6.6950000000000003</v>
      </c>
      <c r="P444" s="159">
        <v>4512</v>
      </c>
      <c r="Q444" s="159">
        <v>1455</v>
      </c>
      <c r="R444" s="271">
        <f t="shared" si="26"/>
        <v>0.40338574852535164</v>
      </c>
    </row>
    <row r="445" spans="1:18" x14ac:dyDescent="0.2">
      <c r="A445" s="147">
        <v>2037</v>
      </c>
      <c r="B445" s="147">
        <v>12</v>
      </c>
      <c r="D445" s="258" t="e">
        <f t="shared" si="25"/>
        <v>#REF!</v>
      </c>
      <c r="E445" s="257" t="e">
        <f t="shared" si="27"/>
        <v>#REF!</v>
      </c>
      <c r="F445" s="166">
        <v>32.81</v>
      </c>
      <c r="G445" s="148">
        <v>4299.0715691797786</v>
      </c>
      <c r="H445" s="181">
        <f>VLOOKUP($A445&amp;$B445,'KU Inputs'!$C$2:$J$530,MATCH('KU UtilityData'!H$1,'KU Inputs'!$C$1:$J$1,0),0)*1000</f>
        <v>4917309</v>
      </c>
      <c r="I445" s="181">
        <f>VLOOKUP($A445&amp;$B445,'KU Inputs'!$C$2:$J$530,MATCH('KU UtilityData'!I$1,'KU Inputs'!$C$1:$J$1,0),0)*1000</f>
        <v>5174454</v>
      </c>
      <c r="J445" s="181">
        <f>VLOOKUP($A445&amp;$B445,'KU Inputs'!$C$2:$J$530,MATCH('KU UtilityData'!J$1,'KU Inputs'!$C$1:$J$1,0),0)*1000</f>
        <v>2087301</v>
      </c>
      <c r="K445" s="231">
        <v>498711.4</v>
      </c>
      <c r="L445" s="181">
        <f>VLOOKUP($A445&amp;$B445,'KU Inputs'!$C$2:$J$530,MATCH('KU UtilityData'!L$1,'KU Inputs'!$C$1:$J$1,0),0)</f>
        <v>235229.45199999999</v>
      </c>
      <c r="M445" s="181">
        <f>VLOOKUP($A445&amp;$B445,'KU Inputs'!$C$2:$J$530,MATCH('KU UtilityData'!M$1,'KU Inputs'!$C$1:$J$1,0),0)</f>
        <v>236746.10323013621</v>
      </c>
      <c r="N445" s="246">
        <f t="shared" si="30"/>
        <v>714.28500000000008</v>
      </c>
      <c r="O445" s="246">
        <f t="shared" si="30"/>
        <v>0.25</v>
      </c>
      <c r="P445" s="159">
        <v>4512</v>
      </c>
      <c r="Q445" s="159">
        <v>1455</v>
      </c>
      <c r="R445" s="271">
        <f t="shared" si="26"/>
        <v>0.40338574852535164</v>
      </c>
    </row>
    <row r="446" spans="1:18" x14ac:dyDescent="0.2">
      <c r="A446" s="147">
        <v>2038</v>
      </c>
      <c r="B446" s="147">
        <v>1</v>
      </c>
      <c r="D446" s="258" t="e">
        <f t="shared" si="25"/>
        <v>#REF!</v>
      </c>
      <c r="E446" s="257" t="e">
        <f t="shared" si="27"/>
        <v>#REF!</v>
      </c>
      <c r="F446" s="166">
        <v>32.43</v>
      </c>
      <c r="G446" s="148">
        <v>4300.7482691796276</v>
      </c>
      <c r="H446" s="181">
        <f>VLOOKUP($A446&amp;$B446,'KU Inputs'!$C$2:$J$530,MATCH('KU UtilityData'!H$1,'KU Inputs'!$C$1:$J$1,0),0)*1000</f>
        <v>4921172</v>
      </c>
      <c r="I446" s="181">
        <f>VLOOKUP($A446&amp;$B446,'KU Inputs'!$C$2:$J$530,MATCH('KU UtilityData'!I$1,'KU Inputs'!$C$1:$J$1,0),0)*1000</f>
        <v>5181100</v>
      </c>
      <c r="J446" s="181">
        <f>VLOOKUP($A446&amp;$B446,'KU Inputs'!$C$2:$J$530,MATCH('KU UtilityData'!J$1,'KU Inputs'!$C$1:$J$1,0),0)*1000</f>
        <v>2090703</v>
      </c>
      <c r="K446" s="231">
        <v>499363.49</v>
      </c>
      <c r="L446" s="181">
        <f>VLOOKUP($A446&amp;$B446,'KU Inputs'!$C$2:$J$530,MATCH('KU UtilityData'!L$1,'KU Inputs'!$C$1:$J$1,0),0)</f>
        <v>237001.329</v>
      </c>
      <c r="M446" s="181">
        <f>VLOOKUP($A446&amp;$B446,'KU Inputs'!$C$2:$J$530,MATCH('KU UtilityData'!M$1,'KU Inputs'!$C$1:$J$1,0),0)</f>
        <v>238591.12916266956</v>
      </c>
      <c r="N446" s="246">
        <f t="shared" si="30"/>
        <v>991.4375</v>
      </c>
      <c r="O446" s="246">
        <f t="shared" si="30"/>
        <v>0</v>
      </c>
      <c r="P446" s="159">
        <v>4512</v>
      </c>
      <c r="Q446" s="159">
        <v>1455</v>
      </c>
      <c r="R446" s="271">
        <f t="shared" si="26"/>
        <v>0.40352492713902455</v>
      </c>
    </row>
    <row r="447" spans="1:18" x14ac:dyDescent="0.2">
      <c r="A447" s="147">
        <v>2038</v>
      </c>
      <c r="B447" s="147">
        <v>2</v>
      </c>
      <c r="D447" s="258" t="e">
        <f t="shared" si="25"/>
        <v>#REF!</v>
      </c>
      <c r="E447" s="257" t="e">
        <f t="shared" si="27"/>
        <v>#REF!</v>
      </c>
      <c r="F447" s="166">
        <v>29.9</v>
      </c>
      <c r="G447" s="148">
        <v>4302.4249691794757</v>
      </c>
      <c r="H447" s="181">
        <f>VLOOKUP($A447&amp;$B447,'KU Inputs'!$C$2:$J$530,MATCH('KU UtilityData'!H$1,'KU Inputs'!$C$1:$J$1,0),0)*1000</f>
        <v>4921172</v>
      </c>
      <c r="I447" s="181">
        <f>VLOOKUP($A447&amp;$B447,'KU Inputs'!$C$2:$J$530,MATCH('KU UtilityData'!I$1,'KU Inputs'!$C$1:$J$1,0),0)*1000</f>
        <v>5181100</v>
      </c>
      <c r="J447" s="181">
        <f>VLOOKUP($A447&amp;$B447,'KU Inputs'!$C$2:$J$530,MATCH('KU UtilityData'!J$1,'KU Inputs'!$C$1:$J$1,0),0)*1000</f>
        <v>2090703</v>
      </c>
      <c r="K447" s="231">
        <v>499363.49</v>
      </c>
      <c r="L447" s="181">
        <f>VLOOKUP($A447&amp;$B447,'KU Inputs'!$C$2:$J$530,MATCH('KU UtilityData'!L$1,'KU Inputs'!$C$1:$J$1,0),0)</f>
        <v>237001.329</v>
      </c>
      <c r="M447" s="181">
        <f>VLOOKUP($A447&amp;$B447,'KU Inputs'!$C$2:$J$530,MATCH('KU UtilityData'!M$1,'KU Inputs'!$C$1:$J$1,0),0)</f>
        <v>238591.12916266956</v>
      </c>
      <c r="N447" s="246">
        <f t="shared" si="30"/>
        <v>890.05499999999995</v>
      </c>
      <c r="O447" s="246">
        <f t="shared" si="30"/>
        <v>0</v>
      </c>
      <c r="P447" s="159">
        <v>4512</v>
      </c>
      <c r="Q447" s="159">
        <v>1455</v>
      </c>
      <c r="R447" s="271">
        <f t="shared" si="26"/>
        <v>0.40352492713902455</v>
      </c>
    </row>
    <row r="448" spans="1:18" x14ac:dyDescent="0.2">
      <c r="A448" s="147">
        <v>2038</v>
      </c>
      <c r="B448" s="147">
        <v>3</v>
      </c>
      <c r="D448" s="258" t="e">
        <f t="shared" si="25"/>
        <v>#REF!</v>
      </c>
      <c r="E448" s="257" t="e">
        <f t="shared" si="27"/>
        <v>#REF!</v>
      </c>
      <c r="F448" s="166">
        <v>30.33</v>
      </c>
      <c r="G448" s="148">
        <v>4304.1016691793238</v>
      </c>
      <c r="H448" s="181">
        <f>VLOOKUP($A448&amp;$B448,'KU Inputs'!$C$2:$J$530,MATCH('KU UtilityData'!H$1,'KU Inputs'!$C$1:$J$1,0),0)*1000</f>
        <v>4921172</v>
      </c>
      <c r="I448" s="181">
        <f>VLOOKUP($A448&amp;$B448,'KU Inputs'!$C$2:$J$530,MATCH('KU UtilityData'!I$1,'KU Inputs'!$C$1:$J$1,0),0)*1000</f>
        <v>5181100</v>
      </c>
      <c r="J448" s="181">
        <f>VLOOKUP($A448&amp;$B448,'KU Inputs'!$C$2:$J$530,MATCH('KU UtilityData'!J$1,'KU Inputs'!$C$1:$J$1,0),0)*1000</f>
        <v>2090703</v>
      </c>
      <c r="K448" s="231">
        <v>499363.49</v>
      </c>
      <c r="L448" s="181">
        <f>VLOOKUP($A448&amp;$B448,'KU Inputs'!$C$2:$J$530,MATCH('KU UtilityData'!L$1,'KU Inputs'!$C$1:$J$1,0),0)</f>
        <v>237001.329</v>
      </c>
      <c r="M448" s="181">
        <f>VLOOKUP($A448&amp;$B448,'KU Inputs'!$C$2:$J$530,MATCH('KU UtilityData'!M$1,'KU Inputs'!$C$1:$J$1,0),0)</f>
        <v>238591.12916266956</v>
      </c>
      <c r="N448" s="246">
        <f t="shared" si="30"/>
        <v>724.63750000000005</v>
      </c>
      <c r="O448" s="246">
        <f t="shared" si="30"/>
        <v>0.92249999999999999</v>
      </c>
      <c r="P448" s="159">
        <v>4512</v>
      </c>
      <c r="Q448" s="159">
        <v>1455</v>
      </c>
      <c r="R448" s="271">
        <f t="shared" si="26"/>
        <v>0.40352492713902455</v>
      </c>
    </row>
    <row r="449" spans="1:18" x14ac:dyDescent="0.2">
      <c r="A449" s="147">
        <v>2038</v>
      </c>
      <c r="B449" s="147">
        <v>4</v>
      </c>
      <c r="D449" s="258" t="e">
        <f t="shared" si="25"/>
        <v>#REF!</v>
      </c>
      <c r="E449" s="257" t="e">
        <f t="shared" si="27"/>
        <v>#REF!</v>
      </c>
      <c r="F449" s="166">
        <v>30.29</v>
      </c>
      <c r="G449" s="148">
        <v>4305.7783691791728</v>
      </c>
      <c r="H449" s="181">
        <f>VLOOKUP($A449&amp;$B449,'KU Inputs'!$C$2:$J$530,MATCH('KU UtilityData'!H$1,'KU Inputs'!$C$1:$J$1,0),0)*1000</f>
        <v>4925031</v>
      </c>
      <c r="I449" s="181">
        <f>VLOOKUP($A449&amp;$B449,'KU Inputs'!$C$2:$J$530,MATCH('KU UtilityData'!I$1,'KU Inputs'!$C$1:$J$1,0),0)*1000</f>
        <v>5187749</v>
      </c>
      <c r="J449" s="181">
        <f>VLOOKUP($A449&amp;$B449,'KU Inputs'!$C$2:$J$530,MATCH('KU UtilityData'!J$1,'KU Inputs'!$C$1:$J$1,0),0)*1000</f>
        <v>2094067</v>
      </c>
      <c r="K449" s="231">
        <v>500026.3</v>
      </c>
      <c r="L449" s="181">
        <f>VLOOKUP($A449&amp;$B449,'KU Inputs'!$C$2:$J$530,MATCH('KU UtilityData'!L$1,'KU Inputs'!$C$1:$J$1,0),0)</f>
        <v>237918.01</v>
      </c>
      <c r="M449" s="181">
        <f>VLOOKUP($A449&amp;$B449,'KU Inputs'!$C$2:$J$530,MATCH('KU UtilityData'!M$1,'KU Inputs'!$C$1:$J$1,0),0)</f>
        <v>239529.22045199905</v>
      </c>
      <c r="N449" s="246">
        <f t="shared" si="30"/>
        <v>433.4375</v>
      </c>
      <c r="O449" s="246">
        <f t="shared" si="30"/>
        <v>13.477500000000001</v>
      </c>
      <c r="P449" s="159">
        <v>4512</v>
      </c>
      <c r="Q449" s="159">
        <v>1455</v>
      </c>
      <c r="R449" s="271">
        <f t="shared" si="26"/>
        <v>0.40365619076790338</v>
      </c>
    </row>
    <row r="450" spans="1:18" x14ac:dyDescent="0.2">
      <c r="A450" s="147">
        <v>2038</v>
      </c>
      <c r="B450" s="147">
        <v>5</v>
      </c>
      <c r="D450" s="258" t="e">
        <f t="shared" si="25"/>
        <v>#REF!</v>
      </c>
      <c r="E450" s="257" t="e">
        <f t="shared" si="27"/>
        <v>#REF!</v>
      </c>
      <c r="F450" s="166">
        <v>30.05</v>
      </c>
      <c r="G450" s="148">
        <v>4307.4550691790209</v>
      </c>
      <c r="H450" s="181">
        <f>VLOOKUP($A450&amp;$B450,'KU Inputs'!$C$2:$J$530,MATCH('KU UtilityData'!H$1,'KU Inputs'!$C$1:$J$1,0),0)*1000</f>
        <v>4925031</v>
      </c>
      <c r="I450" s="181">
        <f>VLOOKUP($A450&amp;$B450,'KU Inputs'!$C$2:$J$530,MATCH('KU UtilityData'!I$1,'KU Inputs'!$C$1:$J$1,0),0)*1000</f>
        <v>5187749</v>
      </c>
      <c r="J450" s="181">
        <f>VLOOKUP($A450&amp;$B450,'KU Inputs'!$C$2:$J$530,MATCH('KU UtilityData'!J$1,'KU Inputs'!$C$1:$J$1,0),0)*1000</f>
        <v>2094067</v>
      </c>
      <c r="K450" s="231">
        <v>500026.3</v>
      </c>
      <c r="L450" s="181">
        <f>VLOOKUP($A450&amp;$B450,'KU Inputs'!$C$2:$J$530,MATCH('KU UtilityData'!L$1,'KU Inputs'!$C$1:$J$1,0),0)</f>
        <v>237918.01</v>
      </c>
      <c r="M450" s="181">
        <f>VLOOKUP($A450&amp;$B450,'KU Inputs'!$C$2:$J$530,MATCH('KU UtilityData'!M$1,'KU Inputs'!$C$1:$J$1,0),0)</f>
        <v>239529.22045199905</v>
      </c>
      <c r="N450" s="246">
        <f t="shared" si="30"/>
        <v>189.125</v>
      </c>
      <c r="O450" s="246">
        <f t="shared" si="30"/>
        <v>46.06</v>
      </c>
      <c r="P450" s="159">
        <v>4512</v>
      </c>
      <c r="Q450" s="159">
        <v>1455</v>
      </c>
      <c r="R450" s="271">
        <f t="shared" si="26"/>
        <v>0.40365619076790338</v>
      </c>
    </row>
    <row r="451" spans="1:18" x14ac:dyDescent="0.2">
      <c r="A451" s="147">
        <v>2038</v>
      </c>
      <c r="B451" s="147">
        <v>6</v>
      </c>
      <c r="D451" s="258" t="e">
        <f t="shared" ref="D451:D505" si="31">D439*(1+0.02)</f>
        <v>#REF!</v>
      </c>
      <c r="E451" s="257" t="e">
        <f t="shared" si="27"/>
        <v>#REF!</v>
      </c>
      <c r="F451" s="166">
        <v>30.67</v>
      </c>
      <c r="G451" s="148">
        <v>4309.1317691788645</v>
      </c>
      <c r="H451" s="181">
        <f>VLOOKUP($A451&amp;$B451,'KU Inputs'!$C$2:$J$530,MATCH('KU UtilityData'!H$1,'KU Inputs'!$C$1:$J$1,0),0)*1000</f>
        <v>4925031</v>
      </c>
      <c r="I451" s="181">
        <f>VLOOKUP($A451&amp;$B451,'KU Inputs'!$C$2:$J$530,MATCH('KU UtilityData'!I$1,'KU Inputs'!$C$1:$J$1,0),0)*1000</f>
        <v>5187749</v>
      </c>
      <c r="J451" s="181">
        <f>VLOOKUP($A451&amp;$B451,'KU Inputs'!$C$2:$J$530,MATCH('KU UtilityData'!J$1,'KU Inputs'!$C$1:$J$1,0),0)*1000</f>
        <v>2094067</v>
      </c>
      <c r="K451" s="231">
        <v>500026.3</v>
      </c>
      <c r="L451" s="181">
        <f>VLOOKUP($A451&amp;$B451,'KU Inputs'!$C$2:$J$530,MATCH('KU UtilityData'!L$1,'KU Inputs'!$C$1:$J$1,0),0)</f>
        <v>237918.01</v>
      </c>
      <c r="M451" s="181">
        <f>VLOOKUP($A451&amp;$B451,'KU Inputs'!$C$2:$J$530,MATCH('KU UtilityData'!M$1,'KU Inputs'!$C$1:$J$1,0),0)</f>
        <v>239529.22045199905</v>
      </c>
      <c r="N451" s="246">
        <f t="shared" si="30"/>
        <v>50.362499999999997</v>
      </c>
      <c r="O451" s="246">
        <f t="shared" si="30"/>
        <v>166.4075</v>
      </c>
      <c r="P451" s="159">
        <v>4512</v>
      </c>
      <c r="Q451" s="159">
        <v>1455</v>
      </c>
      <c r="R451" s="271">
        <f t="shared" ref="R451:R514" si="32">J451/I451</f>
        <v>0.40365619076790338</v>
      </c>
    </row>
    <row r="452" spans="1:18" x14ac:dyDescent="0.2">
      <c r="A452" s="147">
        <v>2038</v>
      </c>
      <c r="B452" s="147">
        <v>7</v>
      </c>
      <c r="D452" s="258" t="e">
        <f t="shared" si="31"/>
        <v>#REF!</v>
      </c>
      <c r="E452" s="257" t="e">
        <f t="shared" si="27"/>
        <v>#REF!</v>
      </c>
      <c r="F452" s="166">
        <v>30.62</v>
      </c>
      <c r="G452" s="148">
        <v>4310.8027089924553</v>
      </c>
      <c r="H452" s="181">
        <f>VLOOKUP($A452&amp;$B452,'KU Inputs'!$C$2:$J$530,MATCH('KU UtilityData'!H$1,'KU Inputs'!$C$1:$J$1,0),0)*1000</f>
        <v>4928887</v>
      </c>
      <c r="I452" s="181">
        <f>VLOOKUP($A452&amp;$B452,'KU Inputs'!$C$2:$J$530,MATCH('KU UtilityData'!I$1,'KU Inputs'!$C$1:$J$1,0),0)*1000</f>
        <v>5194402</v>
      </c>
      <c r="J452" s="181">
        <f>VLOOKUP($A452&amp;$B452,'KU Inputs'!$C$2:$J$530,MATCH('KU UtilityData'!J$1,'KU Inputs'!$C$1:$J$1,0),0)*1000</f>
        <v>2097416</v>
      </c>
      <c r="K452" s="231">
        <v>500683.64</v>
      </c>
      <c r="L452" s="181">
        <f>VLOOKUP($A452&amp;$B452,'KU Inputs'!$C$2:$J$530,MATCH('KU UtilityData'!L$1,'KU Inputs'!$C$1:$J$1,0),0)</f>
        <v>238774.076</v>
      </c>
      <c r="M452" s="181">
        <f>VLOOKUP($A452&amp;$B452,'KU Inputs'!$C$2:$J$530,MATCH('KU UtilityData'!M$1,'KU Inputs'!$C$1:$J$1,0),0)</f>
        <v>240356.41755635547</v>
      </c>
      <c r="N452" s="246">
        <f t="shared" si="30"/>
        <v>1.625</v>
      </c>
      <c r="O452" s="246">
        <f t="shared" si="30"/>
        <v>326.005</v>
      </c>
      <c r="P452" s="159">
        <v>4512</v>
      </c>
      <c r="Q452" s="159">
        <v>1455</v>
      </c>
      <c r="R452" s="271">
        <f t="shared" si="32"/>
        <v>0.40378391968892663</v>
      </c>
    </row>
    <row r="453" spans="1:18" x14ac:dyDescent="0.2">
      <c r="A453" s="147">
        <v>2038</v>
      </c>
      <c r="B453" s="147">
        <v>8</v>
      </c>
      <c r="D453" s="258" t="e">
        <f t="shared" si="31"/>
        <v>#REF!</v>
      </c>
      <c r="E453" s="257" t="e">
        <f t="shared" si="27"/>
        <v>#REF!</v>
      </c>
      <c r="F453" s="166">
        <v>29.52</v>
      </c>
      <c r="G453" s="148">
        <v>4312.4736488060462</v>
      </c>
      <c r="H453" s="181">
        <f>VLOOKUP($A453&amp;$B453,'KU Inputs'!$C$2:$J$530,MATCH('KU UtilityData'!H$1,'KU Inputs'!$C$1:$J$1,0),0)*1000</f>
        <v>4928887</v>
      </c>
      <c r="I453" s="181">
        <f>VLOOKUP($A453&amp;$B453,'KU Inputs'!$C$2:$J$530,MATCH('KU UtilityData'!I$1,'KU Inputs'!$C$1:$J$1,0),0)*1000</f>
        <v>5194402</v>
      </c>
      <c r="J453" s="181">
        <f>VLOOKUP($A453&amp;$B453,'KU Inputs'!$C$2:$J$530,MATCH('KU UtilityData'!J$1,'KU Inputs'!$C$1:$J$1,0),0)*1000</f>
        <v>2097416</v>
      </c>
      <c r="K453" s="231">
        <v>500683.64</v>
      </c>
      <c r="L453" s="181">
        <f>VLOOKUP($A453&amp;$B453,'KU Inputs'!$C$2:$J$530,MATCH('KU UtilityData'!L$1,'KU Inputs'!$C$1:$J$1,0),0)</f>
        <v>238774.076</v>
      </c>
      <c r="M453" s="181">
        <f>VLOOKUP($A453&amp;$B453,'KU Inputs'!$C$2:$J$530,MATCH('KU UtilityData'!M$1,'KU Inputs'!$C$1:$J$1,0),0)</f>
        <v>240356.41755635547</v>
      </c>
      <c r="N453" s="246">
        <f t="shared" si="30"/>
        <v>0.75</v>
      </c>
      <c r="O453" s="246">
        <f t="shared" si="30"/>
        <v>348.8175</v>
      </c>
      <c r="P453" s="159">
        <v>4512</v>
      </c>
      <c r="Q453" s="159">
        <v>1455</v>
      </c>
      <c r="R453" s="271">
        <f t="shared" si="32"/>
        <v>0.40378391968892663</v>
      </c>
    </row>
    <row r="454" spans="1:18" x14ac:dyDescent="0.2">
      <c r="A454" s="147">
        <v>2038</v>
      </c>
      <c r="B454" s="147">
        <v>9</v>
      </c>
      <c r="D454" s="258" t="e">
        <f t="shared" si="31"/>
        <v>#REF!</v>
      </c>
      <c r="E454" s="257" t="e">
        <f t="shared" si="27"/>
        <v>#REF!</v>
      </c>
      <c r="F454" s="166">
        <v>30.71</v>
      </c>
      <c r="G454" s="148">
        <v>4314.1445886196361</v>
      </c>
      <c r="H454" s="181">
        <f>VLOOKUP($A454&amp;$B454,'KU Inputs'!$C$2:$J$530,MATCH('KU UtilityData'!H$1,'KU Inputs'!$C$1:$J$1,0),0)*1000</f>
        <v>4928887</v>
      </c>
      <c r="I454" s="181">
        <f>VLOOKUP($A454&amp;$B454,'KU Inputs'!$C$2:$J$530,MATCH('KU UtilityData'!I$1,'KU Inputs'!$C$1:$J$1,0),0)*1000</f>
        <v>5194402</v>
      </c>
      <c r="J454" s="181">
        <f>VLOOKUP($A454&amp;$B454,'KU Inputs'!$C$2:$J$530,MATCH('KU UtilityData'!J$1,'KU Inputs'!$C$1:$J$1,0),0)*1000</f>
        <v>2097416</v>
      </c>
      <c r="K454" s="231">
        <v>500683.64</v>
      </c>
      <c r="L454" s="181">
        <f>VLOOKUP($A454&amp;$B454,'KU Inputs'!$C$2:$J$530,MATCH('KU UtilityData'!L$1,'KU Inputs'!$C$1:$J$1,0),0)</f>
        <v>238774.076</v>
      </c>
      <c r="M454" s="181">
        <f>VLOOKUP($A454&amp;$B454,'KU Inputs'!$C$2:$J$530,MATCH('KU UtilityData'!M$1,'KU Inputs'!$C$1:$J$1,0),0)</f>
        <v>240356.41755635547</v>
      </c>
      <c r="N454" s="246">
        <f t="shared" si="30"/>
        <v>11.752500000000001</v>
      </c>
      <c r="O454" s="246">
        <f t="shared" si="30"/>
        <v>258.88</v>
      </c>
      <c r="P454" s="159">
        <v>4512</v>
      </c>
      <c r="Q454" s="159">
        <v>1455</v>
      </c>
      <c r="R454" s="271">
        <f t="shared" si="32"/>
        <v>0.40378391968892663</v>
      </c>
    </row>
    <row r="455" spans="1:18" x14ac:dyDescent="0.2">
      <c r="A455" s="147">
        <v>2038</v>
      </c>
      <c r="B455" s="147">
        <v>10</v>
      </c>
      <c r="D455" s="258" t="e">
        <f t="shared" si="31"/>
        <v>#REF!</v>
      </c>
      <c r="E455" s="257" t="e">
        <f t="shared" si="27"/>
        <v>#REF!</v>
      </c>
      <c r="F455" s="166">
        <v>29.52</v>
      </c>
      <c r="G455" s="148">
        <v>4315.815528433227</v>
      </c>
      <c r="H455" s="181">
        <f>VLOOKUP($A455&amp;$B455,'KU Inputs'!$C$2:$J$530,MATCH('KU UtilityData'!H$1,'KU Inputs'!$C$1:$J$1,0),0)*1000</f>
        <v>4932763</v>
      </c>
      <c r="I455" s="181">
        <f>VLOOKUP($A455&amp;$B455,'KU Inputs'!$C$2:$J$530,MATCH('KU UtilityData'!I$1,'KU Inputs'!$C$1:$J$1,0),0)*1000</f>
        <v>5201086</v>
      </c>
      <c r="J455" s="181">
        <f>VLOOKUP($A455&amp;$B455,'KU Inputs'!$C$2:$J$530,MATCH('KU UtilityData'!J$1,'KU Inputs'!$C$1:$J$1,0),0)*1000</f>
        <v>2100620</v>
      </c>
      <c r="K455" s="231">
        <v>501343.61</v>
      </c>
      <c r="L455" s="181">
        <f>VLOOKUP($A455&amp;$B455,'KU Inputs'!$C$2:$J$530,MATCH('KU UtilityData'!L$1,'KU Inputs'!$C$1:$J$1,0),0)</f>
        <v>239533.158</v>
      </c>
      <c r="M455" s="181">
        <f>VLOOKUP($A455&amp;$B455,'KU Inputs'!$C$2:$J$530,MATCH('KU UtilityData'!M$1,'KU Inputs'!$C$1:$J$1,0),0)</f>
        <v>241150.97720374091</v>
      </c>
      <c r="N455" s="246">
        <f t="shared" si="30"/>
        <v>134.87</v>
      </c>
      <c r="O455" s="246">
        <f t="shared" si="30"/>
        <v>71.42</v>
      </c>
      <c r="P455" s="159">
        <v>4512</v>
      </c>
      <c r="Q455" s="159">
        <v>1455</v>
      </c>
      <c r="R455" s="271">
        <f t="shared" si="32"/>
        <v>0.40388103561448513</v>
      </c>
    </row>
    <row r="456" spans="1:18" x14ac:dyDescent="0.2">
      <c r="A456" s="147">
        <v>2038</v>
      </c>
      <c r="B456" s="147">
        <v>11</v>
      </c>
      <c r="D456" s="258" t="e">
        <f t="shared" si="31"/>
        <v>#REF!</v>
      </c>
      <c r="E456" s="257" t="e">
        <f t="shared" si="27"/>
        <v>#REF!</v>
      </c>
      <c r="F456" s="166">
        <v>29.38</v>
      </c>
      <c r="G456" s="148">
        <v>4317.4864682468178</v>
      </c>
      <c r="H456" s="181">
        <f>VLOOKUP($A456&amp;$B456,'KU Inputs'!$C$2:$J$530,MATCH('KU UtilityData'!H$1,'KU Inputs'!$C$1:$J$1,0),0)*1000</f>
        <v>4932763</v>
      </c>
      <c r="I456" s="181">
        <f>VLOOKUP($A456&amp;$B456,'KU Inputs'!$C$2:$J$530,MATCH('KU UtilityData'!I$1,'KU Inputs'!$C$1:$J$1,0),0)*1000</f>
        <v>5201086</v>
      </c>
      <c r="J456" s="181">
        <f>VLOOKUP($A456&amp;$B456,'KU Inputs'!$C$2:$J$530,MATCH('KU UtilityData'!J$1,'KU Inputs'!$C$1:$J$1,0),0)*1000</f>
        <v>2100620</v>
      </c>
      <c r="K456" s="231">
        <v>501343.61</v>
      </c>
      <c r="L456" s="181">
        <f>VLOOKUP($A456&amp;$B456,'KU Inputs'!$C$2:$J$530,MATCH('KU UtilityData'!L$1,'KU Inputs'!$C$1:$J$1,0),0)</f>
        <v>239533.158</v>
      </c>
      <c r="M456" s="181">
        <f>VLOOKUP($A456&amp;$B456,'KU Inputs'!$C$2:$J$530,MATCH('KU UtilityData'!M$1,'KU Inputs'!$C$1:$J$1,0),0)</f>
        <v>241150.97720374091</v>
      </c>
      <c r="N456" s="246">
        <f t="shared" si="30"/>
        <v>396.30250000000001</v>
      </c>
      <c r="O456" s="246">
        <f t="shared" si="30"/>
        <v>6.6950000000000003</v>
      </c>
      <c r="P456" s="159">
        <v>4512</v>
      </c>
      <c r="Q456" s="159">
        <v>1455</v>
      </c>
      <c r="R456" s="271">
        <f t="shared" si="32"/>
        <v>0.40388103561448513</v>
      </c>
    </row>
    <row r="457" spans="1:18" x14ac:dyDescent="0.2">
      <c r="A457" s="147">
        <v>2038</v>
      </c>
      <c r="B457" s="147">
        <v>12</v>
      </c>
      <c r="D457" s="258" t="e">
        <f t="shared" si="31"/>
        <v>#REF!</v>
      </c>
      <c r="E457" s="257" t="e">
        <f t="shared" si="27"/>
        <v>#REF!</v>
      </c>
      <c r="F457" s="166">
        <v>32.81</v>
      </c>
      <c r="G457" s="148">
        <v>4319.1574080604078</v>
      </c>
      <c r="H457" s="181">
        <f>VLOOKUP($A457&amp;$B457,'KU Inputs'!$C$2:$J$530,MATCH('KU UtilityData'!H$1,'KU Inputs'!$C$1:$J$1,0),0)*1000</f>
        <v>4932763</v>
      </c>
      <c r="I457" s="181">
        <f>VLOOKUP($A457&amp;$B457,'KU Inputs'!$C$2:$J$530,MATCH('KU UtilityData'!I$1,'KU Inputs'!$C$1:$J$1,0),0)*1000</f>
        <v>5201086</v>
      </c>
      <c r="J457" s="181">
        <f>VLOOKUP($A457&amp;$B457,'KU Inputs'!$C$2:$J$530,MATCH('KU UtilityData'!J$1,'KU Inputs'!$C$1:$J$1,0),0)*1000</f>
        <v>2100620</v>
      </c>
      <c r="K457" s="231">
        <v>501343.61</v>
      </c>
      <c r="L457" s="181">
        <f>VLOOKUP($A457&amp;$B457,'KU Inputs'!$C$2:$J$530,MATCH('KU UtilityData'!L$1,'KU Inputs'!$C$1:$J$1,0),0)</f>
        <v>239533.158</v>
      </c>
      <c r="M457" s="181">
        <f>VLOOKUP($A457&amp;$B457,'KU Inputs'!$C$2:$J$530,MATCH('KU UtilityData'!M$1,'KU Inputs'!$C$1:$J$1,0),0)</f>
        <v>241150.97720374091</v>
      </c>
      <c r="N457" s="246">
        <f t="shared" si="30"/>
        <v>714.28500000000008</v>
      </c>
      <c r="O457" s="246">
        <f t="shared" si="30"/>
        <v>0.25</v>
      </c>
      <c r="P457" s="159">
        <v>4512</v>
      </c>
      <c r="Q457" s="159">
        <v>1455</v>
      </c>
      <c r="R457" s="271">
        <f t="shared" si="32"/>
        <v>0.40388103561448513</v>
      </c>
    </row>
    <row r="458" spans="1:18" x14ac:dyDescent="0.2">
      <c r="A458" s="147">
        <v>2039</v>
      </c>
      <c r="B458" s="147">
        <v>1</v>
      </c>
      <c r="D458" s="258" t="e">
        <f t="shared" si="31"/>
        <v>#REF!</v>
      </c>
      <c r="E458" s="257" t="e">
        <f t="shared" si="27"/>
        <v>#REF!</v>
      </c>
      <c r="F458" s="167">
        <v>32.43</v>
      </c>
      <c r="G458" s="148">
        <v>4320.8283478739986</v>
      </c>
      <c r="H458" s="181">
        <f>VLOOKUP($A458&amp;$B458,'KU Inputs'!$C$2:$J$530,MATCH('KU UtilityData'!H$1,'KU Inputs'!$C$1:$J$1,0),0)*1000</f>
        <v>4936625</v>
      </c>
      <c r="I458" s="181">
        <f>VLOOKUP($A458&amp;$B458,'KU Inputs'!$C$2:$J$530,MATCH('KU UtilityData'!I$1,'KU Inputs'!$C$1:$J$1,0),0)*1000</f>
        <v>5207762</v>
      </c>
      <c r="J458" s="181">
        <f>VLOOKUP($A458&amp;$B458,'KU Inputs'!$C$2:$J$530,MATCH('KU UtilityData'!J$1,'KU Inputs'!$C$1:$J$1,0),0)*1000</f>
        <v>2104036</v>
      </c>
      <c r="K458" s="231">
        <v>501996.14</v>
      </c>
      <c r="L458" s="181">
        <f>VLOOKUP($A458&amp;$B458,'KU Inputs'!$C$2:$J$530,MATCH('KU UtilityData'!L$1,'KU Inputs'!$C$1:$J$1,0),0)</f>
        <v>241255.864</v>
      </c>
      <c r="M458" s="181">
        <f>VLOOKUP($A458&amp;$B458,'KU Inputs'!$C$2:$J$530,MATCH('KU UtilityData'!M$1,'KU Inputs'!$C$1:$J$1,0),0)</f>
        <v>242958.74818235112</v>
      </c>
      <c r="N458" s="246">
        <f t="shared" ref="N458:O477" si="33">N446</f>
        <v>991.4375</v>
      </c>
      <c r="O458" s="246">
        <f t="shared" si="33"/>
        <v>0</v>
      </c>
      <c r="P458" s="159">
        <v>4512</v>
      </c>
      <c r="Q458" s="159">
        <v>1455</v>
      </c>
      <c r="R458" s="271">
        <f t="shared" si="32"/>
        <v>0.40401923129359596</v>
      </c>
    </row>
    <row r="459" spans="1:18" x14ac:dyDescent="0.2">
      <c r="A459" s="147">
        <v>2039</v>
      </c>
      <c r="B459" s="147">
        <v>2</v>
      </c>
      <c r="D459" s="258" t="e">
        <f t="shared" si="31"/>
        <v>#REF!</v>
      </c>
      <c r="E459" s="257" t="e">
        <f t="shared" ref="E459:E517" si="34">E447*(1.02)</f>
        <v>#REF!</v>
      </c>
      <c r="F459" s="167">
        <v>29.9</v>
      </c>
      <c r="G459" s="148">
        <v>4322.4992876875895</v>
      </c>
      <c r="H459" s="181">
        <f>VLOOKUP($A459&amp;$B459,'KU Inputs'!$C$2:$J$530,MATCH('KU UtilityData'!H$1,'KU Inputs'!$C$1:$J$1,0),0)*1000</f>
        <v>4936625</v>
      </c>
      <c r="I459" s="181">
        <f>VLOOKUP($A459&amp;$B459,'KU Inputs'!$C$2:$J$530,MATCH('KU UtilityData'!I$1,'KU Inputs'!$C$1:$J$1,0),0)*1000</f>
        <v>5207762</v>
      </c>
      <c r="J459" s="181">
        <f>VLOOKUP($A459&amp;$B459,'KU Inputs'!$C$2:$J$530,MATCH('KU UtilityData'!J$1,'KU Inputs'!$C$1:$J$1,0),0)*1000</f>
        <v>2104036</v>
      </c>
      <c r="K459" s="231">
        <v>501996.14</v>
      </c>
      <c r="L459" s="181">
        <f>VLOOKUP($A459&amp;$B459,'KU Inputs'!$C$2:$J$530,MATCH('KU UtilityData'!L$1,'KU Inputs'!$C$1:$J$1,0),0)</f>
        <v>241255.864</v>
      </c>
      <c r="M459" s="181">
        <f>VLOOKUP($A459&amp;$B459,'KU Inputs'!$C$2:$J$530,MATCH('KU UtilityData'!M$1,'KU Inputs'!$C$1:$J$1,0),0)</f>
        <v>242958.74818235112</v>
      </c>
      <c r="N459" s="246">
        <f t="shared" si="33"/>
        <v>890.05499999999995</v>
      </c>
      <c r="O459" s="246">
        <f t="shared" si="33"/>
        <v>0</v>
      </c>
      <c r="P459" s="159">
        <v>4512</v>
      </c>
      <c r="Q459" s="159">
        <v>1455</v>
      </c>
      <c r="R459" s="271">
        <f t="shared" si="32"/>
        <v>0.40401923129359596</v>
      </c>
    </row>
    <row r="460" spans="1:18" x14ac:dyDescent="0.2">
      <c r="A460" s="147">
        <v>2039</v>
      </c>
      <c r="B460" s="147">
        <v>3</v>
      </c>
      <c r="D460" s="258" t="e">
        <f t="shared" si="31"/>
        <v>#REF!</v>
      </c>
      <c r="E460" s="257" t="e">
        <f t="shared" si="34"/>
        <v>#REF!</v>
      </c>
      <c r="F460" s="167">
        <v>30.33</v>
      </c>
      <c r="G460" s="148">
        <v>4324.1702275011803</v>
      </c>
      <c r="H460" s="181">
        <f>VLOOKUP($A460&amp;$B460,'KU Inputs'!$C$2:$J$530,MATCH('KU UtilityData'!H$1,'KU Inputs'!$C$1:$J$1,0),0)*1000</f>
        <v>4936625</v>
      </c>
      <c r="I460" s="181">
        <f>VLOOKUP($A460&amp;$B460,'KU Inputs'!$C$2:$J$530,MATCH('KU UtilityData'!I$1,'KU Inputs'!$C$1:$J$1,0),0)*1000</f>
        <v>5207762</v>
      </c>
      <c r="J460" s="181">
        <f>VLOOKUP($A460&amp;$B460,'KU Inputs'!$C$2:$J$530,MATCH('KU UtilityData'!J$1,'KU Inputs'!$C$1:$J$1,0),0)*1000</f>
        <v>2104036</v>
      </c>
      <c r="K460" s="231">
        <v>501996.14</v>
      </c>
      <c r="L460" s="181">
        <f>VLOOKUP($A460&amp;$B460,'KU Inputs'!$C$2:$J$530,MATCH('KU UtilityData'!L$1,'KU Inputs'!$C$1:$J$1,0),0)</f>
        <v>241255.864</v>
      </c>
      <c r="M460" s="181">
        <f>VLOOKUP($A460&amp;$B460,'KU Inputs'!$C$2:$J$530,MATCH('KU UtilityData'!M$1,'KU Inputs'!$C$1:$J$1,0),0)</f>
        <v>242958.74818235112</v>
      </c>
      <c r="N460" s="246">
        <f t="shared" si="33"/>
        <v>724.63750000000005</v>
      </c>
      <c r="O460" s="246">
        <f t="shared" si="33"/>
        <v>0.92249999999999999</v>
      </c>
      <c r="P460" s="159">
        <v>4512</v>
      </c>
      <c r="Q460" s="159">
        <v>1455</v>
      </c>
      <c r="R460" s="271">
        <f t="shared" si="32"/>
        <v>0.40401923129359596</v>
      </c>
    </row>
    <row r="461" spans="1:18" x14ac:dyDescent="0.2">
      <c r="A461" s="147">
        <v>2039</v>
      </c>
      <c r="B461" s="147">
        <v>4</v>
      </c>
      <c r="D461" s="258" t="e">
        <f t="shared" si="31"/>
        <v>#REF!</v>
      </c>
      <c r="E461" s="257" t="e">
        <f t="shared" si="34"/>
        <v>#REF!</v>
      </c>
      <c r="F461" s="167">
        <v>30.29</v>
      </c>
      <c r="G461" s="148">
        <v>4325.8411673147702</v>
      </c>
      <c r="H461" s="181">
        <f>VLOOKUP($A461&amp;$B461,'KU Inputs'!$C$2:$J$530,MATCH('KU UtilityData'!H$1,'KU Inputs'!$C$1:$J$1,0),0)*1000</f>
        <v>4940474</v>
      </c>
      <c r="I461" s="181">
        <f>VLOOKUP($A461&amp;$B461,'KU Inputs'!$C$2:$J$530,MATCH('KU UtilityData'!I$1,'KU Inputs'!$C$1:$J$1,0),0)*1000</f>
        <v>5214432</v>
      </c>
      <c r="J461" s="181">
        <f>VLOOKUP($A461&amp;$B461,'KU Inputs'!$C$2:$J$530,MATCH('KU UtilityData'!J$1,'KU Inputs'!$C$1:$J$1,0),0)*1000</f>
        <v>2107408</v>
      </c>
      <c r="K461" s="231">
        <v>502677.32</v>
      </c>
      <c r="L461" s="181">
        <f>VLOOKUP($A461&amp;$B461,'KU Inputs'!$C$2:$J$530,MATCH('KU UtilityData'!L$1,'KU Inputs'!$C$1:$J$1,0),0)</f>
        <v>242089.55</v>
      </c>
      <c r="M461" s="181">
        <f>VLOOKUP($A461&amp;$B461,'KU Inputs'!$C$2:$J$530,MATCH('KU UtilityData'!M$1,'KU Inputs'!$C$1:$J$1,0),0)</f>
        <v>243840.69925294744</v>
      </c>
      <c r="N461" s="246">
        <f t="shared" si="33"/>
        <v>433.4375</v>
      </c>
      <c r="O461" s="246">
        <f t="shared" si="33"/>
        <v>13.477500000000001</v>
      </c>
      <c r="P461" s="159">
        <v>4512</v>
      </c>
      <c r="Q461" s="159">
        <v>1455</v>
      </c>
      <c r="R461" s="271">
        <f t="shared" si="32"/>
        <v>0.40414910003620719</v>
      </c>
    </row>
    <row r="462" spans="1:18" x14ac:dyDescent="0.2">
      <c r="A462" s="147">
        <v>2039</v>
      </c>
      <c r="B462" s="147">
        <v>5</v>
      </c>
      <c r="D462" s="258" t="e">
        <f t="shared" si="31"/>
        <v>#REF!</v>
      </c>
      <c r="E462" s="257" t="e">
        <f t="shared" si="34"/>
        <v>#REF!</v>
      </c>
      <c r="F462" s="167">
        <v>30.05</v>
      </c>
      <c r="G462" s="148">
        <v>4327.5121071283611</v>
      </c>
      <c r="H462" s="181">
        <f>VLOOKUP($A462&amp;$B462,'KU Inputs'!$C$2:$J$530,MATCH('KU UtilityData'!H$1,'KU Inputs'!$C$1:$J$1,0),0)*1000</f>
        <v>4940474</v>
      </c>
      <c r="I462" s="181">
        <f>VLOOKUP($A462&amp;$B462,'KU Inputs'!$C$2:$J$530,MATCH('KU UtilityData'!I$1,'KU Inputs'!$C$1:$J$1,0),0)*1000</f>
        <v>5214432</v>
      </c>
      <c r="J462" s="181">
        <f>VLOOKUP($A462&amp;$B462,'KU Inputs'!$C$2:$J$530,MATCH('KU UtilityData'!J$1,'KU Inputs'!$C$1:$J$1,0),0)*1000</f>
        <v>2107408</v>
      </c>
      <c r="K462" s="231">
        <v>502677.32</v>
      </c>
      <c r="L462" s="181">
        <f>VLOOKUP($A462&amp;$B462,'KU Inputs'!$C$2:$J$530,MATCH('KU UtilityData'!L$1,'KU Inputs'!$C$1:$J$1,0),0)</f>
        <v>242089.55</v>
      </c>
      <c r="M462" s="181">
        <f>VLOOKUP($A462&amp;$B462,'KU Inputs'!$C$2:$J$530,MATCH('KU UtilityData'!M$1,'KU Inputs'!$C$1:$J$1,0),0)</f>
        <v>243840.69925294744</v>
      </c>
      <c r="N462" s="246">
        <f t="shared" si="33"/>
        <v>189.125</v>
      </c>
      <c r="O462" s="246">
        <f t="shared" si="33"/>
        <v>46.06</v>
      </c>
      <c r="P462" s="159">
        <v>4512</v>
      </c>
      <c r="Q462" s="159">
        <v>1455</v>
      </c>
      <c r="R462" s="271">
        <f t="shared" si="32"/>
        <v>0.40414910003620719</v>
      </c>
    </row>
    <row r="463" spans="1:18" x14ac:dyDescent="0.2">
      <c r="A463" s="147">
        <v>2039</v>
      </c>
      <c r="B463" s="147">
        <v>6</v>
      </c>
      <c r="D463" s="258" t="e">
        <f t="shared" si="31"/>
        <v>#REF!</v>
      </c>
      <c r="E463" s="257" t="e">
        <f t="shared" si="34"/>
        <v>#REF!</v>
      </c>
      <c r="F463" s="167">
        <v>30.67</v>
      </c>
      <c r="G463" s="148">
        <v>4329.1830469419474</v>
      </c>
      <c r="H463" s="181">
        <f>VLOOKUP($A463&amp;$B463,'KU Inputs'!$C$2:$J$530,MATCH('KU UtilityData'!H$1,'KU Inputs'!$C$1:$J$1,0),0)*1000</f>
        <v>4940474</v>
      </c>
      <c r="I463" s="181">
        <f>VLOOKUP($A463&amp;$B463,'KU Inputs'!$C$2:$J$530,MATCH('KU UtilityData'!I$1,'KU Inputs'!$C$1:$J$1,0),0)*1000</f>
        <v>5214432</v>
      </c>
      <c r="J463" s="181">
        <f>VLOOKUP($A463&amp;$B463,'KU Inputs'!$C$2:$J$530,MATCH('KU UtilityData'!J$1,'KU Inputs'!$C$1:$J$1,0),0)*1000</f>
        <v>2107408</v>
      </c>
      <c r="K463" s="231">
        <v>502677.32</v>
      </c>
      <c r="L463" s="181">
        <f>VLOOKUP($A463&amp;$B463,'KU Inputs'!$C$2:$J$530,MATCH('KU UtilityData'!L$1,'KU Inputs'!$C$1:$J$1,0),0)</f>
        <v>242089.55</v>
      </c>
      <c r="M463" s="181">
        <f>VLOOKUP($A463&amp;$B463,'KU Inputs'!$C$2:$J$530,MATCH('KU UtilityData'!M$1,'KU Inputs'!$C$1:$J$1,0),0)</f>
        <v>243840.69925294744</v>
      </c>
      <c r="N463" s="246">
        <f t="shared" si="33"/>
        <v>50.362499999999997</v>
      </c>
      <c r="O463" s="246">
        <f t="shared" si="33"/>
        <v>166.4075</v>
      </c>
      <c r="P463" s="159">
        <v>4512</v>
      </c>
      <c r="Q463" s="159">
        <v>1455</v>
      </c>
      <c r="R463" s="271">
        <f t="shared" si="32"/>
        <v>0.40414910003620719</v>
      </c>
    </row>
    <row r="464" spans="1:18" x14ac:dyDescent="0.2">
      <c r="A464" s="147">
        <v>2039</v>
      </c>
      <c r="B464" s="147">
        <v>7</v>
      </c>
      <c r="D464" s="258" t="e">
        <f t="shared" si="31"/>
        <v>#REF!</v>
      </c>
      <c r="E464" s="257" t="e">
        <f t="shared" si="34"/>
        <v>#REF!</v>
      </c>
      <c r="F464" s="167">
        <v>30.62</v>
      </c>
      <c r="G464" s="148">
        <v>4330.8411477861673</v>
      </c>
      <c r="H464" s="181">
        <f>VLOOKUP($A464&amp;$B464,'KU Inputs'!$C$2:$J$530,MATCH('KU UtilityData'!H$1,'KU Inputs'!$C$1:$J$1,0),0)*1000</f>
        <v>4944309</v>
      </c>
      <c r="I464" s="181">
        <f>VLOOKUP($A464&amp;$B464,'KU Inputs'!$C$2:$J$530,MATCH('KU UtilityData'!I$1,'KU Inputs'!$C$1:$J$1,0),0)*1000</f>
        <v>5221097</v>
      </c>
      <c r="J464" s="181">
        <f>VLOOKUP($A464&amp;$B464,'KU Inputs'!$C$2:$J$530,MATCH('KU UtilityData'!J$1,'KU Inputs'!$C$1:$J$1,0),0)*1000</f>
        <v>2110600</v>
      </c>
      <c r="K464" s="231">
        <v>503352.81</v>
      </c>
      <c r="L464" s="181">
        <f>VLOOKUP($A464&amp;$B464,'KU Inputs'!$C$2:$J$530,MATCH('KU UtilityData'!L$1,'KU Inputs'!$C$1:$J$1,0),0)</f>
        <v>242952.587</v>
      </c>
      <c r="M464" s="181">
        <f>VLOOKUP($A464&amp;$B464,'KU Inputs'!$C$2:$J$530,MATCH('KU UtilityData'!M$1,'KU Inputs'!$C$1:$J$1,0),0)</f>
        <v>244717.98632580542</v>
      </c>
      <c r="N464" s="246">
        <f t="shared" si="33"/>
        <v>1.625</v>
      </c>
      <c r="O464" s="246">
        <f t="shared" si="33"/>
        <v>326.005</v>
      </c>
      <c r="P464" s="159">
        <v>4512</v>
      </c>
      <c r="Q464" s="159">
        <v>1455</v>
      </c>
      <c r="R464" s="271">
        <f t="shared" si="32"/>
        <v>0.40424454860731374</v>
      </c>
    </row>
    <row r="465" spans="1:18" x14ac:dyDescent="0.2">
      <c r="A465" s="147">
        <v>2039</v>
      </c>
      <c r="B465" s="147">
        <v>8</v>
      </c>
      <c r="D465" s="258" t="e">
        <f t="shared" si="31"/>
        <v>#REF!</v>
      </c>
      <c r="E465" s="257" t="e">
        <f t="shared" si="34"/>
        <v>#REF!</v>
      </c>
      <c r="F465" s="167">
        <v>29.52</v>
      </c>
      <c r="G465" s="148">
        <v>4332.4992486303881</v>
      </c>
      <c r="H465" s="181">
        <f>VLOOKUP($A465&amp;$B465,'KU Inputs'!$C$2:$J$530,MATCH('KU UtilityData'!H$1,'KU Inputs'!$C$1:$J$1,0),0)*1000</f>
        <v>4944309</v>
      </c>
      <c r="I465" s="181">
        <f>VLOOKUP($A465&amp;$B465,'KU Inputs'!$C$2:$J$530,MATCH('KU UtilityData'!I$1,'KU Inputs'!$C$1:$J$1,0),0)*1000</f>
        <v>5221097</v>
      </c>
      <c r="J465" s="181">
        <f>VLOOKUP($A465&amp;$B465,'KU Inputs'!$C$2:$J$530,MATCH('KU UtilityData'!J$1,'KU Inputs'!$C$1:$J$1,0),0)*1000</f>
        <v>2110600</v>
      </c>
      <c r="K465" s="231">
        <v>503352.81</v>
      </c>
      <c r="L465" s="181">
        <f>VLOOKUP($A465&amp;$B465,'KU Inputs'!$C$2:$J$530,MATCH('KU UtilityData'!L$1,'KU Inputs'!$C$1:$J$1,0),0)</f>
        <v>242952.587</v>
      </c>
      <c r="M465" s="181">
        <f>VLOOKUP($A465&amp;$B465,'KU Inputs'!$C$2:$J$530,MATCH('KU UtilityData'!M$1,'KU Inputs'!$C$1:$J$1,0),0)</f>
        <v>244717.98632580542</v>
      </c>
      <c r="N465" s="246">
        <f t="shared" si="33"/>
        <v>0.75</v>
      </c>
      <c r="O465" s="246">
        <f t="shared" si="33"/>
        <v>348.8175</v>
      </c>
      <c r="P465" s="159">
        <v>4512</v>
      </c>
      <c r="Q465" s="159">
        <v>1455</v>
      </c>
      <c r="R465" s="271">
        <f t="shared" si="32"/>
        <v>0.40424454860731374</v>
      </c>
    </row>
    <row r="466" spans="1:18" x14ac:dyDescent="0.2">
      <c r="A466" s="147">
        <v>2039</v>
      </c>
      <c r="B466" s="147">
        <v>9</v>
      </c>
      <c r="D466" s="258" t="e">
        <f t="shared" si="31"/>
        <v>#REF!</v>
      </c>
      <c r="E466" s="257" t="e">
        <f t="shared" si="34"/>
        <v>#REF!</v>
      </c>
      <c r="F466" s="167">
        <v>30.71</v>
      </c>
      <c r="G466" s="148">
        <v>4334.1573494746081</v>
      </c>
      <c r="H466" s="181">
        <f>VLOOKUP($A466&amp;$B466,'KU Inputs'!$C$2:$J$530,MATCH('KU UtilityData'!H$1,'KU Inputs'!$C$1:$J$1,0),0)*1000</f>
        <v>4944309</v>
      </c>
      <c r="I466" s="181">
        <f>VLOOKUP($A466&amp;$B466,'KU Inputs'!$C$2:$J$530,MATCH('KU UtilityData'!I$1,'KU Inputs'!$C$1:$J$1,0),0)*1000</f>
        <v>5221097</v>
      </c>
      <c r="J466" s="181">
        <f>VLOOKUP($A466&amp;$B466,'KU Inputs'!$C$2:$J$530,MATCH('KU UtilityData'!J$1,'KU Inputs'!$C$1:$J$1,0),0)*1000</f>
        <v>2110600</v>
      </c>
      <c r="K466" s="231">
        <v>503352.81</v>
      </c>
      <c r="L466" s="181">
        <f>VLOOKUP($A466&amp;$B466,'KU Inputs'!$C$2:$J$530,MATCH('KU UtilityData'!L$1,'KU Inputs'!$C$1:$J$1,0),0)</f>
        <v>242952.587</v>
      </c>
      <c r="M466" s="181">
        <f>VLOOKUP($A466&amp;$B466,'KU Inputs'!$C$2:$J$530,MATCH('KU UtilityData'!M$1,'KU Inputs'!$C$1:$J$1,0),0)</f>
        <v>244717.98632580542</v>
      </c>
      <c r="N466" s="246">
        <f t="shared" si="33"/>
        <v>11.752500000000001</v>
      </c>
      <c r="O466" s="246">
        <f t="shared" si="33"/>
        <v>258.88</v>
      </c>
      <c r="P466" s="159">
        <v>4512</v>
      </c>
      <c r="Q466" s="159">
        <v>1455</v>
      </c>
      <c r="R466" s="271">
        <f t="shared" si="32"/>
        <v>0.40424454860731374</v>
      </c>
    </row>
    <row r="467" spans="1:18" x14ac:dyDescent="0.2">
      <c r="A467" s="147">
        <v>2039</v>
      </c>
      <c r="B467" s="147">
        <v>10</v>
      </c>
      <c r="D467" s="258" t="e">
        <f t="shared" si="31"/>
        <v>#REF!</v>
      </c>
      <c r="E467" s="257" t="e">
        <f t="shared" si="34"/>
        <v>#REF!</v>
      </c>
      <c r="F467" s="167">
        <v>29.52</v>
      </c>
      <c r="G467" s="148">
        <v>4335.815450318828</v>
      </c>
      <c r="H467" s="181">
        <f>VLOOKUP($A467&amp;$B467,'KU Inputs'!$C$2:$J$530,MATCH('KU UtilityData'!H$1,'KU Inputs'!$C$1:$J$1,0),0)*1000</f>
        <v>4948132</v>
      </c>
      <c r="I467" s="181">
        <f>VLOOKUP($A467&amp;$B467,'KU Inputs'!$C$2:$J$530,MATCH('KU UtilityData'!I$1,'KU Inputs'!$C$1:$J$1,0),0)*1000</f>
        <v>5227756</v>
      </c>
      <c r="J467" s="181">
        <f>VLOOKUP($A467&amp;$B467,'KU Inputs'!$C$2:$J$530,MATCH('KU UtilityData'!J$1,'KU Inputs'!$C$1:$J$1,0),0)*1000</f>
        <v>2114006</v>
      </c>
      <c r="K467" s="231">
        <v>504024.8</v>
      </c>
      <c r="L467" s="181">
        <f>VLOOKUP($A467&amp;$B467,'KU Inputs'!$C$2:$J$530,MATCH('KU UtilityData'!L$1,'KU Inputs'!$C$1:$J$1,0),0)</f>
        <v>243706.79399999999</v>
      </c>
      <c r="M467" s="181">
        <f>VLOOKUP($A467&amp;$B467,'KU Inputs'!$C$2:$J$530,MATCH('KU UtilityData'!M$1,'KU Inputs'!$C$1:$J$1,0),0)</f>
        <v>245497.37409786243</v>
      </c>
      <c r="N467" s="246">
        <f t="shared" si="33"/>
        <v>134.87</v>
      </c>
      <c r="O467" s="246">
        <f t="shared" si="33"/>
        <v>71.42</v>
      </c>
      <c r="P467" s="159">
        <v>4512</v>
      </c>
      <c r="Q467" s="159">
        <v>1455</v>
      </c>
      <c r="R467" s="271">
        <f t="shared" si="32"/>
        <v>0.40438115321373069</v>
      </c>
    </row>
    <row r="468" spans="1:18" x14ac:dyDescent="0.2">
      <c r="A468" s="147">
        <v>2039</v>
      </c>
      <c r="B468" s="147">
        <v>11</v>
      </c>
      <c r="D468" s="258" t="e">
        <f t="shared" si="31"/>
        <v>#REF!</v>
      </c>
      <c r="E468" s="257" t="e">
        <f t="shared" si="34"/>
        <v>#REF!</v>
      </c>
      <c r="F468" s="167">
        <v>29.38</v>
      </c>
      <c r="G468" s="148">
        <v>4337.4735511630488</v>
      </c>
      <c r="H468" s="181">
        <f>VLOOKUP($A468&amp;$B468,'KU Inputs'!$C$2:$J$530,MATCH('KU UtilityData'!H$1,'KU Inputs'!$C$1:$J$1,0),0)*1000</f>
        <v>4948132</v>
      </c>
      <c r="I468" s="181">
        <f>VLOOKUP($A468&amp;$B468,'KU Inputs'!$C$2:$J$530,MATCH('KU UtilityData'!I$1,'KU Inputs'!$C$1:$J$1,0),0)*1000</f>
        <v>5227756</v>
      </c>
      <c r="J468" s="181">
        <f>VLOOKUP($A468&amp;$B468,'KU Inputs'!$C$2:$J$530,MATCH('KU UtilityData'!J$1,'KU Inputs'!$C$1:$J$1,0),0)*1000</f>
        <v>2114006</v>
      </c>
      <c r="K468" s="231">
        <v>504024.8</v>
      </c>
      <c r="L468" s="181">
        <f>VLOOKUP($A468&amp;$B468,'KU Inputs'!$C$2:$J$530,MATCH('KU UtilityData'!L$1,'KU Inputs'!$C$1:$J$1,0),0)</f>
        <v>243706.79399999999</v>
      </c>
      <c r="M468" s="181">
        <f>VLOOKUP($A468&amp;$B468,'KU Inputs'!$C$2:$J$530,MATCH('KU UtilityData'!M$1,'KU Inputs'!$C$1:$J$1,0),0)</f>
        <v>245497.37409786243</v>
      </c>
      <c r="N468" s="246">
        <f t="shared" si="33"/>
        <v>396.30250000000001</v>
      </c>
      <c r="O468" s="246">
        <f t="shared" si="33"/>
        <v>6.6950000000000003</v>
      </c>
      <c r="P468" s="159">
        <v>4512</v>
      </c>
      <c r="Q468" s="159">
        <v>1455</v>
      </c>
      <c r="R468" s="271">
        <f t="shared" si="32"/>
        <v>0.40438115321373069</v>
      </c>
    </row>
    <row r="469" spans="1:18" x14ac:dyDescent="0.2">
      <c r="A469" s="147">
        <v>2039</v>
      </c>
      <c r="B469" s="147">
        <v>12</v>
      </c>
      <c r="D469" s="258" t="e">
        <f t="shared" si="31"/>
        <v>#REF!</v>
      </c>
      <c r="E469" s="257" t="e">
        <f t="shared" si="34"/>
        <v>#REF!</v>
      </c>
      <c r="F469" s="167">
        <v>32.81</v>
      </c>
      <c r="G469" s="148">
        <v>4339.1316520072687</v>
      </c>
      <c r="H469" s="181">
        <f>VLOOKUP($A469&amp;$B469,'KU Inputs'!$C$2:$J$530,MATCH('KU UtilityData'!H$1,'KU Inputs'!$C$1:$J$1,0),0)*1000</f>
        <v>4948132</v>
      </c>
      <c r="I469" s="181">
        <f>VLOOKUP($A469&amp;$B469,'KU Inputs'!$C$2:$J$530,MATCH('KU UtilityData'!I$1,'KU Inputs'!$C$1:$J$1,0),0)*1000</f>
        <v>5227756</v>
      </c>
      <c r="J469" s="181">
        <f>VLOOKUP($A469&amp;$B469,'KU Inputs'!$C$2:$J$530,MATCH('KU UtilityData'!J$1,'KU Inputs'!$C$1:$J$1,0),0)*1000</f>
        <v>2114006</v>
      </c>
      <c r="K469" s="231">
        <v>504024.8</v>
      </c>
      <c r="L469" s="181">
        <f>VLOOKUP($A469&amp;$B469,'KU Inputs'!$C$2:$J$530,MATCH('KU UtilityData'!L$1,'KU Inputs'!$C$1:$J$1,0),0)</f>
        <v>243706.79399999999</v>
      </c>
      <c r="M469" s="181">
        <f>VLOOKUP($A469&amp;$B469,'KU Inputs'!$C$2:$J$530,MATCH('KU UtilityData'!M$1,'KU Inputs'!$C$1:$J$1,0),0)</f>
        <v>245497.37409786243</v>
      </c>
      <c r="N469" s="246">
        <f t="shared" si="33"/>
        <v>714.28500000000008</v>
      </c>
      <c r="O469" s="246">
        <f t="shared" si="33"/>
        <v>0.25</v>
      </c>
      <c r="P469" s="159">
        <v>4512</v>
      </c>
      <c r="Q469" s="159">
        <v>1455</v>
      </c>
      <c r="R469" s="271">
        <f t="shared" si="32"/>
        <v>0.40438115321373069</v>
      </c>
    </row>
    <row r="470" spans="1:18" x14ac:dyDescent="0.2">
      <c r="A470" s="147">
        <v>2040</v>
      </c>
      <c r="B470" s="147">
        <v>1</v>
      </c>
      <c r="D470" s="258" t="e">
        <f t="shared" si="31"/>
        <v>#REF!</v>
      </c>
      <c r="E470" s="257" t="e">
        <f t="shared" si="34"/>
        <v>#REF!</v>
      </c>
      <c r="F470" s="166">
        <v>32.43</v>
      </c>
      <c r="G470" s="148">
        <v>4340.7897528514886</v>
      </c>
      <c r="H470" s="181">
        <f>VLOOKUP($A470&amp;$B470,'KU Inputs'!$C$2:$J$530,MATCH('KU UtilityData'!H$1,'KU Inputs'!$C$1:$J$1,0),0)*1000</f>
        <v>4951944</v>
      </c>
      <c r="I470" s="181">
        <f>VLOOKUP($A470&amp;$B470,'KU Inputs'!$C$2:$J$530,MATCH('KU UtilityData'!I$1,'KU Inputs'!$C$1:$J$1,0),0)*1000</f>
        <v>5234410</v>
      </c>
      <c r="J470" s="181">
        <f>VLOOKUP($A470&amp;$B470,'KU Inputs'!$C$2:$J$530,MATCH('KU UtilityData'!J$1,'KU Inputs'!$C$1:$J$1,0),0)*1000</f>
        <v>2117370</v>
      </c>
      <c r="K470" s="231">
        <v>504678.2</v>
      </c>
      <c r="L470" s="181">
        <f>VLOOKUP($A470&amp;$B470,'KU Inputs'!$C$2:$J$530,MATCH('KU UtilityData'!L$1,'KU Inputs'!$C$1:$J$1,0),0)</f>
        <v>245424.038</v>
      </c>
      <c r="M470" s="181">
        <f>VLOOKUP($A470&amp;$B470,'KU Inputs'!$C$2:$J$530,MATCH('KU UtilityData'!M$1,'KU Inputs'!$C$1:$J$1,0),0)</f>
        <v>247247.37505257796</v>
      </c>
      <c r="N470" s="246">
        <f t="shared" si="33"/>
        <v>991.4375</v>
      </c>
      <c r="O470" s="246">
        <f t="shared" si="33"/>
        <v>0</v>
      </c>
      <c r="P470" s="159">
        <v>4512</v>
      </c>
      <c r="Q470" s="159">
        <v>1455</v>
      </c>
      <c r="R470" s="271">
        <f t="shared" si="32"/>
        <v>0.4045097728301757</v>
      </c>
    </row>
    <row r="471" spans="1:18" x14ac:dyDescent="0.2">
      <c r="A471" s="147">
        <v>2040</v>
      </c>
      <c r="B471" s="147">
        <v>2</v>
      </c>
      <c r="D471" s="258" t="e">
        <f t="shared" si="31"/>
        <v>#REF!</v>
      </c>
      <c r="E471" s="257" t="e">
        <f t="shared" si="34"/>
        <v>#REF!</v>
      </c>
      <c r="F471" s="166">
        <v>29.9</v>
      </c>
      <c r="G471" s="148">
        <v>4342.4478536957095</v>
      </c>
      <c r="H471" s="181">
        <f>VLOOKUP($A471&amp;$B471,'KU Inputs'!$C$2:$J$530,MATCH('KU UtilityData'!H$1,'KU Inputs'!$C$1:$J$1,0),0)*1000</f>
        <v>4951944</v>
      </c>
      <c r="I471" s="181">
        <f>VLOOKUP($A471&amp;$B471,'KU Inputs'!$C$2:$J$530,MATCH('KU UtilityData'!I$1,'KU Inputs'!$C$1:$J$1,0),0)*1000</f>
        <v>5234410</v>
      </c>
      <c r="J471" s="181">
        <f>VLOOKUP($A471&amp;$B471,'KU Inputs'!$C$2:$J$530,MATCH('KU UtilityData'!J$1,'KU Inputs'!$C$1:$J$1,0),0)*1000</f>
        <v>2117370</v>
      </c>
      <c r="K471" s="231">
        <v>504678.2</v>
      </c>
      <c r="L471" s="181">
        <f>VLOOKUP($A471&amp;$B471,'KU Inputs'!$C$2:$J$530,MATCH('KU UtilityData'!L$1,'KU Inputs'!$C$1:$J$1,0),0)</f>
        <v>245424.038</v>
      </c>
      <c r="M471" s="181">
        <f>VLOOKUP($A471&amp;$B471,'KU Inputs'!$C$2:$J$530,MATCH('KU UtilityData'!M$1,'KU Inputs'!$C$1:$J$1,0),0)</f>
        <v>247247.37505257796</v>
      </c>
      <c r="N471" s="246">
        <f t="shared" si="33"/>
        <v>890.05499999999995</v>
      </c>
      <c r="O471" s="246">
        <f t="shared" si="33"/>
        <v>0</v>
      </c>
      <c r="P471" s="159">
        <v>4512</v>
      </c>
      <c r="Q471" s="159">
        <v>1455</v>
      </c>
      <c r="R471" s="271">
        <f t="shared" si="32"/>
        <v>0.4045097728301757</v>
      </c>
    </row>
    <row r="472" spans="1:18" x14ac:dyDescent="0.2">
      <c r="A472" s="147">
        <v>2040</v>
      </c>
      <c r="B472" s="147">
        <v>3</v>
      </c>
      <c r="D472" s="258" t="e">
        <f t="shared" si="31"/>
        <v>#REF!</v>
      </c>
      <c r="E472" s="257" t="e">
        <f t="shared" si="34"/>
        <v>#REF!</v>
      </c>
      <c r="F472" s="166">
        <v>30.33</v>
      </c>
      <c r="G472" s="148">
        <v>4344.1059545399294</v>
      </c>
      <c r="H472" s="181">
        <f>VLOOKUP($A472&amp;$B472,'KU Inputs'!$C$2:$J$530,MATCH('KU UtilityData'!H$1,'KU Inputs'!$C$1:$J$1,0),0)*1000</f>
        <v>4951944</v>
      </c>
      <c r="I472" s="181">
        <f>VLOOKUP($A472&amp;$B472,'KU Inputs'!$C$2:$J$530,MATCH('KU UtilityData'!I$1,'KU Inputs'!$C$1:$J$1,0),0)*1000</f>
        <v>5234410</v>
      </c>
      <c r="J472" s="181">
        <f>VLOOKUP($A472&amp;$B472,'KU Inputs'!$C$2:$J$530,MATCH('KU UtilityData'!J$1,'KU Inputs'!$C$1:$J$1,0),0)*1000</f>
        <v>2117370</v>
      </c>
      <c r="K472" s="231">
        <v>504678.2</v>
      </c>
      <c r="L472" s="181">
        <f>VLOOKUP($A472&amp;$B472,'KU Inputs'!$C$2:$J$530,MATCH('KU UtilityData'!L$1,'KU Inputs'!$C$1:$J$1,0),0)</f>
        <v>245424.038</v>
      </c>
      <c r="M472" s="181">
        <f>VLOOKUP($A472&amp;$B472,'KU Inputs'!$C$2:$J$530,MATCH('KU UtilityData'!M$1,'KU Inputs'!$C$1:$J$1,0),0)</f>
        <v>247247.37505257796</v>
      </c>
      <c r="N472" s="246">
        <f t="shared" si="33"/>
        <v>724.63750000000005</v>
      </c>
      <c r="O472" s="246">
        <f t="shared" si="33"/>
        <v>0.92249999999999999</v>
      </c>
      <c r="P472" s="159">
        <v>4512</v>
      </c>
      <c r="Q472" s="159">
        <v>1455</v>
      </c>
      <c r="R472" s="271">
        <f t="shared" si="32"/>
        <v>0.4045097728301757</v>
      </c>
    </row>
    <row r="473" spans="1:18" x14ac:dyDescent="0.2">
      <c r="A473" s="147">
        <v>2040</v>
      </c>
      <c r="B473" s="147">
        <v>4</v>
      </c>
      <c r="D473" s="258" t="e">
        <f t="shared" si="31"/>
        <v>#REF!</v>
      </c>
      <c r="E473" s="257" t="e">
        <f t="shared" si="34"/>
        <v>#REF!</v>
      </c>
      <c r="F473" s="166">
        <v>30.29</v>
      </c>
      <c r="G473" s="148">
        <v>4345.7640553841502</v>
      </c>
      <c r="H473" s="181">
        <f>VLOOKUP($A473&amp;$B473,'KU Inputs'!$C$2:$J$530,MATCH('KU UtilityData'!H$1,'KU Inputs'!$C$1:$J$1,0),0)*1000</f>
        <v>4955744</v>
      </c>
      <c r="I473" s="181">
        <f>VLOOKUP($A473&amp;$B473,'KU Inputs'!$C$2:$J$530,MATCH('KU UtilityData'!I$1,'KU Inputs'!$C$1:$J$1,0),0)*1000</f>
        <v>5241061</v>
      </c>
      <c r="J473" s="181">
        <f>VLOOKUP($A473&amp;$B473,'KU Inputs'!$C$2:$J$530,MATCH('KU UtilityData'!J$1,'KU Inputs'!$C$1:$J$1,0),0)*1000</f>
        <v>2120719</v>
      </c>
      <c r="K473" s="231">
        <v>505346.26</v>
      </c>
      <c r="L473" s="181">
        <f>VLOOKUP($A473&amp;$B473,'KU Inputs'!$C$2:$J$530,MATCH('KU UtilityData'!L$1,'KU Inputs'!$C$1:$J$1,0),0)</f>
        <v>246375.226</v>
      </c>
      <c r="M473" s="181">
        <f>VLOOKUP($A473&amp;$B473,'KU Inputs'!$C$2:$J$530,MATCH('KU UtilityData'!M$1,'KU Inputs'!$C$1:$J$1,0),0)</f>
        <v>248338.9887301742</v>
      </c>
      <c r="N473" s="246">
        <f t="shared" si="33"/>
        <v>433.4375</v>
      </c>
      <c r="O473" s="246">
        <f t="shared" si="33"/>
        <v>13.477500000000001</v>
      </c>
      <c r="P473" s="159">
        <v>4512</v>
      </c>
      <c r="Q473" s="159">
        <v>1455</v>
      </c>
      <c r="R473" s="271">
        <f t="shared" si="32"/>
        <v>0.40463543545858366</v>
      </c>
    </row>
    <row r="474" spans="1:18" x14ac:dyDescent="0.2">
      <c r="A474" s="147">
        <v>2040</v>
      </c>
      <c r="B474" s="147">
        <v>5</v>
      </c>
      <c r="D474" s="258" t="e">
        <f t="shared" si="31"/>
        <v>#REF!</v>
      </c>
      <c r="E474" s="257" t="e">
        <f t="shared" si="34"/>
        <v>#REF!</v>
      </c>
      <c r="F474" s="166">
        <v>30.05</v>
      </c>
      <c r="G474" s="148">
        <v>4347.4221562283701</v>
      </c>
      <c r="H474" s="181">
        <f>VLOOKUP($A474&amp;$B474,'KU Inputs'!$C$2:$J$530,MATCH('KU UtilityData'!H$1,'KU Inputs'!$C$1:$J$1,0),0)*1000</f>
        <v>4955744</v>
      </c>
      <c r="I474" s="181">
        <f>VLOOKUP($A474&amp;$B474,'KU Inputs'!$C$2:$J$530,MATCH('KU UtilityData'!I$1,'KU Inputs'!$C$1:$J$1,0),0)*1000</f>
        <v>5241061</v>
      </c>
      <c r="J474" s="181">
        <f>VLOOKUP($A474&amp;$B474,'KU Inputs'!$C$2:$J$530,MATCH('KU UtilityData'!J$1,'KU Inputs'!$C$1:$J$1,0),0)*1000</f>
        <v>2120719</v>
      </c>
      <c r="K474" s="231">
        <v>505346.26</v>
      </c>
      <c r="L474" s="181">
        <f>VLOOKUP($A474&amp;$B474,'KU Inputs'!$C$2:$J$530,MATCH('KU UtilityData'!L$1,'KU Inputs'!$C$1:$J$1,0),0)</f>
        <v>246375.226</v>
      </c>
      <c r="M474" s="181">
        <f>VLOOKUP($A474&amp;$B474,'KU Inputs'!$C$2:$J$530,MATCH('KU UtilityData'!M$1,'KU Inputs'!$C$1:$J$1,0),0)</f>
        <v>248338.9887301742</v>
      </c>
      <c r="N474" s="246">
        <f t="shared" si="33"/>
        <v>189.125</v>
      </c>
      <c r="O474" s="246">
        <f t="shared" si="33"/>
        <v>46.06</v>
      </c>
      <c r="P474" s="159">
        <v>4512</v>
      </c>
      <c r="Q474" s="159">
        <v>1455</v>
      </c>
      <c r="R474" s="271">
        <f t="shared" si="32"/>
        <v>0.40463543545858366</v>
      </c>
    </row>
    <row r="475" spans="1:18" x14ac:dyDescent="0.2">
      <c r="A475" s="147">
        <v>2040</v>
      </c>
      <c r="B475" s="147">
        <v>6</v>
      </c>
      <c r="D475" s="258" t="e">
        <f t="shared" si="31"/>
        <v>#REF!</v>
      </c>
      <c r="E475" s="257" t="e">
        <f t="shared" si="34"/>
        <v>#REF!</v>
      </c>
      <c r="F475" s="166">
        <v>30.67</v>
      </c>
      <c r="G475" s="148">
        <v>4349.0802570725937</v>
      </c>
      <c r="H475" s="181">
        <f>VLOOKUP($A475&amp;$B475,'KU Inputs'!$C$2:$J$530,MATCH('KU UtilityData'!H$1,'KU Inputs'!$C$1:$J$1,0),0)*1000</f>
        <v>4955744</v>
      </c>
      <c r="I475" s="181">
        <f>VLOOKUP($A475&amp;$B475,'KU Inputs'!$C$2:$J$530,MATCH('KU UtilityData'!I$1,'KU Inputs'!$C$1:$J$1,0),0)*1000</f>
        <v>5241061</v>
      </c>
      <c r="J475" s="181">
        <f>VLOOKUP($A475&amp;$B475,'KU Inputs'!$C$2:$J$530,MATCH('KU UtilityData'!J$1,'KU Inputs'!$C$1:$J$1,0),0)*1000</f>
        <v>2120719</v>
      </c>
      <c r="K475" s="231">
        <v>505346.26</v>
      </c>
      <c r="L475" s="181">
        <f>VLOOKUP($A475&amp;$B475,'KU Inputs'!$C$2:$J$530,MATCH('KU UtilityData'!L$1,'KU Inputs'!$C$1:$J$1,0),0)</f>
        <v>246375.226</v>
      </c>
      <c r="M475" s="181">
        <f>VLOOKUP($A475&amp;$B475,'KU Inputs'!$C$2:$J$530,MATCH('KU UtilityData'!M$1,'KU Inputs'!$C$1:$J$1,0),0)</f>
        <v>248338.9887301742</v>
      </c>
      <c r="N475" s="246">
        <f t="shared" si="33"/>
        <v>50.362499999999997</v>
      </c>
      <c r="O475" s="246">
        <f t="shared" si="33"/>
        <v>166.4075</v>
      </c>
      <c r="P475" s="159">
        <v>4512</v>
      </c>
      <c r="Q475" s="159">
        <v>1455</v>
      </c>
      <c r="R475" s="271">
        <f t="shared" si="32"/>
        <v>0.40463543545858366</v>
      </c>
    </row>
    <row r="476" spans="1:18" x14ac:dyDescent="0.2">
      <c r="A476" s="147">
        <v>2040</v>
      </c>
      <c r="B476" s="147">
        <v>7</v>
      </c>
      <c r="D476" s="258" t="e">
        <f t="shared" si="31"/>
        <v>#REF!</v>
      </c>
      <c r="E476" s="257" t="e">
        <f t="shared" si="34"/>
        <v>#REF!</v>
      </c>
      <c r="F476" s="166">
        <v>30.62</v>
      </c>
      <c r="G476" s="148">
        <v>4350.7459786573927</v>
      </c>
      <c r="H476" s="181">
        <f>VLOOKUP($A476&amp;$B476,'KU Inputs'!$C$2:$J$530,MATCH('KU UtilityData'!H$1,'KU Inputs'!$C$1:$J$1,0),0)*1000</f>
        <v>4959534</v>
      </c>
      <c r="I476" s="181">
        <f>VLOOKUP($A476&amp;$B476,'KU Inputs'!$C$2:$J$530,MATCH('KU UtilityData'!I$1,'KU Inputs'!$C$1:$J$1,0),0)*1000</f>
        <v>5247709</v>
      </c>
      <c r="J476" s="181">
        <f>VLOOKUP($A476&amp;$B476,'KU Inputs'!$C$2:$J$530,MATCH('KU UtilityData'!J$1,'KU Inputs'!$C$1:$J$1,0),0)*1000</f>
        <v>2123898</v>
      </c>
      <c r="K476" s="231">
        <v>506011.26</v>
      </c>
      <c r="L476" s="181">
        <f>VLOOKUP($A476&amp;$B476,'KU Inputs'!$C$2:$J$530,MATCH('KU UtilityData'!L$1,'KU Inputs'!$C$1:$J$1,0),0)</f>
        <v>247249.16699999999</v>
      </c>
      <c r="M476" s="181">
        <f>VLOOKUP($A476&amp;$B476,'KU Inputs'!$C$2:$J$530,MATCH('KU UtilityData'!M$1,'KU Inputs'!$C$1:$J$1,0),0)</f>
        <v>249314.18166869634</v>
      </c>
      <c r="N476" s="246">
        <f t="shared" si="33"/>
        <v>1.625</v>
      </c>
      <c r="O476" s="246">
        <f t="shared" si="33"/>
        <v>326.005</v>
      </c>
      <c r="P476" s="159">
        <v>4512</v>
      </c>
      <c r="Q476" s="159">
        <v>1455</v>
      </c>
      <c r="R476" s="271">
        <f t="shared" si="32"/>
        <v>0.40472861585884429</v>
      </c>
    </row>
    <row r="477" spans="1:18" x14ac:dyDescent="0.2">
      <c r="A477" s="147">
        <v>2040</v>
      </c>
      <c r="B477" s="147">
        <v>8</v>
      </c>
      <c r="D477" s="258" t="e">
        <f t="shared" si="31"/>
        <v>#REF!</v>
      </c>
      <c r="E477" s="257" t="e">
        <f t="shared" si="34"/>
        <v>#REF!</v>
      </c>
      <c r="F477" s="166">
        <v>29.52</v>
      </c>
      <c r="G477" s="148">
        <v>4352.4117002421917</v>
      </c>
      <c r="H477" s="181">
        <f>VLOOKUP($A477&amp;$B477,'KU Inputs'!$C$2:$J$530,MATCH('KU UtilityData'!H$1,'KU Inputs'!$C$1:$J$1,0),0)*1000</f>
        <v>4959534</v>
      </c>
      <c r="I477" s="181">
        <f>VLOOKUP($A477&amp;$B477,'KU Inputs'!$C$2:$J$530,MATCH('KU UtilityData'!I$1,'KU Inputs'!$C$1:$J$1,0),0)*1000</f>
        <v>5247709</v>
      </c>
      <c r="J477" s="181">
        <f>VLOOKUP($A477&amp;$B477,'KU Inputs'!$C$2:$J$530,MATCH('KU UtilityData'!J$1,'KU Inputs'!$C$1:$J$1,0),0)*1000</f>
        <v>2123898</v>
      </c>
      <c r="K477" s="231">
        <v>506011.26</v>
      </c>
      <c r="L477" s="181">
        <f>VLOOKUP($A477&amp;$B477,'KU Inputs'!$C$2:$J$530,MATCH('KU UtilityData'!L$1,'KU Inputs'!$C$1:$J$1,0),0)</f>
        <v>247249.16699999999</v>
      </c>
      <c r="M477" s="181">
        <f>VLOOKUP($A477&amp;$B477,'KU Inputs'!$C$2:$J$530,MATCH('KU UtilityData'!M$1,'KU Inputs'!$C$1:$J$1,0),0)</f>
        <v>249314.18166869634</v>
      </c>
      <c r="N477" s="246">
        <f t="shared" si="33"/>
        <v>0.75</v>
      </c>
      <c r="O477" s="246">
        <f t="shared" si="33"/>
        <v>348.8175</v>
      </c>
      <c r="P477" s="159">
        <v>4512</v>
      </c>
      <c r="Q477" s="159">
        <v>1455</v>
      </c>
      <c r="R477" s="271">
        <f t="shared" si="32"/>
        <v>0.40472861585884429</v>
      </c>
    </row>
    <row r="478" spans="1:18" x14ac:dyDescent="0.2">
      <c r="A478" s="147">
        <v>2040</v>
      </c>
      <c r="B478" s="147">
        <v>9</v>
      </c>
      <c r="D478" s="258" t="e">
        <f t="shared" si="31"/>
        <v>#REF!</v>
      </c>
      <c r="E478" s="257" t="e">
        <f t="shared" si="34"/>
        <v>#REF!</v>
      </c>
      <c r="F478" s="166">
        <v>30.71</v>
      </c>
      <c r="G478" s="148">
        <v>4354.0774218269908</v>
      </c>
      <c r="H478" s="181">
        <f>VLOOKUP($A478&amp;$B478,'KU Inputs'!$C$2:$J$530,MATCH('KU UtilityData'!H$1,'KU Inputs'!$C$1:$J$1,0),0)*1000</f>
        <v>4959534</v>
      </c>
      <c r="I478" s="181">
        <f>VLOOKUP($A478&amp;$B478,'KU Inputs'!$C$2:$J$530,MATCH('KU UtilityData'!I$1,'KU Inputs'!$C$1:$J$1,0),0)*1000</f>
        <v>5247709</v>
      </c>
      <c r="J478" s="181">
        <f>VLOOKUP($A478&amp;$B478,'KU Inputs'!$C$2:$J$530,MATCH('KU UtilityData'!J$1,'KU Inputs'!$C$1:$J$1,0),0)*1000</f>
        <v>2123898</v>
      </c>
      <c r="K478" s="231">
        <v>506011.26</v>
      </c>
      <c r="L478" s="181">
        <f>VLOOKUP($A478&amp;$B478,'KU Inputs'!$C$2:$J$530,MATCH('KU UtilityData'!L$1,'KU Inputs'!$C$1:$J$1,0),0)</f>
        <v>247249.16699999999</v>
      </c>
      <c r="M478" s="181">
        <f>VLOOKUP($A478&amp;$B478,'KU Inputs'!$C$2:$J$530,MATCH('KU UtilityData'!M$1,'KU Inputs'!$C$1:$J$1,0),0)</f>
        <v>249314.18166869634</v>
      </c>
      <c r="N478" s="246">
        <f t="shared" ref="N478:O497" si="35">N466</f>
        <v>11.752500000000001</v>
      </c>
      <c r="O478" s="246">
        <f t="shared" si="35"/>
        <v>258.88</v>
      </c>
      <c r="P478" s="159">
        <v>4512</v>
      </c>
      <c r="Q478" s="159">
        <v>1455</v>
      </c>
      <c r="R478" s="271">
        <f t="shared" si="32"/>
        <v>0.40472861585884429</v>
      </c>
    </row>
    <row r="479" spans="1:18" x14ac:dyDescent="0.2">
      <c r="A479" s="147">
        <v>2040</v>
      </c>
      <c r="B479" s="147">
        <v>10</v>
      </c>
      <c r="D479" s="258" t="e">
        <f t="shared" si="31"/>
        <v>#REF!</v>
      </c>
      <c r="E479" s="257" t="e">
        <f t="shared" si="34"/>
        <v>#REF!</v>
      </c>
      <c r="F479" s="166">
        <v>29.52</v>
      </c>
      <c r="G479" s="148">
        <v>4355.7431434117889</v>
      </c>
      <c r="H479" s="181">
        <f>VLOOKUP($A479&amp;$B479,'KU Inputs'!$C$2:$J$530,MATCH('KU UtilityData'!H$1,'KU Inputs'!$C$1:$J$1,0),0)*1000</f>
        <v>4963314</v>
      </c>
      <c r="I479" s="181">
        <f>VLOOKUP($A479&amp;$B479,'KU Inputs'!$C$2:$J$530,MATCH('KU UtilityData'!I$1,'KU Inputs'!$C$1:$J$1,0),0)*1000</f>
        <v>5254354</v>
      </c>
      <c r="J479" s="181">
        <f>VLOOKUP($A479&amp;$B479,'KU Inputs'!$C$2:$J$530,MATCH('KU UtilityData'!J$1,'KU Inputs'!$C$1:$J$1,0),0)*1000</f>
        <v>2127299</v>
      </c>
      <c r="K479" s="231">
        <v>506683.69</v>
      </c>
      <c r="L479" s="181">
        <f>VLOOKUP($A479&amp;$B479,'KU Inputs'!$C$2:$J$530,MATCH('KU UtilityData'!L$1,'KU Inputs'!$C$1:$J$1,0),0)</f>
        <v>247944.00599999999</v>
      </c>
      <c r="M479" s="181">
        <f>VLOOKUP($A479&amp;$B479,'KU Inputs'!$C$2:$J$530,MATCH('KU UtilityData'!M$1,'KU Inputs'!$C$1:$J$1,0),0)</f>
        <v>250091.94680333562</v>
      </c>
      <c r="N479" s="246">
        <f t="shared" si="35"/>
        <v>134.87</v>
      </c>
      <c r="O479" s="246">
        <f t="shared" si="35"/>
        <v>71.42</v>
      </c>
      <c r="P479" s="159">
        <v>4512</v>
      </c>
      <c r="Q479" s="159">
        <v>1455</v>
      </c>
      <c r="R479" s="271">
        <f t="shared" si="32"/>
        <v>0.40486404227808026</v>
      </c>
    </row>
    <row r="480" spans="1:18" x14ac:dyDescent="0.2">
      <c r="A480" s="147">
        <v>2040</v>
      </c>
      <c r="B480" s="147">
        <v>11</v>
      </c>
      <c r="D480" s="258" t="e">
        <f t="shared" si="31"/>
        <v>#REF!</v>
      </c>
      <c r="E480" s="257" t="e">
        <f t="shared" si="34"/>
        <v>#REF!</v>
      </c>
      <c r="F480" s="166">
        <v>29.38</v>
      </c>
      <c r="G480" s="148">
        <v>4357.4088649965879</v>
      </c>
      <c r="H480" s="181">
        <f>VLOOKUP($A480&amp;$B480,'KU Inputs'!$C$2:$J$530,MATCH('KU UtilityData'!H$1,'KU Inputs'!$C$1:$J$1,0),0)*1000</f>
        <v>4963314</v>
      </c>
      <c r="I480" s="181">
        <f>VLOOKUP($A480&amp;$B480,'KU Inputs'!$C$2:$J$530,MATCH('KU UtilityData'!I$1,'KU Inputs'!$C$1:$J$1,0),0)*1000</f>
        <v>5254354</v>
      </c>
      <c r="J480" s="181">
        <f>VLOOKUP($A480&amp;$B480,'KU Inputs'!$C$2:$J$530,MATCH('KU UtilityData'!J$1,'KU Inputs'!$C$1:$J$1,0),0)*1000</f>
        <v>2127299</v>
      </c>
      <c r="K480" s="231">
        <v>506683.69</v>
      </c>
      <c r="L480" s="181">
        <f>VLOOKUP($A480&amp;$B480,'KU Inputs'!$C$2:$J$530,MATCH('KU UtilityData'!L$1,'KU Inputs'!$C$1:$J$1,0),0)</f>
        <v>247944.00599999999</v>
      </c>
      <c r="M480" s="181">
        <f>VLOOKUP($A480&amp;$B480,'KU Inputs'!$C$2:$J$530,MATCH('KU UtilityData'!M$1,'KU Inputs'!$C$1:$J$1,0),0)</f>
        <v>250091.94680333562</v>
      </c>
      <c r="N480" s="246">
        <f t="shared" si="35"/>
        <v>396.30250000000001</v>
      </c>
      <c r="O480" s="246">
        <f t="shared" si="35"/>
        <v>6.6950000000000003</v>
      </c>
      <c r="P480" s="159">
        <v>4512</v>
      </c>
      <c r="Q480" s="159">
        <v>1455</v>
      </c>
      <c r="R480" s="271">
        <f t="shared" si="32"/>
        <v>0.40486404227808026</v>
      </c>
    </row>
    <row r="481" spans="1:18" x14ac:dyDescent="0.2">
      <c r="A481" s="147">
        <v>2040</v>
      </c>
      <c r="B481" s="147">
        <v>12</v>
      </c>
      <c r="D481" s="258" t="e">
        <f t="shared" si="31"/>
        <v>#REF!</v>
      </c>
      <c r="E481" s="257" t="e">
        <f t="shared" si="34"/>
        <v>#REF!</v>
      </c>
      <c r="F481" s="166">
        <v>32.81</v>
      </c>
      <c r="G481" s="148">
        <v>4359.0745865813869</v>
      </c>
      <c r="H481" s="181">
        <f>VLOOKUP($A481&amp;$B481,'KU Inputs'!$C$2:$J$530,MATCH('KU UtilityData'!H$1,'KU Inputs'!$C$1:$J$1,0),0)*1000</f>
        <v>4963314</v>
      </c>
      <c r="I481" s="181">
        <f>VLOOKUP($A481&amp;$B481,'KU Inputs'!$C$2:$J$530,MATCH('KU UtilityData'!I$1,'KU Inputs'!$C$1:$J$1,0),0)*1000</f>
        <v>5254354</v>
      </c>
      <c r="J481" s="181">
        <f>VLOOKUP($A481&amp;$B481,'KU Inputs'!$C$2:$J$530,MATCH('KU UtilityData'!J$1,'KU Inputs'!$C$1:$J$1,0),0)*1000</f>
        <v>2127299</v>
      </c>
      <c r="K481" s="231">
        <v>506683.69</v>
      </c>
      <c r="L481" s="181">
        <f>VLOOKUP($A481&amp;$B481,'KU Inputs'!$C$2:$J$530,MATCH('KU UtilityData'!L$1,'KU Inputs'!$C$1:$J$1,0),0)</f>
        <v>247944.00599999999</v>
      </c>
      <c r="M481" s="181">
        <f>VLOOKUP($A481&amp;$B481,'KU Inputs'!$C$2:$J$530,MATCH('KU UtilityData'!M$1,'KU Inputs'!$C$1:$J$1,0),0)</f>
        <v>250091.94680333562</v>
      </c>
      <c r="N481" s="246">
        <f t="shared" si="35"/>
        <v>714.28500000000008</v>
      </c>
      <c r="O481" s="246">
        <f t="shared" si="35"/>
        <v>0.25</v>
      </c>
      <c r="P481" s="159">
        <v>4512</v>
      </c>
      <c r="Q481" s="159">
        <v>1455</v>
      </c>
      <c r="R481" s="271">
        <f t="shared" si="32"/>
        <v>0.40486404227808026</v>
      </c>
    </row>
    <row r="482" spans="1:18" x14ac:dyDescent="0.2">
      <c r="A482" s="147">
        <v>2041</v>
      </c>
      <c r="B482" s="147">
        <v>1</v>
      </c>
      <c r="D482" s="258" t="e">
        <f t="shared" si="31"/>
        <v>#REF!</v>
      </c>
      <c r="E482" s="257" t="e">
        <f t="shared" si="34"/>
        <v>#REF!</v>
      </c>
      <c r="F482" s="166">
        <f t="shared" ref="F482:F517" si="36">F470</f>
        <v>32.43</v>
      </c>
      <c r="G482" s="148">
        <v>4360.7403081661851</v>
      </c>
      <c r="H482" s="181">
        <f>VLOOKUP($A482&amp;$B482,'KU Inputs'!$C$2:$J$530,MATCH('KU UtilityData'!H$1,'KU Inputs'!$C$1:$J$1,0),0)*1000</f>
        <v>4967087</v>
      </c>
      <c r="I482" s="181">
        <f>VLOOKUP($A482&amp;$B482,'KU Inputs'!$C$2:$J$530,MATCH('KU UtilityData'!I$1,'KU Inputs'!$C$1:$J$1,0),0)*1000</f>
        <v>5261000</v>
      </c>
      <c r="J482" s="181">
        <f>VLOOKUP($A482&amp;$B482,'KU Inputs'!$C$2:$J$530,MATCH('KU UtilityData'!J$1,'KU Inputs'!$C$1:$J$1,0),0)*1000</f>
        <v>2130652</v>
      </c>
      <c r="K482" s="231">
        <v>507444.02</v>
      </c>
      <c r="L482" s="181">
        <f>VLOOKUP($A482&amp;$B482,'KU Inputs'!$C$2:$J$530,MATCH('KU UtilityData'!L$1,'KU Inputs'!$C$1:$J$1,0),0)</f>
        <v>249612.27900000001</v>
      </c>
      <c r="M482" s="181">
        <f>VLOOKUP($A482&amp;$B482,'KU Inputs'!$C$2:$J$530,MATCH('KU UtilityData'!M$1,'KU Inputs'!$C$1:$J$1,0),0)</f>
        <v>251445.55394935544</v>
      </c>
      <c r="N482" s="246">
        <f t="shared" si="35"/>
        <v>991.4375</v>
      </c>
      <c r="O482" s="246">
        <f t="shared" si="35"/>
        <v>0</v>
      </c>
      <c r="P482" s="159">
        <v>4512</v>
      </c>
      <c r="Q482" s="159">
        <v>1455</v>
      </c>
      <c r="R482" s="271">
        <f t="shared" si="32"/>
        <v>0.40498992586960653</v>
      </c>
    </row>
    <row r="483" spans="1:18" x14ac:dyDescent="0.2">
      <c r="A483" s="147">
        <v>2041</v>
      </c>
      <c r="B483" s="147">
        <v>2</v>
      </c>
      <c r="D483" s="258" t="e">
        <f t="shared" si="31"/>
        <v>#REF!</v>
      </c>
      <c r="E483" s="257" t="e">
        <f t="shared" si="34"/>
        <v>#REF!</v>
      </c>
      <c r="F483" s="166">
        <f t="shared" si="36"/>
        <v>29.9</v>
      </c>
      <c r="G483" s="148">
        <v>4362.4060297509841</v>
      </c>
      <c r="H483" s="181">
        <f>VLOOKUP($A483&amp;$B483,'KU Inputs'!$C$2:$J$530,MATCH('KU UtilityData'!H$1,'KU Inputs'!$C$1:$J$1,0),0)*1000</f>
        <v>4967087</v>
      </c>
      <c r="I483" s="181">
        <f>VLOOKUP($A483&amp;$B483,'KU Inputs'!$C$2:$J$530,MATCH('KU UtilityData'!I$1,'KU Inputs'!$C$1:$J$1,0),0)*1000</f>
        <v>5261000</v>
      </c>
      <c r="J483" s="181">
        <f>VLOOKUP($A483&amp;$B483,'KU Inputs'!$C$2:$J$530,MATCH('KU UtilityData'!J$1,'KU Inputs'!$C$1:$J$1,0),0)*1000</f>
        <v>2130652</v>
      </c>
      <c r="K483" s="231">
        <v>507444.02</v>
      </c>
      <c r="L483" s="181">
        <f>VLOOKUP($A483&amp;$B483,'KU Inputs'!$C$2:$J$530,MATCH('KU UtilityData'!L$1,'KU Inputs'!$C$1:$J$1,0),0)</f>
        <v>249612.27900000001</v>
      </c>
      <c r="M483" s="181">
        <f>VLOOKUP($A483&amp;$B483,'KU Inputs'!$C$2:$J$530,MATCH('KU UtilityData'!M$1,'KU Inputs'!$C$1:$J$1,0),0)</f>
        <v>251445.55394935544</v>
      </c>
      <c r="N483" s="246">
        <f t="shared" si="35"/>
        <v>890.05499999999995</v>
      </c>
      <c r="O483" s="246">
        <f t="shared" si="35"/>
        <v>0</v>
      </c>
      <c r="P483" s="159">
        <v>4512</v>
      </c>
      <c r="Q483" s="159">
        <v>1455</v>
      </c>
      <c r="R483" s="271">
        <f t="shared" si="32"/>
        <v>0.40498992586960653</v>
      </c>
    </row>
    <row r="484" spans="1:18" x14ac:dyDescent="0.2">
      <c r="A484" s="147">
        <v>2041</v>
      </c>
      <c r="B484" s="147">
        <v>3</v>
      </c>
      <c r="D484" s="258" t="e">
        <f t="shared" si="31"/>
        <v>#REF!</v>
      </c>
      <c r="E484" s="257" t="e">
        <f t="shared" si="34"/>
        <v>#REF!</v>
      </c>
      <c r="F484" s="166">
        <f t="shared" si="36"/>
        <v>30.33</v>
      </c>
      <c r="G484" s="148">
        <v>4364.0717513357831</v>
      </c>
      <c r="H484" s="181">
        <f>VLOOKUP($A484&amp;$B484,'KU Inputs'!$C$2:$J$530,MATCH('KU UtilityData'!H$1,'KU Inputs'!$C$1:$J$1,0),0)*1000</f>
        <v>4967087</v>
      </c>
      <c r="I484" s="181">
        <f>VLOOKUP($A484&amp;$B484,'KU Inputs'!$C$2:$J$530,MATCH('KU UtilityData'!I$1,'KU Inputs'!$C$1:$J$1,0),0)*1000</f>
        <v>5261000</v>
      </c>
      <c r="J484" s="181">
        <f>VLOOKUP($A484&amp;$B484,'KU Inputs'!$C$2:$J$530,MATCH('KU UtilityData'!J$1,'KU Inputs'!$C$1:$J$1,0),0)*1000</f>
        <v>2130652</v>
      </c>
      <c r="K484" s="231">
        <v>507444.02</v>
      </c>
      <c r="L484" s="181">
        <f>VLOOKUP($A484&amp;$B484,'KU Inputs'!$C$2:$J$530,MATCH('KU UtilityData'!L$1,'KU Inputs'!$C$1:$J$1,0),0)</f>
        <v>249612.27900000001</v>
      </c>
      <c r="M484" s="181">
        <f>VLOOKUP($A484&amp;$B484,'KU Inputs'!$C$2:$J$530,MATCH('KU UtilityData'!M$1,'KU Inputs'!$C$1:$J$1,0),0)</f>
        <v>251445.55394935544</v>
      </c>
      <c r="N484" s="246">
        <f t="shared" si="35"/>
        <v>724.63750000000005</v>
      </c>
      <c r="O484" s="246">
        <f t="shared" si="35"/>
        <v>0.92249999999999999</v>
      </c>
      <c r="P484" s="159">
        <v>4512</v>
      </c>
      <c r="Q484" s="159">
        <v>1455</v>
      </c>
      <c r="R484" s="271">
        <f t="shared" si="32"/>
        <v>0.40498992586960653</v>
      </c>
    </row>
    <row r="485" spans="1:18" x14ac:dyDescent="0.2">
      <c r="A485" s="147">
        <v>2041</v>
      </c>
      <c r="B485" s="147">
        <v>4</v>
      </c>
      <c r="D485" s="258" t="e">
        <f t="shared" si="31"/>
        <v>#REF!</v>
      </c>
      <c r="E485" s="257" t="e">
        <f t="shared" si="34"/>
        <v>#REF!</v>
      </c>
      <c r="F485" s="166">
        <f t="shared" si="36"/>
        <v>30.29</v>
      </c>
      <c r="G485" s="148">
        <v>4365.7374729205821</v>
      </c>
      <c r="H485" s="181">
        <f>VLOOKUP($A485&amp;$B485,'KU Inputs'!$C$2:$J$530,MATCH('KU UtilityData'!H$1,'KU Inputs'!$C$1:$J$1,0),0)*1000</f>
        <v>4970853</v>
      </c>
      <c r="I485" s="181">
        <f>VLOOKUP($A485&amp;$B485,'KU Inputs'!$C$2:$J$530,MATCH('KU UtilityData'!I$1,'KU Inputs'!$C$1:$J$1,0),0)*1000</f>
        <v>5267646</v>
      </c>
      <c r="J485" s="181">
        <f>VLOOKUP($A485&amp;$B485,'KU Inputs'!$C$2:$J$530,MATCH('KU UtilityData'!J$1,'KU Inputs'!$C$1:$J$1,0),0)*1000</f>
        <v>2133993</v>
      </c>
      <c r="K485" s="231">
        <v>508155.38</v>
      </c>
      <c r="L485" s="181">
        <f>VLOOKUP($A485&amp;$B485,'KU Inputs'!$C$2:$J$530,MATCH('KU UtilityData'!L$1,'KU Inputs'!$C$1:$J$1,0),0)</f>
        <v>250429.492</v>
      </c>
      <c r="M485" s="181">
        <f>VLOOKUP($A485&amp;$B485,'KU Inputs'!$C$2:$J$530,MATCH('KU UtilityData'!M$1,'KU Inputs'!$C$1:$J$1,0),0)</f>
        <v>252430.87276282423</v>
      </c>
      <c r="N485" s="246">
        <f t="shared" si="35"/>
        <v>433.4375</v>
      </c>
      <c r="O485" s="246">
        <f t="shared" si="35"/>
        <v>13.477500000000001</v>
      </c>
      <c r="P485" s="159">
        <v>4512</v>
      </c>
      <c r="Q485" s="159">
        <v>1455</v>
      </c>
      <c r="R485" s="271">
        <f t="shared" si="32"/>
        <v>0.40511321375809994</v>
      </c>
    </row>
    <row r="486" spans="1:18" x14ac:dyDescent="0.2">
      <c r="A486" s="147">
        <v>2041</v>
      </c>
      <c r="B486" s="147">
        <v>5</v>
      </c>
      <c r="D486" s="258" t="e">
        <f t="shared" si="31"/>
        <v>#REF!</v>
      </c>
      <c r="E486" s="257" t="e">
        <f t="shared" si="34"/>
        <v>#REF!</v>
      </c>
      <c r="F486" s="166">
        <f t="shared" si="36"/>
        <v>30.05</v>
      </c>
      <c r="G486" s="148">
        <v>4367.4031945053803</v>
      </c>
      <c r="H486" s="181">
        <f>VLOOKUP($A486&amp;$B486,'KU Inputs'!$C$2:$J$530,MATCH('KU UtilityData'!H$1,'KU Inputs'!$C$1:$J$1,0),0)*1000</f>
        <v>4970853</v>
      </c>
      <c r="I486" s="181">
        <f>VLOOKUP($A486&amp;$B486,'KU Inputs'!$C$2:$J$530,MATCH('KU UtilityData'!I$1,'KU Inputs'!$C$1:$J$1,0),0)*1000</f>
        <v>5267646</v>
      </c>
      <c r="J486" s="181">
        <f>VLOOKUP($A486&amp;$B486,'KU Inputs'!$C$2:$J$530,MATCH('KU UtilityData'!J$1,'KU Inputs'!$C$1:$J$1,0),0)*1000</f>
        <v>2133993</v>
      </c>
      <c r="K486" s="231">
        <v>508155.38</v>
      </c>
      <c r="L486" s="181">
        <f>VLOOKUP($A486&amp;$B486,'KU Inputs'!$C$2:$J$530,MATCH('KU UtilityData'!L$1,'KU Inputs'!$C$1:$J$1,0),0)</f>
        <v>250429.492</v>
      </c>
      <c r="M486" s="181">
        <f>VLOOKUP($A486&amp;$B486,'KU Inputs'!$C$2:$J$530,MATCH('KU UtilityData'!M$1,'KU Inputs'!$C$1:$J$1,0),0)</f>
        <v>252430.87276282423</v>
      </c>
      <c r="N486" s="246">
        <f t="shared" si="35"/>
        <v>189.125</v>
      </c>
      <c r="O486" s="246">
        <f t="shared" si="35"/>
        <v>46.06</v>
      </c>
      <c r="P486" s="159">
        <v>4512</v>
      </c>
      <c r="Q486" s="159">
        <v>1455</v>
      </c>
      <c r="R486" s="271">
        <f t="shared" si="32"/>
        <v>0.40511321375809994</v>
      </c>
    </row>
    <row r="487" spans="1:18" x14ac:dyDescent="0.2">
      <c r="A487" s="147">
        <v>2041</v>
      </c>
      <c r="B487" s="147">
        <v>6</v>
      </c>
      <c r="D487" s="258" t="e">
        <f t="shared" si="31"/>
        <v>#REF!</v>
      </c>
      <c r="E487" s="257" t="e">
        <f t="shared" si="34"/>
        <v>#REF!</v>
      </c>
      <c r="F487" s="166">
        <f t="shared" si="36"/>
        <v>30.67</v>
      </c>
      <c r="G487" s="148">
        <v>4369.0689160901757</v>
      </c>
      <c r="H487" s="181">
        <f>VLOOKUP($A487&amp;$B487,'KU Inputs'!$C$2:$J$530,MATCH('KU UtilityData'!H$1,'KU Inputs'!$C$1:$J$1,0),0)*1000</f>
        <v>4970853</v>
      </c>
      <c r="I487" s="181">
        <f>VLOOKUP($A487&amp;$B487,'KU Inputs'!$C$2:$J$530,MATCH('KU UtilityData'!I$1,'KU Inputs'!$C$1:$J$1,0),0)*1000</f>
        <v>5267646</v>
      </c>
      <c r="J487" s="181">
        <f>VLOOKUP($A487&amp;$B487,'KU Inputs'!$C$2:$J$530,MATCH('KU UtilityData'!J$1,'KU Inputs'!$C$1:$J$1,0),0)*1000</f>
        <v>2133993</v>
      </c>
      <c r="K487" s="231">
        <v>508155.38</v>
      </c>
      <c r="L487" s="181">
        <f>VLOOKUP($A487&amp;$B487,'KU Inputs'!$C$2:$J$530,MATCH('KU UtilityData'!L$1,'KU Inputs'!$C$1:$J$1,0),0)</f>
        <v>250429.492</v>
      </c>
      <c r="M487" s="181">
        <f>VLOOKUP($A487&amp;$B487,'KU Inputs'!$C$2:$J$530,MATCH('KU UtilityData'!M$1,'KU Inputs'!$C$1:$J$1,0),0)</f>
        <v>252430.87276282423</v>
      </c>
      <c r="N487" s="246">
        <f t="shared" si="35"/>
        <v>50.362499999999997</v>
      </c>
      <c r="O487" s="246">
        <f t="shared" si="35"/>
        <v>166.4075</v>
      </c>
      <c r="P487" s="159">
        <v>4512</v>
      </c>
      <c r="Q487" s="159">
        <v>1455</v>
      </c>
      <c r="R487" s="271">
        <f t="shared" si="32"/>
        <v>0.40511321375809994</v>
      </c>
    </row>
    <row r="488" spans="1:18" x14ac:dyDescent="0.2">
      <c r="A488" s="147">
        <v>2041</v>
      </c>
      <c r="B488" s="147">
        <v>7</v>
      </c>
      <c r="D488" s="258" t="e">
        <f t="shared" si="31"/>
        <v>#REF!</v>
      </c>
      <c r="E488" s="257" t="e">
        <f t="shared" si="34"/>
        <v>#REF!</v>
      </c>
      <c r="F488" s="166">
        <f t="shared" si="36"/>
        <v>30.62</v>
      </c>
      <c r="G488" s="148">
        <v>4370.7349160901758</v>
      </c>
      <c r="H488" s="181">
        <f>VLOOKUP($A488&amp;$B488,'KU Inputs'!$C$2:$J$530,MATCH('KU UtilityData'!H$1,'KU Inputs'!$C$1:$J$1,0),0)*1000</f>
        <v>4974613</v>
      </c>
      <c r="I488" s="181">
        <f>VLOOKUP($A488&amp;$B488,'KU Inputs'!$C$2:$J$530,MATCH('KU UtilityData'!I$1,'KU Inputs'!$C$1:$J$1,0),0)*1000</f>
        <v>5274295</v>
      </c>
      <c r="J488" s="181">
        <f>VLOOKUP($A488&amp;$B488,'KU Inputs'!$C$2:$J$530,MATCH('KU UtilityData'!J$1,'KU Inputs'!$C$1:$J$1,0),0)*1000</f>
        <v>2137165</v>
      </c>
      <c r="K488" s="231">
        <v>508867.17</v>
      </c>
      <c r="L488" s="181">
        <f>VLOOKUP($A488&amp;$B488,'KU Inputs'!$C$2:$J$530,MATCH('KU UtilityData'!L$1,'KU Inputs'!$C$1:$J$1,0),0)</f>
        <v>251394.72700000001</v>
      </c>
      <c r="M488" s="181">
        <f>VLOOKUP($A488&amp;$B488,'KU Inputs'!$C$2:$J$530,MATCH('KU UtilityData'!M$1,'KU Inputs'!$C$1:$J$1,0),0)</f>
        <v>253350.96349015992</v>
      </c>
      <c r="N488" s="246">
        <f t="shared" si="35"/>
        <v>1.625</v>
      </c>
      <c r="O488" s="246">
        <f t="shared" si="35"/>
        <v>326.005</v>
      </c>
      <c r="P488" s="159">
        <v>4512</v>
      </c>
      <c r="Q488" s="159">
        <v>1455</v>
      </c>
      <c r="R488" s="271">
        <f t="shared" si="32"/>
        <v>0.40520391824878965</v>
      </c>
    </row>
    <row r="489" spans="1:18" x14ac:dyDescent="0.2">
      <c r="A489" s="147">
        <v>2041</v>
      </c>
      <c r="B489" s="147">
        <v>8</v>
      </c>
      <c r="D489" s="258" t="e">
        <f t="shared" si="31"/>
        <v>#REF!</v>
      </c>
      <c r="E489" s="257" t="e">
        <f t="shared" si="34"/>
        <v>#REF!</v>
      </c>
      <c r="F489" s="166">
        <f t="shared" si="36"/>
        <v>29.52</v>
      </c>
      <c r="G489" s="148">
        <v>4372.4009160901751</v>
      </c>
      <c r="H489" s="181">
        <f>VLOOKUP($A489&amp;$B489,'KU Inputs'!$C$2:$J$530,MATCH('KU UtilityData'!H$1,'KU Inputs'!$C$1:$J$1,0),0)*1000</f>
        <v>4974613</v>
      </c>
      <c r="I489" s="181">
        <f>VLOOKUP($A489&amp;$B489,'KU Inputs'!$C$2:$J$530,MATCH('KU UtilityData'!I$1,'KU Inputs'!$C$1:$J$1,0),0)*1000</f>
        <v>5274295</v>
      </c>
      <c r="J489" s="181">
        <f>VLOOKUP($A489&amp;$B489,'KU Inputs'!$C$2:$J$530,MATCH('KU UtilityData'!J$1,'KU Inputs'!$C$1:$J$1,0),0)*1000</f>
        <v>2137165</v>
      </c>
      <c r="K489" s="231">
        <v>508867.17</v>
      </c>
      <c r="L489" s="181">
        <f>VLOOKUP($A489&amp;$B489,'KU Inputs'!$C$2:$J$530,MATCH('KU UtilityData'!L$1,'KU Inputs'!$C$1:$J$1,0),0)</f>
        <v>251394.72700000001</v>
      </c>
      <c r="M489" s="181">
        <f>VLOOKUP($A489&amp;$B489,'KU Inputs'!$C$2:$J$530,MATCH('KU UtilityData'!M$1,'KU Inputs'!$C$1:$J$1,0),0)</f>
        <v>253350.96349015992</v>
      </c>
      <c r="N489" s="246">
        <f t="shared" si="35"/>
        <v>0.75</v>
      </c>
      <c r="O489" s="246">
        <f t="shared" si="35"/>
        <v>348.8175</v>
      </c>
      <c r="P489" s="159">
        <v>4512</v>
      </c>
      <c r="Q489" s="159">
        <v>1455</v>
      </c>
      <c r="R489" s="271">
        <f t="shared" si="32"/>
        <v>0.40520391824878965</v>
      </c>
    </row>
    <row r="490" spans="1:18" x14ac:dyDescent="0.2">
      <c r="A490" s="147">
        <v>2041</v>
      </c>
      <c r="B490" s="147">
        <v>9</v>
      </c>
      <c r="D490" s="258" t="e">
        <f t="shared" si="31"/>
        <v>#REF!</v>
      </c>
      <c r="E490" s="257" t="e">
        <f t="shared" si="34"/>
        <v>#REF!</v>
      </c>
      <c r="F490" s="166">
        <f t="shared" si="36"/>
        <v>30.71</v>
      </c>
      <c r="G490" s="148">
        <v>4374.0669160901753</v>
      </c>
      <c r="H490" s="181">
        <f>VLOOKUP($A490&amp;$B490,'KU Inputs'!$C$2:$J$530,MATCH('KU UtilityData'!H$1,'KU Inputs'!$C$1:$J$1,0),0)*1000</f>
        <v>4974613</v>
      </c>
      <c r="I490" s="181">
        <f>VLOOKUP($A490&amp;$B490,'KU Inputs'!$C$2:$J$530,MATCH('KU UtilityData'!I$1,'KU Inputs'!$C$1:$J$1,0),0)*1000</f>
        <v>5274295</v>
      </c>
      <c r="J490" s="181">
        <f>VLOOKUP($A490&amp;$B490,'KU Inputs'!$C$2:$J$530,MATCH('KU UtilityData'!J$1,'KU Inputs'!$C$1:$J$1,0),0)*1000</f>
        <v>2137165</v>
      </c>
      <c r="K490" s="231">
        <v>508867.17</v>
      </c>
      <c r="L490" s="181">
        <f>VLOOKUP($A490&amp;$B490,'KU Inputs'!$C$2:$J$530,MATCH('KU UtilityData'!L$1,'KU Inputs'!$C$1:$J$1,0),0)</f>
        <v>251394.72700000001</v>
      </c>
      <c r="M490" s="181">
        <f>VLOOKUP($A490&amp;$B490,'KU Inputs'!$C$2:$J$530,MATCH('KU UtilityData'!M$1,'KU Inputs'!$C$1:$J$1,0),0)</f>
        <v>253350.96349015992</v>
      </c>
      <c r="N490" s="246">
        <f t="shared" si="35"/>
        <v>11.752500000000001</v>
      </c>
      <c r="O490" s="246">
        <f t="shared" si="35"/>
        <v>258.88</v>
      </c>
      <c r="P490" s="159">
        <v>4512</v>
      </c>
      <c r="Q490" s="159">
        <v>1455</v>
      </c>
      <c r="R490" s="271">
        <f t="shared" si="32"/>
        <v>0.40520391824878965</v>
      </c>
    </row>
    <row r="491" spans="1:18" x14ac:dyDescent="0.2">
      <c r="A491" s="147">
        <v>2041</v>
      </c>
      <c r="B491" s="147">
        <v>10</v>
      </c>
      <c r="D491" s="258" t="e">
        <f t="shared" si="31"/>
        <v>#REF!</v>
      </c>
      <c r="E491" s="257" t="e">
        <f t="shared" si="34"/>
        <v>#REF!</v>
      </c>
      <c r="F491" s="166">
        <f t="shared" si="36"/>
        <v>29.52</v>
      </c>
      <c r="G491" s="148">
        <v>4375.7329160901754</v>
      </c>
      <c r="H491" s="181">
        <f>VLOOKUP($A491&amp;$B491,'KU Inputs'!$C$2:$J$530,MATCH('KU UtilityData'!H$1,'KU Inputs'!$C$1:$J$1,0),0)*1000</f>
        <v>4978367</v>
      </c>
      <c r="I491" s="181">
        <f>VLOOKUP($A491&amp;$B491,'KU Inputs'!$C$2:$J$530,MATCH('KU UtilityData'!I$1,'KU Inputs'!$C$1:$J$1,0),0)*1000</f>
        <v>5280945</v>
      </c>
      <c r="J491" s="181">
        <f>VLOOKUP($A491&amp;$B491,'KU Inputs'!$C$2:$J$530,MATCH('KU UtilityData'!J$1,'KU Inputs'!$C$1:$J$1,0),0)*1000</f>
        <v>2140556</v>
      </c>
      <c r="K491" s="231">
        <v>509586.18</v>
      </c>
      <c r="L491" s="181">
        <f>VLOOKUP($A491&amp;$B491,'KU Inputs'!$C$2:$J$530,MATCH('KU UtilityData'!L$1,'KU Inputs'!$C$1:$J$1,0),0)</f>
        <v>252359.43400000001</v>
      </c>
      <c r="M491" s="181">
        <f>VLOOKUP($A491&amp;$B491,'KU Inputs'!$C$2:$J$530,MATCH('KU UtilityData'!M$1,'KU Inputs'!$C$1:$J$1,0),0)</f>
        <v>254215.79508224427</v>
      </c>
      <c r="N491" s="246">
        <f t="shared" si="35"/>
        <v>134.87</v>
      </c>
      <c r="O491" s="246">
        <f t="shared" si="35"/>
        <v>71.42</v>
      </c>
      <c r="P491" s="159">
        <v>4512</v>
      </c>
      <c r="Q491" s="159">
        <v>1455</v>
      </c>
      <c r="R491" s="271">
        <f t="shared" si="32"/>
        <v>0.40533578743955861</v>
      </c>
    </row>
    <row r="492" spans="1:18" x14ac:dyDescent="0.2">
      <c r="A492" s="147">
        <v>2041</v>
      </c>
      <c r="B492" s="147">
        <v>11</v>
      </c>
      <c r="D492" s="258" t="e">
        <f t="shared" si="31"/>
        <v>#REF!</v>
      </c>
      <c r="E492" s="257" t="e">
        <f t="shared" si="34"/>
        <v>#REF!</v>
      </c>
      <c r="F492" s="166">
        <f t="shared" si="36"/>
        <v>29.38</v>
      </c>
      <c r="G492" s="148">
        <v>4377.3989160901756</v>
      </c>
      <c r="H492" s="181">
        <f>VLOOKUP($A492&amp;$B492,'KU Inputs'!$C$2:$J$530,MATCH('KU UtilityData'!H$1,'KU Inputs'!$C$1:$J$1,0),0)*1000</f>
        <v>4978367</v>
      </c>
      <c r="I492" s="181">
        <f>VLOOKUP($A492&amp;$B492,'KU Inputs'!$C$2:$J$530,MATCH('KU UtilityData'!I$1,'KU Inputs'!$C$1:$J$1,0),0)*1000</f>
        <v>5280945</v>
      </c>
      <c r="J492" s="181">
        <f>VLOOKUP($A492&amp;$B492,'KU Inputs'!$C$2:$J$530,MATCH('KU UtilityData'!J$1,'KU Inputs'!$C$1:$J$1,0),0)*1000</f>
        <v>2140556</v>
      </c>
      <c r="K492" s="231">
        <v>509586.18</v>
      </c>
      <c r="L492" s="181">
        <f>VLOOKUP($A492&amp;$B492,'KU Inputs'!$C$2:$J$530,MATCH('KU UtilityData'!L$1,'KU Inputs'!$C$1:$J$1,0),0)</f>
        <v>252359.43400000001</v>
      </c>
      <c r="M492" s="181">
        <f>VLOOKUP($A492&amp;$B492,'KU Inputs'!$C$2:$J$530,MATCH('KU UtilityData'!M$1,'KU Inputs'!$C$1:$J$1,0),0)</f>
        <v>254215.79508224427</v>
      </c>
      <c r="N492" s="246">
        <f t="shared" si="35"/>
        <v>396.30250000000001</v>
      </c>
      <c r="O492" s="246">
        <f t="shared" si="35"/>
        <v>6.6950000000000003</v>
      </c>
      <c r="P492" s="159">
        <v>4512</v>
      </c>
      <c r="Q492" s="159">
        <v>1455</v>
      </c>
      <c r="R492" s="271">
        <f t="shared" si="32"/>
        <v>0.40533578743955861</v>
      </c>
    </row>
    <row r="493" spans="1:18" x14ac:dyDescent="0.2">
      <c r="A493" s="147">
        <v>2041</v>
      </c>
      <c r="B493" s="147">
        <v>12</v>
      </c>
      <c r="D493" s="258" t="e">
        <f t="shared" si="31"/>
        <v>#REF!</v>
      </c>
      <c r="E493" s="257" t="e">
        <f t="shared" si="34"/>
        <v>#REF!</v>
      </c>
      <c r="F493" s="166">
        <f t="shared" si="36"/>
        <v>32.81</v>
      </c>
      <c r="G493" s="148">
        <v>4379.0649160901758</v>
      </c>
      <c r="H493" s="181">
        <f>VLOOKUP($A493&amp;$B493,'KU Inputs'!$C$2:$J$530,MATCH('KU UtilityData'!H$1,'KU Inputs'!$C$1:$J$1,0),0)*1000</f>
        <v>4978367</v>
      </c>
      <c r="I493" s="181">
        <f>VLOOKUP($A493&amp;$B493,'KU Inputs'!$C$2:$J$530,MATCH('KU UtilityData'!I$1,'KU Inputs'!$C$1:$J$1,0),0)*1000</f>
        <v>5280945</v>
      </c>
      <c r="J493" s="181">
        <f>VLOOKUP($A493&amp;$B493,'KU Inputs'!$C$2:$J$530,MATCH('KU UtilityData'!J$1,'KU Inputs'!$C$1:$J$1,0),0)*1000</f>
        <v>2140556</v>
      </c>
      <c r="K493" s="231">
        <v>509586.18</v>
      </c>
      <c r="L493" s="181">
        <f>VLOOKUP($A493&amp;$B493,'KU Inputs'!$C$2:$J$530,MATCH('KU UtilityData'!L$1,'KU Inputs'!$C$1:$J$1,0),0)</f>
        <v>252359.43400000001</v>
      </c>
      <c r="M493" s="181">
        <f>VLOOKUP($A493&amp;$B493,'KU Inputs'!$C$2:$J$530,MATCH('KU UtilityData'!M$1,'KU Inputs'!$C$1:$J$1,0),0)</f>
        <v>254215.79508224427</v>
      </c>
      <c r="N493" s="246">
        <f t="shared" si="35"/>
        <v>714.28500000000008</v>
      </c>
      <c r="O493" s="246">
        <f t="shared" si="35"/>
        <v>0.25</v>
      </c>
      <c r="P493" s="159">
        <v>4512</v>
      </c>
      <c r="Q493" s="159">
        <v>1455</v>
      </c>
      <c r="R493" s="271">
        <f t="shared" si="32"/>
        <v>0.40533578743955861</v>
      </c>
    </row>
    <row r="494" spans="1:18" x14ac:dyDescent="0.2">
      <c r="A494" s="147">
        <f>A482+1</f>
        <v>2042</v>
      </c>
      <c r="B494" s="147">
        <v>1</v>
      </c>
      <c r="D494" s="258" t="e">
        <f t="shared" si="31"/>
        <v>#REF!</v>
      </c>
      <c r="E494" s="257" t="e">
        <f t="shared" si="34"/>
        <v>#REF!</v>
      </c>
      <c r="F494" s="166">
        <f t="shared" si="36"/>
        <v>32.43</v>
      </c>
      <c r="H494" s="181">
        <f>VLOOKUP($A494&amp;$B494,'KU Inputs'!$C$2:$J$530,MATCH('KU UtilityData'!H$1,'KU Inputs'!$C$1:$J$1,0),0)*1000</f>
        <v>4982116</v>
      </c>
      <c r="I494" s="181">
        <f>VLOOKUP($A494&amp;$B494,'KU Inputs'!$C$2:$J$530,MATCH('KU UtilityData'!I$1,'KU Inputs'!$C$1:$J$1,0),0)*1000</f>
        <v>5288945</v>
      </c>
      <c r="J494" s="181">
        <f>VLOOKUP($A494&amp;$B494,'KU Inputs'!$C$2:$J$530,MATCH('KU UtilityData'!J$1,'KU Inputs'!$C$1:$J$1,0),0)*1000</f>
        <v>2143907</v>
      </c>
      <c r="K494" s="231">
        <v>510163.7</v>
      </c>
      <c r="L494" s="181">
        <f>VLOOKUP($A494&amp;$B494,'KU Inputs'!$C$2:$J$530,MATCH('KU UtilityData'!L$1,'KU Inputs'!$C$1:$J$1,0),0)</f>
        <v>253356.46318499997</v>
      </c>
      <c r="M494" s="181">
        <f>VLOOKUP($A494&amp;$B494,'KU Inputs'!$C$2:$J$530,MATCH('KU UtilityData'!M$1,'KU Inputs'!$C$1:$J$1,0),0)</f>
        <v>255614.41437076326</v>
      </c>
      <c r="N494" s="246">
        <f t="shared" si="35"/>
        <v>991.4375</v>
      </c>
      <c r="O494" s="246">
        <f t="shared" si="35"/>
        <v>0</v>
      </c>
      <c r="P494" s="159">
        <v>4512</v>
      </c>
      <c r="Q494" s="159">
        <v>1455</v>
      </c>
      <c r="R494" s="271">
        <f t="shared" si="32"/>
        <v>0.40535626670347302</v>
      </c>
    </row>
    <row r="495" spans="1:18" x14ac:dyDescent="0.2">
      <c r="A495" s="147">
        <f t="shared" ref="A495:A517" si="37">A483+1</f>
        <v>2042</v>
      </c>
      <c r="B495" s="147">
        <v>2</v>
      </c>
      <c r="D495" s="258" t="e">
        <f t="shared" si="31"/>
        <v>#REF!</v>
      </c>
      <c r="E495" s="257" t="e">
        <f t="shared" si="34"/>
        <v>#REF!</v>
      </c>
      <c r="F495" s="166">
        <f t="shared" si="36"/>
        <v>29.9</v>
      </c>
      <c r="H495" s="181">
        <f>VLOOKUP($A495&amp;$B495,'KU Inputs'!$C$2:$J$530,MATCH('KU UtilityData'!H$1,'KU Inputs'!$C$1:$J$1,0),0)*1000</f>
        <v>4982116</v>
      </c>
      <c r="I495" s="181">
        <f>VLOOKUP($A495&amp;$B495,'KU Inputs'!$C$2:$J$530,MATCH('KU UtilityData'!I$1,'KU Inputs'!$C$1:$J$1,0),0)*1000</f>
        <v>5288945</v>
      </c>
      <c r="J495" s="181">
        <f>VLOOKUP($A495&amp;$B495,'KU Inputs'!$C$2:$J$530,MATCH('KU UtilityData'!J$1,'KU Inputs'!$C$1:$J$1,0),0)*1000</f>
        <v>2143907</v>
      </c>
      <c r="K495" s="231">
        <v>510163.7</v>
      </c>
      <c r="L495" s="181">
        <f>VLOOKUP($A495&amp;$B495,'KU Inputs'!$C$2:$J$530,MATCH('KU UtilityData'!L$1,'KU Inputs'!$C$1:$J$1,0),0)</f>
        <v>253356.46318499997</v>
      </c>
      <c r="M495" s="181">
        <f>VLOOKUP($A495&amp;$B495,'KU Inputs'!$C$2:$J$530,MATCH('KU UtilityData'!M$1,'KU Inputs'!$C$1:$J$1,0),0)</f>
        <v>255614.41437076326</v>
      </c>
      <c r="N495" s="246">
        <f t="shared" si="35"/>
        <v>890.05499999999995</v>
      </c>
      <c r="O495" s="246">
        <f t="shared" si="35"/>
        <v>0</v>
      </c>
      <c r="P495" s="159">
        <v>4512</v>
      </c>
      <c r="Q495" s="159">
        <v>1455</v>
      </c>
      <c r="R495" s="271">
        <f t="shared" si="32"/>
        <v>0.40535626670347302</v>
      </c>
    </row>
    <row r="496" spans="1:18" x14ac:dyDescent="0.2">
      <c r="A496" s="147">
        <f t="shared" si="37"/>
        <v>2042</v>
      </c>
      <c r="B496" s="147">
        <v>3</v>
      </c>
      <c r="D496" s="258" t="e">
        <f t="shared" si="31"/>
        <v>#REF!</v>
      </c>
      <c r="E496" s="257" t="e">
        <f t="shared" si="34"/>
        <v>#REF!</v>
      </c>
      <c r="F496" s="166">
        <f t="shared" si="36"/>
        <v>30.33</v>
      </c>
      <c r="H496" s="181">
        <f>VLOOKUP($A496&amp;$B496,'KU Inputs'!$C$2:$J$530,MATCH('KU UtilityData'!H$1,'KU Inputs'!$C$1:$J$1,0),0)*1000</f>
        <v>4982116</v>
      </c>
      <c r="I496" s="181">
        <f>VLOOKUP($A496&amp;$B496,'KU Inputs'!$C$2:$J$530,MATCH('KU UtilityData'!I$1,'KU Inputs'!$C$1:$J$1,0),0)*1000</f>
        <v>5288945</v>
      </c>
      <c r="J496" s="181">
        <f>VLOOKUP($A496&amp;$B496,'KU Inputs'!$C$2:$J$530,MATCH('KU UtilityData'!J$1,'KU Inputs'!$C$1:$J$1,0),0)*1000</f>
        <v>2143907</v>
      </c>
      <c r="K496" s="231">
        <v>510163.7</v>
      </c>
      <c r="L496" s="181">
        <f>VLOOKUP($A496&amp;$B496,'KU Inputs'!$C$2:$J$530,MATCH('KU UtilityData'!L$1,'KU Inputs'!$C$1:$J$1,0),0)</f>
        <v>253356.46318499997</v>
      </c>
      <c r="M496" s="181">
        <f>VLOOKUP($A496&amp;$B496,'KU Inputs'!$C$2:$J$530,MATCH('KU UtilityData'!M$1,'KU Inputs'!$C$1:$J$1,0),0)</f>
        <v>255614.41437076326</v>
      </c>
      <c r="N496" s="246">
        <f t="shared" si="35"/>
        <v>724.63750000000005</v>
      </c>
      <c r="O496" s="246">
        <f t="shared" si="35"/>
        <v>0.92249999999999999</v>
      </c>
      <c r="P496" s="159">
        <v>4512</v>
      </c>
      <c r="Q496" s="159">
        <v>1455</v>
      </c>
      <c r="R496" s="271">
        <f t="shared" si="32"/>
        <v>0.40535626670347302</v>
      </c>
    </row>
    <row r="497" spans="1:18" x14ac:dyDescent="0.2">
      <c r="A497" s="147">
        <f t="shared" si="37"/>
        <v>2042</v>
      </c>
      <c r="B497" s="147">
        <v>4</v>
      </c>
      <c r="D497" s="258" t="e">
        <f t="shared" si="31"/>
        <v>#REF!</v>
      </c>
      <c r="E497" s="257" t="e">
        <f t="shared" si="34"/>
        <v>#REF!</v>
      </c>
      <c r="F497" s="166">
        <f t="shared" si="36"/>
        <v>30.29</v>
      </c>
      <c r="H497" s="181">
        <f>VLOOKUP($A497&amp;$B497,'KU Inputs'!$C$2:$J$530,MATCH('KU UtilityData'!H$1,'KU Inputs'!$C$1:$J$1,0),0)*1000</f>
        <v>4985861</v>
      </c>
      <c r="I497" s="181">
        <f>VLOOKUP($A497&amp;$B497,'KU Inputs'!$C$2:$J$530,MATCH('KU UtilityData'!I$1,'KU Inputs'!$C$1:$J$1,0),0)*1000</f>
        <v>5296945</v>
      </c>
      <c r="J497" s="181">
        <f>VLOOKUP($A497&amp;$B497,'KU Inputs'!$C$2:$J$530,MATCH('KU UtilityData'!J$1,'KU Inputs'!$C$1:$J$1,0),0)*1000</f>
        <v>2147075</v>
      </c>
      <c r="K497" s="231">
        <v>510929.73</v>
      </c>
      <c r="L497" s="181">
        <f>VLOOKUP($A497&amp;$B497,'KU Inputs'!$C$2:$J$530,MATCH('KU UtilityData'!L$1,'KU Inputs'!$C$1:$J$1,0),0)</f>
        <v>254185.93437999996</v>
      </c>
      <c r="M497" s="181">
        <f>VLOOKUP($A497&amp;$B497,'KU Inputs'!$C$2:$J$530,MATCH('KU UtilityData'!M$1,'KU Inputs'!$C$1:$J$1,0),0)</f>
        <v>256544.43847503333</v>
      </c>
      <c r="N497" s="246">
        <f t="shared" si="35"/>
        <v>433.4375</v>
      </c>
      <c r="O497" s="246">
        <f t="shared" si="35"/>
        <v>13.477500000000001</v>
      </c>
      <c r="P497" s="159">
        <v>4512</v>
      </c>
      <c r="Q497" s="159">
        <v>1455</v>
      </c>
      <c r="R497" s="271">
        <f t="shared" si="32"/>
        <v>0.4053421358915375</v>
      </c>
    </row>
    <row r="498" spans="1:18" x14ac:dyDescent="0.2">
      <c r="A498" s="147">
        <f t="shared" si="37"/>
        <v>2042</v>
      </c>
      <c r="B498" s="147">
        <v>5</v>
      </c>
      <c r="D498" s="258" t="e">
        <f t="shared" si="31"/>
        <v>#REF!</v>
      </c>
      <c r="E498" s="257" t="e">
        <f t="shared" si="34"/>
        <v>#REF!</v>
      </c>
      <c r="F498" s="166">
        <f t="shared" si="36"/>
        <v>30.05</v>
      </c>
      <c r="H498" s="181">
        <f>VLOOKUP($A498&amp;$B498,'KU Inputs'!$C$2:$J$530,MATCH('KU UtilityData'!H$1,'KU Inputs'!$C$1:$J$1,0),0)*1000</f>
        <v>4985861</v>
      </c>
      <c r="I498" s="181">
        <f>VLOOKUP($A498&amp;$B498,'KU Inputs'!$C$2:$J$530,MATCH('KU UtilityData'!I$1,'KU Inputs'!$C$1:$J$1,0),0)*1000</f>
        <v>5296945</v>
      </c>
      <c r="J498" s="181">
        <f>VLOOKUP($A498&amp;$B498,'KU Inputs'!$C$2:$J$530,MATCH('KU UtilityData'!J$1,'KU Inputs'!$C$1:$J$1,0),0)*1000</f>
        <v>2147075</v>
      </c>
      <c r="K498" s="231">
        <v>510929.73</v>
      </c>
      <c r="L498" s="181">
        <f>VLOOKUP($A498&amp;$B498,'KU Inputs'!$C$2:$J$530,MATCH('KU UtilityData'!L$1,'KU Inputs'!$C$1:$J$1,0),0)</f>
        <v>254185.93437999996</v>
      </c>
      <c r="M498" s="181">
        <f>VLOOKUP($A498&amp;$B498,'KU Inputs'!$C$2:$J$530,MATCH('KU UtilityData'!M$1,'KU Inputs'!$C$1:$J$1,0),0)</f>
        <v>256544.43847503333</v>
      </c>
      <c r="N498" s="246">
        <f t="shared" ref="N498:O505" si="38">N486</f>
        <v>189.125</v>
      </c>
      <c r="O498" s="246">
        <f t="shared" si="38"/>
        <v>46.06</v>
      </c>
      <c r="P498" s="159">
        <v>4512</v>
      </c>
      <c r="Q498" s="159">
        <v>1455</v>
      </c>
      <c r="R498" s="271">
        <f t="shared" si="32"/>
        <v>0.4053421358915375</v>
      </c>
    </row>
    <row r="499" spans="1:18" x14ac:dyDescent="0.2">
      <c r="A499" s="147">
        <f t="shared" si="37"/>
        <v>2042</v>
      </c>
      <c r="B499" s="147">
        <v>6</v>
      </c>
      <c r="D499" s="258" t="e">
        <f t="shared" si="31"/>
        <v>#REF!</v>
      </c>
      <c r="E499" s="257" t="e">
        <f t="shared" si="34"/>
        <v>#REF!</v>
      </c>
      <c r="F499" s="166">
        <f t="shared" si="36"/>
        <v>30.67</v>
      </c>
      <c r="H499" s="181">
        <f>VLOOKUP($A499&amp;$B499,'KU Inputs'!$C$2:$J$530,MATCH('KU UtilityData'!H$1,'KU Inputs'!$C$1:$J$1,0),0)*1000</f>
        <v>4985861</v>
      </c>
      <c r="I499" s="181">
        <f>VLOOKUP($A499&amp;$B499,'KU Inputs'!$C$2:$J$530,MATCH('KU UtilityData'!I$1,'KU Inputs'!$C$1:$J$1,0),0)*1000</f>
        <v>5296945</v>
      </c>
      <c r="J499" s="181">
        <f>VLOOKUP($A499&amp;$B499,'KU Inputs'!$C$2:$J$530,MATCH('KU UtilityData'!J$1,'KU Inputs'!$C$1:$J$1,0),0)*1000</f>
        <v>2147075</v>
      </c>
      <c r="K499" s="231">
        <v>510929.73</v>
      </c>
      <c r="L499" s="181">
        <f>VLOOKUP($A499&amp;$B499,'KU Inputs'!$C$2:$J$530,MATCH('KU UtilityData'!L$1,'KU Inputs'!$C$1:$J$1,0),0)</f>
        <v>254185.93437999996</v>
      </c>
      <c r="M499" s="181">
        <f>VLOOKUP($A499&amp;$B499,'KU Inputs'!$C$2:$J$530,MATCH('KU UtilityData'!M$1,'KU Inputs'!$C$1:$J$1,0),0)</f>
        <v>256544.43847503333</v>
      </c>
      <c r="N499" s="246">
        <f t="shared" si="38"/>
        <v>50.362499999999997</v>
      </c>
      <c r="O499" s="246">
        <f t="shared" si="38"/>
        <v>166.4075</v>
      </c>
      <c r="P499" s="159">
        <v>4512</v>
      </c>
      <c r="Q499" s="159">
        <v>1455</v>
      </c>
      <c r="R499" s="271">
        <f t="shared" si="32"/>
        <v>0.4053421358915375</v>
      </c>
    </row>
    <row r="500" spans="1:18" x14ac:dyDescent="0.2">
      <c r="A500" s="147">
        <f t="shared" si="37"/>
        <v>2042</v>
      </c>
      <c r="B500" s="147">
        <v>7</v>
      </c>
      <c r="D500" s="258" t="e">
        <f t="shared" si="31"/>
        <v>#REF!</v>
      </c>
      <c r="E500" s="257" t="e">
        <f t="shared" si="34"/>
        <v>#REF!</v>
      </c>
      <c r="F500" s="166">
        <f t="shared" si="36"/>
        <v>30.62</v>
      </c>
      <c r="H500" s="181">
        <f>VLOOKUP($A500&amp;$B500,'KU Inputs'!$C$2:$J$530,MATCH('KU UtilityData'!H$1,'KU Inputs'!$C$1:$J$1,0),0)*1000</f>
        <v>4989601</v>
      </c>
      <c r="I500" s="181">
        <f>VLOOKUP($A500&amp;$B500,'KU Inputs'!$C$2:$J$530,MATCH('KU UtilityData'!I$1,'KU Inputs'!$C$1:$J$1,0),0)*1000</f>
        <v>5304945</v>
      </c>
      <c r="J500" s="181">
        <f>VLOOKUP($A500&amp;$B500,'KU Inputs'!$C$2:$J$530,MATCH('KU UtilityData'!J$1,'KU Inputs'!$C$1:$J$1,0),0)*1000</f>
        <v>2150238</v>
      </c>
      <c r="K500" s="231">
        <v>511646.33</v>
      </c>
      <c r="L500" s="181">
        <f>VLOOKUP($A500&amp;$B500,'KU Inputs'!$C$2:$J$530,MATCH('KU UtilityData'!L$1,'KU Inputs'!$C$1:$J$1,0),0)</f>
        <v>255165.64790499999</v>
      </c>
      <c r="M500" s="181">
        <f>VLOOKUP($A500&amp;$B500,'KU Inputs'!$C$2:$J$530,MATCH('KU UtilityData'!M$1,'KU Inputs'!$C$1:$J$1,0),0)</f>
        <v>257421.6140649906</v>
      </c>
      <c r="N500" s="246">
        <f t="shared" si="38"/>
        <v>1.625</v>
      </c>
      <c r="O500" s="246">
        <f t="shared" si="38"/>
        <v>326.005</v>
      </c>
      <c r="P500" s="159">
        <v>4512</v>
      </c>
      <c r="Q500" s="159">
        <v>1455</v>
      </c>
      <c r="R500" s="271">
        <f t="shared" si="32"/>
        <v>0.40532710518205184</v>
      </c>
    </row>
    <row r="501" spans="1:18" x14ac:dyDescent="0.2">
      <c r="A501" s="147">
        <f t="shared" si="37"/>
        <v>2042</v>
      </c>
      <c r="B501" s="147">
        <v>8</v>
      </c>
      <c r="D501" s="258" t="e">
        <f t="shared" si="31"/>
        <v>#REF!</v>
      </c>
      <c r="E501" s="257" t="e">
        <f t="shared" si="34"/>
        <v>#REF!</v>
      </c>
      <c r="F501" s="166">
        <f t="shared" si="36"/>
        <v>29.52</v>
      </c>
      <c r="H501" s="181">
        <f>VLOOKUP($A501&amp;$B501,'KU Inputs'!$C$2:$J$530,MATCH('KU UtilityData'!H$1,'KU Inputs'!$C$1:$J$1,0),0)*1000</f>
        <v>4989601</v>
      </c>
      <c r="I501" s="181">
        <f>VLOOKUP($A501&amp;$B501,'KU Inputs'!$C$2:$J$530,MATCH('KU UtilityData'!I$1,'KU Inputs'!$C$1:$J$1,0),0)*1000</f>
        <v>5304945</v>
      </c>
      <c r="J501" s="181">
        <f>VLOOKUP($A501&amp;$B501,'KU Inputs'!$C$2:$J$530,MATCH('KU UtilityData'!J$1,'KU Inputs'!$C$1:$J$1,0),0)*1000</f>
        <v>2150238</v>
      </c>
      <c r="K501" s="231">
        <v>511646.33</v>
      </c>
      <c r="L501" s="181">
        <f>VLOOKUP($A501&amp;$B501,'KU Inputs'!$C$2:$J$530,MATCH('KU UtilityData'!L$1,'KU Inputs'!$C$1:$J$1,0),0)</f>
        <v>255165.64790499999</v>
      </c>
      <c r="M501" s="181">
        <f>VLOOKUP($A501&amp;$B501,'KU Inputs'!$C$2:$J$530,MATCH('KU UtilityData'!M$1,'KU Inputs'!$C$1:$J$1,0),0)</f>
        <v>257421.6140649906</v>
      </c>
      <c r="N501" s="246">
        <f t="shared" si="38"/>
        <v>0.75</v>
      </c>
      <c r="O501" s="246">
        <f t="shared" si="38"/>
        <v>348.8175</v>
      </c>
      <c r="P501" s="159">
        <v>4512</v>
      </c>
      <c r="Q501" s="159">
        <v>1455</v>
      </c>
      <c r="R501" s="271">
        <f t="shared" si="32"/>
        <v>0.40532710518205184</v>
      </c>
    </row>
    <row r="502" spans="1:18" x14ac:dyDescent="0.2">
      <c r="A502" s="147">
        <f t="shared" si="37"/>
        <v>2042</v>
      </c>
      <c r="B502" s="147">
        <v>9</v>
      </c>
      <c r="D502" s="258" t="e">
        <f t="shared" si="31"/>
        <v>#REF!</v>
      </c>
      <c r="E502" s="257" t="e">
        <f t="shared" si="34"/>
        <v>#REF!</v>
      </c>
      <c r="F502" s="166">
        <f t="shared" si="36"/>
        <v>30.71</v>
      </c>
      <c r="H502" s="181">
        <f>VLOOKUP($A502&amp;$B502,'KU Inputs'!$C$2:$J$530,MATCH('KU UtilityData'!H$1,'KU Inputs'!$C$1:$J$1,0),0)*1000</f>
        <v>4989601</v>
      </c>
      <c r="I502" s="181">
        <f>VLOOKUP($A502&amp;$B502,'KU Inputs'!$C$2:$J$530,MATCH('KU UtilityData'!I$1,'KU Inputs'!$C$1:$J$1,0),0)*1000</f>
        <v>5304945</v>
      </c>
      <c r="J502" s="181">
        <f>VLOOKUP($A502&amp;$B502,'KU Inputs'!$C$2:$J$530,MATCH('KU UtilityData'!J$1,'KU Inputs'!$C$1:$J$1,0),0)*1000</f>
        <v>2150238</v>
      </c>
      <c r="K502" s="231">
        <v>511646.33</v>
      </c>
      <c r="L502" s="181">
        <f>VLOOKUP($A502&amp;$B502,'KU Inputs'!$C$2:$J$530,MATCH('KU UtilityData'!L$1,'KU Inputs'!$C$1:$J$1,0),0)</f>
        <v>255165.64790499999</v>
      </c>
      <c r="M502" s="181">
        <f>VLOOKUP($A502&amp;$B502,'KU Inputs'!$C$2:$J$530,MATCH('KU UtilityData'!M$1,'KU Inputs'!$C$1:$J$1,0),0)</f>
        <v>257421.6140649906</v>
      </c>
      <c r="N502" s="246">
        <f t="shared" si="38"/>
        <v>11.752500000000001</v>
      </c>
      <c r="O502" s="246">
        <f t="shared" si="38"/>
        <v>258.88</v>
      </c>
      <c r="P502" s="159">
        <v>4512</v>
      </c>
      <c r="Q502" s="159">
        <v>1455</v>
      </c>
      <c r="R502" s="271">
        <f t="shared" si="32"/>
        <v>0.40532710518205184</v>
      </c>
    </row>
    <row r="503" spans="1:18" x14ac:dyDescent="0.2">
      <c r="A503" s="147">
        <f>A491+1</f>
        <v>2042</v>
      </c>
      <c r="B503" s="147">
        <v>10</v>
      </c>
      <c r="D503" s="258" t="e">
        <f t="shared" si="31"/>
        <v>#REF!</v>
      </c>
      <c r="E503" s="257" t="e">
        <f t="shared" si="34"/>
        <v>#REF!</v>
      </c>
      <c r="F503" s="166">
        <f t="shared" si="36"/>
        <v>29.52</v>
      </c>
      <c r="H503" s="181">
        <f>VLOOKUP($A503&amp;$B503,'KU Inputs'!$C$2:$J$530,MATCH('KU UtilityData'!H$1,'KU Inputs'!$C$1:$J$1,0),0)*1000</f>
        <v>4993338</v>
      </c>
      <c r="I503" s="181">
        <f>VLOOKUP($A503&amp;$B503,'KU Inputs'!$C$2:$J$530,MATCH('KU UtilityData'!I$1,'KU Inputs'!$C$1:$J$1,0),0)*1000</f>
        <v>5312945</v>
      </c>
      <c r="J503" s="181">
        <f>VLOOKUP($A503&amp;$B503,'KU Inputs'!$C$2:$J$530,MATCH('KU UtilityData'!J$1,'KU Inputs'!$C$1:$J$1,0),0)*1000</f>
        <v>2153400</v>
      </c>
      <c r="K503" s="231">
        <v>512363.59</v>
      </c>
      <c r="L503" s="181">
        <f>VLOOKUP($A503&amp;$B503,'KU Inputs'!$C$2:$J$530,MATCH('KU UtilityData'!L$1,'KU Inputs'!$C$1:$J$1,0),0)</f>
        <v>256144.82551</v>
      </c>
      <c r="M503" s="181">
        <f>VLOOKUP($A503&amp;$B503,'KU Inputs'!$C$2:$J$530,MATCH('KU UtilityData'!M$1,'KU Inputs'!$C$1:$J$1,0),0)</f>
        <v>258320.39435679643</v>
      </c>
      <c r="N503" s="246">
        <f t="shared" si="38"/>
        <v>134.87</v>
      </c>
      <c r="O503" s="246">
        <f t="shared" si="38"/>
        <v>71.42</v>
      </c>
      <c r="P503" s="159">
        <v>4512</v>
      </c>
      <c r="Q503" s="159">
        <v>1455</v>
      </c>
      <c r="R503" s="271">
        <f t="shared" si="32"/>
        <v>0.40531193151820694</v>
      </c>
    </row>
    <row r="504" spans="1:18" x14ac:dyDescent="0.2">
      <c r="A504" s="147">
        <f t="shared" si="37"/>
        <v>2042</v>
      </c>
      <c r="B504" s="147">
        <v>11</v>
      </c>
      <c r="D504" s="258" t="e">
        <f t="shared" si="31"/>
        <v>#REF!</v>
      </c>
      <c r="E504" s="257" t="e">
        <f t="shared" si="34"/>
        <v>#REF!</v>
      </c>
      <c r="F504" s="166">
        <f t="shared" si="36"/>
        <v>29.38</v>
      </c>
      <c r="H504" s="181">
        <f>VLOOKUP($A504&amp;$B504,'KU Inputs'!$C$2:$J$530,MATCH('KU UtilityData'!H$1,'KU Inputs'!$C$1:$J$1,0),0)*1000</f>
        <v>4993338</v>
      </c>
      <c r="I504" s="181">
        <f>VLOOKUP($A504&amp;$B504,'KU Inputs'!$C$2:$J$530,MATCH('KU UtilityData'!I$1,'KU Inputs'!$C$1:$J$1,0),0)*1000</f>
        <v>5312945</v>
      </c>
      <c r="J504" s="181">
        <f>VLOOKUP($A504&amp;$B504,'KU Inputs'!$C$2:$J$530,MATCH('KU UtilityData'!J$1,'KU Inputs'!$C$1:$J$1,0),0)*1000</f>
        <v>2153400</v>
      </c>
      <c r="K504" s="231">
        <v>512363.59</v>
      </c>
      <c r="L504" s="181">
        <f>VLOOKUP($A504&amp;$B504,'KU Inputs'!$C$2:$J$530,MATCH('KU UtilityData'!L$1,'KU Inputs'!$C$1:$J$1,0),0)</f>
        <v>256144.82551</v>
      </c>
      <c r="M504" s="181">
        <f>VLOOKUP($A504&amp;$B504,'KU Inputs'!$C$2:$J$530,MATCH('KU UtilityData'!M$1,'KU Inputs'!$C$1:$J$1,0),0)</f>
        <v>258320.39435679643</v>
      </c>
      <c r="N504" s="246">
        <f t="shared" si="38"/>
        <v>396.30250000000001</v>
      </c>
      <c r="O504" s="246">
        <f t="shared" si="38"/>
        <v>6.6950000000000003</v>
      </c>
      <c r="P504" s="159">
        <v>4512</v>
      </c>
      <c r="Q504" s="159">
        <v>1455</v>
      </c>
      <c r="R504" s="271">
        <f t="shared" si="32"/>
        <v>0.40531193151820694</v>
      </c>
    </row>
    <row r="505" spans="1:18" x14ac:dyDescent="0.2">
      <c r="A505" s="147">
        <f t="shared" si="37"/>
        <v>2042</v>
      </c>
      <c r="B505" s="147">
        <v>12</v>
      </c>
      <c r="D505" s="258" t="e">
        <f t="shared" si="31"/>
        <v>#REF!</v>
      </c>
      <c r="E505" s="257" t="e">
        <f t="shared" si="34"/>
        <v>#REF!</v>
      </c>
      <c r="F505" s="166">
        <f t="shared" si="36"/>
        <v>32.81</v>
      </c>
      <c r="H505" s="181">
        <f>VLOOKUP($A505&amp;$B505,'KU Inputs'!$C$2:$J$530,MATCH('KU UtilityData'!H$1,'KU Inputs'!$C$1:$J$1,0),0)*1000</f>
        <v>4993338</v>
      </c>
      <c r="I505" s="181">
        <f>VLOOKUP($A505&amp;$B505,'KU Inputs'!$C$2:$J$530,MATCH('KU UtilityData'!I$1,'KU Inputs'!$C$1:$J$1,0),0)*1000</f>
        <v>5312945</v>
      </c>
      <c r="J505" s="181">
        <f>VLOOKUP($A505&amp;$B505,'KU Inputs'!$C$2:$J$530,MATCH('KU UtilityData'!J$1,'KU Inputs'!$C$1:$J$1,0),0)*1000</f>
        <v>2153400</v>
      </c>
      <c r="K505" s="231">
        <v>512363.59</v>
      </c>
      <c r="L505" s="181">
        <f>VLOOKUP($A505&amp;$B505,'KU Inputs'!$C$2:$J$530,MATCH('KU UtilityData'!L$1,'KU Inputs'!$C$1:$J$1,0),0)</f>
        <v>256144.82551</v>
      </c>
      <c r="M505" s="181">
        <f>VLOOKUP($A505&amp;$B505,'KU Inputs'!$C$2:$J$530,MATCH('KU UtilityData'!M$1,'KU Inputs'!$C$1:$J$1,0),0)</f>
        <v>258320.39435679643</v>
      </c>
      <c r="N505" s="246">
        <f t="shared" si="38"/>
        <v>714.28500000000008</v>
      </c>
      <c r="O505" s="246">
        <f t="shared" si="38"/>
        <v>0.25</v>
      </c>
      <c r="P505" s="159">
        <v>4512</v>
      </c>
      <c r="Q505" s="159">
        <v>1455</v>
      </c>
      <c r="R505" s="271">
        <f t="shared" si="32"/>
        <v>0.40531193151820694</v>
      </c>
    </row>
    <row r="506" spans="1:18" x14ac:dyDescent="0.2">
      <c r="A506" s="147">
        <f t="shared" si="37"/>
        <v>2043</v>
      </c>
      <c r="B506" s="147">
        <f>B494</f>
        <v>1</v>
      </c>
      <c r="E506" s="257" t="e">
        <f t="shared" si="34"/>
        <v>#REF!</v>
      </c>
      <c r="F506" s="166">
        <f t="shared" si="36"/>
        <v>32.43</v>
      </c>
      <c r="H506" s="181">
        <f>VLOOKUP($A506&amp;$B506,'KU Inputs'!$C$2:$J$530,MATCH('KU UtilityData'!H$1,'KU Inputs'!$C$1:$J$1,0),0)*1000</f>
        <v>4997190.4735020734</v>
      </c>
      <c r="I506" s="181">
        <f>VLOOKUP($A506&amp;$B506,'KU Inputs'!$C$2:$J$530,MATCH('KU UtilityData'!I$1,'KU Inputs'!$C$1:$J$1,0),0)*1000</f>
        <v>5320945</v>
      </c>
      <c r="J506" s="181">
        <f>VLOOKUP($A506&amp;$B506,'KU Inputs'!$C$2:$J$530,MATCH('KU UtilityData'!J$1,'KU Inputs'!$C$1:$J$1,0),0)*1000</f>
        <v>2153399.3360000001</v>
      </c>
      <c r="K506" s="231"/>
      <c r="L506" s="181">
        <f>VLOOKUP($A506&amp;$B506,'KU Inputs'!$C$2:$J$530,MATCH('KU UtilityData'!L$1,'KU Inputs'!$C$1:$J$1,0),0)</f>
        <v>257156.81013277493</v>
      </c>
      <c r="M506" s="181">
        <f>VLOOKUP($A506&amp;$B506,'KU Inputs'!$C$2:$J$530,MATCH('KU UtilityData'!M$1,'KU Inputs'!$C$1:$J$1,0),0)</f>
        <v>259448.6305863247</v>
      </c>
      <c r="N506" s="246">
        <f t="shared" ref="N506:O506" si="39">N494</f>
        <v>991.4375</v>
      </c>
      <c r="O506" s="246">
        <f t="shared" si="39"/>
        <v>0</v>
      </c>
      <c r="P506" s="159">
        <v>4512</v>
      </c>
      <c r="Q506" s="159">
        <v>1455</v>
      </c>
      <c r="R506" s="271">
        <f t="shared" si="32"/>
        <v>0.40470242334773243</v>
      </c>
    </row>
    <row r="507" spans="1:18" x14ac:dyDescent="0.2">
      <c r="A507" s="147">
        <f t="shared" si="37"/>
        <v>2043</v>
      </c>
      <c r="B507" s="147">
        <f t="shared" ref="B507:B517" si="40">B495</f>
        <v>2</v>
      </c>
      <c r="E507" s="257" t="e">
        <f t="shared" si="34"/>
        <v>#REF!</v>
      </c>
      <c r="F507" s="166">
        <f t="shared" si="36"/>
        <v>29.9</v>
      </c>
      <c r="H507" s="181">
        <f>VLOOKUP($A507&amp;$B507,'KU Inputs'!$C$2:$J$530,MATCH('KU UtilityData'!H$1,'KU Inputs'!$C$1:$J$1,0),0)*1000</f>
        <v>4997190.4735020734</v>
      </c>
      <c r="I507" s="181">
        <f>VLOOKUP($A507&amp;$B507,'KU Inputs'!$C$2:$J$530,MATCH('KU UtilityData'!I$1,'KU Inputs'!$C$1:$J$1,0),0)*1000</f>
        <v>5320945</v>
      </c>
      <c r="J507" s="181">
        <f>VLOOKUP($A507&amp;$B507,'KU Inputs'!$C$2:$J$530,MATCH('KU UtilityData'!J$1,'KU Inputs'!$C$1:$J$1,0),0)*1000</f>
        <v>2153399.3360000001</v>
      </c>
      <c r="K507" s="231"/>
      <c r="L507" s="181">
        <f>VLOOKUP($A507&amp;$B507,'KU Inputs'!$C$2:$J$530,MATCH('KU UtilityData'!L$1,'KU Inputs'!$C$1:$J$1,0),0)</f>
        <v>257156.81013277493</v>
      </c>
      <c r="M507" s="181">
        <f>VLOOKUP($A507&amp;$B507,'KU Inputs'!$C$2:$J$530,MATCH('KU UtilityData'!M$1,'KU Inputs'!$C$1:$J$1,0),0)</f>
        <v>259448.6305863247</v>
      </c>
      <c r="N507" s="246">
        <f t="shared" ref="N507:O507" si="41">N495</f>
        <v>890.05499999999995</v>
      </c>
      <c r="O507" s="246">
        <f t="shared" si="41"/>
        <v>0</v>
      </c>
      <c r="P507" s="159">
        <v>4512</v>
      </c>
      <c r="Q507" s="159">
        <v>1455</v>
      </c>
      <c r="R507" s="271">
        <f t="shared" si="32"/>
        <v>0.40470242334773243</v>
      </c>
    </row>
    <row r="508" spans="1:18" x14ac:dyDescent="0.2">
      <c r="A508" s="147">
        <f t="shared" si="37"/>
        <v>2043</v>
      </c>
      <c r="B508" s="147">
        <f t="shared" si="40"/>
        <v>3</v>
      </c>
      <c r="E508" s="257" t="e">
        <f t="shared" si="34"/>
        <v>#REF!</v>
      </c>
      <c r="F508" s="166">
        <f t="shared" si="36"/>
        <v>30.33</v>
      </c>
      <c r="H508" s="181">
        <f>VLOOKUP($A508&amp;$B508,'KU Inputs'!$C$2:$J$530,MATCH('KU UtilityData'!H$1,'KU Inputs'!$C$1:$J$1,0),0)*1000</f>
        <v>4997190.4735020734</v>
      </c>
      <c r="I508" s="181">
        <f>VLOOKUP($A508&amp;$B508,'KU Inputs'!$C$2:$J$530,MATCH('KU UtilityData'!I$1,'KU Inputs'!$C$1:$J$1,0),0)*1000</f>
        <v>5320945</v>
      </c>
      <c r="J508" s="181">
        <f>VLOOKUP($A508&amp;$B508,'KU Inputs'!$C$2:$J$530,MATCH('KU UtilityData'!J$1,'KU Inputs'!$C$1:$J$1,0),0)*1000</f>
        <v>2153399.3360000001</v>
      </c>
      <c r="K508" s="231"/>
      <c r="L508" s="181">
        <f>VLOOKUP($A508&amp;$B508,'KU Inputs'!$C$2:$J$530,MATCH('KU UtilityData'!L$1,'KU Inputs'!$C$1:$J$1,0),0)</f>
        <v>257156.81013277493</v>
      </c>
      <c r="M508" s="181">
        <f>VLOOKUP($A508&amp;$B508,'KU Inputs'!$C$2:$J$530,MATCH('KU UtilityData'!M$1,'KU Inputs'!$C$1:$J$1,0),0)</f>
        <v>259448.6305863247</v>
      </c>
      <c r="N508" s="246">
        <f t="shared" ref="N508:O508" si="42">N496</f>
        <v>724.63750000000005</v>
      </c>
      <c r="O508" s="246">
        <f t="shared" si="42"/>
        <v>0.92249999999999999</v>
      </c>
      <c r="P508" s="159">
        <v>4512</v>
      </c>
      <c r="Q508" s="159">
        <v>1455</v>
      </c>
      <c r="R508" s="271">
        <f t="shared" si="32"/>
        <v>0.40470242334773243</v>
      </c>
    </row>
    <row r="509" spans="1:18" x14ac:dyDescent="0.2">
      <c r="A509" s="147">
        <f t="shared" si="37"/>
        <v>2043</v>
      </c>
      <c r="B509" s="147">
        <f t="shared" si="40"/>
        <v>4</v>
      </c>
      <c r="E509" s="257" t="e">
        <f t="shared" si="34"/>
        <v>#REF!</v>
      </c>
      <c r="F509" s="166">
        <f t="shared" si="36"/>
        <v>30.29</v>
      </c>
      <c r="H509" s="181">
        <f>VLOOKUP($A509&amp;$B509,'KU Inputs'!$C$2:$J$530,MATCH('KU UtilityData'!H$1,'KU Inputs'!$C$1:$J$1,0),0)*1000</f>
        <v>5000914.3121554786</v>
      </c>
      <c r="I509" s="181">
        <f>VLOOKUP($A509&amp;$B509,'KU Inputs'!$C$2:$J$530,MATCH('KU UtilityData'!I$1,'KU Inputs'!$C$1:$J$1,0),0)*1000</f>
        <v>5328945</v>
      </c>
      <c r="J509" s="181">
        <f>VLOOKUP($A509&amp;$B509,'KU Inputs'!$C$2:$J$530,MATCH('KU UtilityData'!J$1,'KU Inputs'!$C$1:$J$1,0),0)*1000</f>
        <v>2156770.4419999998</v>
      </c>
      <c r="K509" s="231"/>
      <c r="L509" s="181">
        <f>VLOOKUP($A509&amp;$B509,'KU Inputs'!$C$2:$J$530,MATCH('KU UtilityData'!L$1,'KU Inputs'!$C$1:$J$1,0),0)</f>
        <v>257998.72339569993</v>
      </c>
      <c r="M509" s="181">
        <f>VLOOKUP($A509&amp;$B509,'KU Inputs'!$C$2:$J$530,MATCH('KU UtilityData'!M$1,'KU Inputs'!$C$1:$J$1,0),0)</f>
        <v>260392.60505215879</v>
      </c>
      <c r="N509" s="246">
        <f t="shared" ref="N509:O509" si="43">N497</f>
        <v>433.4375</v>
      </c>
      <c r="O509" s="246">
        <f t="shared" si="43"/>
        <v>13.477500000000001</v>
      </c>
      <c r="P509" s="159">
        <v>4512</v>
      </c>
      <c r="Q509" s="159">
        <v>1455</v>
      </c>
      <c r="R509" s="271">
        <f t="shared" si="32"/>
        <v>0.4047274726986298</v>
      </c>
    </row>
    <row r="510" spans="1:18" x14ac:dyDescent="0.2">
      <c r="A510" s="147">
        <f t="shared" si="37"/>
        <v>2043</v>
      </c>
      <c r="B510" s="147">
        <f t="shared" si="40"/>
        <v>5</v>
      </c>
      <c r="E510" s="257" t="e">
        <f t="shared" si="34"/>
        <v>#REF!</v>
      </c>
      <c r="F510" s="166">
        <f t="shared" si="36"/>
        <v>30.05</v>
      </c>
      <c r="H510" s="181">
        <f>VLOOKUP($A510&amp;$B510,'KU Inputs'!$C$2:$J$530,MATCH('KU UtilityData'!H$1,'KU Inputs'!$C$1:$J$1,0),0)*1000</f>
        <v>5000914.3121554786</v>
      </c>
      <c r="I510" s="181">
        <f>VLOOKUP($A510&amp;$B510,'KU Inputs'!$C$2:$J$530,MATCH('KU UtilityData'!I$1,'KU Inputs'!$C$1:$J$1,0),0)*1000</f>
        <v>5328945</v>
      </c>
      <c r="J510" s="181">
        <f>VLOOKUP($A510&amp;$B510,'KU Inputs'!$C$2:$J$530,MATCH('KU UtilityData'!J$1,'KU Inputs'!$C$1:$J$1,0),0)*1000</f>
        <v>2156770.4419999998</v>
      </c>
      <c r="K510" s="231"/>
      <c r="L510" s="181">
        <f>VLOOKUP($A510&amp;$B510,'KU Inputs'!$C$2:$J$530,MATCH('KU UtilityData'!L$1,'KU Inputs'!$C$1:$J$1,0),0)</f>
        <v>257998.72339569993</v>
      </c>
      <c r="M510" s="181">
        <f>VLOOKUP($A510&amp;$B510,'KU Inputs'!$C$2:$J$530,MATCH('KU UtilityData'!M$1,'KU Inputs'!$C$1:$J$1,0),0)</f>
        <v>260392.60505215879</v>
      </c>
      <c r="N510" s="246">
        <f t="shared" ref="N510:O510" si="44">N498</f>
        <v>189.125</v>
      </c>
      <c r="O510" s="246">
        <f t="shared" si="44"/>
        <v>46.06</v>
      </c>
      <c r="P510" s="159">
        <v>4512</v>
      </c>
      <c r="Q510" s="159">
        <v>1455</v>
      </c>
      <c r="R510" s="271">
        <f t="shared" si="32"/>
        <v>0.4047274726986298</v>
      </c>
    </row>
    <row r="511" spans="1:18" x14ac:dyDescent="0.2">
      <c r="A511" s="147">
        <f t="shared" si="37"/>
        <v>2043</v>
      </c>
      <c r="B511" s="147">
        <f t="shared" si="40"/>
        <v>6</v>
      </c>
      <c r="E511" s="257" t="e">
        <f t="shared" si="34"/>
        <v>#REF!</v>
      </c>
      <c r="F511" s="166">
        <f t="shared" si="36"/>
        <v>30.67</v>
      </c>
      <c r="H511" s="181">
        <f>VLOOKUP($A511&amp;$B511,'KU Inputs'!$C$2:$J$530,MATCH('KU UtilityData'!H$1,'KU Inputs'!$C$1:$J$1,0),0)*1000</f>
        <v>5000914.3121554786</v>
      </c>
      <c r="I511" s="181">
        <f>VLOOKUP($A511&amp;$B511,'KU Inputs'!$C$2:$J$530,MATCH('KU UtilityData'!I$1,'KU Inputs'!$C$1:$J$1,0),0)*1000</f>
        <v>5328945</v>
      </c>
      <c r="J511" s="181">
        <f>VLOOKUP($A511&amp;$B511,'KU Inputs'!$C$2:$J$530,MATCH('KU UtilityData'!J$1,'KU Inputs'!$C$1:$J$1,0),0)*1000</f>
        <v>2156770.4419999998</v>
      </c>
      <c r="K511" s="231"/>
      <c r="L511" s="181">
        <f>VLOOKUP($A511&amp;$B511,'KU Inputs'!$C$2:$J$530,MATCH('KU UtilityData'!L$1,'KU Inputs'!$C$1:$J$1,0),0)</f>
        <v>257998.72339569993</v>
      </c>
      <c r="M511" s="181">
        <f>VLOOKUP($A511&amp;$B511,'KU Inputs'!$C$2:$J$530,MATCH('KU UtilityData'!M$1,'KU Inputs'!$C$1:$J$1,0),0)</f>
        <v>260392.60505215879</v>
      </c>
      <c r="N511" s="246">
        <f t="shared" ref="N511:O511" si="45">N499</f>
        <v>50.362499999999997</v>
      </c>
      <c r="O511" s="246">
        <f t="shared" si="45"/>
        <v>166.4075</v>
      </c>
      <c r="P511" s="159">
        <v>4512</v>
      </c>
      <c r="Q511" s="159">
        <v>1455</v>
      </c>
      <c r="R511" s="271">
        <f t="shared" si="32"/>
        <v>0.4047274726986298</v>
      </c>
    </row>
    <row r="512" spans="1:18" x14ac:dyDescent="0.2">
      <c r="A512" s="147">
        <f t="shared" si="37"/>
        <v>2043</v>
      </c>
      <c r="B512" s="147">
        <f t="shared" si="40"/>
        <v>7</v>
      </c>
      <c r="E512" s="257" t="e">
        <f t="shared" si="34"/>
        <v>#REF!</v>
      </c>
      <c r="F512" s="166">
        <f t="shared" si="36"/>
        <v>30.62</v>
      </c>
      <c r="H512" s="181">
        <f>VLOOKUP($A512&amp;$B512,'KU Inputs'!$C$2:$J$530,MATCH('KU UtilityData'!H$1,'KU Inputs'!$C$1:$J$1,0),0)*1000</f>
        <v>5004634.1573105277</v>
      </c>
      <c r="I512" s="181">
        <f>VLOOKUP($A512&amp;$B512,'KU Inputs'!$C$2:$J$530,MATCH('KU UtilityData'!I$1,'KU Inputs'!$C$1:$J$1,0),0)*1000</f>
        <v>5336945</v>
      </c>
      <c r="J512" s="181">
        <f>VLOOKUP($A512&amp;$B512,'KU Inputs'!$C$2:$J$530,MATCH('KU UtilityData'!J$1,'KU Inputs'!$C$1:$J$1,0),0)*1000</f>
        <v>2159957.4499999997</v>
      </c>
      <c r="K512" s="231"/>
      <c r="L512" s="181">
        <f>VLOOKUP($A512&amp;$B512,'KU Inputs'!$C$2:$J$530,MATCH('KU UtilityData'!L$1,'KU Inputs'!$C$1:$J$1,0),0)</f>
        <v>258993.13262357496</v>
      </c>
      <c r="M512" s="181">
        <f>VLOOKUP($A512&amp;$B512,'KU Inputs'!$C$2:$J$530,MATCH('KU UtilityData'!M$1,'KU Inputs'!$C$1:$J$1,0),0)</f>
        <v>261282.93827596543</v>
      </c>
      <c r="N512" s="246">
        <f t="shared" ref="N512:O512" si="46">N500</f>
        <v>1.625</v>
      </c>
      <c r="O512" s="246">
        <f t="shared" si="46"/>
        <v>326.005</v>
      </c>
      <c r="P512" s="159">
        <v>4512</v>
      </c>
      <c r="Q512" s="159">
        <v>1455</v>
      </c>
      <c r="R512" s="271">
        <f t="shared" si="32"/>
        <v>0.40471795193692267</v>
      </c>
    </row>
    <row r="513" spans="1:18" x14ac:dyDescent="0.2">
      <c r="A513" s="147">
        <f t="shared" si="37"/>
        <v>2043</v>
      </c>
      <c r="B513" s="147">
        <f t="shared" si="40"/>
        <v>8</v>
      </c>
      <c r="E513" s="257" t="e">
        <f t="shared" si="34"/>
        <v>#REF!</v>
      </c>
      <c r="F513" s="166">
        <f t="shared" si="36"/>
        <v>29.52</v>
      </c>
      <c r="H513" s="181">
        <f>VLOOKUP($A513&amp;$B513,'KU Inputs'!$C$2:$J$530,MATCH('KU UtilityData'!H$1,'KU Inputs'!$C$1:$J$1,0),0)*1000</f>
        <v>5004634.1573105277</v>
      </c>
      <c r="I513" s="181">
        <f>VLOOKUP($A513&amp;$B513,'KU Inputs'!$C$2:$J$530,MATCH('KU UtilityData'!I$1,'KU Inputs'!$C$1:$J$1,0),0)*1000</f>
        <v>5336945</v>
      </c>
      <c r="J513" s="181">
        <f>VLOOKUP($A513&amp;$B513,'KU Inputs'!$C$2:$J$530,MATCH('KU UtilityData'!J$1,'KU Inputs'!$C$1:$J$1,0),0)*1000</f>
        <v>2159957.4499999997</v>
      </c>
      <c r="K513" s="231"/>
      <c r="L513" s="181">
        <f>VLOOKUP($A513&amp;$B513,'KU Inputs'!$C$2:$J$530,MATCH('KU UtilityData'!L$1,'KU Inputs'!$C$1:$J$1,0),0)</f>
        <v>258993.13262357496</v>
      </c>
      <c r="M513" s="181">
        <f>VLOOKUP($A513&amp;$B513,'KU Inputs'!$C$2:$J$530,MATCH('KU UtilityData'!M$1,'KU Inputs'!$C$1:$J$1,0),0)</f>
        <v>261282.93827596543</v>
      </c>
      <c r="N513" s="246">
        <f t="shared" ref="N513:O513" si="47">N501</f>
        <v>0.75</v>
      </c>
      <c r="O513" s="246">
        <f t="shared" si="47"/>
        <v>348.8175</v>
      </c>
      <c r="P513" s="159">
        <v>4512</v>
      </c>
      <c r="Q513" s="159">
        <v>1455</v>
      </c>
      <c r="R513" s="271">
        <f t="shared" si="32"/>
        <v>0.40471795193692267</v>
      </c>
    </row>
    <row r="514" spans="1:18" x14ac:dyDescent="0.2">
      <c r="A514" s="147">
        <f t="shared" si="37"/>
        <v>2043</v>
      </c>
      <c r="B514" s="147">
        <f t="shared" si="40"/>
        <v>9</v>
      </c>
      <c r="E514" s="257" t="e">
        <f t="shared" si="34"/>
        <v>#REF!</v>
      </c>
      <c r="F514" s="166">
        <f t="shared" si="36"/>
        <v>30.71</v>
      </c>
      <c r="H514" s="181">
        <f>VLOOKUP($A514&amp;$B514,'KU Inputs'!$C$2:$J$530,MATCH('KU UtilityData'!H$1,'KU Inputs'!$C$1:$J$1,0),0)*1000</f>
        <v>5004634.1573105277</v>
      </c>
      <c r="I514" s="181">
        <f>VLOOKUP($A514&amp;$B514,'KU Inputs'!$C$2:$J$530,MATCH('KU UtilityData'!I$1,'KU Inputs'!$C$1:$J$1,0),0)*1000</f>
        <v>5336945</v>
      </c>
      <c r="J514" s="181">
        <f>VLOOKUP($A514&amp;$B514,'KU Inputs'!$C$2:$J$530,MATCH('KU UtilityData'!J$1,'KU Inputs'!$C$1:$J$1,0),0)*1000</f>
        <v>2159957.4499999997</v>
      </c>
      <c r="K514" s="231"/>
      <c r="L514" s="181">
        <f>VLOOKUP($A514&amp;$B514,'KU Inputs'!$C$2:$J$530,MATCH('KU UtilityData'!L$1,'KU Inputs'!$C$1:$J$1,0),0)</f>
        <v>258993.13262357496</v>
      </c>
      <c r="M514" s="181">
        <f>VLOOKUP($A514&amp;$B514,'KU Inputs'!$C$2:$J$530,MATCH('KU UtilityData'!M$1,'KU Inputs'!$C$1:$J$1,0),0)</f>
        <v>261282.93827596543</v>
      </c>
      <c r="N514" s="246">
        <f t="shared" ref="N514:O514" si="48">N502</f>
        <v>11.752500000000001</v>
      </c>
      <c r="O514" s="246">
        <f t="shared" si="48"/>
        <v>258.88</v>
      </c>
      <c r="P514" s="159">
        <v>4512</v>
      </c>
      <c r="Q514" s="159">
        <v>1455</v>
      </c>
      <c r="R514" s="271">
        <f t="shared" si="32"/>
        <v>0.40471795193692267</v>
      </c>
    </row>
    <row r="515" spans="1:18" x14ac:dyDescent="0.2">
      <c r="A515" s="147">
        <f t="shared" si="37"/>
        <v>2043</v>
      </c>
      <c r="B515" s="147">
        <f t="shared" si="40"/>
        <v>10</v>
      </c>
      <c r="E515" s="257" t="e">
        <f t="shared" si="34"/>
        <v>#REF!</v>
      </c>
      <c r="F515" s="166">
        <f t="shared" si="36"/>
        <v>29.52</v>
      </c>
      <c r="H515" s="181">
        <f>VLOOKUP($A515&amp;$B515,'KU Inputs'!$C$2:$J$530,MATCH('KU UtilityData'!H$1,'KU Inputs'!$C$1:$J$1,0),0)*1000</f>
        <v>5008354.0209558671</v>
      </c>
      <c r="I515" s="181">
        <f>VLOOKUP($A515&amp;$B515,'KU Inputs'!$C$2:$J$530,MATCH('KU UtilityData'!I$1,'KU Inputs'!$C$1:$J$1,0),0)*1000</f>
        <v>5344945</v>
      </c>
      <c r="J515" s="181">
        <f>VLOOKUP($A515&amp;$B515,'KU Inputs'!$C$2:$J$530,MATCH('KU UtilityData'!J$1,'KU Inputs'!$C$1:$J$1,0),0)*1000</f>
        <v>2163139.4279999998</v>
      </c>
      <c r="K515" s="231"/>
      <c r="L515" s="181">
        <f>VLOOKUP($A515&amp;$B515,'KU Inputs'!$C$2:$J$530,MATCH('KU UtilityData'!L$1,'KU Inputs'!$C$1:$J$1,0),0)</f>
        <v>259986.99789264996</v>
      </c>
      <c r="M515" s="181">
        <f>VLOOKUP($A515&amp;$B515,'KU Inputs'!$C$2:$J$530,MATCH('KU UtilityData'!M$1,'KU Inputs'!$C$1:$J$1,0),0)</f>
        <v>262195.20027214836</v>
      </c>
      <c r="N515" s="246">
        <f t="shared" ref="N515:O515" si="49">N503</f>
        <v>134.87</v>
      </c>
      <c r="O515" s="246">
        <f t="shared" si="49"/>
        <v>71.42</v>
      </c>
      <c r="P515" s="159">
        <v>4512</v>
      </c>
      <c r="Q515" s="159">
        <v>1455</v>
      </c>
      <c r="R515" s="271">
        <f t="shared" ref="R515:R517" si="50">J515/I515</f>
        <v>0.40470751859934945</v>
      </c>
    </row>
    <row r="516" spans="1:18" x14ac:dyDescent="0.2">
      <c r="A516" s="147">
        <f t="shared" si="37"/>
        <v>2043</v>
      </c>
      <c r="B516" s="147">
        <f t="shared" si="40"/>
        <v>11</v>
      </c>
      <c r="E516" s="257" t="e">
        <f t="shared" si="34"/>
        <v>#REF!</v>
      </c>
      <c r="F516" s="166">
        <f t="shared" si="36"/>
        <v>29.38</v>
      </c>
      <c r="H516" s="181">
        <f>VLOOKUP($A516&amp;$B516,'KU Inputs'!$C$2:$J$530,MATCH('KU UtilityData'!H$1,'KU Inputs'!$C$1:$J$1,0),0)*1000</f>
        <v>5008354.0209558671</v>
      </c>
      <c r="I516" s="181">
        <f>VLOOKUP($A516&amp;$B516,'KU Inputs'!$C$2:$J$530,MATCH('KU UtilityData'!I$1,'KU Inputs'!$C$1:$J$1,0),0)*1000</f>
        <v>5344945</v>
      </c>
      <c r="J516" s="181">
        <f>VLOOKUP($A516&amp;$B516,'KU Inputs'!$C$2:$J$530,MATCH('KU UtilityData'!J$1,'KU Inputs'!$C$1:$J$1,0),0)*1000</f>
        <v>2163139.4279999998</v>
      </c>
      <c r="K516" s="231"/>
      <c r="L516" s="181">
        <f>VLOOKUP($A516&amp;$B516,'KU Inputs'!$C$2:$J$530,MATCH('KU UtilityData'!L$1,'KU Inputs'!$C$1:$J$1,0),0)</f>
        <v>259986.99789264996</v>
      </c>
      <c r="M516" s="181">
        <f>VLOOKUP($A516&amp;$B516,'KU Inputs'!$C$2:$J$530,MATCH('KU UtilityData'!M$1,'KU Inputs'!$C$1:$J$1,0),0)</f>
        <v>262195.20027214836</v>
      </c>
      <c r="N516" s="246">
        <f t="shared" ref="N516:O516" si="51">N504</f>
        <v>396.30250000000001</v>
      </c>
      <c r="O516" s="246">
        <f t="shared" si="51"/>
        <v>6.6950000000000003</v>
      </c>
      <c r="P516" s="159">
        <v>4512</v>
      </c>
      <c r="Q516" s="159">
        <v>1455</v>
      </c>
      <c r="R516" s="271">
        <f t="shared" si="50"/>
        <v>0.40470751859934945</v>
      </c>
    </row>
    <row r="517" spans="1:18" x14ac:dyDescent="0.2">
      <c r="A517" s="147">
        <f t="shared" si="37"/>
        <v>2043</v>
      </c>
      <c r="B517" s="147">
        <f t="shared" si="40"/>
        <v>12</v>
      </c>
      <c r="E517" s="257" t="e">
        <f t="shared" si="34"/>
        <v>#REF!</v>
      </c>
      <c r="F517" s="166">
        <f t="shared" si="36"/>
        <v>32.81</v>
      </c>
      <c r="H517" s="181">
        <f>VLOOKUP($A517&amp;$B517,'KU Inputs'!$C$2:$J$530,MATCH('KU UtilityData'!H$1,'KU Inputs'!$C$1:$J$1,0),0)*1000</f>
        <v>5008354.0209558671</v>
      </c>
      <c r="I517" s="181">
        <f>VLOOKUP($A517&amp;$B517,'KU Inputs'!$C$2:$J$530,MATCH('KU UtilityData'!I$1,'KU Inputs'!$C$1:$J$1,0),0)*1000</f>
        <v>5344945</v>
      </c>
      <c r="J517" s="181">
        <f>VLOOKUP($A517&amp;$B517,'KU Inputs'!$C$2:$J$530,MATCH('KU UtilityData'!J$1,'KU Inputs'!$C$1:$J$1,0),0)*1000</f>
        <v>2163139.4279999998</v>
      </c>
      <c r="K517" s="231"/>
      <c r="L517" s="181">
        <f>VLOOKUP($A517&amp;$B517,'KU Inputs'!$C$2:$J$530,MATCH('KU UtilityData'!L$1,'KU Inputs'!$C$1:$J$1,0),0)</f>
        <v>259986.99789264996</v>
      </c>
      <c r="M517" s="181">
        <f>VLOOKUP($A517&amp;$B517,'KU Inputs'!$C$2:$J$530,MATCH('KU UtilityData'!M$1,'KU Inputs'!$C$1:$J$1,0),0)</f>
        <v>262195.20027214836</v>
      </c>
      <c r="N517" s="246">
        <f t="shared" ref="N517:O517" si="52">N505</f>
        <v>714.28500000000008</v>
      </c>
      <c r="O517" s="246">
        <f t="shared" si="52"/>
        <v>0.25</v>
      </c>
      <c r="P517" s="159">
        <v>4512</v>
      </c>
      <c r="Q517" s="159">
        <v>1455</v>
      </c>
      <c r="R517" s="271">
        <f t="shared" si="50"/>
        <v>0.40470751859934945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17"/>
  <sheetViews>
    <sheetView tabSelected="1" workbookViewId="0">
      <pane xSplit="2" ySplit="1" topLeftCell="G134" activePane="bottomRight" state="frozen"/>
      <selection pane="topRight"/>
      <selection pane="bottomLeft"/>
      <selection pane="bottomRight"/>
    </sheetView>
  </sheetViews>
  <sheetFormatPr defaultColWidth="15.7109375" defaultRowHeight="12.75" x14ac:dyDescent="0.2"/>
  <cols>
    <col min="1" max="1" width="6" style="147" bestFit="1" customWidth="1"/>
    <col min="2" max="2" width="7.140625" style="147" bestFit="1" customWidth="1"/>
    <col min="3" max="3" width="10.7109375" style="162" bestFit="1" customWidth="1"/>
    <col min="4" max="6" width="16" style="167" bestFit="1" customWidth="1"/>
    <col min="7" max="7" width="11.140625" style="166" bestFit="1" customWidth="1"/>
    <col min="8" max="8" width="18.42578125" style="156" bestFit="1" customWidth="1"/>
    <col min="9" max="9" width="10.85546875" style="156" customWidth="1"/>
    <col min="10" max="10" width="19.7109375" style="156" bestFit="1" customWidth="1"/>
    <col min="11" max="11" width="18.7109375" style="157" hidden="1" customWidth="1"/>
    <col min="12" max="12" width="15.7109375" style="147"/>
    <col min="13" max="13" width="22.85546875" style="150" bestFit="1" customWidth="1"/>
    <col min="14" max="14" width="27.28515625" customWidth="1"/>
    <col min="15" max="15" width="6.7109375" style="162" bestFit="1" customWidth="1"/>
    <col min="16" max="16" width="5.5703125" style="162" bestFit="1" customWidth="1"/>
    <col min="17" max="17" width="14.42578125" style="159" bestFit="1" customWidth="1"/>
    <col min="18" max="18" width="14.28515625" style="159" bestFit="1" customWidth="1"/>
    <col min="19" max="19" width="14.28515625" style="159" customWidth="1"/>
    <col min="20" max="20" width="17.42578125" style="159" bestFit="1" customWidth="1"/>
    <col min="21" max="22" width="0" style="147" hidden="1" customWidth="1"/>
    <col min="23" max="261" width="15.7109375" style="147"/>
    <col min="262" max="262" width="6" style="147" bestFit="1" customWidth="1"/>
    <col min="263" max="263" width="7.140625" style="147" bestFit="1" customWidth="1"/>
    <col min="264" max="264" width="9.140625" style="147" bestFit="1" customWidth="1"/>
    <col min="265" max="265" width="10.85546875" style="147" bestFit="1" customWidth="1"/>
    <col min="266" max="266" width="10.85546875" style="147" customWidth="1"/>
    <col min="267" max="267" width="11.140625" style="147" bestFit="1" customWidth="1"/>
    <col min="268" max="268" width="10.85546875" style="147" bestFit="1" customWidth="1"/>
    <col min="269" max="269" width="11.42578125" style="147" bestFit="1" customWidth="1"/>
    <col min="270" max="270" width="15.85546875" style="147" bestFit="1" customWidth="1"/>
    <col min="271" max="271" width="6.7109375" style="147" bestFit="1" customWidth="1"/>
    <col min="272" max="272" width="5.5703125" style="147" bestFit="1" customWidth="1"/>
    <col min="273" max="273" width="14.42578125" style="147" bestFit="1" customWidth="1"/>
    <col min="274" max="274" width="14.28515625" style="147" bestFit="1" customWidth="1"/>
    <col min="275" max="275" width="14.28515625" style="147" customWidth="1"/>
    <col min="276" max="517" width="15.7109375" style="147"/>
    <col min="518" max="518" width="6" style="147" bestFit="1" customWidth="1"/>
    <col min="519" max="519" width="7.140625" style="147" bestFit="1" customWidth="1"/>
    <col min="520" max="520" width="9.140625" style="147" bestFit="1" customWidth="1"/>
    <col min="521" max="521" width="10.85546875" style="147" bestFit="1" customWidth="1"/>
    <col min="522" max="522" width="10.85546875" style="147" customWidth="1"/>
    <col min="523" max="523" width="11.140625" style="147" bestFit="1" customWidth="1"/>
    <col min="524" max="524" width="10.85546875" style="147" bestFit="1" customWidth="1"/>
    <col min="525" max="525" width="11.42578125" style="147" bestFit="1" customWidth="1"/>
    <col min="526" max="526" width="15.85546875" style="147" bestFit="1" customWidth="1"/>
    <col min="527" max="527" width="6.7109375" style="147" bestFit="1" customWidth="1"/>
    <col min="528" max="528" width="5.5703125" style="147" bestFit="1" customWidth="1"/>
    <col min="529" max="529" width="14.42578125" style="147" bestFit="1" customWidth="1"/>
    <col min="530" max="530" width="14.28515625" style="147" bestFit="1" customWidth="1"/>
    <col min="531" max="531" width="14.28515625" style="147" customWidth="1"/>
    <col min="532" max="773" width="15.7109375" style="147"/>
    <col min="774" max="774" width="6" style="147" bestFit="1" customWidth="1"/>
    <col min="775" max="775" width="7.140625" style="147" bestFit="1" customWidth="1"/>
    <col min="776" max="776" width="9.140625" style="147" bestFit="1" customWidth="1"/>
    <col min="777" max="777" width="10.85546875" style="147" bestFit="1" customWidth="1"/>
    <col min="778" max="778" width="10.85546875" style="147" customWidth="1"/>
    <col min="779" max="779" width="11.140625" style="147" bestFit="1" customWidth="1"/>
    <col min="780" max="780" width="10.85546875" style="147" bestFit="1" customWidth="1"/>
    <col min="781" max="781" width="11.42578125" style="147" bestFit="1" customWidth="1"/>
    <col min="782" max="782" width="15.85546875" style="147" bestFit="1" customWidth="1"/>
    <col min="783" max="783" width="6.7109375" style="147" bestFit="1" customWidth="1"/>
    <col min="784" max="784" width="5.5703125" style="147" bestFit="1" customWidth="1"/>
    <col min="785" max="785" width="14.42578125" style="147" bestFit="1" customWidth="1"/>
    <col min="786" max="786" width="14.28515625" style="147" bestFit="1" customWidth="1"/>
    <col min="787" max="787" width="14.28515625" style="147" customWidth="1"/>
    <col min="788" max="1029" width="15.7109375" style="147"/>
    <col min="1030" max="1030" width="6" style="147" bestFit="1" customWidth="1"/>
    <col min="1031" max="1031" width="7.140625" style="147" bestFit="1" customWidth="1"/>
    <col min="1032" max="1032" width="9.140625" style="147" bestFit="1" customWidth="1"/>
    <col min="1033" max="1033" width="10.85546875" style="147" bestFit="1" customWidth="1"/>
    <col min="1034" max="1034" width="10.85546875" style="147" customWidth="1"/>
    <col min="1035" max="1035" width="11.140625" style="147" bestFit="1" customWidth="1"/>
    <col min="1036" max="1036" width="10.85546875" style="147" bestFit="1" customWidth="1"/>
    <col min="1037" max="1037" width="11.42578125" style="147" bestFit="1" customWidth="1"/>
    <col min="1038" max="1038" width="15.85546875" style="147" bestFit="1" customWidth="1"/>
    <col min="1039" max="1039" width="6.7109375" style="147" bestFit="1" customWidth="1"/>
    <col min="1040" max="1040" width="5.5703125" style="147" bestFit="1" customWidth="1"/>
    <col min="1041" max="1041" width="14.42578125" style="147" bestFit="1" customWidth="1"/>
    <col min="1042" max="1042" width="14.28515625" style="147" bestFit="1" customWidth="1"/>
    <col min="1043" max="1043" width="14.28515625" style="147" customWidth="1"/>
    <col min="1044" max="1285" width="15.7109375" style="147"/>
    <col min="1286" max="1286" width="6" style="147" bestFit="1" customWidth="1"/>
    <col min="1287" max="1287" width="7.140625" style="147" bestFit="1" customWidth="1"/>
    <col min="1288" max="1288" width="9.140625" style="147" bestFit="1" customWidth="1"/>
    <col min="1289" max="1289" width="10.85546875" style="147" bestFit="1" customWidth="1"/>
    <col min="1290" max="1290" width="10.85546875" style="147" customWidth="1"/>
    <col min="1291" max="1291" width="11.140625" style="147" bestFit="1" customWidth="1"/>
    <col min="1292" max="1292" width="10.85546875" style="147" bestFit="1" customWidth="1"/>
    <col min="1293" max="1293" width="11.42578125" style="147" bestFit="1" customWidth="1"/>
    <col min="1294" max="1294" width="15.85546875" style="147" bestFit="1" customWidth="1"/>
    <col min="1295" max="1295" width="6.7109375" style="147" bestFit="1" customWidth="1"/>
    <col min="1296" max="1296" width="5.5703125" style="147" bestFit="1" customWidth="1"/>
    <col min="1297" max="1297" width="14.42578125" style="147" bestFit="1" customWidth="1"/>
    <col min="1298" max="1298" width="14.28515625" style="147" bestFit="1" customWidth="1"/>
    <col min="1299" max="1299" width="14.28515625" style="147" customWidth="1"/>
    <col min="1300" max="1541" width="15.7109375" style="147"/>
    <col min="1542" max="1542" width="6" style="147" bestFit="1" customWidth="1"/>
    <col min="1543" max="1543" width="7.140625" style="147" bestFit="1" customWidth="1"/>
    <col min="1544" max="1544" width="9.140625" style="147" bestFit="1" customWidth="1"/>
    <col min="1545" max="1545" width="10.85546875" style="147" bestFit="1" customWidth="1"/>
    <col min="1546" max="1546" width="10.85546875" style="147" customWidth="1"/>
    <col min="1547" max="1547" width="11.140625" style="147" bestFit="1" customWidth="1"/>
    <col min="1548" max="1548" width="10.85546875" style="147" bestFit="1" customWidth="1"/>
    <col min="1549" max="1549" width="11.42578125" style="147" bestFit="1" customWidth="1"/>
    <col min="1550" max="1550" width="15.85546875" style="147" bestFit="1" customWidth="1"/>
    <col min="1551" max="1551" width="6.7109375" style="147" bestFit="1" customWidth="1"/>
    <col min="1552" max="1552" width="5.5703125" style="147" bestFit="1" customWidth="1"/>
    <col min="1553" max="1553" width="14.42578125" style="147" bestFit="1" customWidth="1"/>
    <col min="1554" max="1554" width="14.28515625" style="147" bestFit="1" customWidth="1"/>
    <col min="1555" max="1555" width="14.28515625" style="147" customWidth="1"/>
    <col min="1556" max="1797" width="15.7109375" style="147"/>
    <col min="1798" max="1798" width="6" style="147" bestFit="1" customWidth="1"/>
    <col min="1799" max="1799" width="7.140625" style="147" bestFit="1" customWidth="1"/>
    <col min="1800" max="1800" width="9.140625" style="147" bestFit="1" customWidth="1"/>
    <col min="1801" max="1801" width="10.85546875" style="147" bestFit="1" customWidth="1"/>
    <col min="1802" max="1802" width="10.85546875" style="147" customWidth="1"/>
    <col min="1803" max="1803" width="11.140625" style="147" bestFit="1" customWidth="1"/>
    <col min="1804" max="1804" width="10.85546875" style="147" bestFit="1" customWidth="1"/>
    <col min="1805" max="1805" width="11.42578125" style="147" bestFit="1" customWidth="1"/>
    <col min="1806" max="1806" width="15.85546875" style="147" bestFit="1" customWidth="1"/>
    <col min="1807" max="1807" width="6.7109375" style="147" bestFit="1" customWidth="1"/>
    <col min="1808" max="1808" width="5.5703125" style="147" bestFit="1" customWidth="1"/>
    <col min="1809" max="1809" width="14.42578125" style="147" bestFit="1" customWidth="1"/>
    <col min="1810" max="1810" width="14.28515625" style="147" bestFit="1" customWidth="1"/>
    <col min="1811" max="1811" width="14.28515625" style="147" customWidth="1"/>
    <col min="1812" max="2053" width="15.7109375" style="147"/>
    <col min="2054" max="2054" width="6" style="147" bestFit="1" customWidth="1"/>
    <col min="2055" max="2055" width="7.140625" style="147" bestFit="1" customWidth="1"/>
    <col min="2056" max="2056" width="9.140625" style="147" bestFit="1" customWidth="1"/>
    <col min="2057" max="2057" width="10.85546875" style="147" bestFit="1" customWidth="1"/>
    <col min="2058" max="2058" width="10.85546875" style="147" customWidth="1"/>
    <col min="2059" max="2059" width="11.140625" style="147" bestFit="1" customWidth="1"/>
    <col min="2060" max="2060" width="10.85546875" style="147" bestFit="1" customWidth="1"/>
    <col min="2061" max="2061" width="11.42578125" style="147" bestFit="1" customWidth="1"/>
    <col min="2062" max="2062" width="15.85546875" style="147" bestFit="1" customWidth="1"/>
    <col min="2063" max="2063" width="6.7109375" style="147" bestFit="1" customWidth="1"/>
    <col min="2064" max="2064" width="5.5703125" style="147" bestFit="1" customWidth="1"/>
    <col min="2065" max="2065" width="14.42578125" style="147" bestFit="1" customWidth="1"/>
    <col min="2066" max="2066" width="14.28515625" style="147" bestFit="1" customWidth="1"/>
    <col min="2067" max="2067" width="14.28515625" style="147" customWidth="1"/>
    <col min="2068" max="2309" width="15.7109375" style="147"/>
    <col min="2310" max="2310" width="6" style="147" bestFit="1" customWidth="1"/>
    <col min="2311" max="2311" width="7.140625" style="147" bestFit="1" customWidth="1"/>
    <col min="2312" max="2312" width="9.140625" style="147" bestFit="1" customWidth="1"/>
    <col min="2313" max="2313" width="10.85546875" style="147" bestFit="1" customWidth="1"/>
    <col min="2314" max="2314" width="10.85546875" style="147" customWidth="1"/>
    <col min="2315" max="2315" width="11.140625" style="147" bestFit="1" customWidth="1"/>
    <col min="2316" max="2316" width="10.85546875" style="147" bestFit="1" customWidth="1"/>
    <col min="2317" max="2317" width="11.42578125" style="147" bestFit="1" customWidth="1"/>
    <col min="2318" max="2318" width="15.85546875" style="147" bestFit="1" customWidth="1"/>
    <col min="2319" max="2319" width="6.7109375" style="147" bestFit="1" customWidth="1"/>
    <col min="2320" max="2320" width="5.5703125" style="147" bestFit="1" customWidth="1"/>
    <col min="2321" max="2321" width="14.42578125" style="147" bestFit="1" customWidth="1"/>
    <col min="2322" max="2322" width="14.28515625" style="147" bestFit="1" customWidth="1"/>
    <col min="2323" max="2323" width="14.28515625" style="147" customWidth="1"/>
    <col min="2324" max="2565" width="15.7109375" style="147"/>
    <col min="2566" max="2566" width="6" style="147" bestFit="1" customWidth="1"/>
    <col min="2567" max="2567" width="7.140625" style="147" bestFit="1" customWidth="1"/>
    <col min="2568" max="2568" width="9.140625" style="147" bestFit="1" customWidth="1"/>
    <col min="2569" max="2569" width="10.85546875" style="147" bestFit="1" customWidth="1"/>
    <col min="2570" max="2570" width="10.85546875" style="147" customWidth="1"/>
    <col min="2571" max="2571" width="11.140625" style="147" bestFit="1" customWidth="1"/>
    <col min="2572" max="2572" width="10.85546875" style="147" bestFit="1" customWidth="1"/>
    <col min="2573" max="2573" width="11.42578125" style="147" bestFit="1" customWidth="1"/>
    <col min="2574" max="2574" width="15.85546875" style="147" bestFit="1" customWidth="1"/>
    <col min="2575" max="2575" width="6.7109375" style="147" bestFit="1" customWidth="1"/>
    <col min="2576" max="2576" width="5.5703125" style="147" bestFit="1" customWidth="1"/>
    <col min="2577" max="2577" width="14.42578125" style="147" bestFit="1" customWidth="1"/>
    <col min="2578" max="2578" width="14.28515625" style="147" bestFit="1" customWidth="1"/>
    <col min="2579" max="2579" width="14.28515625" style="147" customWidth="1"/>
    <col min="2580" max="2821" width="15.7109375" style="147"/>
    <col min="2822" max="2822" width="6" style="147" bestFit="1" customWidth="1"/>
    <col min="2823" max="2823" width="7.140625" style="147" bestFit="1" customWidth="1"/>
    <col min="2824" max="2824" width="9.140625" style="147" bestFit="1" customWidth="1"/>
    <col min="2825" max="2825" width="10.85546875" style="147" bestFit="1" customWidth="1"/>
    <col min="2826" max="2826" width="10.85546875" style="147" customWidth="1"/>
    <col min="2827" max="2827" width="11.140625" style="147" bestFit="1" customWidth="1"/>
    <col min="2828" max="2828" width="10.85546875" style="147" bestFit="1" customWidth="1"/>
    <col min="2829" max="2829" width="11.42578125" style="147" bestFit="1" customWidth="1"/>
    <col min="2830" max="2830" width="15.85546875" style="147" bestFit="1" customWidth="1"/>
    <col min="2831" max="2831" width="6.7109375" style="147" bestFit="1" customWidth="1"/>
    <col min="2832" max="2832" width="5.5703125" style="147" bestFit="1" customWidth="1"/>
    <col min="2833" max="2833" width="14.42578125" style="147" bestFit="1" customWidth="1"/>
    <col min="2834" max="2834" width="14.28515625" style="147" bestFit="1" customWidth="1"/>
    <col min="2835" max="2835" width="14.28515625" style="147" customWidth="1"/>
    <col min="2836" max="3077" width="15.7109375" style="147"/>
    <col min="3078" max="3078" width="6" style="147" bestFit="1" customWidth="1"/>
    <col min="3079" max="3079" width="7.140625" style="147" bestFit="1" customWidth="1"/>
    <col min="3080" max="3080" width="9.140625" style="147" bestFit="1" customWidth="1"/>
    <col min="3081" max="3081" width="10.85546875" style="147" bestFit="1" customWidth="1"/>
    <col min="3082" max="3082" width="10.85546875" style="147" customWidth="1"/>
    <col min="3083" max="3083" width="11.140625" style="147" bestFit="1" customWidth="1"/>
    <col min="3084" max="3084" width="10.85546875" style="147" bestFit="1" customWidth="1"/>
    <col min="3085" max="3085" width="11.42578125" style="147" bestFit="1" customWidth="1"/>
    <col min="3086" max="3086" width="15.85546875" style="147" bestFit="1" customWidth="1"/>
    <col min="3087" max="3087" width="6.7109375" style="147" bestFit="1" customWidth="1"/>
    <col min="3088" max="3088" width="5.5703125" style="147" bestFit="1" customWidth="1"/>
    <col min="3089" max="3089" width="14.42578125" style="147" bestFit="1" customWidth="1"/>
    <col min="3090" max="3090" width="14.28515625" style="147" bestFit="1" customWidth="1"/>
    <col min="3091" max="3091" width="14.28515625" style="147" customWidth="1"/>
    <col min="3092" max="3333" width="15.7109375" style="147"/>
    <col min="3334" max="3334" width="6" style="147" bestFit="1" customWidth="1"/>
    <col min="3335" max="3335" width="7.140625" style="147" bestFit="1" customWidth="1"/>
    <col min="3336" max="3336" width="9.140625" style="147" bestFit="1" customWidth="1"/>
    <col min="3337" max="3337" width="10.85546875" style="147" bestFit="1" customWidth="1"/>
    <col min="3338" max="3338" width="10.85546875" style="147" customWidth="1"/>
    <col min="3339" max="3339" width="11.140625" style="147" bestFit="1" customWidth="1"/>
    <col min="3340" max="3340" width="10.85546875" style="147" bestFit="1" customWidth="1"/>
    <col min="3341" max="3341" width="11.42578125" style="147" bestFit="1" customWidth="1"/>
    <col min="3342" max="3342" width="15.85546875" style="147" bestFit="1" customWidth="1"/>
    <col min="3343" max="3343" width="6.7109375" style="147" bestFit="1" customWidth="1"/>
    <col min="3344" max="3344" width="5.5703125" style="147" bestFit="1" customWidth="1"/>
    <col min="3345" max="3345" width="14.42578125" style="147" bestFit="1" customWidth="1"/>
    <col min="3346" max="3346" width="14.28515625" style="147" bestFit="1" customWidth="1"/>
    <col min="3347" max="3347" width="14.28515625" style="147" customWidth="1"/>
    <col min="3348" max="3589" width="15.7109375" style="147"/>
    <col min="3590" max="3590" width="6" style="147" bestFit="1" customWidth="1"/>
    <col min="3591" max="3591" width="7.140625" style="147" bestFit="1" customWidth="1"/>
    <col min="3592" max="3592" width="9.140625" style="147" bestFit="1" customWidth="1"/>
    <col min="3593" max="3593" width="10.85546875" style="147" bestFit="1" customWidth="1"/>
    <col min="3594" max="3594" width="10.85546875" style="147" customWidth="1"/>
    <col min="3595" max="3595" width="11.140625" style="147" bestFit="1" customWidth="1"/>
    <col min="3596" max="3596" width="10.85546875" style="147" bestFit="1" customWidth="1"/>
    <col min="3597" max="3597" width="11.42578125" style="147" bestFit="1" customWidth="1"/>
    <col min="3598" max="3598" width="15.85546875" style="147" bestFit="1" customWidth="1"/>
    <col min="3599" max="3599" width="6.7109375" style="147" bestFit="1" customWidth="1"/>
    <col min="3600" max="3600" width="5.5703125" style="147" bestFit="1" customWidth="1"/>
    <col min="3601" max="3601" width="14.42578125" style="147" bestFit="1" customWidth="1"/>
    <col min="3602" max="3602" width="14.28515625" style="147" bestFit="1" customWidth="1"/>
    <col min="3603" max="3603" width="14.28515625" style="147" customWidth="1"/>
    <col min="3604" max="3845" width="15.7109375" style="147"/>
    <col min="3846" max="3846" width="6" style="147" bestFit="1" customWidth="1"/>
    <col min="3847" max="3847" width="7.140625" style="147" bestFit="1" customWidth="1"/>
    <col min="3848" max="3848" width="9.140625" style="147" bestFit="1" customWidth="1"/>
    <col min="3849" max="3849" width="10.85546875" style="147" bestFit="1" customWidth="1"/>
    <col min="3850" max="3850" width="10.85546875" style="147" customWidth="1"/>
    <col min="3851" max="3851" width="11.140625" style="147" bestFit="1" customWidth="1"/>
    <col min="3852" max="3852" width="10.85546875" style="147" bestFit="1" customWidth="1"/>
    <col min="3853" max="3853" width="11.42578125" style="147" bestFit="1" customWidth="1"/>
    <col min="3854" max="3854" width="15.85546875" style="147" bestFit="1" customWidth="1"/>
    <col min="3855" max="3855" width="6.7109375" style="147" bestFit="1" customWidth="1"/>
    <col min="3856" max="3856" width="5.5703125" style="147" bestFit="1" customWidth="1"/>
    <col min="3857" max="3857" width="14.42578125" style="147" bestFit="1" customWidth="1"/>
    <col min="3858" max="3858" width="14.28515625" style="147" bestFit="1" customWidth="1"/>
    <col min="3859" max="3859" width="14.28515625" style="147" customWidth="1"/>
    <col min="3860" max="4101" width="15.7109375" style="147"/>
    <col min="4102" max="4102" width="6" style="147" bestFit="1" customWidth="1"/>
    <col min="4103" max="4103" width="7.140625" style="147" bestFit="1" customWidth="1"/>
    <col min="4104" max="4104" width="9.140625" style="147" bestFit="1" customWidth="1"/>
    <col min="4105" max="4105" width="10.85546875" style="147" bestFit="1" customWidth="1"/>
    <col min="4106" max="4106" width="10.85546875" style="147" customWidth="1"/>
    <col min="4107" max="4107" width="11.140625" style="147" bestFit="1" customWidth="1"/>
    <col min="4108" max="4108" width="10.85546875" style="147" bestFit="1" customWidth="1"/>
    <col min="4109" max="4109" width="11.42578125" style="147" bestFit="1" customWidth="1"/>
    <col min="4110" max="4110" width="15.85546875" style="147" bestFit="1" customWidth="1"/>
    <col min="4111" max="4111" width="6.7109375" style="147" bestFit="1" customWidth="1"/>
    <col min="4112" max="4112" width="5.5703125" style="147" bestFit="1" customWidth="1"/>
    <col min="4113" max="4113" width="14.42578125" style="147" bestFit="1" customWidth="1"/>
    <col min="4114" max="4114" width="14.28515625" style="147" bestFit="1" customWidth="1"/>
    <col min="4115" max="4115" width="14.28515625" style="147" customWidth="1"/>
    <col min="4116" max="4357" width="15.7109375" style="147"/>
    <col min="4358" max="4358" width="6" style="147" bestFit="1" customWidth="1"/>
    <col min="4359" max="4359" width="7.140625" style="147" bestFit="1" customWidth="1"/>
    <col min="4360" max="4360" width="9.140625" style="147" bestFit="1" customWidth="1"/>
    <col min="4361" max="4361" width="10.85546875" style="147" bestFit="1" customWidth="1"/>
    <col min="4362" max="4362" width="10.85546875" style="147" customWidth="1"/>
    <col min="4363" max="4363" width="11.140625" style="147" bestFit="1" customWidth="1"/>
    <col min="4364" max="4364" width="10.85546875" style="147" bestFit="1" customWidth="1"/>
    <col min="4365" max="4365" width="11.42578125" style="147" bestFit="1" customWidth="1"/>
    <col min="4366" max="4366" width="15.85546875" style="147" bestFit="1" customWidth="1"/>
    <col min="4367" max="4367" width="6.7109375" style="147" bestFit="1" customWidth="1"/>
    <col min="4368" max="4368" width="5.5703125" style="147" bestFit="1" customWidth="1"/>
    <col min="4369" max="4369" width="14.42578125" style="147" bestFit="1" customWidth="1"/>
    <col min="4370" max="4370" width="14.28515625" style="147" bestFit="1" customWidth="1"/>
    <col min="4371" max="4371" width="14.28515625" style="147" customWidth="1"/>
    <col min="4372" max="4613" width="15.7109375" style="147"/>
    <col min="4614" max="4614" width="6" style="147" bestFit="1" customWidth="1"/>
    <col min="4615" max="4615" width="7.140625" style="147" bestFit="1" customWidth="1"/>
    <col min="4616" max="4616" width="9.140625" style="147" bestFit="1" customWidth="1"/>
    <col min="4617" max="4617" width="10.85546875" style="147" bestFit="1" customWidth="1"/>
    <col min="4618" max="4618" width="10.85546875" style="147" customWidth="1"/>
    <col min="4619" max="4619" width="11.140625" style="147" bestFit="1" customWidth="1"/>
    <col min="4620" max="4620" width="10.85546875" style="147" bestFit="1" customWidth="1"/>
    <col min="4621" max="4621" width="11.42578125" style="147" bestFit="1" customWidth="1"/>
    <col min="4622" max="4622" width="15.85546875" style="147" bestFit="1" customWidth="1"/>
    <col min="4623" max="4623" width="6.7109375" style="147" bestFit="1" customWidth="1"/>
    <col min="4624" max="4624" width="5.5703125" style="147" bestFit="1" customWidth="1"/>
    <col min="4625" max="4625" width="14.42578125" style="147" bestFit="1" customWidth="1"/>
    <col min="4626" max="4626" width="14.28515625" style="147" bestFit="1" customWidth="1"/>
    <col min="4627" max="4627" width="14.28515625" style="147" customWidth="1"/>
    <col min="4628" max="4869" width="15.7109375" style="147"/>
    <col min="4870" max="4870" width="6" style="147" bestFit="1" customWidth="1"/>
    <col min="4871" max="4871" width="7.140625" style="147" bestFit="1" customWidth="1"/>
    <col min="4872" max="4872" width="9.140625" style="147" bestFit="1" customWidth="1"/>
    <col min="4873" max="4873" width="10.85546875" style="147" bestFit="1" customWidth="1"/>
    <col min="4874" max="4874" width="10.85546875" style="147" customWidth="1"/>
    <col min="4875" max="4875" width="11.140625" style="147" bestFit="1" customWidth="1"/>
    <col min="4876" max="4876" width="10.85546875" style="147" bestFit="1" customWidth="1"/>
    <col min="4877" max="4877" width="11.42578125" style="147" bestFit="1" customWidth="1"/>
    <col min="4878" max="4878" width="15.85546875" style="147" bestFit="1" customWidth="1"/>
    <col min="4879" max="4879" width="6.7109375" style="147" bestFit="1" customWidth="1"/>
    <col min="4880" max="4880" width="5.5703125" style="147" bestFit="1" customWidth="1"/>
    <col min="4881" max="4881" width="14.42578125" style="147" bestFit="1" customWidth="1"/>
    <col min="4882" max="4882" width="14.28515625" style="147" bestFit="1" customWidth="1"/>
    <col min="4883" max="4883" width="14.28515625" style="147" customWidth="1"/>
    <col min="4884" max="5125" width="15.7109375" style="147"/>
    <col min="5126" max="5126" width="6" style="147" bestFit="1" customWidth="1"/>
    <col min="5127" max="5127" width="7.140625" style="147" bestFit="1" customWidth="1"/>
    <col min="5128" max="5128" width="9.140625" style="147" bestFit="1" customWidth="1"/>
    <col min="5129" max="5129" width="10.85546875" style="147" bestFit="1" customWidth="1"/>
    <col min="5130" max="5130" width="10.85546875" style="147" customWidth="1"/>
    <col min="5131" max="5131" width="11.140625" style="147" bestFit="1" customWidth="1"/>
    <col min="5132" max="5132" width="10.85546875" style="147" bestFit="1" customWidth="1"/>
    <col min="5133" max="5133" width="11.42578125" style="147" bestFit="1" customWidth="1"/>
    <col min="5134" max="5134" width="15.85546875" style="147" bestFit="1" customWidth="1"/>
    <col min="5135" max="5135" width="6.7109375" style="147" bestFit="1" customWidth="1"/>
    <col min="5136" max="5136" width="5.5703125" style="147" bestFit="1" customWidth="1"/>
    <col min="5137" max="5137" width="14.42578125" style="147" bestFit="1" customWidth="1"/>
    <col min="5138" max="5138" width="14.28515625" style="147" bestFit="1" customWidth="1"/>
    <col min="5139" max="5139" width="14.28515625" style="147" customWidth="1"/>
    <col min="5140" max="5381" width="15.7109375" style="147"/>
    <col min="5382" max="5382" width="6" style="147" bestFit="1" customWidth="1"/>
    <col min="5383" max="5383" width="7.140625" style="147" bestFit="1" customWidth="1"/>
    <col min="5384" max="5384" width="9.140625" style="147" bestFit="1" customWidth="1"/>
    <col min="5385" max="5385" width="10.85546875" style="147" bestFit="1" customWidth="1"/>
    <col min="5386" max="5386" width="10.85546875" style="147" customWidth="1"/>
    <col min="5387" max="5387" width="11.140625" style="147" bestFit="1" customWidth="1"/>
    <col min="5388" max="5388" width="10.85546875" style="147" bestFit="1" customWidth="1"/>
    <col min="5389" max="5389" width="11.42578125" style="147" bestFit="1" customWidth="1"/>
    <col min="5390" max="5390" width="15.85546875" style="147" bestFit="1" customWidth="1"/>
    <col min="5391" max="5391" width="6.7109375" style="147" bestFit="1" customWidth="1"/>
    <col min="5392" max="5392" width="5.5703125" style="147" bestFit="1" customWidth="1"/>
    <col min="5393" max="5393" width="14.42578125" style="147" bestFit="1" customWidth="1"/>
    <col min="5394" max="5394" width="14.28515625" style="147" bestFit="1" customWidth="1"/>
    <col min="5395" max="5395" width="14.28515625" style="147" customWidth="1"/>
    <col min="5396" max="5637" width="15.7109375" style="147"/>
    <col min="5638" max="5638" width="6" style="147" bestFit="1" customWidth="1"/>
    <col min="5639" max="5639" width="7.140625" style="147" bestFit="1" customWidth="1"/>
    <col min="5640" max="5640" width="9.140625" style="147" bestFit="1" customWidth="1"/>
    <col min="5641" max="5641" width="10.85546875" style="147" bestFit="1" customWidth="1"/>
    <col min="5642" max="5642" width="10.85546875" style="147" customWidth="1"/>
    <col min="5643" max="5643" width="11.140625" style="147" bestFit="1" customWidth="1"/>
    <col min="5644" max="5644" width="10.85546875" style="147" bestFit="1" customWidth="1"/>
    <col min="5645" max="5645" width="11.42578125" style="147" bestFit="1" customWidth="1"/>
    <col min="5646" max="5646" width="15.85546875" style="147" bestFit="1" customWidth="1"/>
    <col min="5647" max="5647" width="6.7109375" style="147" bestFit="1" customWidth="1"/>
    <col min="5648" max="5648" width="5.5703125" style="147" bestFit="1" customWidth="1"/>
    <col min="5649" max="5649" width="14.42578125" style="147" bestFit="1" customWidth="1"/>
    <col min="5650" max="5650" width="14.28515625" style="147" bestFit="1" customWidth="1"/>
    <col min="5651" max="5651" width="14.28515625" style="147" customWidth="1"/>
    <col min="5652" max="5893" width="15.7109375" style="147"/>
    <col min="5894" max="5894" width="6" style="147" bestFit="1" customWidth="1"/>
    <col min="5895" max="5895" width="7.140625" style="147" bestFit="1" customWidth="1"/>
    <col min="5896" max="5896" width="9.140625" style="147" bestFit="1" customWidth="1"/>
    <col min="5897" max="5897" width="10.85546875" style="147" bestFit="1" customWidth="1"/>
    <col min="5898" max="5898" width="10.85546875" style="147" customWidth="1"/>
    <col min="5899" max="5899" width="11.140625" style="147" bestFit="1" customWidth="1"/>
    <col min="5900" max="5900" width="10.85546875" style="147" bestFit="1" customWidth="1"/>
    <col min="5901" max="5901" width="11.42578125" style="147" bestFit="1" customWidth="1"/>
    <col min="5902" max="5902" width="15.85546875" style="147" bestFit="1" customWidth="1"/>
    <col min="5903" max="5903" width="6.7109375" style="147" bestFit="1" customWidth="1"/>
    <col min="5904" max="5904" width="5.5703125" style="147" bestFit="1" customWidth="1"/>
    <col min="5905" max="5905" width="14.42578125" style="147" bestFit="1" customWidth="1"/>
    <col min="5906" max="5906" width="14.28515625" style="147" bestFit="1" customWidth="1"/>
    <col min="5907" max="5907" width="14.28515625" style="147" customWidth="1"/>
    <col min="5908" max="6149" width="15.7109375" style="147"/>
    <col min="6150" max="6150" width="6" style="147" bestFit="1" customWidth="1"/>
    <col min="6151" max="6151" width="7.140625" style="147" bestFit="1" customWidth="1"/>
    <col min="6152" max="6152" width="9.140625" style="147" bestFit="1" customWidth="1"/>
    <col min="6153" max="6153" width="10.85546875" style="147" bestFit="1" customWidth="1"/>
    <col min="6154" max="6154" width="10.85546875" style="147" customWidth="1"/>
    <col min="6155" max="6155" width="11.140625" style="147" bestFit="1" customWidth="1"/>
    <col min="6156" max="6156" width="10.85546875" style="147" bestFit="1" customWidth="1"/>
    <col min="6157" max="6157" width="11.42578125" style="147" bestFit="1" customWidth="1"/>
    <col min="6158" max="6158" width="15.85546875" style="147" bestFit="1" customWidth="1"/>
    <col min="6159" max="6159" width="6.7109375" style="147" bestFit="1" customWidth="1"/>
    <col min="6160" max="6160" width="5.5703125" style="147" bestFit="1" customWidth="1"/>
    <col min="6161" max="6161" width="14.42578125" style="147" bestFit="1" customWidth="1"/>
    <col min="6162" max="6162" width="14.28515625" style="147" bestFit="1" customWidth="1"/>
    <col min="6163" max="6163" width="14.28515625" style="147" customWidth="1"/>
    <col min="6164" max="6405" width="15.7109375" style="147"/>
    <col min="6406" max="6406" width="6" style="147" bestFit="1" customWidth="1"/>
    <col min="6407" max="6407" width="7.140625" style="147" bestFit="1" customWidth="1"/>
    <col min="6408" max="6408" width="9.140625" style="147" bestFit="1" customWidth="1"/>
    <col min="6409" max="6409" width="10.85546875" style="147" bestFit="1" customWidth="1"/>
    <col min="6410" max="6410" width="10.85546875" style="147" customWidth="1"/>
    <col min="6411" max="6411" width="11.140625" style="147" bestFit="1" customWidth="1"/>
    <col min="6412" max="6412" width="10.85546875" style="147" bestFit="1" customWidth="1"/>
    <col min="6413" max="6413" width="11.42578125" style="147" bestFit="1" customWidth="1"/>
    <col min="6414" max="6414" width="15.85546875" style="147" bestFit="1" customWidth="1"/>
    <col min="6415" max="6415" width="6.7109375" style="147" bestFit="1" customWidth="1"/>
    <col min="6416" max="6416" width="5.5703125" style="147" bestFit="1" customWidth="1"/>
    <col min="6417" max="6417" width="14.42578125" style="147" bestFit="1" customWidth="1"/>
    <col min="6418" max="6418" width="14.28515625" style="147" bestFit="1" customWidth="1"/>
    <col min="6419" max="6419" width="14.28515625" style="147" customWidth="1"/>
    <col min="6420" max="6661" width="15.7109375" style="147"/>
    <col min="6662" max="6662" width="6" style="147" bestFit="1" customWidth="1"/>
    <col min="6663" max="6663" width="7.140625" style="147" bestFit="1" customWidth="1"/>
    <col min="6664" max="6664" width="9.140625" style="147" bestFit="1" customWidth="1"/>
    <col min="6665" max="6665" width="10.85546875" style="147" bestFit="1" customWidth="1"/>
    <col min="6666" max="6666" width="10.85546875" style="147" customWidth="1"/>
    <col min="6667" max="6667" width="11.140625" style="147" bestFit="1" customWidth="1"/>
    <col min="6668" max="6668" width="10.85546875" style="147" bestFit="1" customWidth="1"/>
    <col min="6669" max="6669" width="11.42578125" style="147" bestFit="1" customWidth="1"/>
    <col min="6670" max="6670" width="15.85546875" style="147" bestFit="1" customWidth="1"/>
    <col min="6671" max="6671" width="6.7109375" style="147" bestFit="1" customWidth="1"/>
    <col min="6672" max="6672" width="5.5703125" style="147" bestFit="1" customWidth="1"/>
    <col min="6673" max="6673" width="14.42578125" style="147" bestFit="1" customWidth="1"/>
    <col min="6674" max="6674" width="14.28515625" style="147" bestFit="1" customWidth="1"/>
    <col min="6675" max="6675" width="14.28515625" style="147" customWidth="1"/>
    <col min="6676" max="6917" width="15.7109375" style="147"/>
    <col min="6918" max="6918" width="6" style="147" bestFit="1" customWidth="1"/>
    <col min="6919" max="6919" width="7.140625" style="147" bestFit="1" customWidth="1"/>
    <col min="6920" max="6920" width="9.140625" style="147" bestFit="1" customWidth="1"/>
    <col min="6921" max="6921" width="10.85546875" style="147" bestFit="1" customWidth="1"/>
    <col min="6922" max="6922" width="10.85546875" style="147" customWidth="1"/>
    <col min="6923" max="6923" width="11.140625" style="147" bestFit="1" customWidth="1"/>
    <col min="6924" max="6924" width="10.85546875" style="147" bestFit="1" customWidth="1"/>
    <col min="6925" max="6925" width="11.42578125" style="147" bestFit="1" customWidth="1"/>
    <col min="6926" max="6926" width="15.85546875" style="147" bestFit="1" customWidth="1"/>
    <col min="6927" max="6927" width="6.7109375" style="147" bestFit="1" customWidth="1"/>
    <col min="6928" max="6928" width="5.5703125" style="147" bestFit="1" customWidth="1"/>
    <col min="6929" max="6929" width="14.42578125" style="147" bestFit="1" customWidth="1"/>
    <col min="6930" max="6930" width="14.28515625" style="147" bestFit="1" customWidth="1"/>
    <col min="6931" max="6931" width="14.28515625" style="147" customWidth="1"/>
    <col min="6932" max="7173" width="15.7109375" style="147"/>
    <col min="7174" max="7174" width="6" style="147" bestFit="1" customWidth="1"/>
    <col min="7175" max="7175" width="7.140625" style="147" bestFit="1" customWidth="1"/>
    <col min="7176" max="7176" width="9.140625" style="147" bestFit="1" customWidth="1"/>
    <col min="7177" max="7177" width="10.85546875" style="147" bestFit="1" customWidth="1"/>
    <col min="7178" max="7178" width="10.85546875" style="147" customWidth="1"/>
    <col min="7179" max="7179" width="11.140625" style="147" bestFit="1" customWidth="1"/>
    <col min="7180" max="7180" width="10.85546875" style="147" bestFit="1" customWidth="1"/>
    <col min="7181" max="7181" width="11.42578125" style="147" bestFit="1" customWidth="1"/>
    <col min="7182" max="7182" width="15.85546875" style="147" bestFit="1" customWidth="1"/>
    <col min="7183" max="7183" width="6.7109375" style="147" bestFit="1" customWidth="1"/>
    <col min="7184" max="7184" width="5.5703125" style="147" bestFit="1" customWidth="1"/>
    <col min="7185" max="7185" width="14.42578125" style="147" bestFit="1" customWidth="1"/>
    <col min="7186" max="7186" width="14.28515625" style="147" bestFit="1" customWidth="1"/>
    <col min="7187" max="7187" width="14.28515625" style="147" customWidth="1"/>
    <col min="7188" max="7429" width="15.7109375" style="147"/>
    <col min="7430" max="7430" width="6" style="147" bestFit="1" customWidth="1"/>
    <col min="7431" max="7431" width="7.140625" style="147" bestFit="1" customWidth="1"/>
    <col min="7432" max="7432" width="9.140625" style="147" bestFit="1" customWidth="1"/>
    <col min="7433" max="7433" width="10.85546875" style="147" bestFit="1" customWidth="1"/>
    <col min="7434" max="7434" width="10.85546875" style="147" customWidth="1"/>
    <col min="7435" max="7435" width="11.140625" style="147" bestFit="1" customWidth="1"/>
    <col min="7436" max="7436" width="10.85546875" style="147" bestFit="1" customWidth="1"/>
    <col min="7437" max="7437" width="11.42578125" style="147" bestFit="1" customWidth="1"/>
    <col min="7438" max="7438" width="15.85546875" style="147" bestFit="1" customWidth="1"/>
    <col min="7439" max="7439" width="6.7109375" style="147" bestFit="1" customWidth="1"/>
    <col min="7440" max="7440" width="5.5703125" style="147" bestFit="1" customWidth="1"/>
    <col min="7441" max="7441" width="14.42578125" style="147" bestFit="1" customWidth="1"/>
    <col min="7442" max="7442" width="14.28515625" style="147" bestFit="1" customWidth="1"/>
    <col min="7443" max="7443" width="14.28515625" style="147" customWidth="1"/>
    <col min="7444" max="7685" width="15.7109375" style="147"/>
    <col min="7686" max="7686" width="6" style="147" bestFit="1" customWidth="1"/>
    <col min="7687" max="7687" width="7.140625" style="147" bestFit="1" customWidth="1"/>
    <col min="7688" max="7688" width="9.140625" style="147" bestFit="1" customWidth="1"/>
    <col min="7689" max="7689" width="10.85546875" style="147" bestFit="1" customWidth="1"/>
    <col min="7690" max="7690" width="10.85546875" style="147" customWidth="1"/>
    <col min="7691" max="7691" width="11.140625" style="147" bestFit="1" customWidth="1"/>
    <col min="7692" max="7692" width="10.85546875" style="147" bestFit="1" customWidth="1"/>
    <col min="7693" max="7693" width="11.42578125" style="147" bestFit="1" customWidth="1"/>
    <col min="7694" max="7694" width="15.85546875" style="147" bestFit="1" customWidth="1"/>
    <col min="7695" max="7695" width="6.7109375" style="147" bestFit="1" customWidth="1"/>
    <col min="7696" max="7696" width="5.5703125" style="147" bestFit="1" customWidth="1"/>
    <col min="7697" max="7697" width="14.42578125" style="147" bestFit="1" customWidth="1"/>
    <col min="7698" max="7698" width="14.28515625" style="147" bestFit="1" customWidth="1"/>
    <col min="7699" max="7699" width="14.28515625" style="147" customWidth="1"/>
    <col min="7700" max="7941" width="15.7109375" style="147"/>
    <col min="7942" max="7942" width="6" style="147" bestFit="1" customWidth="1"/>
    <col min="7943" max="7943" width="7.140625" style="147" bestFit="1" customWidth="1"/>
    <col min="7944" max="7944" width="9.140625" style="147" bestFit="1" customWidth="1"/>
    <col min="7945" max="7945" width="10.85546875" style="147" bestFit="1" customWidth="1"/>
    <col min="7946" max="7946" width="10.85546875" style="147" customWidth="1"/>
    <col min="7947" max="7947" width="11.140625" style="147" bestFit="1" customWidth="1"/>
    <col min="7948" max="7948" width="10.85546875" style="147" bestFit="1" customWidth="1"/>
    <col min="7949" max="7949" width="11.42578125" style="147" bestFit="1" customWidth="1"/>
    <col min="7950" max="7950" width="15.85546875" style="147" bestFit="1" customWidth="1"/>
    <col min="7951" max="7951" width="6.7109375" style="147" bestFit="1" customWidth="1"/>
    <col min="7952" max="7952" width="5.5703125" style="147" bestFit="1" customWidth="1"/>
    <col min="7953" max="7953" width="14.42578125" style="147" bestFit="1" customWidth="1"/>
    <col min="7954" max="7954" width="14.28515625" style="147" bestFit="1" customWidth="1"/>
    <col min="7955" max="7955" width="14.28515625" style="147" customWidth="1"/>
    <col min="7956" max="8197" width="15.7109375" style="147"/>
    <col min="8198" max="8198" width="6" style="147" bestFit="1" customWidth="1"/>
    <col min="8199" max="8199" width="7.140625" style="147" bestFit="1" customWidth="1"/>
    <col min="8200" max="8200" width="9.140625" style="147" bestFit="1" customWidth="1"/>
    <col min="8201" max="8201" width="10.85546875" style="147" bestFit="1" customWidth="1"/>
    <col min="8202" max="8202" width="10.85546875" style="147" customWidth="1"/>
    <col min="8203" max="8203" width="11.140625" style="147" bestFit="1" customWidth="1"/>
    <col min="8204" max="8204" width="10.85546875" style="147" bestFit="1" customWidth="1"/>
    <col min="8205" max="8205" width="11.42578125" style="147" bestFit="1" customWidth="1"/>
    <col min="8206" max="8206" width="15.85546875" style="147" bestFit="1" customWidth="1"/>
    <col min="8207" max="8207" width="6.7109375" style="147" bestFit="1" customWidth="1"/>
    <col min="8208" max="8208" width="5.5703125" style="147" bestFit="1" customWidth="1"/>
    <col min="8209" max="8209" width="14.42578125" style="147" bestFit="1" customWidth="1"/>
    <col min="8210" max="8210" width="14.28515625" style="147" bestFit="1" customWidth="1"/>
    <col min="8211" max="8211" width="14.28515625" style="147" customWidth="1"/>
    <col min="8212" max="8453" width="15.7109375" style="147"/>
    <col min="8454" max="8454" width="6" style="147" bestFit="1" customWidth="1"/>
    <col min="8455" max="8455" width="7.140625" style="147" bestFit="1" customWidth="1"/>
    <col min="8456" max="8456" width="9.140625" style="147" bestFit="1" customWidth="1"/>
    <col min="8457" max="8457" width="10.85546875" style="147" bestFit="1" customWidth="1"/>
    <col min="8458" max="8458" width="10.85546875" style="147" customWidth="1"/>
    <col min="8459" max="8459" width="11.140625" style="147" bestFit="1" customWidth="1"/>
    <col min="8460" max="8460" width="10.85546875" style="147" bestFit="1" customWidth="1"/>
    <col min="8461" max="8461" width="11.42578125" style="147" bestFit="1" customWidth="1"/>
    <col min="8462" max="8462" width="15.85546875" style="147" bestFit="1" customWidth="1"/>
    <col min="8463" max="8463" width="6.7109375" style="147" bestFit="1" customWidth="1"/>
    <col min="8464" max="8464" width="5.5703125" style="147" bestFit="1" customWidth="1"/>
    <col min="8465" max="8465" width="14.42578125" style="147" bestFit="1" customWidth="1"/>
    <col min="8466" max="8466" width="14.28515625" style="147" bestFit="1" customWidth="1"/>
    <col min="8467" max="8467" width="14.28515625" style="147" customWidth="1"/>
    <col min="8468" max="8709" width="15.7109375" style="147"/>
    <col min="8710" max="8710" width="6" style="147" bestFit="1" customWidth="1"/>
    <col min="8711" max="8711" width="7.140625" style="147" bestFit="1" customWidth="1"/>
    <col min="8712" max="8712" width="9.140625" style="147" bestFit="1" customWidth="1"/>
    <col min="8713" max="8713" width="10.85546875" style="147" bestFit="1" customWidth="1"/>
    <col min="8714" max="8714" width="10.85546875" style="147" customWidth="1"/>
    <col min="8715" max="8715" width="11.140625" style="147" bestFit="1" customWidth="1"/>
    <col min="8716" max="8716" width="10.85546875" style="147" bestFit="1" customWidth="1"/>
    <col min="8717" max="8717" width="11.42578125" style="147" bestFit="1" customWidth="1"/>
    <col min="8718" max="8718" width="15.85546875" style="147" bestFit="1" customWidth="1"/>
    <col min="8719" max="8719" width="6.7109375" style="147" bestFit="1" customWidth="1"/>
    <col min="8720" max="8720" width="5.5703125" style="147" bestFit="1" customWidth="1"/>
    <col min="8721" max="8721" width="14.42578125" style="147" bestFit="1" customWidth="1"/>
    <col min="8722" max="8722" width="14.28515625" style="147" bestFit="1" customWidth="1"/>
    <col min="8723" max="8723" width="14.28515625" style="147" customWidth="1"/>
    <col min="8724" max="8965" width="15.7109375" style="147"/>
    <col min="8966" max="8966" width="6" style="147" bestFit="1" customWidth="1"/>
    <col min="8967" max="8967" width="7.140625" style="147" bestFit="1" customWidth="1"/>
    <col min="8968" max="8968" width="9.140625" style="147" bestFit="1" customWidth="1"/>
    <col min="8969" max="8969" width="10.85546875" style="147" bestFit="1" customWidth="1"/>
    <col min="8970" max="8970" width="10.85546875" style="147" customWidth="1"/>
    <col min="8971" max="8971" width="11.140625" style="147" bestFit="1" customWidth="1"/>
    <col min="8972" max="8972" width="10.85546875" style="147" bestFit="1" customWidth="1"/>
    <col min="8973" max="8973" width="11.42578125" style="147" bestFit="1" customWidth="1"/>
    <col min="8974" max="8974" width="15.85546875" style="147" bestFit="1" customWidth="1"/>
    <col min="8975" max="8975" width="6.7109375" style="147" bestFit="1" customWidth="1"/>
    <col min="8976" max="8976" width="5.5703125" style="147" bestFit="1" customWidth="1"/>
    <col min="8977" max="8977" width="14.42578125" style="147" bestFit="1" customWidth="1"/>
    <col min="8978" max="8978" width="14.28515625" style="147" bestFit="1" customWidth="1"/>
    <col min="8979" max="8979" width="14.28515625" style="147" customWidth="1"/>
    <col min="8980" max="9221" width="15.7109375" style="147"/>
    <col min="9222" max="9222" width="6" style="147" bestFit="1" customWidth="1"/>
    <col min="9223" max="9223" width="7.140625" style="147" bestFit="1" customWidth="1"/>
    <col min="9224" max="9224" width="9.140625" style="147" bestFit="1" customWidth="1"/>
    <col min="9225" max="9225" width="10.85546875" style="147" bestFit="1" customWidth="1"/>
    <col min="9226" max="9226" width="10.85546875" style="147" customWidth="1"/>
    <col min="9227" max="9227" width="11.140625" style="147" bestFit="1" customWidth="1"/>
    <col min="9228" max="9228" width="10.85546875" style="147" bestFit="1" customWidth="1"/>
    <col min="9229" max="9229" width="11.42578125" style="147" bestFit="1" customWidth="1"/>
    <col min="9230" max="9230" width="15.85546875" style="147" bestFit="1" customWidth="1"/>
    <col min="9231" max="9231" width="6.7109375" style="147" bestFit="1" customWidth="1"/>
    <col min="9232" max="9232" width="5.5703125" style="147" bestFit="1" customWidth="1"/>
    <col min="9233" max="9233" width="14.42578125" style="147" bestFit="1" customWidth="1"/>
    <col min="9234" max="9234" width="14.28515625" style="147" bestFit="1" customWidth="1"/>
    <col min="9235" max="9235" width="14.28515625" style="147" customWidth="1"/>
    <col min="9236" max="9477" width="15.7109375" style="147"/>
    <col min="9478" max="9478" width="6" style="147" bestFit="1" customWidth="1"/>
    <col min="9479" max="9479" width="7.140625" style="147" bestFit="1" customWidth="1"/>
    <col min="9480" max="9480" width="9.140625" style="147" bestFit="1" customWidth="1"/>
    <col min="9481" max="9481" width="10.85546875" style="147" bestFit="1" customWidth="1"/>
    <col min="9482" max="9482" width="10.85546875" style="147" customWidth="1"/>
    <col min="9483" max="9483" width="11.140625" style="147" bestFit="1" customWidth="1"/>
    <col min="9484" max="9484" width="10.85546875" style="147" bestFit="1" customWidth="1"/>
    <col min="9485" max="9485" width="11.42578125" style="147" bestFit="1" customWidth="1"/>
    <col min="9486" max="9486" width="15.85546875" style="147" bestFit="1" customWidth="1"/>
    <col min="9487" max="9487" width="6.7109375" style="147" bestFit="1" customWidth="1"/>
    <col min="9488" max="9488" width="5.5703125" style="147" bestFit="1" customWidth="1"/>
    <col min="9489" max="9489" width="14.42578125" style="147" bestFit="1" customWidth="1"/>
    <col min="9490" max="9490" width="14.28515625" style="147" bestFit="1" customWidth="1"/>
    <col min="9491" max="9491" width="14.28515625" style="147" customWidth="1"/>
    <col min="9492" max="9733" width="15.7109375" style="147"/>
    <col min="9734" max="9734" width="6" style="147" bestFit="1" customWidth="1"/>
    <col min="9735" max="9735" width="7.140625" style="147" bestFit="1" customWidth="1"/>
    <col min="9736" max="9736" width="9.140625" style="147" bestFit="1" customWidth="1"/>
    <col min="9737" max="9737" width="10.85546875" style="147" bestFit="1" customWidth="1"/>
    <col min="9738" max="9738" width="10.85546875" style="147" customWidth="1"/>
    <col min="9739" max="9739" width="11.140625" style="147" bestFit="1" customWidth="1"/>
    <col min="9740" max="9740" width="10.85546875" style="147" bestFit="1" customWidth="1"/>
    <col min="9741" max="9741" width="11.42578125" style="147" bestFit="1" customWidth="1"/>
    <col min="9742" max="9742" width="15.85546875" style="147" bestFit="1" customWidth="1"/>
    <col min="9743" max="9743" width="6.7109375" style="147" bestFit="1" customWidth="1"/>
    <col min="9744" max="9744" width="5.5703125" style="147" bestFit="1" customWidth="1"/>
    <col min="9745" max="9745" width="14.42578125" style="147" bestFit="1" customWidth="1"/>
    <col min="9746" max="9746" width="14.28515625" style="147" bestFit="1" customWidth="1"/>
    <col min="9747" max="9747" width="14.28515625" style="147" customWidth="1"/>
    <col min="9748" max="9989" width="15.7109375" style="147"/>
    <col min="9990" max="9990" width="6" style="147" bestFit="1" customWidth="1"/>
    <col min="9991" max="9991" width="7.140625" style="147" bestFit="1" customWidth="1"/>
    <col min="9992" max="9992" width="9.140625" style="147" bestFit="1" customWidth="1"/>
    <col min="9993" max="9993" width="10.85546875" style="147" bestFit="1" customWidth="1"/>
    <col min="9994" max="9994" width="10.85546875" style="147" customWidth="1"/>
    <col min="9995" max="9995" width="11.140625" style="147" bestFit="1" customWidth="1"/>
    <col min="9996" max="9996" width="10.85546875" style="147" bestFit="1" customWidth="1"/>
    <col min="9997" max="9997" width="11.42578125" style="147" bestFit="1" customWidth="1"/>
    <col min="9998" max="9998" width="15.85546875" style="147" bestFit="1" customWidth="1"/>
    <col min="9999" max="9999" width="6.7109375" style="147" bestFit="1" customWidth="1"/>
    <col min="10000" max="10000" width="5.5703125" style="147" bestFit="1" customWidth="1"/>
    <col min="10001" max="10001" width="14.42578125" style="147" bestFit="1" customWidth="1"/>
    <col min="10002" max="10002" width="14.28515625" style="147" bestFit="1" customWidth="1"/>
    <col min="10003" max="10003" width="14.28515625" style="147" customWidth="1"/>
    <col min="10004" max="10245" width="15.7109375" style="147"/>
    <col min="10246" max="10246" width="6" style="147" bestFit="1" customWidth="1"/>
    <col min="10247" max="10247" width="7.140625" style="147" bestFit="1" customWidth="1"/>
    <col min="10248" max="10248" width="9.140625" style="147" bestFit="1" customWidth="1"/>
    <col min="10249" max="10249" width="10.85546875" style="147" bestFit="1" customWidth="1"/>
    <col min="10250" max="10250" width="10.85546875" style="147" customWidth="1"/>
    <col min="10251" max="10251" width="11.140625" style="147" bestFit="1" customWidth="1"/>
    <col min="10252" max="10252" width="10.85546875" style="147" bestFit="1" customWidth="1"/>
    <col min="10253" max="10253" width="11.42578125" style="147" bestFit="1" customWidth="1"/>
    <col min="10254" max="10254" width="15.85546875" style="147" bestFit="1" customWidth="1"/>
    <col min="10255" max="10255" width="6.7109375" style="147" bestFit="1" customWidth="1"/>
    <col min="10256" max="10256" width="5.5703125" style="147" bestFit="1" customWidth="1"/>
    <col min="10257" max="10257" width="14.42578125" style="147" bestFit="1" customWidth="1"/>
    <col min="10258" max="10258" width="14.28515625" style="147" bestFit="1" customWidth="1"/>
    <col min="10259" max="10259" width="14.28515625" style="147" customWidth="1"/>
    <col min="10260" max="10501" width="15.7109375" style="147"/>
    <col min="10502" max="10502" width="6" style="147" bestFit="1" customWidth="1"/>
    <col min="10503" max="10503" width="7.140625" style="147" bestFit="1" customWidth="1"/>
    <col min="10504" max="10504" width="9.140625" style="147" bestFit="1" customWidth="1"/>
    <col min="10505" max="10505" width="10.85546875" style="147" bestFit="1" customWidth="1"/>
    <col min="10506" max="10506" width="10.85546875" style="147" customWidth="1"/>
    <col min="10507" max="10507" width="11.140625" style="147" bestFit="1" customWidth="1"/>
    <col min="10508" max="10508" width="10.85546875" style="147" bestFit="1" customWidth="1"/>
    <col min="10509" max="10509" width="11.42578125" style="147" bestFit="1" customWidth="1"/>
    <col min="10510" max="10510" width="15.85546875" style="147" bestFit="1" customWidth="1"/>
    <col min="10511" max="10511" width="6.7109375" style="147" bestFit="1" customWidth="1"/>
    <col min="10512" max="10512" width="5.5703125" style="147" bestFit="1" customWidth="1"/>
    <col min="10513" max="10513" width="14.42578125" style="147" bestFit="1" customWidth="1"/>
    <col min="10514" max="10514" width="14.28515625" style="147" bestFit="1" customWidth="1"/>
    <col min="10515" max="10515" width="14.28515625" style="147" customWidth="1"/>
    <col min="10516" max="10757" width="15.7109375" style="147"/>
    <col min="10758" max="10758" width="6" style="147" bestFit="1" customWidth="1"/>
    <col min="10759" max="10759" width="7.140625" style="147" bestFit="1" customWidth="1"/>
    <col min="10760" max="10760" width="9.140625" style="147" bestFit="1" customWidth="1"/>
    <col min="10761" max="10761" width="10.85546875" style="147" bestFit="1" customWidth="1"/>
    <col min="10762" max="10762" width="10.85546875" style="147" customWidth="1"/>
    <col min="10763" max="10763" width="11.140625" style="147" bestFit="1" customWidth="1"/>
    <col min="10764" max="10764" width="10.85546875" style="147" bestFit="1" customWidth="1"/>
    <col min="10765" max="10765" width="11.42578125" style="147" bestFit="1" customWidth="1"/>
    <col min="10766" max="10766" width="15.85546875" style="147" bestFit="1" customWidth="1"/>
    <col min="10767" max="10767" width="6.7109375" style="147" bestFit="1" customWidth="1"/>
    <col min="10768" max="10768" width="5.5703125" style="147" bestFit="1" customWidth="1"/>
    <col min="10769" max="10769" width="14.42578125" style="147" bestFit="1" customWidth="1"/>
    <col min="10770" max="10770" width="14.28515625" style="147" bestFit="1" customWidth="1"/>
    <col min="10771" max="10771" width="14.28515625" style="147" customWidth="1"/>
    <col min="10772" max="11013" width="15.7109375" style="147"/>
    <col min="11014" max="11014" width="6" style="147" bestFit="1" customWidth="1"/>
    <col min="11015" max="11015" width="7.140625" style="147" bestFit="1" customWidth="1"/>
    <col min="11016" max="11016" width="9.140625" style="147" bestFit="1" customWidth="1"/>
    <col min="11017" max="11017" width="10.85546875" style="147" bestFit="1" customWidth="1"/>
    <col min="11018" max="11018" width="10.85546875" style="147" customWidth="1"/>
    <col min="11019" max="11019" width="11.140625" style="147" bestFit="1" customWidth="1"/>
    <col min="11020" max="11020" width="10.85546875" style="147" bestFit="1" customWidth="1"/>
    <col min="11021" max="11021" width="11.42578125" style="147" bestFit="1" customWidth="1"/>
    <col min="11022" max="11022" width="15.85546875" style="147" bestFit="1" customWidth="1"/>
    <col min="11023" max="11023" width="6.7109375" style="147" bestFit="1" customWidth="1"/>
    <col min="11024" max="11024" width="5.5703125" style="147" bestFit="1" customWidth="1"/>
    <col min="11025" max="11025" width="14.42578125" style="147" bestFit="1" customWidth="1"/>
    <col min="11026" max="11026" width="14.28515625" style="147" bestFit="1" customWidth="1"/>
    <col min="11027" max="11027" width="14.28515625" style="147" customWidth="1"/>
    <col min="11028" max="11269" width="15.7109375" style="147"/>
    <col min="11270" max="11270" width="6" style="147" bestFit="1" customWidth="1"/>
    <col min="11271" max="11271" width="7.140625" style="147" bestFit="1" customWidth="1"/>
    <col min="11272" max="11272" width="9.140625" style="147" bestFit="1" customWidth="1"/>
    <col min="11273" max="11273" width="10.85546875" style="147" bestFit="1" customWidth="1"/>
    <col min="11274" max="11274" width="10.85546875" style="147" customWidth="1"/>
    <col min="11275" max="11275" width="11.140625" style="147" bestFit="1" customWidth="1"/>
    <col min="11276" max="11276" width="10.85546875" style="147" bestFit="1" customWidth="1"/>
    <col min="11277" max="11277" width="11.42578125" style="147" bestFit="1" customWidth="1"/>
    <col min="11278" max="11278" width="15.85546875" style="147" bestFit="1" customWidth="1"/>
    <col min="11279" max="11279" width="6.7109375" style="147" bestFit="1" customWidth="1"/>
    <col min="11280" max="11280" width="5.5703125" style="147" bestFit="1" customWidth="1"/>
    <col min="11281" max="11281" width="14.42578125" style="147" bestFit="1" customWidth="1"/>
    <col min="11282" max="11282" width="14.28515625" style="147" bestFit="1" customWidth="1"/>
    <col min="11283" max="11283" width="14.28515625" style="147" customWidth="1"/>
    <col min="11284" max="11525" width="15.7109375" style="147"/>
    <col min="11526" max="11526" width="6" style="147" bestFit="1" customWidth="1"/>
    <col min="11527" max="11527" width="7.140625" style="147" bestFit="1" customWidth="1"/>
    <col min="11528" max="11528" width="9.140625" style="147" bestFit="1" customWidth="1"/>
    <col min="11529" max="11529" width="10.85546875" style="147" bestFit="1" customWidth="1"/>
    <col min="11530" max="11530" width="10.85546875" style="147" customWidth="1"/>
    <col min="11531" max="11531" width="11.140625" style="147" bestFit="1" customWidth="1"/>
    <col min="11532" max="11532" width="10.85546875" style="147" bestFit="1" customWidth="1"/>
    <col min="11533" max="11533" width="11.42578125" style="147" bestFit="1" customWidth="1"/>
    <col min="11534" max="11534" width="15.85546875" style="147" bestFit="1" customWidth="1"/>
    <col min="11535" max="11535" width="6.7109375" style="147" bestFit="1" customWidth="1"/>
    <col min="11536" max="11536" width="5.5703125" style="147" bestFit="1" customWidth="1"/>
    <col min="11537" max="11537" width="14.42578125" style="147" bestFit="1" customWidth="1"/>
    <col min="11538" max="11538" width="14.28515625" style="147" bestFit="1" customWidth="1"/>
    <col min="11539" max="11539" width="14.28515625" style="147" customWidth="1"/>
    <col min="11540" max="11781" width="15.7109375" style="147"/>
    <col min="11782" max="11782" width="6" style="147" bestFit="1" customWidth="1"/>
    <col min="11783" max="11783" width="7.140625" style="147" bestFit="1" customWidth="1"/>
    <col min="11784" max="11784" width="9.140625" style="147" bestFit="1" customWidth="1"/>
    <col min="11785" max="11785" width="10.85546875" style="147" bestFit="1" customWidth="1"/>
    <col min="11786" max="11786" width="10.85546875" style="147" customWidth="1"/>
    <col min="11787" max="11787" width="11.140625" style="147" bestFit="1" customWidth="1"/>
    <col min="11788" max="11788" width="10.85546875" style="147" bestFit="1" customWidth="1"/>
    <col min="11789" max="11789" width="11.42578125" style="147" bestFit="1" customWidth="1"/>
    <col min="11790" max="11790" width="15.85546875" style="147" bestFit="1" customWidth="1"/>
    <col min="11791" max="11791" width="6.7109375" style="147" bestFit="1" customWidth="1"/>
    <col min="11792" max="11792" width="5.5703125" style="147" bestFit="1" customWidth="1"/>
    <col min="11793" max="11793" width="14.42578125" style="147" bestFit="1" customWidth="1"/>
    <col min="11794" max="11794" width="14.28515625" style="147" bestFit="1" customWidth="1"/>
    <col min="11795" max="11795" width="14.28515625" style="147" customWidth="1"/>
    <col min="11796" max="12037" width="15.7109375" style="147"/>
    <col min="12038" max="12038" width="6" style="147" bestFit="1" customWidth="1"/>
    <col min="12039" max="12039" width="7.140625" style="147" bestFit="1" customWidth="1"/>
    <col min="12040" max="12040" width="9.140625" style="147" bestFit="1" customWidth="1"/>
    <col min="12041" max="12041" width="10.85546875" style="147" bestFit="1" customWidth="1"/>
    <col min="12042" max="12042" width="10.85546875" style="147" customWidth="1"/>
    <col min="12043" max="12043" width="11.140625" style="147" bestFit="1" customWidth="1"/>
    <col min="12044" max="12044" width="10.85546875" style="147" bestFit="1" customWidth="1"/>
    <col min="12045" max="12045" width="11.42578125" style="147" bestFit="1" customWidth="1"/>
    <col min="12046" max="12046" width="15.85546875" style="147" bestFit="1" customWidth="1"/>
    <col min="12047" max="12047" width="6.7109375" style="147" bestFit="1" customWidth="1"/>
    <col min="12048" max="12048" width="5.5703125" style="147" bestFit="1" customWidth="1"/>
    <col min="12049" max="12049" width="14.42578125" style="147" bestFit="1" customWidth="1"/>
    <col min="12050" max="12050" width="14.28515625" style="147" bestFit="1" customWidth="1"/>
    <col min="12051" max="12051" width="14.28515625" style="147" customWidth="1"/>
    <col min="12052" max="12293" width="15.7109375" style="147"/>
    <col min="12294" max="12294" width="6" style="147" bestFit="1" customWidth="1"/>
    <col min="12295" max="12295" width="7.140625" style="147" bestFit="1" customWidth="1"/>
    <col min="12296" max="12296" width="9.140625" style="147" bestFit="1" customWidth="1"/>
    <col min="12297" max="12297" width="10.85546875" style="147" bestFit="1" customWidth="1"/>
    <col min="12298" max="12298" width="10.85546875" style="147" customWidth="1"/>
    <col min="12299" max="12299" width="11.140625" style="147" bestFit="1" customWidth="1"/>
    <col min="12300" max="12300" width="10.85546875" style="147" bestFit="1" customWidth="1"/>
    <col min="12301" max="12301" width="11.42578125" style="147" bestFit="1" customWidth="1"/>
    <col min="12302" max="12302" width="15.85546875" style="147" bestFit="1" customWidth="1"/>
    <col min="12303" max="12303" width="6.7109375" style="147" bestFit="1" customWidth="1"/>
    <col min="12304" max="12304" width="5.5703125" style="147" bestFit="1" customWidth="1"/>
    <col min="12305" max="12305" width="14.42578125" style="147" bestFit="1" customWidth="1"/>
    <col min="12306" max="12306" width="14.28515625" style="147" bestFit="1" customWidth="1"/>
    <col min="12307" max="12307" width="14.28515625" style="147" customWidth="1"/>
    <col min="12308" max="12549" width="15.7109375" style="147"/>
    <col min="12550" max="12550" width="6" style="147" bestFit="1" customWidth="1"/>
    <col min="12551" max="12551" width="7.140625" style="147" bestFit="1" customWidth="1"/>
    <col min="12552" max="12552" width="9.140625" style="147" bestFit="1" customWidth="1"/>
    <col min="12553" max="12553" width="10.85546875" style="147" bestFit="1" customWidth="1"/>
    <col min="12554" max="12554" width="10.85546875" style="147" customWidth="1"/>
    <col min="12555" max="12555" width="11.140625" style="147" bestFit="1" customWidth="1"/>
    <col min="12556" max="12556" width="10.85546875" style="147" bestFit="1" customWidth="1"/>
    <col min="12557" max="12557" width="11.42578125" style="147" bestFit="1" customWidth="1"/>
    <col min="12558" max="12558" width="15.85546875" style="147" bestFit="1" customWidth="1"/>
    <col min="12559" max="12559" width="6.7109375" style="147" bestFit="1" customWidth="1"/>
    <col min="12560" max="12560" width="5.5703125" style="147" bestFit="1" customWidth="1"/>
    <col min="12561" max="12561" width="14.42578125" style="147" bestFit="1" customWidth="1"/>
    <col min="12562" max="12562" width="14.28515625" style="147" bestFit="1" customWidth="1"/>
    <col min="12563" max="12563" width="14.28515625" style="147" customWidth="1"/>
    <col min="12564" max="12805" width="15.7109375" style="147"/>
    <col min="12806" max="12806" width="6" style="147" bestFit="1" customWidth="1"/>
    <col min="12807" max="12807" width="7.140625" style="147" bestFit="1" customWidth="1"/>
    <col min="12808" max="12808" width="9.140625" style="147" bestFit="1" customWidth="1"/>
    <col min="12809" max="12809" width="10.85546875" style="147" bestFit="1" customWidth="1"/>
    <col min="12810" max="12810" width="10.85546875" style="147" customWidth="1"/>
    <col min="12811" max="12811" width="11.140625" style="147" bestFit="1" customWidth="1"/>
    <col min="12812" max="12812" width="10.85546875" style="147" bestFit="1" customWidth="1"/>
    <col min="12813" max="12813" width="11.42578125" style="147" bestFit="1" customWidth="1"/>
    <col min="12814" max="12814" width="15.85546875" style="147" bestFit="1" customWidth="1"/>
    <col min="12815" max="12815" width="6.7109375" style="147" bestFit="1" customWidth="1"/>
    <col min="12816" max="12816" width="5.5703125" style="147" bestFit="1" customWidth="1"/>
    <col min="12817" max="12817" width="14.42578125" style="147" bestFit="1" customWidth="1"/>
    <col min="12818" max="12818" width="14.28515625" style="147" bestFit="1" customWidth="1"/>
    <col min="12819" max="12819" width="14.28515625" style="147" customWidth="1"/>
    <col min="12820" max="13061" width="15.7109375" style="147"/>
    <col min="13062" max="13062" width="6" style="147" bestFit="1" customWidth="1"/>
    <col min="13063" max="13063" width="7.140625" style="147" bestFit="1" customWidth="1"/>
    <col min="13064" max="13064" width="9.140625" style="147" bestFit="1" customWidth="1"/>
    <col min="13065" max="13065" width="10.85546875" style="147" bestFit="1" customWidth="1"/>
    <col min="13066" max="13066" width="10.85546875" style="147" customWidth="1"/>
    <col min="13067" max="13067" width="11.140625" style="147" bestFit="1" customWidth="1"/>
    <col min="13068" max="13068" width="10.85546875" style="147" bestFit="1" customWidth="1"/>
    <col min="13069" max="13069" width="11.42578125" style="147" bestFit="1" customWidth="1"/>
    <col min="13070" max="13070" width="15.85546875" style="147" bestFit="1" customWidth="1"/>
    <col min="13071" max="13071" width="6.7109375" style="147" bestFit="1" customWidth="1"/>
    <col min="13072" max="13072" width="5.5703125" style="147" bestFit="1" customWidth="1"/>
    <col min="13073" max="13073" width="14.42578125" style="147" bestFit="1" customWidth="1"/>
    <col min="13074" max="13074" width="14.28515625" style="147" bestFit="1" customWidth="1"/>
    <col min="13075" max="13075" width="14.28515625" style="147" customWidth="1"/>
    <col min="13076" max="13317" width="15.7109375" style="147"/>
    <col min="13318" max="13318" width="6" style="147" bestFit="1" customWidth="1"/>
    <col min="13319" max="13319" width="7.140625" style="147" bestFit="1" customWidth="1"/>
    <col min="13320" max="13320" width="9.140625" style="147" bestFit="1" customWidth="1"/>
    <col min="13321" max="13321" width="10.85546875" style="147" bestFit="1" customWidth="1"/>
    <col min="13322" max="13322" width="10.85546875" style="147" customWidth="1"/>
    <col min="13323" max="13323" width="11.140625" style="147" bestFit="1" customWidth="1"/>
    <col min="13324" max="13324" width="10.85546875" style="147" bestFit="1" customWidth="1"/>
    <col min="13325" max="13325" width="11.42578125" style="147" bestFit="1" customWidth="1"/>
    <col min="13326" max="13326" width="15.85546875" style="147" bestFit="1" customWidth="1"/>
    <col min="13327" max="13327" width="6.7109375" style="147" bestFit="1" customWidth="1"/>
    <col min="13328" max="13328" width="5.5703125" style="147" bestFit="1" customWidth="1"/>
    <col min="13329" max="13329" width="14.42578125" style="147" bestFit="1" customWidth="1"/>
    <col min="13330" max="13330" width="14.28515625" style="147" bestFit="1" customWidth="1"/>
    <col min="13331" max="13331" width="14.28515625" style="147" customWidth="1"/>
    <col min="13332" max="13573" width="15.7109375" style="147"/>
    <col min="13574" max="13574" width="6" style="147" bestFit="1" customWidth="1"/>
    <col min="13575" max="13575" width="7.140625" style="147" bestFit="1" customWidth="1"/>
    <col min="13576" max="13576" width="9.140625" style="147" bestFit="1" customWidth="1"/>
    <col min="13577" max="13577" width="10.85546875" style="147" bestFit="1" customWidth="1"/>
    <col min="13578" max="13578" width="10.85546875" style="147" customWidth="1"/>
    <col min="13579" max="13579" width="11.140625" style="147" bestFit="1" customWidth="1"/>
    <col min="13580" max="13580" width="10.85546875" style="147" bestFit="1" customWidth="1"/>
    <col min="13581" max="13581" width="11.42578125" style="147" bestFit="1" customWidth="1"/>
    <col min="13582" max="13582" width="15.85546875" style="147" bestFit="1" customWidth="1"/>
    <col min="13583" max="13583" width="6.7109375" style="147" bestFit="1" customWidth="1"/>
    <col min="13584" max="13584" width="5.5703125" style="147" bestFit="1" customWidth="1"/>
    <col min="13585" max="13585" width="14.42578125" style="147" bestFit="1" customWidth="1"/>
    <col min="13586" max="13586" width="14.28515625" style="147" bestFit="1" customWidth="1"/>
    <col min="13587" max="13587" width="14.28515625" style="147" customWidth="1"/>
    <col min="13588" max="13829" width="15.7109375" style="147"/>
    <col min="13830" max="13830" width="6" style="147" bestFit="1" customWidth="1"/>
    <col min="13831" max="13831" width="7.140625" style="147" bestFit="1" customWidth="1"/>
    <col min="13832" max="13832" width="9.140625" style="147" bestFit="1" customWidth="1"/>
    <col min="13833" max="13833" width="10.85546875" style="147" bestFit="1" customWidth="1"/>
    <col min="13834" max="13834" width="10.85546875" style="147" customWidth="1"/>
    <col min="13835" max="13835" width="11.140625" style="147" bestFit="1" customWidth="1"/>
    <col min="13836" max="13836" width="10.85546875" style="147" bestFit="1" customWidth="1"/>
    <col min="13837" max="13837" width="11.42578125" style="147" bestFit="1" customWidth="1"/>
    <col min="13838" max="13838" width="15.85546875" style="147" bestFit="1" customWidth="1"/>
    <col min="13839" max="13839" width="6.7109375" style="147" bestFit="1" customWidth="1"/>
    <col min="13840" max="13840" width="5.5703125" style="147" bestFit="1" customWidth="1"/>
    <col min="13841" max="13841" width="14.42578125" style="147" bestFit="1" customWidth="1"/>
    <col min="13842" max="13842" width="14.28515625" style="147" bestFit="1" customWidth="1"/>
    <col min="13843" max="13843" width="14.28515625" style="147" customWidth="1"/>
    <col min="13844" max="14085" width="15.7109375" style="147"/>
    <col min="14086" max="14086" width="6" style="147" bestFit="1" customWidth="1"/>
    <col min="14087" max="14087" width="7.140625" style="147" bestFit="1" customWidth="1"/>
    <col min="14088" max="14088" width="9.140625" style="147" bestFit="1" customWidth="1"/>
    <col min="14089" max="14089" width="10.85546875" style="147" bestFit="1" customWidth="1"/>
    <col min="14090" max="14090" width="10.85546875" style="147" customWidth="1"/>
    <col min="14091" max="14091" width="11.140625" style="147" bestFit="1" customWidth="1"/>
    <col min="14092" max="14092" width="10.85546875" style="147" bestFit="1" customWidth="1"/>
    <col min="14093" max="14093" width="11.42578125" style="147" bestFit="1" customWidth="1"/>
    <col min="14094" max="14094" width="15.85546875" style="147" bestFit="1" customWidth="1"/>
    <col min="14095" max="14095" width="6.7109375" style="147" bestFit="1" customWidth="1"/>
    <col min="14096" max="14096" width="5.5703125" style="147" bestFit="1" customWidth="1"/>
    <col min="14097" max="14097" width="14.42578125" style="147" bestFit="1" customWidth="1"/>
    <col min="14098" max="14098" width="14.28515625" style="147" bestFit="1" customWidth="1"/>
    <col min="14099" max="14099" width="14.28515625" style="147" customWidth="1"/>
    <col min="14100" max="14341" width="15.7109375" style="147"/>
    <col min="14342" max="14342" width="6" style="147" bestFit="1" customWidth="1"/>
    <col min="14343" max="14343" width="7.140625" style="147" bestFit="1" customWidth="1"/>
    <col min="14344" max="14344" width="9.140625" style="147" bestFit="1" customWidth="1"/>
    <col min="14345" max="14345" width="10.85546875" style="147" bestFit="1" customWidth="1"/>
    <col min="14346" max="14346" width="10.85546875" style="147" customWidth="1"/>
    <col min="14347" max="14347" width="11.140625" style="147" bestFit="1" customWidth="1"/>
    <col min="14348" max="14348" width="10.85546875" style="147" bestFit="1" customWidth="1"/>
    <col min="14349" max="14349" width="11.42578125" style="147" bestFit="1" customWidth="1"/>
    <col min="14350" max="14350" width="15.85546875" style="147" bestFit="1" customWidth="1"/>
    <col min="14351" max="14351" width="6.7109375" style="147" bestFit="1" customWidth="1"/>
    <col min="14352" max="14352" width="5.5703125" style="147" bestFit="1" customWidth="1"/>
    <col min="14353" max="14353" width="14.42578125" style="147" bestFit="1" customWidth="1"/>
    <col min="14354" max="14354" width="14.28515625" style="147" bestFit="1" customWidth="1"/>
    <col min="14355" max="14355" width="14.28515625" style="147" customWidth="1"/>
    <col min="14356" max="14597" width="15.7109375" style="147"/>
    <col min="14598" max="14598" width="6" style="147" bestFit="1" customWidth="1"/>
    <col min="14599" max="14599" width="7.140625" style="147" bestFit="1" customWidth="1"/>
    <col min="14600" max="14600" width="9.140625" style="147" bestFit="1" customWidth="1"/>
    <col min="14601" max="14601" width="10.85546875" style="147" bestFit="1" customWidth="1"/>
    <col min="14602" max="14602" width="10.85546875" style="147" customWidth="1"/>
    <col min="14603" max="14603" width="11.140625" style="147" bestFit="1" customWidth="1"/>
    <col min="14604" max="14604" width="10.85546875" style="147" bestFit="1" customWidth="1"/>
    <col min="14605" max="14605" width="11.42578125" style="147" bestFit="1" customWidth="1"/>
    <col min="14606" max="14606" width="15.85546875" style="147" bestFit="1" customWidth="1"/>
    <col min="14607" max="14607" width="6.7109375" style="147" bestFit="1" customWidth="1"/>
    <col min="14608" max="14608" width="5.5703125" style="147" bestFit="1" customWidth="1"/>
    <col min="14609" max="14609" width="14.42578125" style="147" bestFit="1" customWidth="1"/>
    <col min="14610" max="14610" width="14.28515625" style="147" bestFit="1" customWidth="1"/>
    <col min="14611" max="14611" width="14.28515625" style="147" customWidth="1"/>
    <col min="14612" max="14853" width="15.7109375" style="147"/>
    <col min="14854" max="14854" width="6" style="147" bestFit="1" customWidth="1"/>
    <col min="14855" max="14855" width="7.140625" style="147" bestFit="1" customWidth="1"/>
    <col min="14856" max="14856" width="9.140625" style="147" bestFit="1" customWidth="1"/>
    <col min="14857" max="14857" width="10.85546875" style="147" bestFit="1" customWidth="1"/>
    <col min="14858" max="14858" width="10.85546875" style="147" customWidth="1"/>
    <col min="14859" max="14859" width="11.140625" style="147" bestFit="1" customWidth="1"/>
    <col min="14860" max="14860" width="10.85546875" style="147" bestFit="1" customWidth="1"/>
    <col min="14861" max="14861" width="11.42578125" style="147" bestFit="1" customWidth="1"/>
    <col min="14862" max="14862" width="15.85546875" style="147" bestFit="1" customWidth="1"/>
    <col min="14863" max="14863" width="6.7109375" style="147" bestFit="1" customWidth="1"/>
    <col min="14864" max="14864" width="5.5703125" style="147" bestFit="1" customWidth="1"/>
    <col min="14865" max="14865" width="14.42578125" style="147" bestFit="1" customWidth="1"/>
    <col min="14866" max="14866" width="14.28515625" style="147" bestFit="1" customWidth="1"/>
    <col min="14867" max="14867" width="14.28515625" style="147" customWidth="1"/>
    <col min="14868" max="15109" width="15.7109375" style="147"/>
    <col min="15110" max="15110" width="6" style="147" bestFit="1" customWidth="1"/>
    <col min="15111" max="15111" width="7.140625" style="147" bestFit="1" customWidth="1"/>
    <col min="15112" max="15112" width="9.140625" style="147" bestFit="1" customWidth="1"/>
    <col min="15113" max="15113" width="10.85546875" style="147" bestFit="1" customWidth="1"/>
    <col min="15114" max="15114" width="10.85546875" style="147" customWidth="1"/>
    <col min="15115" max="15115" width="11.140625" style="147" bestFit="1" customWidth="1"/>
    <col min="15116" max="15116" width="10.85546875" style="147" bestFit="1" customWidth="1"/>
    <col min="15117" max="15117" width="11.42578125" style="147" bestFit="1" customWidth="1"/>
    <col min="15118" max="15118" width="15.85546875" style="147" bestFit="1" customWidth="1"/>
    <col min="15119" max="15119" width="6.7109375" style="147" bestFit="1" customWidth="1"/>
    <col min="15120" max="15120" width="5.5703125" style="147" bestFit="1" customWidth="1"/>
    <col min="15121" max="15121" width="14.42578125" style="147" bestFit="1" customWidth="1"/>
    <col min="15122" max="15122" width="14.28515625" style="147" bestFit="1" customWidth="1"/>
    <col min="15123" max="15123" width="14.28515625" style="147" customWidth="1"/>
    <col min="15124" max="15365" width="15.7109375" style="147"/>
    <col min="15366" max="15366" width="6" style="147" bestFit="1" customWidth="1"/>
    <col min="15367" max="15367" width="7.140625" style="147" bestFit="1" customWidth="1"/>
    <col min="15368" max="15368" width="9.140625" style="147" bestFit="1" customWidth="1"/>
    <col min="15369" max="15369" width="10.85546875" style="147" bestFit="1" customWidth="1"/>
    <col min="15370" max="15370" width="10.85546875" style="147" customWidth="1"/>
    <col min="15371" max="15371" width="11.140625" style="147" bestFit="1" customWidth="1"/>
    <col min="15372" max="15372" width="10.85546875" style="147" bestFit="1" customWidth="1"/>
    <col min="15373" max="15373" width="11.42578125" style="147" bestFit="1" customWidth="1"/>
    <col min="15374" max="15374" width="15.85546875" style="147" bestFit="1" customWidth="1"/>
    <col min="15375" max="15375" width="6.7109375" style="147" bestFit="1" customWidth="1"/>
    <col min="15376" max="15376" width="5.5703125" style="147" bestFit="1" customWidth="1"/>
    <col min="15377" max="15377" width="14.42578125" style="147" bestFit="1" customWidth="1"/>
    <col min="15378" max="15378" width="14.28515625" style="147" bestFit="1" customWidth="1"/>
    <col min="15379" max="15379" width="14.28515625" style="147" customWidth="1"/>
    <col min="15380" max="15621" width="15.7109375" style="147"/>
    <col min="15622" max="15622" width="6" style="147" bestFit="1" customWidth="1"/>
    <col min="15623" max="15623" width="7.140625" style="147" bestFit="1" customWidth="1"/>
    <col min="15624" max="15624" width="9.140625" style="147" bestFit="1" customWidth="1"/>
    <col min="15625" max="15625" width="10.85546875" style="147" bestFit="1" customWidth="1"/>
    <col min="15626" max="15626" width="10.85546875" style="147" customWidth="1"/>
    <col min="15627" max="15627" width="11.140625" style="147" bestFit="1" customWidth="1"/>
    <col min="15628" max="15628" width="10.85546875" style="147" bestFit="1" customWidth="1"/>
    <col min="15629" max="15629" width="11.42578125" style="147" bestFit="1" customWidth="1"/>
    <col min="15630" max="15630" width="15.85546875" style="147" bestFit="1" customWidth="1"/>
    <col min="15631" max="15631" width="6.7109375" style="147" bestFit="1" customWidth="1"/>
    <col min="15632" max="15632" width="5.5703125" style="147" bestFit="1" customWidth="1"/>
    <col min="15633" max="15633" width="14.42578125" style="147" bestFit="1" customWidth="1"/>
    <col min="15634" max="15634" width="14.28515625" style="147" bestFit="1" customWidth="1"/>
    <col min="15635" max="15635" width="14.28515625" style="147" customWidth="1"/>
    <col min="15636" max="15877" width="15.7109375" style="147"/>
    <col min="15878" max="15878" width="6" style="147" bestFit="1" customWidth="1"/>
    <col min="15879" max="15879" width="7.140625" style="147" bestFit="1" customWidth="1"/>
    <col min="15880" max="15880" width="9.140625" style="147" bestFit="1" customWidth="1"/>
    <col min="15881" max="15881" width="10.85546875" style="147" bestFit="1" customWidth="1"/>
    <col min="15882" max="15882" width="10.85546875" style="147" customWidth="1"/>
    <col min="15883" max="15883" width="11.140625" style="147" bestFit="1" customWidth="1"/>
    <col min="15884" max="15884" width="10.85546875" style="147" bestFit="1" customWidth="1"/>
    <col min="15885" max="15885" width="11.42578125" style="147" bestFit="1" customWidth="1"/>
    <col min="15886" max="15886" width="15.85546875" style="147" bestFit="1" customWidth="1"/>
    <col min="15887" max="15887" width="6.7109375" style="147" bestFit="1" customWidth="1"/>
    <col min="15888" max="15888" width="5.5703125" style="147" bestFit="1" customWidth="1"/>
    <col min="15889" max="15889" width="14.42578125" style="147" bestFit="1" customWidth="1"/>
    <col min="15890" max="15890" width="14.28515625" style="147" bestFit="1" customWidth="1"/>
    <col min="15891" max="15891" width="14.28515625" style="147" customWidth="1"/>
    <col min="15892" max="16133" width="15.7109375" style="147"/>
    <col min="16134" max="16134" width="6" style="147" bestFit="1" customWidth="1"/>
    <col min="16135" max="16135" width="7.140625" style="147" bestFit="1" customWidth="1"/>
    <col min="16136" max="16136" width="9.140625" style="147" bestFit="1" customWidth="1"/>
    <col min="16137" max="16137" width="10.85546875" style="147" bestFit="1" customWidth="1"/>
    <col min="16138" max="16138" width="10.85546875" style="147" customWidth="1"/>
    <col min="16139" max="16139" width="11.140625" style="147" bestFit="1" customWidth="1"/>
    <col min="16140" max="16140" width="10.85546875" style="147" bestFit="1" customWidth="1"/>
    <col min="16141" max="16141" width="11.42578125" style="147" bestFit="1" customWidth="1"/>
    <col min="16142" max="16142" width="15.85546875" style="147" bestFit="1" customWidth="1"/>
    <col min="16143" max="16143" width="6.7109375" style="147" bestFit="1" customWidth="1"/>
    <col min="16144" max="16144" width="5.5703125" style="147" bestFit="1" customWidth="1"/>
    <col min="16145" max="16145" width="14.42578125" style="147" bestFit="1" customWidth="1"/>
    <col min="16146" max="16146" width="14.28515625" style="147" bestFit="1" customWidth="1"/>
    <col min="16147" max="16147" width="14.28515625" style="147" customWidth="1"/>
    <col min="16148" max="16384" width="15.7109375" style="147"/>
  </cols>
  <sheetData>
    <row r="1" spans="1:22" x14ac:dyDescent="0.2">
      <c r="A1" s="144" t="s">
        <v>15</v>
      </c>
      <c r="B1" s="144" t="s">
        <v>18</v>
      </c>
      <c r="C1" s="168" t="s">
        <v>155</v>
      </c>
      <c r="D1" s="165" t="s">
        <v>295</v>
      </c>
      <c r="E1" s="165" t="s">
        <v>296</v>
      </c>
      <c r="F1" s="165" t="s">
        <v>297</v>
      </c>
      <c r="G1" s="165" t="s">
        <v>157</v>
      </c>
      <c r="H1" s="145" t="s">
        <v>189</v>
      </c>
      <c r="I1" s="145" t="s">
        <v>158</v>
      </c>
      <c r="J1" s="146" t="s">
        <v>185</v>
      </c>
      <c r="K1" s="294" t="s">
        <v>252</v>
      </c>
      <c r="L1" s="147" t="s">
        <v>196</v>
      </c>
      <c r="M1" s="146" t="s">
        <v>253</v>
      </c>
      <c r="N1" s="146" t="s">
        <v>184</v>
      </c>
      <c r="O1" s="158" t="s">
        <v>159</v>
      </c>
      <c r="P1" s="158" t="s">
        <v>160</v>
      </c>
      <c r="Q1" s="163" t="s">
        <v>161</v>
      </c>
      <c r="R1" s="163" t="s">
        <v>162</v>
      </c>
      <c r="S1" s="163" t="s">
        <v>256</v>
      </c>
      <c r="T1" s="163" t="s">
        <v>298</v>
      </c>
      <c r="V1" s="147" t="s">
        <v>176</v>
      </c>
    </row>
    <row r="2" spans="1:22" x14ac:dyDescent="0.2">
      <c r="A2" s="147">
        <v>2001</v>
      </c>
      <c r="B2" s="147">
        <v>1</v>
      </c>
      <c r="C2" s="362">
        <v>67665.381999999998</v>
      </c>
      <c r="D2" s="166">
        <v>4.2694402357305536</v>
      </c>
      <c r="E2" s="166">
        <v>4.2694402357305536</v>
      </c>
      <c r="F2" s="166">
        <f>E2</f>
        <v>4.2694402357305536</v>
      </c>
      <c r="G2" s="166">
        <v>32.33</v>
      </c>
      <c r="H2" s="148">
        <v>137.46726172000001</v>
      </c>
      <c r="I2" s="181">
        <f>H2</f>
        <v>137.46726172000001</v>
      </c>
      <c r="J2" s="181">
        <f>H2*T2</f>
        <v>54.251201142137106</v>
      </c>
      <c r="K2" s="362">
        <v>24875</v>
      </c>
      <c r="L2" s="237">
        <v>25047</v>
      </c>
      <c r="M2" s="157">
        <v>5307.0153343999991</v>
      </c>
      <c r="N2" s="181">
        <f>M2</f>
        <v>5307.0153343999991</v>
      </c>
      <c r="O2" s="242">
        <v>1166.2</v>
      </c>
      <c r="P2" s="242">
        <v>0</v>
      </c>
      <c r="Q2" s="159">
        <v>4200</v>
      </c>
      <c r="R2" s="159">
        <v>1161</v>
      </c>
      <c r="S2" s="363">
        <f>C2/K2*1000</f>
        <v>2720.2163618090453</v>
      </c>
      <c r="T2" s="271">
        <v>0.39464815450124108</v>
      </c>
      <c r="U2" s="147" t="e">
        <f>#REF!+1</f>
        <v>#REF!</v>
      </c>
      <c r="V2" s="151">
        <f t="shared" ref="V2:V32" si="0">SUMIF(A$2:A$493,U$2:U$31,K$2:K$493)/12</f>
        <v>0</v>
      </c>
    </row>
    <row r="3" spans="1:22" x14ac:dyDescent="0.2">
      <c r="A3" s="147">
        <v>2001</v>
      </c>
      <c r="B3" s="147">
        <v>2</v>
      </c>
      <c r="C3" s="362">
        <v>48370.396000000001</v>
      </c>
      <c r="D3" s="166">
        <v>4.2694402357305536</v>
      </c>
      <c r="E3" s="166">
        <v>4.2694402357305536</v>
      </c>
      <c r="F3" s="166">
        <f t="shared" ref="F3:F66" si="1">E3</f>
        <v>4.2694402357305536</v>
      </c>
      <c r="G3" s="166">
        <v>29.81</v>
      </c>
      <c r="H3" s="148">
        <v>137.46726172000001</v>
      </c>
      <c r="I3" s="181">
        <f t="shared" ref="I3:I66" si="2">H3</f>
        <v>137.46726172000001</v>
      </c>
      <c r="J3" s="181">
        <f t="shared" ref="J3:J66" si="3">H3*T3</f>
        <v>54.251201142137106</v>
      </c>
      <c r="K3" s="362">
        <v>24889</v>
      </c>
      <c r="L3" s="237">
        <v>24889</v>
      </c>
      <c r="M3" s="157">
        <v>5307.0153343999991</v>
      </c>
      <c r="N3" s="181">
        <f t="shared" ref="N3:N66" si="4">M3</f>
        <v>5307.0153343999991</v>
      </c>
      <c r="O3" s="242">
        <v>765.75</v>
      </c>
      <c r="P3" s="242">
        <v>0</v>
      </c>
      <c r="Q3" s="159">
        <v>4200</v>
      </c>
      <c r="R3" s="159">
        <v>1161</v>
      </c>
      <c r="S3" s="363">
        <f t="shared" ref="S3:S66" si="5">C3/K3*1000</f>
        <v>1943.4447346217205</v>
      </c>
      <c r="T3" s="271">
        <v>0.39464815450124108</v>
      </c>
      <c r="U3" s="147" t="e">
        <f t="shared" ref="U3:U32" si="6">U2+1</f>
        <v>#REF!</v>
      </c>
      <c r="V3" s="151">
        <f t="shared" si="0"/>
        <v>0</v>
      </c>
    </row>
    <row r="4" spans="1:22" x14ac:dyDescent="0.2">
      <c r="A4" s="147">
        <v>2001</v>
      </c>
      <c r="B4" s="147">
        <v>3</v>
      </c>
      <c r="C4" s="362">
        <v>40526.144999999997</v>
      </c>
      <c r="D4" s="166">
        <v>4.2694402357305536</v>
      </c>
      <c r="E4" s="166">
        <v>4.2694402357305536</v>
      </c>
      <c r="F4" s="166">
        <f t="shared" si="1"/>
        <v>4.2694402357305536</v>
      </c>
      <c r="G4" s="166">
        <v>30.29</v>
      </c>
      <c r="H4" s="148">
        <v>137.46726172000001</v>
      </c>
      <c r="I4" s="181">
        <f t="shared" si="2"/>
        <v>137.46726172000001</v>
      </c>
      <c r="J4" s="181">
        <f t="shared" si="3"/>
        <v>54.251201142137106</v>
      </c>
      <c r="K4" s="362">
        <v>24831</v>
      </c>
      <c r="L4" s="237">
        <v>24831</v>
      </c>
      <c r="M4" s="157">
        <v>5307.0153343999991</v>
      </c>
      <c r="N4" s="181">
        <f t="shared" si="4"/>
        <v>5307.0153343999991</v>
      </c>
      <c r="O4" s="242">
        <v>615.5</v>
      </c>
      <c r="P4" s="242">
        <v>0</v>
      </c>
      <c r="Q4" s="159">
        <v>4200</v>
      </c>
      <c r="R4" s="159">
        <v>1161</v>
      </c>
      <c r="S4" s="363">
        <f t="shared" si="5"/>
        <v>1632.0786516853932</v>
      </c>
      <c r="T4" s="271">
        <v>0.39464815450124108</v>
      </c>
      <c r="U4" s="147" t="e">
        <f t="shared" si="6"/>
        <v>#REF!</v>
      </c>
      <c r="V4" s="151">
        <f t="shared" si="0"/>
        <v>0</v>
      </c>
    </row>
    <row r="5" spans="1:22" x14ac:dyDescent="0.2">
      <c r="A5" s="147">
        <v>2001</v>
      </c>
      <c r="B5" s="147">
        <v>4</v>
      </c>
      <c r="C5" s="362">
        <v>33911.436999999998</v>
      </c>
      <c r="D5" s="166">
        <v>4.2694402357305536</v>
      </c>
      <c r="E5" s="166">
        <v>4.2694402357305536</v>
      </c>
      <c r="F5" s="166">
        <f t="shared" si="1"/>
        <v>4.2694402357305536</v>
      </c>
      <c r="G5" s="166">
        <v>30.29</v>
      </c>
      <c r="H5" s="148">
        <v>137.46726172000001</v>
      </c>
      <c r="I5" s="181">
        <f t="shared" si="2"/>
        <v>137.46726172000001</v>
      </c>
      <c r="J5" s="181">
        <f t="shared" si="3"/>
        <v>54.293751553782627</v>
      </c>
      <c r="K5" s="362">
        <v>24926</v>
      </c>
      <c r="L5" s="237">
        <v>24926</v>
      </c>
      <c r="M5" s="157">
        <v>5307.0153343999991</v>
      </c>
      <c r="N5" s="181">
        <f t="shared" si="4"/>
        <v>5307.0153343999991</v>
      </c>
      <c r="O5" s="242">
        <v>446</v>
      </c>
      <c r="P5" s="242">
        <v>15.9</v>
      </c>
      <c r="Q5" s="159">
        <v>4200</v>
      </c>
      <c r="R5" s="159">
        <v>1161</v>
      </c>
      <c r="S5" s="363">
        <f t="shared" si="5"/>
        <v>1360.4845141619194</v>
      </c>
      <c r="T5" s="271">
        <v>0.39495768573881085</v>
      </c>
      <c r="U5" s="147" t="e">
        <f t="shared" si="6"/>
        <v>#REF!</v>
      </c>
      <c r="V5" s="151">
        <f t="shared" si="0"/>
        <v>0</v>
      </c>
    </row>
    <row r="6" spans="1:22" x14ac:dyDescent="0.2">
      <c r="A6" s="147">
        <v>2001</v>
      </c>
      <c r="B6" s="147">
        <v>5</v>
      </c>
      <c r="C6" s="362">
        <v>22584.976999999999</v>
      </c>
      <c r="D6" s="166">
        <v>4.2694402357305536</v>
      </c>
      <c r="E6" s="166">
        <v>4.2694402357305536</v>
      </c>
      <c r="F6" s="166">
        <f t="shared" si="1"/>
        <v>4.2694402357305536</v>
      </c>
      <c r="G6" s="166">
        <v>30.05</v>
      </c>
      <c r="H6" s="148">
        <v>137.46726172000001</v>
      </c>
      <c r="I6" s="181">
        <f t="shared" si="2"/>
        <v>137.46726172000001</v>
      </c>
      <c r="J6" s="181">
        <f t="shared" si="3"/>
        <v>54.293751553782627</v>
      </c>
      <c r="K6" s="362">
        <v>24855</v>
      </c>
      <c r="L6" s="237">
        <v>24855</v>
      </c>
      <c r="M6" s="157">
        <v>5307.0153343999991</v>
      </c>
      <c r="N6" s="181">
        <f t="shared" si="4"/>
        <v>5307.0153343999991</v>
      </c>
      <c r="O6" s="242">
        <v>123.45</v>
      </c>
      <c r="P6" s="242">
        <v>46.15</v>
      </c>
      <c r="Q6" s="159">
        <v>4200</v>
      </c>
      <c r="R6" s="159">
        <v>1161</v>
      </c>
      <c r="S6" s="363">
        <f t="shared" si="5"/>
        <v>908.66936230134775</v>
      </c>
      <c r="T6" s="271">
        <v>0.39495768573881085</v>
      </c>
      <c r="U6" s="147" t="e">
        <f t="shared" si="6"/>
        <v>#REF!</v>
      </c>
      <c r="V6" s="151">
        <f t="shared" si="0"/>
        <v>0</v>
      </c>
    </row>
    <row r="7" spans="1:22" x14ac:dyDescent="0.2">
      <c r="A7" s="147">
        <v>2001</v>
      </c>
      <c r="B7" s="147">
        <v>6</v>
      </c>
      <c r="C7" s="362">
        <v>21531.978999999999</v>
      </c>
      <c r="D7" s="166">
        <v>4.2694402357305536</v>
      </c>
      <c r="E7" s="166">
        <v>4.2694402357305536</v>
      </c>
      <c r="F7" s="166">
        <f t="shared" si="1"/>
        <v>4.2694402357305536</v>
      </c>
      <c r="G7" s="166">
        <v>30.62</v>
      </c>
      <c r="H7" s="148">
        <v>137.46726172000001</v>
      </c>
      <c r="I7" s="181">
        <f t="shared" si="2"/>
        <v>137.46726172000001</v>
      </c>
      <c r="J7" s="181">
        <f t="shared" si="3"/>
        <v>54.293751553782627</v>
      </c>
      <c r="K7" s="362">
        <v>24894</v>
      </c>
      <c r="L7" s="237">
        <v>24894</v>
      </c>
      <c r="M7" s="157">
        <v>5307.0153343999991</v>
      </c>
      <c r="N7" s="181">
        <f t="shared" si="4"/>
        <v>5307.0153343999991</v>
      </c>
      <c r="O7" s="242">
        <v>35.799999999999997</v>
      </c>
      <c r="P7" s="242">
        <v>111.05</v>
      </c>
      <c r="Q7" s="159">
        <v>4200</v>
      </c>
      <c r="R7" s="159">
        <v>1161</v>
      </c>
      <c r="S7" s="363">
        <f t="shared" si="5"/>
        <v>864.94653330119706</v>
      </c>
      <c r="T7" s="271">
        <v>0.39495768573881085</v>
      </c>
      <c r="U7" s="147" t="e">
        <f t="shared" si="6"/>
        <v>#REF!</v>
      </c>
      <c r="V7" s="151">
        <f t="shared" si="0"/>
        <v>0</v>
      </c>
    </row>
    <row r="8" spans="1:22" x14ac:dyDescent="0.2">
      <c r="A8" s="147">
        <v>2001</v>
      </c>
      <c r="B8" s="147">
        <v>7</v>
      </c>
      <c r="C8" s="362">
        <v>23510.444</v>
      </c>
      <c r="D8" s="166">
        <v>4.2694402357305536</v>
      </c>
      <c r="E8" s="166">
        <v>4.2694402357305536</v>
      </c>
      <c r="F8" s="166">
        <f t="shared" si="1"/>
        <v>4.2694402357305536</v>
      </c>
      <c r="G8" s="166">
        <v>30.76</v>
      </c>
      <c r="H8" s="148">
        <v>137.46726172000001</v>
      </c>
      <c r="I8" s="181">
        <f t="shared" si="2"/>
        <v>137.46726172000001</v>
      </c>
      <c r="J8" s="181">
        <f t="shared" si="3"/>
        <v>54.327880974651315</v>
      </c>
      <c r="K8" s="362">
        <v>24842</v>
      </c>
      <c r="L8" s="237">
        <v>24842</v>
      </c>
      <c r="M8" s="157">
        <v>5307.0153343999991</v>
      </c>
      <c r="N8" s="181">
        <f t="shared" si="4"/>
        <v>5307.0153343999991</v>
      </c>
      <c r="O8" s="242">
        <v>0</v>
      </c>
      <c r="P8" s="242">
        <v>231.45</v>
      </c>
      <c r="Q8" s="159">
        <v>4200</v>
      </c>
      <c r="R8" s="159">
        <v>1161</v>
      </c>
      <c r="S8" s="363">
        <f t="shared" si="5"/>
        <v>946.39900169068517</v>
      </c>
      <c r="T8" s="271">
        <v>0.39520595882173737</v>
      </c>
      <c r="U8" s="147" t="e">
        <f t="shared" si="6"/>
        <v>#REF!</v>
      </c>
      <c r="V8" s="151">
        <f t="shared" si="0"/>
        <v>0</v>
      </c>
    </row>
    <row r="9" spans="1:22" x14ac:dyDescent="0.2">
      <c r="A9" s="147">
        <v>2001</v>
      </c>
      <c r="B9" s="147">
        <v>8</v>
      </c>
      <c r="C9" s="362">
        <v>24666.491999999998</v>
      </c>
      <c r="D9" s="166">
        <v>4.2694402357305536</v>
      </c>
      <c r="E9" s="166">
        <v>4.2694402357305536</v>
      </c>
      <c r="F9" s="166">
        <f t="shared" si="1"/>
        <v>4.2694402357305536</v>
      </c>
      <c r="G9" s="166">
        <v>29.48</v>
      </c>
      <c r="H9" s="148">
        <v>137.46726172000001</v>
      </c>
      <c r="I9" s="181">
        <f t="shared" si="2"/>
        <v>137.46726172000001</v>
      </c>
      <c r="J9" s="181">
        <f t="shared" si="3"/>
        <v>54.327880974651315</v>
      </c>
      <c r="K9" s="362">
        <v>24944</v>
      </c>
      <c r="L9" s="237">
        <v>24944</v>
      </c>
      <c r="M9" s="157">
        <v>5307.0153343999991</v>
      </c>
      <c r="N9" s="181">
        <f t="shared" si="4"/>
        <v>5307.0153343999991</v>
      </c>
      <c r="O9" s="242">
        <v>0</v>
      </c>
      <c r="P9" s="242">
        <v>292.2</v>
      </c>
      <c r="Q9" s="159">
        <v>4200</v>
      </c>
      <c r="R9" s="159">
        <v>1161</v>
      </c>
      <c r="S9" s="363">
        <f t="shared" si="5"/>
        <v>988.87475946119298</v>
      </c>
      <c r="T9" s="271">
        <v>0.39520595882173737</v>
      </c>
      <c r="U9" s="147" t="e">
        <f t="shared" si="6"/>
        <v>#REF!</v>
      </c>
      <c r="V9" s="151">
        <f t="shared" si="0"/>
        <v>0</v>
      </c>
    </row>
    <row r="10" spans="1:22" x14ac:dyDescent="0.2">
      <c r="A10" s="147">
        <v>2001</v>
      </c>
      <c r="B10" s="147">
        <v>9</v>
      </c>
      <c r="C10" s="362">
        <v>23772.642</v>
      </c>
      <c r="D10" s="166">
        <v>4.2694402357305536</v>
      </c>
      <c r="E10" s="166">
        <v>4.2694402357305536</v>
      </c>
      <c r="F10" s="166">
        <f t="shared" si="1"/>
        <v>4.2694402357305536</v>
      </c>
      <c r="G10" s="166">
        <v>30.62</v>
      </c>
      <c r="H10" s="148">
        <v>137.46726172000001</v>
      </c>
      <c r="I10" s="181">
        <f t="shared" si="2"/>
        <v>137.46726172000001</v>
      </c>
      <c r="J10" s="181">
        <f t="shared" si="3"/>
        <v>54.327880974651315</v>
      </c>
      <c r="K10" s="362">
        <v>24781</v>
      </c>
      <c r="L10" s="237">
        <v>24781</v>
      </c>
      <c r="M10" s="157">
        <v>5307.0153343999991</v>
      </c>
      <c r="N10" s="181">
        <f t="shared" si="4"/>
        <v>5307.0153343999991</v>
      </c>
      <c r="O10" s="242">
        <v>13.8</v>
      </c>
      <c r="P10" s="242">
        <v>210.45</v>
      </c>
      <c r="Q10" s="159">
        <v>4200</v>
      </c>
      <c r="R10" s="159">
        <v>1161</v>
      </c>
      <c r="S10" s="363">
        <f t="shared" si="5"/>
        <v>959.30922884467941</v>
      </c>
      <c r="T10" s="271">
        <v>0.39520595882173737</v>
      </c>
      <c r="U10" s="147" t="e">
        <f t="shared" si="6"/>
        <v>#REF!</v>
      </c>
      <c r="V10" s="151">
        <f t="shared" si="0"/>
        <v>0</v>
      </c>
    </row>
    <row r="11" spans="1:22" x14ac:dyDescent="0.2">
      <c r="A11" s="147">
        <v>2001</v>
      </c>
      <c r="B11" s="147">
        <v>10</v>
      </c>
      <c r="C11" s="362">
        <v>23675.131000000001</v>
      </c>
      <c r="D11" s="166">
        <v>4.2694402357305536</v>
      </c>
      <c r="E11" s="166">
        <v>4.2694402357305536</v>
      </c>
      <c r="F11" s="166">
        <f t="shared" si="1"/>
        <v>4.2694402357305536</v>
      </c>
      <c r="G11" s="166">
        <v>29.67</v>
      </c>
      <c r="H11" s="148">
        <v>137.46726172000001</v>
      </c>
      <c r="I11" s="181">
        <f t="shared" si="2"/>
        <v>137.46726172000001</v>
      </c>
      <c r="J11" s="181">
        <f t="shared" si="3"/>
        <v>54.362062230065987</v>
      </c>
      <c r="K11" s="362">
        <v>24912</v>
      </c>
      <c r="L11" s="237">
        <v>24912</v>
      </c>
      <c r="M11" s="157">
        <v>5307.0153343999991</v>
      </c>
      <c r="N11" s="181">
        <f t="shared" si="4"/>
        <v>5307.0153343999991</v>
      </c>
      <c r="O11" s="242">
        <v>212.8</v>
      </c>
      <c r="P11" s="242">
        <v>26.5</v>
      </c>
      <c r="Q11" s="159">
        <v>4200</v>
      </c>
      <c r="R11" s="159">
        <v>1161</v>
      </c>
      <c r="S11" s="363">
        <f t="shared" si="5"/>
        <v>950.35047366730896</v>
      </c>
      <c r="T11" s="271">
        <v>0.39545460897295875</v>
      </c>
      <c r="U11" s="147" t="e">
        <f t="shared" si="6"/>
        <v>#REF!</v>
      </c>
      <c r="V11" s="151">
        <f t="shared" si="0"/>
        <v>0</v>
      </c>
    </row>
    <row r="12" spans="1:22" x14ac:dyDescent="0.2">
      <c r="A12" s="147">
        <v>2001</v>
      </c>
      <c r="B12" s="147">
        <v>11</v>
      </c>
      <c r="C12" s="362">
        <v>30818.775000000001</v>
      </c>
      <c r="D12" s="166">
        <v>4.2694402357305536</v>
      </c>
      <c r="E12" s="166">
        <v>4.2694402357305536</v>
      </c>
      <c r="F12" s="166">
        <f t="shared" si="1"/>
        <v>4.2694402357305536</v>
      </c>
      <c r="G12" s="166">
        <v>30</v>
      </c>
      <c r="H12" s="148">
        <v>137.46726172000001</v>
      </c>
      <c r="I12" s="181">
        <f t="shared" si="2"/>
        <v>137.46726172000001</v>
      </c>
      <c r="J12" s="181">
        <f t="shared" si="3"/>
        <v>54.362062230065987</v>
      </c>
      <c r="K12" s="362">
        <v>24830</v>
      </c>
      <c r="L12" s="237">
        <v>24830</v>
      </c>
      <c r="M12" s="157">
        <v>5307.0153343999991</v>
      </c>
      <c r="N12" s="181">
        <f t="shared" si="4"/>
        <v>5307.0153343999991</v>
      </c>
      <c r="O12" s="242">
        <v>411.3</v>
      </c>
      <c r="P12" s="242">
        <v>1.3</v>
      </c>
      <c r="Q12" s="159">
        <v>4200</v>
      </c>
      <c r="R12" s="159">
        <v>1161</v>
      </c>
      <c r="S12" s="363">
        <f t="shared" si="5"/>
        <v>1241.1910994764398</v>
      </c>
      <c r="T12" s="271">
        <v>0.39545460897295875</v>
      </c>
      <c r="U12" s="147" t="e">
        <f t="shared" si="6"/>
        <v>#REF!</v>
      </c>
      <c r="V12" s="151">
        <f t="shared" si="0"/>
        <v>0</v>
      </c>
    </row>
    <row r="13" spans="1:22" x14ac:dyDescent="0.2">
      <c r="A13" s="147">
        <v>2001</v>
      </c>
      <c r="B13" s="147">
        <v>12</v>
      </c>
      <c r="C13" s="362">
        <v>34312.605000000003</v>
      </c>
      <c r="D13" s="166">
        <v>4.2694402357305536</v>
      </c>
      <c r="E13" s="166">
        <v>4.2694402357305536</v>
      </c>
      <c r="F13" s="166">
        <f t="shared" si="1"/>
        <v>4.2694402357305536</v>
      </c>
      <c r="G13" s="166">
        <v>31.43</v>
      </c>
      <c r="H13" s="148">
        <v>137.46726172000001</v>
      </c>
      <c r="I13" s="181">
        <f t="shared" si="2"/>
        <v>137.46726172000001</v>
      </c>
      <c r="J13" s="181">
        <f t="shared" si="3"/>
        <v>54.362062230065987</v>
      </c>
      <c r="K13" s="362">
        <v>24867</v>
      </c>
      <c r="L13" s="237">
        <v>24867</v>
      </c>
      <c r="M13" s="157">
        <v>5307.0153343999991</v>
      </c>
      <c r="N13" s="181">
        <f t="shared" si="4"/>
        <v>5307.0153343999991</v>
      </c>
      <c r="O13" s="242">
        <v>466.2</v>
      </c>
      <c r="P13" s="242">
        <v>0</v>
      </c>
      <c r="Q13" s="159">
        <v>4200</v>
      </c>
      <c r="R13" s="159">
        <v>1161</v>
      </c>
      <c r="S13" s="363">
        <f t="shared" si="5"/>
        <v>1379.844975268428</v>
      </c>
      <c r="T13" s="271">
        <v>0.39545460897295875</v>
      </c>
      <c r="U13" s="147" t="e">
        <f t="shared" si="6"/>
        <v>#REF!</v>
      </c>
      <c r="V13" s="151">
        <f t="shared" si="0"/>
        <v>0</v>
      </c>
    </row>
    <row r="14" spans="1:22" x14ac:dyDescent="0.2">
      <c r="A14" s="147">
        <v>2002</v>
      </c>
      <c r="B14" s="147">
        <v>1</v>
      </c>
      <c r="C14" s="362">
        <v>56660.32</v>
      </c>
      <c r="D14" s="166">
        <v>4.457008293679027</v>
      </c>
      <c r="E14" s="166">
        <v>4.457008293679027</v>
      </c>
      <c r="F14" s="166">
        <f t="shared" si="1"/>
        <v>4.457008293679027</v>
      </c>
      <c r="G14" s="166">
        <v>32.380000000000003</v>
      </c>
      <c r="H14" s="148">
        <v>137.00631435</v>
      </c>
      <c r="I14" s="181">
        <f t="shared" si="2"/>
        <v>137.00631435</v>
      </c>
      <c r="J14" s="181">
        <f t="shared" si="3"/>
        <v>54.213862844781623</v>
      </c>
      <c r="K14" s="362">
        <v>24971</v>
      </c>
      <c r="L14" s="237">
        <v>24971</v>
      </c>
      <c r="M14" s="157">
        <v>5439.2694249999995</v>
      </c>
      <c r="N14" s="181">
        <f t="shared" si="4"/>
        <v>5439.2694249999995</v>
      </c>
      <c r="O14" s="242">
        <v>940</v>
      </c>
      <c r="P14" s="242">
        <v>0</v>
      </c>
      <c r="Q14" s="159">
        <v>4200</v>
      </c>
      <c r="R14" s="159">
        <v>1161</v>
      </c>
      <c r="S14" s="363">
        <f t="shared" si="5"/>
        <v>2269.0448920748072</v>
      </c>
      <c r="T14" s="271">
        <v>0.39570338857729898</v>
      </c>
      <c r="U14" s="147" t="e">
        <f t="shared" si="6"/>
        <v>#REF!</v>
      </c>
      <c r="V14" s="151">
        <f t="shared" si="0"/>
        <v>0</v>
      </c>
    </row>
    <row r="15" spans="1:22" x14ac:dyDescent="0.2">
      <c r="A15" s="147">
        <v>2002</v>
      </c>
      <c r="B15" s="147">
        <v>2</v>
      </c>
      <c r="C15" s="362">
        <v>45676.182000000001</v>
      </c>
      <c r="D15" s="166">
        <v>4.457008293679027</v>
      </c>
      <c r="E15" s="166">
        <v>4.457008293679027</v>
      </c>
      <c r="F15" s="166">
        <f t="shared" si="1"/>
        <v>4.457008293679027</v>
      </c>
      <c r="G15" s="166">
        <v>29.9</v>
      </c>
      <c r="H15" s="148">
        <v>137.00631435</v>
      </c>
      <c r="I15" s="181">
        <f t="shared" si="2"/>
        <v>137.00631435</v>
      </c>
      <c r="J15" s="181">
        <f t="shared" si="3"/>
        <v>54.213862844781623</v>
      </c>
      <c r="K15" s="362">
        <v>24899</v>
      </c>
      <c r="L15" s="237">
        <v>24899</v>
      </c>
      <c r="M15" s="157">
        <v>5439.2694249999995</v>
      </c>
      <c r="N15" s="181">
        <f t="shared" si="4"/>
        <v>5439.2694249999995</v>
      </c>
      <c r="O15" s="242">
        <v>737.6</v>
      </c>
      <c r="P15" s="242">
        <v>0</v>
      </c>
      <c r="Q15" s="159">
        <v>4200</v>
      </c>
      <c r="R15" s="159">
        <v>1161</v>
      </c>
      <c r="S15" s="363">
        <f t="shared" si="5"/>
        <v>1834.458492308928</v>
      </c>
      <c r="T15" s="271">
        <v>0.39570338857729898</v>
      </c>
      <c r="U15" s="147" t="e">
        <f t="shared" si="6"/>
        <v>#REF!</v>
      </c>
      <c r="V15" s="151">
        <f t="shared" si="0"/>
        <v>0</v>
      </c>
    </row>
    <row r="16" spans="1:22" x14ac:dyDescent="0.2">
      <c r="A16" s="147">
        <v>2002</v>
      </c>
      <c r="B16" s="147">
        <v>3</v>
      </c>
      <c r="C16" s="362">
        <v>42476.214999999997</v>
      </c>
      <c r="D16" s="166">
        <v>4.457008293679027</v>
      </c>
      <c r="E16" s="166">
        <v>4.457008293679027</v>
      </c>
      <c r="F16" s="166">
        <f t="shared" si="1"/>
        <v>4.457008293679027</v>
      </c>
      <c r="G16" s="166">
        <v>30.52</v>
      </c>
      <c r="H16" s="148">
        <v>137.00631435</v>
      </c>
      <c r="I16" s="181">
        <f t="shared" si="2"/>
        <v>137.00631435</v>
      </c>
      <c r="J16" s="181">
        <f t="shared" si="3"/>
        <v>54.213862844781623</v>
      </c>
      <c r="K16" s="362">
        <v>24947</v>
      </c>
      <c r="L16" s="237">
        <v>24947</v>
      </c>
      <c r="M16" s="157">
        <v>5439.2694249999995</v>
      </c>
      <c r="N16" s="181">
        <f t="shared" si="4"/>
        <v>5439.2694249999995</v>
      </c>
      <c r="O16" s="242">
        <v>646.85</v>
      </c>
      <c r="P16" s="242">
        <v>0</v>
      </c>
      <c r="Q16" s="159">
        <v>4200</v>
      </c>
      <c r="R16" s="159">
        <v>1161</v>
      </c>
      <c r="S16" s="363">
        <f t="shared" si="5"/>
        <v>1702.6582354591733</v>
      </c>
      <c r="T16" s="271">
        <v>0.39570338857729898</v>
      </c>
      <c r="U16" s="147" t="e">
        <f t="shared" si="6"/>
        <v>#REF!</v>
      </c>
      <c r="V16" s="151">
        <f t="shared" si="0"/>
        <v>0</v>
      </c>
    </row>
    <row r="17" spans="1:22" x14ac:dyDescent="0.2">
      <c r="A17" s="147">
        <v>2002</v>
      </c>
      <c r="B17" s="147">
        <v>4</v>
      </c>
      <c r="C17" s="362">
        <v>31881.811000000002</v>
      </c>
      <c r="D17" s="166">
        <v>4.457008293679027</v>
      </c>
      <c r="E17" s="166">
        <v>4.457008293679027</v>
      </c>
      <c r="F17" s="166">
        <f t="shared" si="1"/>
        <v>4.457008293679027</v>
      </c>
      <c r="G17" s="166">
        <v>30.57</v>
      </c>
      <c r="H17" s="148">
        <v>137.00631435</v>
      </c>
      <c r="I17" s="181">
        <f t="shared" si="2"/>
        <v>137.00631435</v>
      </c>
      <c r="J17" s="181">
        <f t="shared" si="3"/>
        <v>54.247917948715767</v>
      </c>
      <c r="K17" s="362">
        <v>25219</v>
      </c>
      <c r="L17" s="237">
        <v>25219</v>
      </c>
      <c r="M17" s="157">
        <v>5439.2694249999995</v>
      </c>
      <c r="N17" s="181">
        <f t="shared" si="4"/>
        <v>5439.2694249999995</v>
      </c>
      <c r="O17" s="242">
        <v>364.1</v>
      </c>
      <c r="P17" s="242">
        <v>18.45</v>
      </c>
      <c r="Q17" s="159">
        <v>4200</v>
      </c>
      <c r="R17" s="159">
        <v>1161</v>
      </c>
      <c r="S17" s="363">
        <f t="shared" si="5"/>
        <v>1264.1980649510292</v>
      </c>
      <c r="T17" s="271">
        <v>0.39595195452183746</v>
      </c>
      <c r="U17" s="147" t="e">
        <f t="shared" si="6"/>
        <v>#REF!</v>
      </c>
      <c r="V17" s="151">
        <f t="shared" si="0"/>
        <v>0</v>
      </c>
    </row>
    <row r="18" spans="1:22" x14ac:dyDescent="0.2">
      <c r="A18" s="147">
        <v>2002</v>
      </c>
      <c r="B18" s="147">
        <v>5</v>
      </c>
      <c r="C18" s="362">
        <v>23385.346000000001</v>
      </c>
      <c r="D18" s="166">
        <v>4.457008293679027</v>
      </c>
      <c r="E18" s="166">
        <v>4.457008293679027</v>
      </c>
      <c r="F18" s="166">
        <f t="shared" si="1"/>
        <v>4.457008293679027</v>
      </c>
      <c r="G18" s="166">
        <v>29.57</v>
      </c>
      <c r="H18" s="148">
        <v>137.00631435</v>
      </c>
      <c r="I18" s="181">
        <f t="shared" si="2"/>
        <v>137.00631435</v>
      </c>
      <c r="J18" s="181">
        <f t="shared" si="3"/>
        <v>54.247917948715767</v>
      </c>
      <c r="K18" s="362">
        <v>24922</v>
      </c>
      <c r="L18" s="237">
        <v>24922</v>
      </c>
      <c r="M18" s="157">
        <v>5439.2694249999995</v>
      </c>
      <c r="N18" s="181">
        <f t="shared" si="4"/>
        <v>5439.2694249999995</v>
      </c>
      <c r="O18" s="242">
        <v>152.44999999999999</v>
      </c>
      <c r="P18" s="242">
        <v>65.7</v>
      </c>
      <c r="Q18" s="159">
        <v>4200</v>
      </c>
      <c r="R18" s="159">
        <v>1161</v>
      </c>
      <c r="S18" s="363">
        <f t="shared" si="5"/>
        <v>938.34146537196057</v>
      </c>
      <c r="T18" s="271">
        <v>0.39595195452183746</v>
      </c>
      <c r="U18" s="147" t="e">
        <f t="shared" si="6"/>
        <v>#REF!</v>
      </c>
      <c r="V18" s="151">
        <f t="shared" si="0"/>
        <v>0</v>
      </c>
    </row>
    <row r="19" spans="1:22" x14ac:dyDescent="0.2">
      <c r="A19" s="147">
        <v>2002</v>
      </c>
      <c r="B19" s="147">
        <v>6</v>
      </c>
      <c r="C19" s="362">
        <v>24994.634999999998</v>
      </c>
      <c r="D19" s="166">
        <v>4.457008293679027</v>
      </c>
      <c r="E19" s="166">
        <v>4.457008293679027</v>
      </c>
      <c r="F19" s="166">
        <f t="shared" si="1"/>
        <v>4.457008293679027</v>
      </c>
      <c r="G19" s="166">
        <v>30.67</v>
      </c>
      <c r="H19" s="148">
        <v>137.00631435</v>
      </c>
      <c r="I19" s="181">
        <f t="shared" si="2"/>
        <v>137.00631435</v>
      </c>
      <c r="J19" s="181">
        <f t="shared" si="3"/>
        <v>54.247917948715767</v>
      </c>
      <c r="K19" s="362">
        <v>24895</v>
      </c>
      <c r="L19" s="237">
        <v>24895</v>
      </c>
      <c r="M19" s="157">
        <v>5439.2694249999995</v>
      </c>
      <c r="N19" s="181">
        <f t="shared" si="4"/>
        <v>5439.2694249999995</v>
      </c>
      <c r="O19" s="242">
        <v>75.400000000000006</v>
      </c>
      <c r="P19" s="242">
        <v>170.6</v>
      </c>
      <c r="Q19" s="159">
        <v>4200</v>
      </c>
      <c r="R19" s="159">
        <v>1161</v>
      </c>
      <c r="S19" s="363">
        <f t="shared" si="5"/>
        <v>1004.0022092789716</v>
      </c>
      <c r="T19" s="271">
        <v>0.39595195452183746</v>
      </c>
      <c r="U19" s="147" t="e">
        <f t="shared" si="6"/>
        <v>#REF!</v>
      </c>
      <c r="V19" s="151">
        <f t="shared" si="0"/>
        <v>0</v>
      </c>
    </row>
    <row r="20" spans="1:22" x14ac:dyDescent="0.2">
      <c r="A20" s="147">
        <v>2002</v>
      </c>
      <c r="B20" s="147">
        <v>7</v>
      </c>
      <c r="C20" s="362">
        <v>26397.615000000002</v>
      </c>
      <c r="D20" s="166">
        <v>4.457008293679027</v>
      </c>
      <c r="E20" s="166">
        <v>4.457008293679027</v>
      </c>
      <c r="F20" s="166">
        <f t="shared" si="1"/>
        <v>4.457008293679027</v>
      </c>
      <c r="G20" s="166">
        <v>30.67</v>
      </c>
      <c r="H20" s="148">
        <v>137.00631435</v>
      </c>
      <c r="I20" s="181">
        <f t="shared" si="2"/>
        <v>137.00631435</v>
      </c>
      <c r="J20" s="181">
        <f t="shared" si="3"/>
        <v>54.264129727456734</v>
      </c>
      <c r="K20" s="362">
        <v>24925</v>
      </c>
      <c r="L20" s="237">
        <v>24925</v>
      </c>
      <c r="M20" s="157">
        <v>5439.2694249999995</v>
      </c>
      <c r="N20" s="181">
        <f t="shared" si="4"/>
        <v>5439.2694249999995</v>
      </c>
      <c r="O20" s="242">
        <v>0.5</v>
      </c>
      <c r="P20" s="242">
        <v>315.60000000000002</v>
      </c>
      <c r="Q20" s="159">
        <v>4200</v>
      </c>
      <c r="R20" s="159">
        <v>1161</v>
      </c>
      <c r="S20" s="363">
        <f t="shared" si="5"/>
        <v>1059.08184553661</v>
      </c>
      <c r="T20" s="271">
        <v>0.39607028321944443</v>
      </c>
      <c r="U20" s="147" t="e">
        <f t="shared" si="6"/>
        <v>#REF!</v>
      </c>
      <c r="V20" s="151">
        <f t="shared" si="0"/>
        <v>0</v>
      </c>
    </row>
    <row r="21" spans="1:22" x14ac:dyDescent="0.2">
      <c r="A21" s="147">
        <v>2002</v>
      </c>
      <c r="B21" s="147">
        <v>8</v>
      </c>
      <c r="C21" s="362">
        <v>26577.752</v>
      </c>
      <c r="D21" s="166">
        <v>4.457008293679027</v>
      </c>
      <c r="E21" s="166">
        <v>4.457008293679027</v>
      </c>
      <c r="F21" s="166">
        <f t="shared" si="1"/>
        <v>4.457008293679027</v>
      </c>
      <c r="G21" s="166">
        <v>29.48</v>
      </c>
      <c r="H21" s="148">
        <v>137.00631435</v>
      </c>
      <c r="I21" s="181">
        <f t="shared" si="2"/>
        <v>137.00631435</v>
      </c>
      <c r="J21" s="181">
        <f t="shared" si="3"/>
        <v>54.264129727456734</v>
      </c>
      <c r="K21" s="362">
        <v>24871</v>
      </c>
      <c r="L21" s="237">
        <v>24871</v>
      </c>
      <c r="M21" s="157">
        <v>5439.2694249999995</v>
      </c>
      <c r="N21" s="181">
        <f t="shared" si="4"/>
        <v>5439.2694249999995</v>
      </c>
      <c r="O21" s="242">
        <v>0</v>
      </c>
      <c r="P21" s="242">
        <v>351.2</v>
      </c>
      <c r="Q21" s="159">
        <v>4200</v>
      </c>
      <c r="R21" s="159">
        <v>1161</v>
      </c>
      <c r="S21" s="363">
        <f t="shared" si="5"/>
        <v>1068.6241807727877</v>
      </c>
      <c r="T21" s="271">
        <v>0.39607028321944443</v>
      </c>
      <c r="U21" s="147" t="e">
        <f t="shared" si="6"/>
        <v>#REF!</v>
      </c>
      <c r="V21" s="151">
        <f t="shared" si="0"/>
        <v>0</v>
      </c>
    </row>
    <row r="22" spans="1:22" x14ac:dyDescent="0.2">
      <c r="A22" s="147">
        <v>2002</v>
      </c>
      <c r="B22" s="147">
        <v>9</v>
      </c>
      <c r="C22" s="362">
        <v>25213.136999999999</v>
      </c>
      <c r="D22" s="166">
        <v>4.457008293679027</v>
      </c>
      <c r="E22" s="166">
        <v>4.457008293679027</v>
      </c>
      <c r="F22" s="166">
        <f t="shared" si="1"/>
        <v>4.457008293679027</v>
      </c>
      <c r="G22" s="166">
        <v>30.76</v>
      </c>
      <c r="H22" s="148">
        <v>137.00631435</v>
      </c>
      <c r="I22" s="181">
        <f t="shared" si="2"/>
        <v>137.00631435</v>
      </c>
      <c r="J22" s="181">
        <f t="shared" si="3"/>
        <v>54.264129727456734</v>
      </c>
      <c r="K22" s="362">
        <v>24908</v>
      </c>
      <c r="L22" s="237">
        <v>24908</v>
      </c>
      <c r="M22" s="157">
        <v>5439.2694249999995</v>
      </c>
      <c r="N22" s="181">
        <f t="shared" si="4"/>
        <v>5439.2694249999995</v>
      </c>
      <c r="O22" s="242">
        <v>0.6</v>
      </c>
      <c r="P22" s="242">
        <v>291</v>
      </c>
      <c r="Q22" s="159">
        <v>4200</v>
      </c>
      <c r="R22" s="159">
        <v>1161</v>
      </c>
      <c r="S22" s="363">
        <f t="shared" si="5"/>
        <v>1012.2505620684117</v>
      </c>
      <c r="T22" s="271">
        <v>0.39607028321944443</v>
      </c>
      <c r="U22" s="147" t="e">
        <f t="shared" si="6"/>
        <v>#REF!</v>
      </c>
      <c r="V22" s="151">
        <f t="shared" si="0"/>
        <v>0</v>
      </c>
    </row>
    <row r="23" spans="1:22" x14ac:dyDescent="0.2">
      <c r="A23" s="147">
        <v>2002</v>
      </c>
      <c r="B23" s="147">
        <v>10</v>
      </c>
      <c r="C23" s="362">
        <v>21787.68</v>
      </c>
      <c r="D23" s="166">
        <v>4.457008293679027</v>
      </c>
      <c r="E23" s="166">
        <v>4.457008293679027</v>
      </c>
      <c r="F23" s="166">
        <f t="shared" si="1"/>
        <v>4.457008293679027</v>
      </c>
      <c r="G23" s="166">
        <v>29.52</v>
      </c>
      <c r="H23" s="148">
        <v>137.00631435</v>
      </c>
      <c r="I23" s="181">
        <f t="shared" si="2"/>
        <v>137.00631435</v>
      </c>
      <c r="J23" s="181">
        <f t="shared" si="3"/>
        <v>54.280309153488886</v>
      </c>
      <c r="K23" s="362">
        <v>24823</v>
      </c>
      <c r="L23" s="237">
        <v>24823</v>
      </c>
      <c r="M23" s="157">
        <v>5439.2694249999995</v>
      </c>
      <c r="N23" s="181">
        <f t="shared" si="4"/>
        <v>5439.2694249999995</v>
      </c>
      <c r="O23" s="242">
        <v>57.85</v>
      </c>
      <c r="P23" s="242">
        <v>130.1</v>
      </c>
      <c r="Q23" s="159">
        <v>4200</v>
      </c>
      <c r="R23" s="159">
        <v>1161</v>
      </c>
      <c r="S23" s="363">
        <f t="shared" si="5"/>
        <v>877.72146799339328</v>
      </c>
      <c r="T23" s="271">
        <v>0.3961883757767759</v>
      </c>
      <c r="U23" s="147" t="e">
        <f t="shared" si="6"/>
        <v>#REF!</v>
      </c>
      <c r="V23" s="151">
        <f t="shared" si="0"/>
        <v>0</v>
      </c>
    </row>
    <row r="24" spans="1:22" x14ac:dyDescent="0.2">
      <c r="A24" s="147">
        <v>2002</v>
      </c>
      <c r="B24" s="147">
        <v>11</v>
      </c>
      <c r="C24" s="362">
        <v>30160.736000000001</v>
      </c>
      <c r="D24" s="166">
        <v>4.457008293679027</v>
      </c>
      <c r="E24" s="166">
        <v>4.457008293679027</v>
      </c>
      <c r="F24" s="166">
        <f t="shared" si="1"/>
        <v>4.457008293679027</v>
      </c>
      <c r="G24" s="166">
        <v>29.43</v>
      </c>
      <c r="H24" s="148">
        <v>137.00631435</v>
      </c>
      <c r="I24" s="181">
        <f t="shared" si="2"/>
        <v>137.00631435</v>
      </c>
      <c r="J24" s="181">
        <f t="shared" si="3"/>
        <v>54.280309153488886</v>
      </c>
      <c r="K24" s="362">
        <v>24875</v>
      </c>
      <c r="L24" s="237">
        <v>24875</v>
      </c>
      <c r="M24" s="157">
        <v>5439.2694249999995</v>
      </c>
      <c r="N24" s="181">
        <f t="shared" si="4"/>
        <v>5439.2694249999995</v>
      </c>
      <c r="O24" s="242">
        <v>381.6</v>
      </c>
      <c r="P24" s="242">
        <v>7.95</v>
      </c>
      <c r="Q24" s="159">
        <v>4200</v>
      </c>
      <c r="R24" s="159">
        <v>1161</v>
      </c>
      <c r="S24" s="363">
        <f t="shared" si="5"/>
        <v>1212.4918994974873</v>
      </c>
      <c r="T24" s="271">
        <v>0.3961883757767759</v>
      </c>
      <c r="U24" s="147" t="e">
        <f t="shared" si="6"/>
        <v>#REF!</v>
      </c>
      <c r="V24" s="151">
        <f t="shared" si="0"/>
        <v>0</v>
      </c>
    </row>
    <row r="25" spans="1:22" x14ac:dyDescent="0.2">
      <c r="A25" s="147">
        <v>2002</v>
      </c>
      <c r="B25" s="147">
        <v>12</v>
      </c>
      <c r="C25" s="362">
        <v>50281.696000000004</v>
      </c>
      <c r="D25" s="166">
        <v>4.457008293679027</v>
      </c>
      <c r="E25" s="166">
        <v>4.457008293679027</v>
      </c>
      <c r="F25" s="166">
        <f t="shared" si="1"/>
        <v>4.457008293679027</v>
      </c>
      <c r="G25" s="166">
        <v>32.049999999999997</v>
      </c>
      <c r="H25" s="148">
        <v>137.00631435</v>
      </c>
      <c r="I25" s="181">
        <f t="shared" si="2"/>
        <v>137.00631435</v>
      </c>
      <c r="J25" s="181">
        <f t="shared" si="3"/>
        <v>54.280309153488886</v>
      </c>
      <c r="K25" s="362">
        <v>25002</v>
      </c>
      <c r="L25" s="237">
        <v>25002</v>
      </c>
      <c r="M25" s="157">
        <v>5439.2694249999995</v>
      </c>
      <c r="N25" s="181">
        <f t="shared" si="4"/>
        <v>5439.2694249999995</v>
      </c>
      <c r="O25" s="242">
        <v>783.25</v>
      </c>
      <c r="P25" s="242">
        <v>0.4</v>
      </c>
      <c r="Q25" s="159">
        <v>4200</v>
      </c>
      <c r="R25" s="159">
        <v>1161</v>
      </c>
      <c r="S25" s="363">
        <f t="shared" si="5"/>
        <v>2011.1069514438848</v>
      </c>
      <c r="T25" s="271">
        <v>0.3961883757767759</v>
      </c>
      <c r="U25" s="147" t="e">
        <f t="shared" si="6"/>
        <v>#REF!</v>
      </c>
      <c r="V25" s="151">
        <f t="shared" si="0"/>
        <v>0</v>
      </c>
    </row>
    <row r="26" spans="1:22" x14ac:dyDescent="0.2">
      <c r="A26" s="147">
        <v>2003</v>
      </c>
      <c r="B26" s="147">
        <v>1</v>
      </c>
      <c r="C26" s="362">
        <v>59768.093999999997</v>
      </c>
      <c r="D26" s="166">
        <v>4.5960275764781944</v>
      </c>
      <c r="E26" s="166">
        <v>4.5960275764781944</v>
      </c>
      <c r="F26" s="166">
        <f t="shared" si="1"/>
        <v>4.5960275764781944</v>
      </c>
      <c r="G26" s="166">
        <v>33.33</v>
      </c>
      <c r="H26" s="148">
        <v>136.90320320000001</v>
      </c>
      <c r="I26" s="181">
        <f t="shared" si="2"/>
        <v>136.90320320000001</v>
      </c>
      <c r="J26" s="181">
        <f t="shared" si="3"/>
        <v>54.255659280763957</v>
      </c>
      <c r="K26" s="362">
        <v>25043</v>
      </c>
      <c r="L26" s="237">
        <v>25043</v>
      </c>
      <c r="M26" s="157">
        <v>5627.1096796000011</v>
      </c>
      <c r="N26" s="181">
        <f t="shared" si="4"/>
        <v>5627.1096796000011</v>
      </c>
      <c r="O26" s="242">
        <v>952.8</v>
      </c>
      <c r="P26" s="242">
        <v>0</v>
      </c>
      <c r="Q26" s="159">
        <v>4200</v>
      </c>
      <c r="R26" s="159">
        <v>1161</v>
      </c>
      <c r="S26" s="363">
        <f t="shared" si="5"/>
        <v>2386.6187757057855</v>
      </c>
      <c r="T26" s="271">
        <v>0.39630671899986597</v>
      </c>
      <c r="U26" s="147" t="e">
        <f t="shared" si="6"/>
        <v>#REF!</v>
      </c>
      <c r="V26" s="151">
        <f t="shared" si="0"/>
        <v>0</v>
      </c>
    </row>
    <row r="27" spans="1:22" x14ac:dyDescent="0.2">
      <c r="A27" s="147">
        <v>2003</v>
      </c>
      <c r="B27" s="147">
        <v>2</v>
      </c>
      <c r="C27" s="362">
        <v>61834.421000000002</v>
      </c>
      <c r="D27" s="166">
        <v>4.5960275764781944</v>
      </c>
      <c r="E27" s="166">
        <v>4.5960275764781944</v>
      </c>
      <c r="F27" s="166">
        <f t="shared" si="1"/>
        <v>4.5960275764781944</v>
      </c>
      <c r="G27" s="166">
        <v>31</v>
      </c>
      <c r="H27" s="148">
        <v>136.90320320000001</v>
      </c>
      <c r="I27" s="181">
        <f t="shared" si="2"/>
        <v>136.90320320000001</v>
      </c>
      <c r="J27" s="181">
        <f t="shared" si="3"/>
        <v>54.255659280763957</v>
      </c>
      <c r="K27" s="362">
        <v>24961</v>
      </c>
      <c r="L27" s="237">
        <v>24961</v>
      </c>
      <c r="M27" s="157">
        <v>5627.1096796000011</v>
      </c>
      <c r="N27" s="181">
        <f t="shared" si="4"/>
        <v>5627.1096796000011</v>
      </c>
      <c r="O27" s="242">
        <v>1011.95</v>
      </c>
      <c r="P27" s="242">
        <v>0</v>
      </c>
      <c r="Q27" s="159">
        <v>4200</v>
      </c>
      <c r="R27" s="159">
        <v>1161</v>
      </c>
      <c r="S27" s="363">
        <f t="shared" si="5"/>
        <v>2477.2413364849167</v>
      </c>
      <c r="T27" s="271">
        <v>0.39630671899986597</v>
      </c>
      <c r="U27" s="147" t="e">
        <f t="shared" si="6"/>
        <v>#REF!</v>
      </c>
      <c r="V27" s="151">
        <f t="shared" si="0"/>
        <v>0</v>
      </c>
    </row>
    <row r="28" spans="1:22" x14ac:dyDescent="0.2">
      <c r="A28" s="147">
        <v>2003</v>
      </c>
      <c r="B28" s="147">
        <v>3</v>
      </c>
      <c r="C28" s="362">
        <v>41063.025000000001</v>
      </c>
      <c r="D28" s="166">
        <v>4.5960275764781944</v>
      </c>
      <c r="E28" s="166">
        <v>4.5960275764781944</v>
      </c>
      <c r="F28" s="166">
        <f t="shared" si="1"/>
        <v>4.5960275764781944</v>
      </c>
      <c r="G28" s="166">
        <v>31.19</v>
      </c>
      <c r="H28" s="148">
        <v>136.90320320000001</v>
      </c>
      <c r="I28" s="181">
        <f t="shared" si="2"/>
        <v>136.90320320000001</v>
      </c>
      <c r="J28" s="181">
        <f t="shared" si="3"/>
        <v>54.255659280763957</v>
      </c>
      <c r="K28" s="362">
        <v>25008</v>
      </c>
      <c r="L28" s="237">
        <v>25008</v>
      </c>
      <c r="M28" s="157">
        <v>5627.1096796000011</v>
      </c>
      <c r="N28" s="181">
        <f t="shared" si="4"/>
        <v>5627.1096796000011</v>
      </c>
      <c r="O28" s="242">
        <v>582.70000000000005</v>
      </c>
      <c r="P28" s="242">
        <v>0</v>
      </c>
      <c r="Q28" s="159">
        <v>4200</v>
      </c>
      <c r="R28" s="159">
        <v>1161</v>
      </c>
      <c r="S28" s="363">
        <f t="shared" si="5"/>
        <v>1641.9955614203457</v>
      </c>
      <c r="T28" s="271">
        <v>0.39630671899986597</v>
      </c>
      <c r="U28" s="147" t="e">
        <f t="shared" si="6"/>
        <v>#REF!</v>
      </c>
      <c r="V28" s="151">
        <f t="shared" si="0"/>
        <v>0</v>
      </c>
    </row>
    <row r="29" spans="1:22" x14ac:dyDescent="0.2">
      <c r="A29" s="147">
        <v>2003</v>
      </c>
      <c r="B29" s="147">
        <v>4</v>
      </c>
      <c r="C29" s="362">
        <v>28504.602999999999</v>
      </c>
      <c r="D29" s="166">
        <v>4.5960275764781944</v>
      </c>
      <c r="E29" s="166">
        <v>4.5960275764781944</v>
      </c>
      <c r="F29" s="166">
        <f t="shared" si="1"/>
        <v>4.5960275764781944</v>
      </c>
      <c r="G29" s="166">
        <v>31</v>
      </c>
      <c r="H29" s="148">
        <v>136.90320320000001</v>
      </c>
      <c r="I29" s="181">
        <f t="shared" si="2"/>
        <v>136.90320320000001</v>
      </c>
      <c r="J29" s="181">
        <f t="shared" si="3"/>
        <v>54.271815178016361</v>
      </c>
      <c r="K29" s="362">
        <v>24883</v>
      </c>
      <c r="L29" s="237">
        <v>24883</v>
      </c>
      <c r="M29" s="157">
        <v>5627.1096796000011</v>
      </c>
      <c r="N29" s="181">
        <f t="shared" si="4"/>
        <v>5627.1096796000011</v>
      </c>
      <c r="O29" s="242">
        <v>343.25</v>
      </c>
      <c r="P29" s="242">
        <v>0.15</v>
      </c>
      <c r="Q29" s="159">
        <v>4200</v>
      </c>
      <c r="R29" s="159">
        <v>1161</v>
      </c>
      <c r="S29" s="363">
        <f t="shared" si="5"/>
        <v>1145.5452718723627</v>
      </c>
      <c r="T29" s="271">
        <v>0.39642472863641776</v>
      </c>
      <c r="U29" s="147" t="e">
        <f t="shared" si="6"/>
        <v>#REF!</v>
      </c>
      <c r="V29" s="151">
        <f t="shared" si="0"/>
        <v>0</v>
      </c>
    </row>
    <row r="30" spans="1:22" x14ac:dyDescent="0.2">
      <c r="A30" s="147">
        <v>2003</v>
      </c>
      <c r="B30" s="147">
        <v>5</v>
      </c>
      <c r="C30" s="362">
        <v>22632.107</v>
      </c>
      <c r="D30" s="166">
        <v>4.5960275764781944</v>
      </c>
      <c r="E30" s="166">
        <v>4.5960275764781944</v>
      </c>
      <c r="F30" s="166">
        <f t="shared" si="1"/>
        <v>4.5960275764781944</v>
      </c>
      <c r="G30" s="166">
        <v>31.48</v>
      </c>
      <c r="H30" s="148">
        <v>136.90320320000001</v>
      </c>
      <c r="I30" s="181">
        <f t="shared" si="2"/>
        <v>136.90320320000001</v>
      </c>
      <c r="J30" s="181">
        <f t="shared" si="3"/>
        <v>54.271815178016361</v>
      </c>
      <c r="K30" s="362">
        <v>24916</v>
      </c>
      <c r="L30" s="237">
        <v>24916</v>
      </c>
      <c r="M30" s="157">
        <v>5627.1096796000011</v>
      </c>
      <c r="N30" s="181">
        <f t="shared" si="4"/>
        <v>5627.1096796000011</v>
      </c>
      <c r="O30" s="242">
        <v>116.95</v>
      </c>
      <c r="P30" s="242">
        <v>25.3</v>
      </c>
      <c r="Q30" s="159">
        <v>4200</v>
      </c>
      <c r="R30" s="159">
        <v>1161</v>
      </c>
      <c r="S30" s="363">
        <f t="shared" si="5"/>
        <v>908.33628993417881</v>
      </c>
      <c r="T30" s="271">
        <v>0.39642472863641776</v>
      </c>
      <c r="U30" s="147" t="e">
        <f t="shared" si="6"/>
        <v>#REF!</v>
      </c>
      <c r="V30" s="151">
        <f t="shared" si="0"/>
        <v>0</v>
      </c>
    </row>
    <row r="31" spans="1:22" x14ac:dyDescent="0.2">
      <c r="A31" s="147">
        <v>2003</v>
      </c>
      <c r="B31" s="147">
        <v>6</v>
      </c>
      <c r="C31" s="362">
        <v>21082.337</v>
      </c>
      <c r="D31" s="166">
        <v>4.5960275764781944</v>
      </c>
      <c r="E31" s="166">
        <v>4.5960275764781944</v>
      </c>
      <c r="F31" s="166">
        <f t="shared" si="1"/>
        <v>4.5960275764781944</v>
      </c>
      <c r="G31" s="166">
        <v>31.52</v>
      </c>
      <c r="H31" s="148">
        <v>136.90320320000001</v>
      </c>
      <c r="I31" s="181">
        <f t="shared" si="2"/>
        <v>136.90320320000001</v>
      </c>
      <c r="J31" s="181">
        <f t="shared" si="3"/>
        <v>54.271815178016361</v>
      </c>
      <c r="K31" s="362">
        <v>24844</v>
      </c>
      <c r="L31" s="237">
        <v>24844</v>
      </c>
      <c r="M31" s="157">
        <v>5627.1096796000011</v>
      </c>
      <c r="N31" s="181">
        <f t="shared" si="4"/>
        <v>5627.1096796000011</v>
      </c>
      <c r="O31" s="242">
        <v>47.1</v>
      </c>
      <c r="P31" s="242">
        <v>76.3</v>
      </c>
      <c r="Q31" s="159">
        <v>4200</v>
      </c>
      <c r="R31" s="159">
        <v>1161</v>
      </c>
      <c r="S31" s="363">
        <f t="shared" si="5"/>
        <v>848.58867332152636</v>
      </c>
      <c r="T31" s="271">
        <v>0.39642472863641776</v>
      </c>
      <c r="U31" s="147" t="e">
        <f t="shared" si="6"/>
        <v>#REF!</v>
      </c>
      <c r="V31" s="151">
        <f t="shared" si="0"/>
        <v>0</v>
      </c>
    </row>
    <row r="32" spans="1:22" x14ac:dyDescent="0.2">
      <c r="A32" s="147">
        <v>2003</v>
      </c>
      <c r="B32" s="147">
        <v>7</v>
      </c>
      <c r="C32" s="362">
        <v>24175.991999999998</v>
      </c>
      <c r="D32" s="166">
        <v>4.5960275764781944</v>
      </c>
      <c r="E32" s="166">
        <v>4.5960275764781944</v>
      </c>
      <c r="F32" s="166">
        <f t="shared" si="1"/>
        <v>4.5960275764781944</v>
      </c>
      <c r="G32" s="166">
        <v>31.67</v>
      </c>
      <c r="H32" s="148">
        <v>136.90320320000001</v>
      </c>
      <c r="I32" s="181">
        <f t="shared" si="2"/>
        <v>136.90320320000001</v>
      </c>
      <c r="J32" s="181">
        <f t="shared" si="3"/>
        <v>54.283273347663453</v>
      </c>
      <c r="K32" s="362">
        <v>24919</v>
      </c>
      <c r="L32" s="237">
        <v>24919</v>
      </c>
      <c r="M32" s="157">
        <v>5627.1096796000011</v>
      </c>
      <c r="N32" s="181">
        <f t="shared" si="4"/>
        <v>5627.1096796000011</v>
      </c>
      <c r="O32" s="242">
        <v>2.95</v>
      </c>
      <c r="P32" s="242">
        <v>226.05</v>
      </c>
      <c r="Q32" s="159">
        <v>4200</v>
      </c>
      <c r="R32" s="159">
        <v>1161</v>
      </c>
      <c r="S32" s="363">
        <f t="shared" si="5"/>
        <v>970.18307315702873</v>
      </c>
      <c r="T32" s="271">
        <v>0.39650842404586961</v>
      </c>
      <c r="U32" s="147" t="e">
        <f t="shared" si="6"/>
        <v>#REF!</v>
      </c>
      <c r="V32" s="151">
        <f t="shared" si="0"/>
        <v>0</v>
      </c>
    </row>
    <row r="33" spans="1:20" x14ac:dyDescent="0.2">
      <c r="A33" s="147">
        <v>2003</v>
      </c>
      <c r="B33" s="147">
        <v>8</v>
      </c>
      <c r="C33" s="362">
        <v>24922.491000000002</v>
      </c>
      <c r="D33" s="166">
        <v>4.5960275764781944</v>
      </c>
      <c r="E33" s="166">
        <v>4.5960275764781944</v>
      </c>
      <c r="F33" s="166">
        <f t="shared" si="1"/>
        <v>4.5960275764781944</v>
      </c>
      <c r="G33" s="166">
        <v>30.48</v>
      </c>
      <c r="H33" s="148">
        <v>136.90320320000001</v>
      </c>
      <c r="I33" s="181">
        <f t="shared" si="2"/>
        <v>136.90320320000001</v>
      </c>
      <c r="J33" s="181">
        <f t="shared" si="3"/>
        <v>54.283273347663453</v>
      </c>
      <c r="K33" s="362">
        <v>24885</v>
      </c>
      <c r="L33" s="237">
        <v>24885</v>
      </c>
      <c r="M33" s="157">
        <v>5627.1096796000011</v>
      </c>
      <c r="N33" s="181">
        <f t="shared" si="4"/>
        <v>5627.1096796000011</v>
      </c>
      <c r="O33" s="242">
        <v>0</v>
      </c>
      <c r="P33" s="242">
        <v>267.85000000000002</v>
      </c>
      <c r="Q33" s="159">
        <v>4200</v>
      </c>
      <c r="R33" s="159">
        <v>1161</v>
      </c>
      <c r="S33" s="363">
        <f t="shared" si="5"/>
        <v>1001.506570223026</v>
      </c>
      <c r="T33" s="271">
        <v>0.39650842404586961</v>
      </c>
    </row>
    <row r="34" spans="1:20" x14ac:dyDescent="0.2">
      <c r="A34" s="147">
        <v>2003</v>
      </c>
      <c r="B34" s="147">
        <v>9</v>
      </c>
      <c r="C34" s="362">
        <v>24919.145</v>
      </c>
      <c r="D34" s="166">
        <v>4.5960275764781944</v>
      </c>
      <c r="E34" s="166">
        <v>4.5960275764781944</v>
      </c>
      <c r="F34" s="166">
        <f t="shared" si="1"/>
        <v>4.5960275764781944</v>
      </c>
      <c r="G34" s="166">
        <v>31.86</v>
      </c>
      <c r="H34" s="148">
        <v>136.90320320000001</v>
      </c>
      <c r="I34" s="181">
        <f t="shared" si="2"/>
        <v>136.90320320000001</v>
      </c>
      <c r="J34" s="181">
        <f t="shared" si="3"/>
        <v>54.283273347663453</v>
      </c>
      <c r="K34" s="362">
        <v>24948</v>
      </c>
      <c r="L34" s="237">
        <v>24948</v>
      </c>
      <c r="M34" s="157">
        <v>5627.1096796000011</v>
      </c>
      <c r="N34" s="181">
        <f t="shared" si="4"/>
        <v>5627.1096796000011</v>
      </c>
      <c r="O34" s="242">
        <v>5.7</v>
      </c>
      <c r="P34" s="242">
        <v>233.2</v>
      </c>
      <c r="Q34" s="159">
        <v>4200</v>
      </c>
      <c r="R34" s="159">
        <v>1161</v>
      </c>
      <c r="S34" s="363">
        <f t="shared" si="5"/>
        <v>998.84339426006102</v>
      </c>
      <c r="T34" s="271">
        <v>0.39650842404586961</v>
      </c>
    </row>
    <row r="35" spans="1:20" x14ac:dyDescent="0.2">
      <c r="A35" s="147">
        <v>2003</v>
      </c>
      <c r="B35" s="147">
        <v>10</v>
      </c>
      <c r="C35" s="362">
        <v>23270.409</v>
      </c>
      <c r="D35" s="166">
        <v>4.5960275764781944</v>
      </c>
      <c r="E35" s="166">
        <v>4.5960275764781944</v>
      </c>
      <c r="F35" s="166">
        <f t="shared" si="1"/>
        <v>4.5960275764781944</v>
      </c>
      <c r="G35" s="166">
        <v>30.38</v>
      </c>
      <c r="H35" s="148">
        <v>136.90320320000001</v>
      </c>
      <c r="I35" s="181">
        <f t="shared" si="2"/>
        <v>136.90320320000001</v>
      </c>
      <c r="J35" s="181">
        <f t="shared" si="3"/>
        <v>54.294699486399168</v>
      </c>
      <c r="K35" s="362">
        <v>24894</v>
      </c>
      <c r="L35" s="237">
        <v>24894</v>
      </c>
      <c r="M35" s="157">
        <v>5627.1096796000011</v>
      </c>
      <c r="N35" s="181">
        <f t="shared" si="4"/>
        <v>5627.1096796000011</v>
      </c>
      <c r="O35" s="242">
        <v>165.15</v>
      </c>
      <c r="P35" s="242">
        <v>29.65</v>
      </c>
      <c r="Q35" s="159">
        <v>4200</v>
      </c>
      <c r="R35" s="159">
        <v>1161</v>
      </c>
      <c r="S35" s="363">
        <f t="shared" si="5"/>
        <v>934.77982646420821</v>
      </c>
      <c r="T35" s="271">
        <v>0.39659188548773971</v>
      </c>
    </row>
    <row r="36" spans="1:20" x14ac:dyDescent="0.2">
      <c r="A36" s="147">
        <v>2003</v>
      </c>
      <c r="B36" s="147">
        <v>11</v>
      </c>
      <c r="C36" s="362">
        <v>27704.371999999999</v>
      </c>
      <c r="D36" s="166">
        <v>4.5960275764781944</v>
      </c>
      <c r="E36" s="166">
        <v>4.5960275764781944</v>
      </c>
      <c r="F36" s="166">
        <f t="shared" si="1"/>
        <v>4.5960275764781944</v>
      </c>
      <c r="G36" s="166">
        <v>30.62</v>
      </c>
      <c r="H36" s="148">
        <v>136.90320320000001</v>
      </c>
      <c r="I36" s="181">
        <f t="shared" si="2"/>
        <v>136.90320320000001</v>
      </c>
      <c r="J36" s="181">
        <f t="shared" si="3"/>
        <v>54.294699486399168</v>
      </c>
      <c r="K36" s="362">
        <v>24934</v>
      </c>
      <c r="L36" s="237">
        <v>24934</v>
      </c>
      <c r="M36" s="157">
        <v>5627.1096796000011</v>
      </c>
      <c r="N36" s="181">
        <f t="shared" si="4"/>
        <v>5627.1096796000011</v>
      </c>
      <c r="O36" s="242">
        <v>292.64999999999998</v>
      </c>
      <c r="P36" s="242">
        <v>5.7</v>
      </c>
      <c r="Q36" s="159">
        <v>4200</v>
      </c>
      <c r="R36" s="159">
        <v>1161</v>
      </c>
      <c r="S36" s="363">
        <f t="shared" si="5"/>
        <v>1111.1082056629502</v>
      </c>
      <c r="T36" s="271">
        <v>0.39659188548773971</v>
      </c>
    </row>
    <row r="37" spans="1:20" x14ac:dyDescent="0.2">
      <c r="A37" s="147">
        <v>2003</v>
      </c>
      <c r="B37" s="147">
        <v>12</v>
      </c>
      <c r="C37" s="362">
        <v>47374.228999999999</v>
      </c>
      <c r="D37" s="166">
        <v>4.5960275764781944</v>
      </c>
      <c r="E37" s="166">
        <v>4.5960275764781944</v>
      </c>
      <c r="F37" s="166">
        <f t="shared" si="1"/>
        <v>4.5960275764781944</v>
      </c>
      <c r="G37" s="166">
        <v>32.81</v>
      </c>
      <c r="H37" s="148">
        <v>136.90320320000001</v>
      </c>
      <c r="I37" s="181">
        <f t="shared" si="2"/>
        <v>136.90320320000001</v>
      </c>
      <c r="J37" s="181">
        <f t="shared" si="3"/>
        <v>54.294699486399168</v>
      </c>
      <c r="K37" s="362">
        <v>24992</v>
      </c>
      <c r="L37" s="237">
        <v>24992</v>
      </c>
      <c r="M37" s="157">
        <v>5627.1096796000011</v>
      </c>
      <c r="N37" s="181">
        <f t="shared" si="4"/>
        <v>5627.1096796000011</v>
      </c>
      <c r="O37" s="242">
        <v>700.8</v>
      </c>
      <c r="P37" s="242">
        <v>0.8</v>
      </c>
      <c r="Q37" s="159">
        <v>4200</v>
      </c>
      <c r="R37" s="159">
        <v>1161</v>
      </c>
      <c r="S37" s="363">
        <f t="shared" si="5"/>
        <v>1895.5757442381562</v>
      </c>
      <c r="T37" s="271">
        <v>0.39659188548773971</v>
      </c>
    </row>
    <row r="38" spans="1:20" x14ac:dyDescent="0.2">
      <c r="A38" s="147">
        <v>2004</v>
      </c>
      <c r="B38" s="147">
        <v>1</v>
      </c>
      <c r="C38" s="362">
        <v>60639.044000000002</v>
      </c>
      <c r="D38" s="166">
        <v>5</v>
      </c>
      <c r="E38" s="166">
        <v>5</v>
      </c>
      <c r="F38" s="166">
        <f t="shared" si="1"/>
        <v>5</v>
      </c>
      <c r="G38" s="166">
        <v>32.450000000000003</v>
      </c>
      <c r="H38" s="148">
        <v>136.53560364000001</v>
      </c>
      <c r="I38" s="181">
        <f t="shared" si="2"/>
        <v>136.53560364000001</v>
      </c>
      <c r="J38" s="181">
        <f t="shared" si="3"/>
        <v>54.160328957176063</v>
      </c>
      <c r="K38" s="362">
        <v>25168</v>
      </c>
      <c r="L38" s="237">
        <v>25168</v>
      </c>
      <c r="M38" s="157">
        <v>6068.6703159999997</v>
      </c>
      <c r="N38" s="181">
        <f t="shared" si="4"/>
        <v>6068.6703159999997</v>
      </c>
      <c r="O38" s="242">
        <v>969.7</v>
      </c>
      <c r="P38" s="242">
        <v>0</v>
      </c>
      <c r="Q38" s="159">
        <v>4200</v>
      </c>
      <c r="R38" s="159">
        <v>1161</v>
      </c>
      <c r="S38" s="363">
        <f t="shared" si="5"/>
        <v>2409.3707883026068</v>
      </c>
      <c r="T38" s="271">
        <v>0.39667550084576653</v>
      </c>
    </row>
    <row r="39" spans="1:20" x14ac:dyDescent="0.2">
      <c r="A39" s="147">
        <v>2004</v>
      </c>
      <c r="B39" s="147">
        <v>2</v>
      </c>
      <c r="C39" s="362">
        <v>56523.472000000002</v>
      </c>
      <c r="D39" s="166">
        <v>5</v>
      </c>
      <c r="E39" s="166">
        <v>5</v>
      </c>
      <c r="F39" s="166">
        <f t="shared" si="1"/>
        <v>5</v>
      </c>
      <c r="G39" s="166">
        <v>30.15</v>
      </c>
      <c r="H39" s="148">
        <v>136.53560364000001</v>
      </c>
      <c r="I39" s="181">
        <f t="shared" si="2"/>
        <v>136.53560364000001</v>
      </c>
      <c r="J39" s="181">
        <f t="shared" si="3"/>
        <v>54.160328957176063</v>
      </c>
      <c r="K39" s="362">
        <v>25037</v>
      </c>
      <c r="L39" s="237">
        <v>25037</v>
      </c>
      <c r="M39" s="157">
        <v>6068.6703159999997</v>
      </c>
      <c r="N39" s="181">
        <f t="shared" si="4"/>
        <v>6068.6703159999997</v>
      </c>
      <c r="O39" s="242">
        <v>896.85</v>
      </c>
      <c r="P39" s="242">
        <v>0</v>
      </c>
      <c r="Q39" s="159">
        <v>4200</v>
      </c>
      <c r="R39" s="159">
        <v>1161</v>
      </c>
      <c r="S39" s="363">
        <f t="shared" si="5"/>
        <v>2257.5976354994605</v>
      </c>
      <c r="T39" s="271">
        <v>0.39667550084576653</v>
      </c>
    </row>
    <row r="40" spans="1:20" x14ac:dyDescent="0.2">
      <c r="A40" s="147">
        <v>2004</v>
      </c>
      <c r="B40" s="147">
        <v>3</v>
      </c>
      <c r="C40" s="362">
        <v>41579.546000000002</v>
      </c>
      <c r="D40" s="166">
        <v>5</v>
      </c>
      <c r="E40" s="166">
        <v>5</v>
      </c>
      <c r="F40" s="166">
        <f t="shared" si="1"/>
        <v>5</v>
      </c>
      <c r="G40" s="166">
        <v>30.05</v>
      </c>
      <c r="H40" s="148">
        <v>136.53560364000001</v>
      </c>
      <c r="I40" s="181">
        <f t="shared" si="2"/>
        <v>136.53560364000001</v>
      </c>
      <c r="J40" s="181">
        <f t="shared" si="3"/>
        <v>54.160328957176063</v>
      </c>
      <c r="K40" s="362">
        <v>25110</v>
      </c>
      <c r="L40" s="237">
        <v>25110</v>
      </c>
      <c r="M40" s="157">
        <v>6068.6703159999997</v>
      </c>
      <c r="N40" s="181">
        <f t="shared" si="4"/>
        <v>6068.6703159999997</v>
      </c>
      <c r="O40" s="242">
        <v>597.20000000000005</v>
      </c>
      <c r="P40" s="242">
        <v>0</v>
      </c>
      <c r="Q40" s="159">
        <v>4200</v>
      </c>
      <c r="R40" s="159">
        <v>1161</v>
      </c>
      <c r="S40" s="363">
        <f t="shared" si="5"/>
        <v>1655.8958980485863</v>
      </c>
      <c r="T40" s="271">
        <v>0.39667550084576653</v>
      </c>
    </row>
    <row r="41" spans="1:20" x14ac:dyDescent="0.2">
      <c r="A41" s="147">
        <v>2004</v>
      </c>
      <c r="B41" s="147">
        <v>4</v>
      </c>
      <c r="C41" s="362">
        <v>34693.141000000003</v>
      </c>
      <c r="D41" s="166">
        <v>5</v>
      </c>
      <c r="E41" s="166">
        <v>5</v>
      </c>
      <c r="F41" s="166">
        <f t="shared" si="1"/>
        <v>5</v>
      </c>
      <c r="G41" s="166">
        <v>30.45</v>
      </c>
      <c r="H41" s="148">
        <v>136.53560364000001</v>
      </c>
      <c r="I41" s="181">
        <f t="shared" si="2"/>
        <v>136.53560364000001</v>
      </c>
      <c r="J41" s="181">
        <f t="shared" si="3"/>
        <v>54.171700365960042</v>
      </c>
      <c r="K41" s="362">
        <v>25001</v>
      </c>
      <c r="L41" s="237">
        <v>25001</v>
      </c>
      <c r="M41" s="157">
        <v>6068.6703159999997</v>
      </c>
      <c r="N41" s="181">
        <f t="shared" si="4"/>
        <v>6068.6703159999997</v>
      </c>
      <c r="O41" s="242">
        <v>426.05</v>
      </c>
      <c r="P41" s="242">
        <v>3.25</v>
      </c>
      <c r="Q41" s="159">
        <v>4200</v>
      </c>
      <c r="R41" s="159">
        <v>1161</v>
      </c>
      <c r="S41" s="363">
        <f t="shared" si="5"/>
        <v>1387.6701331946724</v>
      </c>
      <c r="T41" s="271">
        <v>0.39675878614630955</v>
      </c>
    </row>
    <row r="42" spans="1:20" x14ac:dyDescent="0.2">
      <c r="A42" s="147">
        <v>2004</v>
      </c>
      <c r="B42" s="147">
        <v>5</v>
      </c>
      <c r="C42" s="362">
        <v>23519.764999999999</v>
      </c>
      <c r="D42" s="166">
        <v>5</v>
      </c>
      <c r="E42" s="166">
        <v>5</v>
      </c>
      <c r="F42" s="166">
        <f t="shared" si="1"/>
        <v>5</v>
      </c>
      <c r="G42" s="166">
        <v>29.8</v>
      </c>
      <c r="H42" s="148">
        <v>136.53560364000001</v>
      </c>
      <c r="I42" s="181">
        <f t="shared" si="2"/>
        <v>136.53560364000001</v>
      </c>
      <c r="J42" s="181">
        <f t="shared" si="3"/>
        <v>54.171700365960042</v>
      </c>
      <c r="K42" s="362">
        <v>24906</v>
      </c>
      <c r="L42" s="237">
        <v>24906</v>
      </c>
      <c r="M42" s="157">
        <v>6068.6703159999997</v>
      </c>
      <c r="N42" s="181">
        <f t="shared" si="4"/>
        <v>6068.6703159999997</v>
      </c>
      <c r="O42" s="242">
        <v>141.65</v>
      </c>
      <c r="P42" s="242">
        <v>64.3</v>
      </c>
      <c r="Q42" s="159">
        <v>4200</v>
      </c>
      <c r="R42" s="159">
        <v>1161</v>
      </c>
      <c r="S42" s="363">
        <f t="shared" si="5"/>
        <v>944.34132337589335</v>
      </c>
      <c r="T42" s="271">
        <v>0.39675878614630955</v>
      </c>
    </row>
    <row r="43" spans="1:20" x14ac:dyDescent="0.2">
      <c r="A43" s="147">
        <v>2004</v>
      </c>
      <c r="B43" s="147">
        <v>6</v>
      </c>
      <c r="C43" s="362">
        <v>22841.428</v>
      </c>
      <c r="D43" s="166">
        <v>5</v>
      </c>
      <c r="E43" s="166">
        <v>5</v>
      </c>
      <c r="F43" s="166">
        <f t="shared" si="1"/>
        <v>5</v>
      </c>
      <c r="G43" s="166">
        <v>30.75</v>
      </c>
      <c r="H43" s="148">
        <v>136.53560364000001</v>
      </c>
      <c r="I43" s="181">
        <f t="shared" si="2"/>
        <v>136.53560364000001</v>
      </c>
      <c r="J43" s="181">
        <f t="shared" si="3"/>
        <v>54.171700365960042</v>
      </c>
      <c r="K43" s="362">
        <v>24942</v>
      </c>
      <c r="L43" s="237">
        <v>24942</v>
      </c>
      <c r="M43" s="157">
        <v>6068.6703159999997</v>
      </c>
      <c r="N43" s="181">
        <f t="shared" si="4"/>
        <v>6068.6703159999997</v>
      </c>
      <c r="O43" s="242">
        <v>1.25</v>
      </c>
      <c r="P43" s="242">
        <v>182.1</v>
      </c>
      <c r="Q43" s="159">
        <v>4200</v>
      </c>
      <c r="R43" s="159">
        <v>1161</v>
      </c>
      <c r="S43" s="363">
        <f t="shared" si="5"/>
        <v>915.781733622003</v>
      </c>
      <c r="T43" s="271">
        <v>0.39675878614630955</v>
      </c>
    </row>
    <row r="44" spans="1:20" x14ac:dyDescent="0.2">
      <c r="A44" s="147">
        <v>2004</v>
      </c>
      <c r="B44" s="147">
        <v>7</v>
      </c>
      <c r="C44" s="362">
        <v>25596.091</v>
      </c>
      <c r="D44" s="166">
        <v>5</v>
      </c>
      <c r="E44" s="166">
        <v>5</v>
      </c>
      <c r="F44" s="166">
        <f t="shared" si="1"/>
        <v>5</v>
      </c>
      <c r="G44" s="166">
        <v>30.65</v>
      </c>
      <c r="H44" s="148">
        <v>136.53560364000001</v>
      </c>
      <c r="I44" s="181">
        <f t="shared" si="2"/>
        <v>136.53560364000001</v>
      </c>
      <c r="J44" s="181">
        <f t="shared" si="3"/>
        <v>54.158806347652991</v>
      </c>
      <c r="K44" s="362">
        <v>24933</v>
      </c>
      <c r="L44" s="237">
        <v>24933</v>
      </c>
      <c r="M44" s="157">
        <v>6068.6703159999997</v>
      </c>
      <c r="N44" s="181">
        <f t="shared" si="4"/>
        <v>6068.6703159999997</v>
      </c>
      <c r="O44" s="242">
        <v>0</v>
      </c>
      <c r="P44" s="242">
        <v>263.10000000000002</v>
      </c>
      <c r="Q44" s="159">
        <v>4200</v>
      </c>
      <c r="R44" s="159">
        <v>1161</v>
      </c>
      <c r="S44" s="363">
        <f t="shared" si="5"/>
        <v>1026.5949143705132</v>
      </c>
      <c r="T44" s="271">
        <v>0.39666434910598231</v>
      </c>
    </row>
    <row r="45" spans="1:20" x14ac:dyDescent="0.2">
      <c r="A45" s="147">
        <v>2004</v>
      </c>
      <c r="B45" s="147">
        <v>8</v>
      </c>
      <c r="C45" s="362">
        <v>24540.684000000001</v>
      </c>
      <c r="D45" s="166">
        <v>5</v>
      </c>
      <c r="E45" s="166">
        <v>5</v>
      </c>
      <c r="F45" s="166">
        <f t="shared" si="1"/>
        <v>5</v>
      </c>
      <c r="G45" s="166">
        <v>29.55</v>
      </c>
      <c r="H45" s="148">
        <v>136.53560364000001</v>
      </c>
      <c r="I45" s="181">
        <f t="shared" si="2"/>
        <v>136.53560364000001</v>
      </c>
      <c r="J45" s="181">
        <f t="shared" si="3"/>
        <v>54.158806347652991</v>
      </c>
      <c r="K45" s="362">
        <v>24968</v>
      </c>
      <c r="L45" s="237">
        <v>24968</v>
      </c>
      <c r="M45" s="157">
        <v>6068.6703159999997</v>
      </c>
      <c r="N45" s="181">
        <f t="shared" si="4"/>
        <v>6068.6703159999997</v>
      </c>
      <c r="O45" s="242">
        <v>4.6500000000000004</v>
      </c>
      <c r="P45" s="242">
        <v>225.2</v>
      </c>
      <c r="Q45" s="159">
        <v>4200</v>
      </c>
      <c r="R45" s="159">
        <v>1161</v>
      </c>
      <c r="S45" s="363">
        <f t="shared" si="5"/>
        <v>982.88545338032679</v>
      </c>
      <c r="T45" s="271">
        <v>0.39666434910598231</v>
      </c>
    </row>
    <row r="46" spans="1:20" x14ac:dyDescent="0.2">
      <c r="A46" s="147">
        <v>2004</v>
      </c>
      <c r="B46" s="147">
        <v>9</v>
      </c>
      <c r="C46" s="362">
        <v>23452.226999999999</v>
      </c>
      <c r="D46" s="166">
        <v>5</v>
      </c>
      <c r="E46" s="166">
        <v>5</v>
      </c>
      <c r="F46" s="166">
        <f t="shared" si="1"/>
        <v>5</v>
      </c>
      <c r="G46" s="166">
        <v>30.55</v>
      </c>
      <c r="H46" s="148">
        <v>136.53560364000001</v>
      </c>
      <c r="I46" s="181">
        <f t="shared" si="2"/>
        <v>136.53560364000001</v>
      </c>
      <c r="J46" s="181">
        <f t="shared" si="3"/>
        <v>54.158806347652991</v>
      </c>
      <c r="K46" s="362">
        <v>25014</v>
      </c>
      <c r="L46" s="237">
        <v>25014</v>
      </c>
      <c r="M46" s="157">
        <v>6068.6703159999997</v>
      </c>
      <c r="N46" s="181">
        <f t="shared" si="4"/>
        <v>6068.6703159999997</v>
      </c>
      <c r="O46" s="242">
        <v>7.1</v>
      </c>
      <c r="P46" s="242">
        <v>183.7</v>
      </c>
      <c r="Q46" s="159">
        <v>4200</v>
      </c>
      <c r="R46" s="159">
        <v>1161</v>
      </c>
      <c r="S46" s="363">
        <f t="shared" si="5"/>
        <v>937.56404413528412</v>
      </c>
      <c r="T46" s="271">
        <v>0.39666434910598231</v>
      </c>
    </row>
    <row r="47" spans="1:20" x14ac:dyDescent="0.2">
      <c r="A47" s="147">
        <v>2004</v>
      </c>
      <c r="B47" s="147">
        <v>10</v>
      </c>
      <c r="C47" s="362">
        <v>21765.412</v>
      </c>
      <c r="D47" s="166">
        <v>5</v>
      </c>
      <c r="E47" s="166">
        <v>5</v>
      </c>
      <c r="F47" s="166">
        <f t="shared" si="1"/>
        <v>5</v>
      </c>
      <c r="G47" s="166">
        <v>29.65</v>
      </c>
      <c r="H47" s="148">
        <v>136.53560364000001</v>
      </c>
      <c r="I47" s="181">
        <f t="shared" si="2"/>
        <v>136.53560364000001</v>
      </c>
      <c r="J47" s="181">
        <f t="shared" si="3"/>
        <v>54.145872756728998</v>
      </c>
      <c r="K47" s="362">
        <v>25002</v>
      </c>
      <c r="L47" s="237">
        <v>25002</v>
      </c>
      <c r="M47" s="157">
        <v>6068.6703159999997</v>
      </c>
      <c r="N47" s="181">
        <f t="shared" si="4"/>
        <v>6068.6703159999997</v>
      </c>
      <c r="O47" s="242">
        <v>77.599999999999994</v>
      </c>
      <c r="P47" s="242">
        <v>46.4</v>
      </c>
      <c r="Q47" s="159">
        <v>4200</v>
      </c>
      <c r="R47" s="159">
        <v>1161</v>
      </c>
      <c r="S47" s="363">
        <f t="shared" si="5"/>
        <v>870.54683625309985</v>
      </c>
      <c r="T47" s="271">
        <v>0.39656962223197151</v>
      </c>
    </row>
    <row r="48" spans="1:20" x14ac:dyDescent="0.2">
      <c r="A48" s="147">
        <v>2004</v>
      </c>
      <c r="B48" s="147">
        <v>11</v>
      </c>
      <c r="C48" s="362">
        <v>26064.519</v>
      </c>
      <c r="D48" s="166">
        <v>5</v>
      </c>
      <c r="E48" s="166">
        <v>5</v>
      </c>
      <c r="F48" s="166">
        <f t="shared" si="1"/>
        <v>5</v>
      </c>
      <c r="G48" s="166">
        <v>29.8</v>
      </c>
      <c r="H48" s="148">
        <v>136.53560364000001</v>
      </c>
      <c r="I48" s="181">
        <f t="shared" si="2"/>
        <v>136.53560364000001</v>
      </c>
      <c r="J48" s="181">
        <f t="shared" si="3"/>
        <v>54.145872756728998</v>
      </c>
      <c r="K48" s="362">
        <v>24958</v>
      </c>
      <c r="L48" s="237">
        <v>24958</v>
      </c>
      <c r="M48" s="157">
        <v>6068.6703159999997</v>
      </c>
      <c r="N48" s="181">
        <f t="shared" si="4"/>
        <v>6068.6703159999997</v>
      </c>
      <c r="O48" s="242">
        <v>224.2</v>
      </c>
      <c r="P48" s="242">
        <v>7.6</v>
      </c>
      <c r="Q48" s="159">
        <v>4200</v>
      </c>
      <c r="R48" s="159">
        <v>1161</v>
      </c>
      <c r="S48" s="363">
        <f t="shared" si="5"/>
        <v>1044.3352432085903</v>
      </c>
      <c r="T48" s="271">
        <v>0.39656962223197151</v>
      </c>
    </row>
    <row r="49" spans="1:20" x14ac:dyDescent="0.2">
      <c r="A49" s="147">
        <v>2004</v>
      </c>
      <c r="B49" s="147">
        <v>12</v>
      </c>
      <c r="C49" s="362">
        <v>44060.067999999999</v>
      </c>
      <c r="D49" s="166">
        <v>5</v>
      </c>
      <c r="E49" s="166">
        <v>5</v>
      </c>
      <c r="F49" s="166">
        <f t="shared" si="1"/>
        <v>5</v>
      </c>
      <c r="G49" s="166">
        <v>31.5</v>
      </c>
      <c r="H49" s="148">
        <v>136.53560364000001</v>
      </c>
      <c r="I49" s="181">
        <f t="shared" si="2"/>
        <v>136.53560364000001</v>
      </c>
      <c r="J49" s="181">
        <f t="shared" si="3"/>
        <v>54.145872756728998</v>
      </c>
      <c r="K49" s="362">
        <v>25046</v>
      </c>
      <c r="L49" s="237">
        <v>25046</v>
      </c>
      <c r="M49" s="157">
        <v>6068.6703159999997</v>
      </c>
      <c r="N49" s="181">
        <f t="shared" si="4"/>
        <v>6068.6703159999997</v>
      </c>
      <c r="O49" s="242">
        <v>632.54999999999995</v>
      </c>
      <c r="P49" s="242">
        <v>0.35</v>
      </c>
      <c r="Q49" s="159">
        <v>4200</v>
      </c>
      <c r="R49" s="159">
        <v>1161</v>
      </c>
      <c r="S49" s="363">
        <f t="shared" si="5"/>
        <v>1759.165854827118</v>
      </c>
      <c r="T49" s="271">
        <v>0.39656962223197151</v>
      </c>
    </row>
    <row r="50" spans="1:20" x14ac:dyDescent="0.2">
      <c r="A50" s="147">
        <v>2005</v>
      </c>
      <c r="B50" s="147">
        <v>1</v>
      </c>
      <c r="C50" s="362">
        <v>54896.163999999997</v>
      </c>
      <c r="D50" s="166">
        <v>5.1824420638157411</v>
      </c>
      <c r="E50" s="166">
        <v>5.1824420638157411</v>
      </c>
      <c r="F50" s="166">
        <f t="shared" si="1"/>
        <v>5.1824420638157411</v>
      </c>
      <c r="G50" s="166">
        <v>32.5</v>
      </c>
      <c r="H50" s="148">
        <v>136.4876984</v>
      </c>
      <c r="I50" s="181">
        <f t="shared" si="2"/>
        <v>136.4876984</v>
      </c>
      <c r="J50" s="181">
        <f t="shared" si="3"/>
        <v>54.11395926821222</v>
      </c>
      <c r="K50" s="362">
        <v>25114</v>
      </c>
      <c r="L50" s="237">
        <v>25114</v>
      </c>
      <c r="M50" s="157">
        <v>6844.5776646000004</v>
      </c>
      <c r="N50" s="181">
        <f t="shared" si="4"/>
        <v>6844.5776646000004</v>
      </c>
      <c r="O50" s="242">
        <v>851.95</v>
      </c>
      <c r="P50" s="242">
        <v>0</v>
      </c>
      <c r="Q50" s="159">
        <v>4200</v>
      </c>
      <c r="R50" s="159">
        <v>1161</v>
      </c>
      <c r="S50" s="363">
        <f t="shared" si="5"/>
        <v>2185.8789519789757</v>
      </c>
      <c r="T50" s="271">
        <v>0.39647499300356154</v>
      </c>
    </row>
    <row r="51" spans="1:20" x14ac:dyDescent="0.2">
      <c r="A51" s="147">
        <v>2005</v>
      </c>
      <c r="B51" s="147">
        <v>2</v>
      </c>
      <c r="C51" s="362">
        <v>52090.754000000001</v>
      </c>
      <c r="D51" s="166">
        <v>5.1824420638157411</v>
      </c>
      <c r="E51" s="166">
        <v>5.1824420638157411</v>
      </c>
      <c r="F51" s="166">
        <f t="shared" si="1"/>
        <v>5.1824420638157411</v>
      </c>
      <c r="G51" s="166">
        <v>29.4</v>
      </c>
      <c r="H51" s="148">
        <v>136.4876984</v>
      </c>
      <c r="I51" s="181">
        <f t="shared" si="2"/>
        <v>136.4876984</v>
      </c>
      <c r="J51" s="181">
        <f t="shared" si="3"/>
        <v>54.11395926821222</v>
      </c>
      <c r="K51" s="362">
        <v>25024</v>
      </c>
      <c r="L51" s="237">
        <v>25024</v>
      </c>
      <c r="M51" s="157">
        <v>6844.5776646000004</v>
      </c>
      <c r="N51" s="181">
        <f t="shared" si="4"/>
        <v>6844.5776646000004</v>
      </c>
      <c r="O51" s="242">
        <v>795.4</v>
      </c>
      <c r="P51" s="242">
        <v>0</v>
      </c>
      <c r="Q51" s="159">
        <v>4200</v>
      </c>
      <c r="R51" s="159">
        <v>1161</v>
      </c>
      <c r="S51" s="363">
        <f t="shared" si="5"/>
        <v>2081.631793478261</v>
      </c>
      <c r="T51" s="271">
        <v>0.39647499300356154</v>
      </c>
    </row>
    <row r="52" spans="1:20" x14ac:dyDescent="0.2">
      <c r="A52" s="147">
        <v>2005</v>
      </c>
      <c r="B52" s="147">
        <v>3</v>
      </c>
      <c r="C52" s="362">
        <v>47630.163999999997</v>
      </c>
      <c r="D52" s="166">
        <v>5.1824420638157411</v>
      </c>
      <c r="E52" s="166">
        <v>5.1824420638157411</v>
      </c>
      <c r="F52" s="166">
        <f t="shared" si="1"/>
        <v>5.1824420638157411</v>
      </c>
      <c r="G52" s="166">
        <v>29.7</v>
      </c>
      <c r="H52" s="148">
        <v>136.4876984</v>
      </c>
      <c r="I52" s="181">
        <f t="shared" si="2"/>
        <v>136.4876984</v>
      </c>
      <c r="J52" s="181">
        <f t="shared" si="3"/>
        <v>54.11395926821222</v>
      </c>
      <c r="K52" s="362">
        <v>25089</v>
      </c>
      <c r="L52" s="237">
        <v>25089</v>
      </c>
      <c r="M52" s="157">
        <v>6844.5776646000004</v>
      </c>
      <c r="N52" s="181">
        <f t="shared" si="4"/>
        <v>6844.5776646000004</v>
      </c>
      <c r="O52" s="242">
        <v>714.2</v>
      </c>
      <c r="P52" s="242">
        <v>0</v>
      </c>
      <c r="Q52" s="159">
        <v>4200</v>
      </c>
      <c r="R52" s="159">
        <v>1161</v>
      </c>
      <c r="S52" s="363">
        <f t="shared" si="5"/>
        <v>1898.4480848180476</v>
      </c>
      <c r="T52" s="271">
        <v>0.39647499300356154</v>
      </c>
    </row>
    <row r="53" spans="1:20" x14ac:dyDescent="0.2">
      <c r="A53" s="147">
        <v>2005</v>
      </c>
      <c r="B53" s="147">
        <v>4</v>
      </c>
      <c r="C53" s="362">
        <v>33481.283000000003</v>
      </c>
      <c r="D53" s="166">
        <v>5.1824420638157411</v>
      </c>
      <c r="E53" s="166">
        <v>5.1824420638157411</v>
      </c>
      <c r="F53" s="166">
        <f t="shared" si="1"/>
        <v>5.1824420638157411</v>
      </c>
      <c r="G53" s="166">
        <v>30.5</v>
      </c>
      <c r="H53" s="148">
        <v>136.4876984</v>
      </c>
      <c r="I53" s="181">
        <f t="shared" si="2"/>
        <v>136.4876984</v>
      </c>
      <c r="J53" s="181">
        <f t="shared" si="3"/>
        <v>54.101050214469069</v>
      </c>
      <c r="K53" s="362">
        <v>24993</v>
      </c>
      <c r="L53" s="237">
        <v>24993</v>
      </c>
      <c r="M53" s="157">
        <v>6844.5776646000004</v>
      </c>
      <c r="N53" s="181">
        <f t="shared" si="4"/>
        <v>6844.5776646000004</v>
      </c>
      <c r="O53" s="242">
        <v>376</v>
      </c>
      <c r="P53" s="242">
        <v>0</v>
      </c>
      <c r="Q53" s="159">
        <v>4200</v>
      </c>
      <c r="R53" s="159">
        <v>1161</v>
      </c>
      <c r="S53" s="363">
        <f t="shared" si="5"/>
        <v>1339.6264153963111</v>
      </c>
      <c r="T53" s="271">
        <v>0.39638041265753421</v>
      </c>
    </row>
    <row r="54" spans="1:20" x14ac:dyDescent="0.2">
      <c r="A54" s="147">
        <v>2005</v>
      </c>
      <c r="B54" s="147">
        <v>5</v>
      </c>
      <c r="C54" s="362">
        <v>26821.596000000001</v>
      </c>
      <c r="D54" s="166">
        <v>5.1824420638157411</v>
      </c>
      <c r="E54" s="166">
        <v>5.1824420638157411</v>
      </c>
      <c r="F54" s="166">
        <f t="shared" si="1"/>
        <v>5.1824420638157411</v>
      </c>
      <c r="G54" s="166">
        <v>28</v>
      </c>
      <c r="H54" s="148">
        <v>136.4876984</v>
      </c>
      <c r="I54" s="181">
        <f t="shared" si="2"/>
        <v>136.4876984</v>
      </c>
      <c r="J54" s="181">
        <f t="shared" si="3"/>
        <v>54.101050214469069</v>
      </c>
      <c r="K54" s="362">
        <v>24936</v>
      </c>
      <c r="L54" s="237">
        <v>24936</v>
      </c>
      <c r="M54" s="157">
        <v>6844.5776646000004</v>
      </c>
      <c r="N54" s="181">
        <f t="shared" si="4"/>
        <v>6844.5776646000004</v>
      </c>
      <c r="O54" s="242">
        <v>260.60000000000002</v>
      </c>
      <c r="P54" s="242">
        <v>8.65</v>
      </c>
      <c r="Q54" s="159">
        <v>4200</v>
      </c>
      <c r="R54" s="159">
        <v>1161</v>
      </c>
      <c r="S54" s="363">
        <f t="shared" si="5"/>
        <v>1075.6174205967277</v>
      </c>
      <c r="T54" s="271">
        <v>0.39638041265753421</v>
      </c>
    </row>
    <row r="55" spans="1:20" x14ac:dyDescent="0.2">
      <c r="A55" s="147">
        <v>2005</v>
      </c>
      <c r="B55" s="147">
        <v>6</v>
      </c>
      <c r="C55" s="362">
        <v>22552.79</v>
      </c>
      <c r="D55" s="166">
        <v>5.1824420638157411</v>
      </c>
      <c r="E55" s="166">
        <v>5.1824420638157411</v>
      </c>
      <c r="F55" s="166">
        <f t="shared" si="1"/>
        <v>5.1824420638157411</v>
      </c>
      <c r="G55" s="166">
        <v>30.8</v>
      </c>
      <c r="H55" s="148">
        <v>136.4876984</v>
      </c>
      <c r="I55" s="181">
        <f t="shared" si="2"/>
        <v>136.4876984</v>
      </c>
      <c r="J55" s="181">
        <f t="shared" si="3"/>
        <v>54.101050214469069</v>
      </c>
      <c r="K55" s="362">
        <v>24829</v>
      </c>
      <c r="L55" s="237">
        <v>24829</v>
      </c>
      <c r="M55" s="157">
        <v>6844.5776646000004</v>
      </c>
      <c r="N55" s="181">
        <f t="shared" si="4"/>
        <v>6844.5776646000004</v>
      </c>
      <c r="O55" s="242">
        <v>51.75</v>
      </c>
      <c r="P55" s="242">
        <v>105.05</v>
      </c>
      <c r="Q55" s="159">
        <v>4200</v>
      </c>
      <c r="R55" s="159">
        <v>1161</v>
      </c>
      <c r="S55" s="363">
        <f t="shared" si="5"/>
        <v>908.32453985259178</v>
      </c>
      <c r="T55" s="271">
        <v>0.39638041265753421</v>
      </c>
    </row>
    <row r="56" spans="1:20" x14ac:dyDescent="0.2">
      <c r="A56" s="147">
        <v>2005</v>
      </c>
      <c r="B56" s="147">
        <v>7</v>
      </c>
      <c r="C56" s="362">
        <v>26773.837</v>
      </c>
      <c r="D56" s="166">
        <v>5.1824420638157411</v>
      </c>
      <c r="E56" s="166">
        <v>5.1824420638157411</v>
      </c>
      <c r="F56" s="166">
        <f t="shared" si="1"/>
        <v>5.1824420638157411</v>
      </c>
      <c r="G56" s="166">
        <v>30.6</v>
      </c>
      <c r="H56" s="148">
        <v>136.4876984</v>
      </c>
      <c r="I56" s="181">
        <f t="shared" si="2"/>
        <v>136.4876984</v>
      </c>
      <c r="J56" s="181">
        <f t="shared" si="3"/>
        <v>53.973736628632452</v>
      </c>
      <c r="K56" s="362">
        <v>24936</v>
      </c>
      <c r="L56" s="237">
        <v>24936</v>
      </c>
      <c r="M56" s="157">
        <v>6844.5776646000004</v>
      </c>
      <c r="N56" s="181">
        <f t="shared" si="4"/>
        <v>6844.5776646000004</v>
      </c>
      <c r="O56" s="242">
        <v>0</v>
      </c>
      <c r="P56" s="242">
        <v>292.85000000000002</v>
      </c>
      <c r="Q56" s="159">
        <v>4200</v>
      </c>
      <c r="R56" s="159">
        <v>1161</v>
      </c>
      <c r="S56" s="363">
        <f t="shared" si="5"/>
        <v>1073.7021575232595</v>
      </c>
      <c r="T56" s="271">
        <v>0.39544762833096797</v>
      </c>
    </row>
    <row r="57" spans="1:20" x14ac:dyDescent="0.2">
      <c r="A57" s="147">
        <v>2005</v>
      </c>
      <c r="B57" s="147">
        <v>8</v>
      </c>
      <c r="C57" s="362">
        <v>27037.986000000001</v>
      </c>
      <c r="D57" s="166">
        <v>5.1824420638157411</v>
      </c>
      <c r="E57" s="166">
        <v>5.1824420638157411</v>
      </c>
      <c r="F57" s="166">
        <f t="shared" si="1"/>
        <v>5.1824420638157411</v>
      </c>
      <c r="G57" s="166">
        <v>29.6</v>
      </c>
      <c r="H57" s="148">
        <v>136.4876984</v>
      </c>
      <c r="I57" s="181">
        <f t="shared" si="2"/>
        <v>136.4876984</v>
      </c>
      <c r="J57" s="181">
        <f t="shared" si="3"/>
        <v>53.973736628632452</v>
      </c>
      <c r="K57" s="362">
        <v>24951</v>
      </c>
      <c r="L57" s="237">
        <v>24951</v>
      </c>
      <c r="M57" s="157">
        <v>6844.5776646000004</v>
      </c>
      <c r="N57" s="181">
        <f t="shared" si="4"/>
        <v>6844.5776646000004</v>
      </c>
      <c r="O57" s="242">
        <v>0</v>
      </c>
      <c r="P57" s="242">
        <v>342.2</v>
      </c>
      <c r="Q57" s="159">
        <v>4200</v>
      </c>
      <c r="R57" s="159">
        <v>1161</v>
      </c>
      <c r="S57" s="363">
        <f t="shared" si="5"/>
        <v>1083.6433810268127</v>
      </c>
      <c r="T57" s="271">
        <v>0.39544762833096797</v>
      </c>
    </row>
    <row r="58" spans="1:20" x14ac:dyDescent="0.2">
      <c r="A58" s="147">
        <v>2005</v>
      </c>
      <c r="B58" s="147">
        <v>9</v>
      </c>
      <c r="C58" s="362">
        <v>26109.182000000001</v>
      </c>
      <c r="D58" s="166">
        <v>5.1824420638157411</v>
      </c>
      <c r="E58" s="166">
        <v>5.1824420638157411</v>
      </c>
      <c r="F58" s="166">
        <f t="shared" si="1"/>
        <v>5.1824420638157411</v>
      </c>
      <c r="G58" s="166">
        <v>30.55</v>
      </c>
      <c r="H58" s="148">
        <v>136.4876984</v>
      </c>
      <c r="I58" s="181">
        <f t="shared" si="2"/>
        <v>136.4876984</v>
      </c>
      <c r="J58" s="181">
        <f t="shared" si="3"/>
        <v>53.973736628632452</v>
      </c>
      <c r="K58" s="362">
        <v>24920</v>
      </c>
      <c r="L58" s="237">
        <v>24920</v>
      </c>
      <c r="M58" s="157">
        <v>6844.5776646000004</v>
      </c>
      <c r="N58" s="181">
        <f t="shared" si="4"/>
        <v>6844.5776646000004</v>
      </c>
      <c r="O58" s="242">
        <v>0</v>
      </c>
      <c r="P58" s="242">
        <v>286.60000000000002</v>
      </c>
      <c r="Q58" s="159">
        <v>4200</v>
      </c>
      <c r="R58" s="159">
        <v>1161</v>
      </c>
      <c r="S58" s="363">
        <f t="shared" si="5"/>
        <v>1047.7199839486357</v>
      </c>
      <c r="T58" s="271">
        <v>0.39544762833096797</v>
      </c>
    </row>
    <row r="59" spans="1:20" x14ac:dyDescent="0.2">
      <c r="A59" s="147">
        <v>2005</v>
      </c>
      <c r="B59" s="147">
        <v>10</v>
      </c>
      <c r="C59" s="362">
        <v>21918.48</v>
      </c>
      <c r="D59" s="166">
        <v>5.1824420638157411</v>
      </c>
      <c r="E59" s="166">
        <v>5.1824420638157411</v>
      </c>
      <c r="F59" s="166">
        <f t="shared" si="1"/>
        <v>5.1824420638157411</v>
      </c>
      <c r="G59" s="166">
        <v>29.75</v>
      </c>
      <c r="H59" s="148">
        <v>136.4876984</v>
      </c>
      <c r="I59" s="181">
        <f t="shared" si="2"/>
        <v>136.4876984</v>
      </c>
      <c r="J59" s="181">
        <f t="shared" si="3"/>
        <v>53.846763260948102</v>
      </c>
      <c r="K59" s="362">
        <v>24931</v>
      </c>
      <c r="L59" s="237">
        <v>24931</v>
      </c>
      <c r="M59" s="157">
        <v>6844.5776646000004</v>
      </c>
      <c r="N59" s="181">
        <f t="shared" si="4"/>
        <v>6844.5776646000004</v>
      </c>
      <c r="O59" s="242">
        <v>41.3</v>
      </c>
      <c r="P59" s="242">
        <v>117.2</v>
      </c>
      <c r="Q59" s="159">
        <v>4200</v>
      </c>
      <c r="R59" s="159">
        <v>1161</v>
      </c>
      <c r="S59" s="363">
        <f t="shared" si="5"/>
        <v>879.16569732461596</v>
      </c>
      <c r="T59" s="271">
        <v>0.39451733666972072</v>
      </c>
    </row>
    <row r="60" spans="1:20" x14ac:dyDescent="0.2">
      <c r="A60" s="147">
        <v>2005</v>
      </c>
      <c r="B60" s="147">
        <v>11</v>
      </c>
      <c r="C60" s="362">
        <v>30963.686000000002</v>
      </c>
      <c r="D60" s="166">
        <v>5.1824420638157411</v>
      </c>
      <c r="E60" s="166">
        <v>5.1824420638157411</v>
      </c>
      <c r="F60" s="166">
        <f t="shared" si="1"/>
        <v>5.1824420638157411</v>
      </c>
      <c r="G60" s="166">
        <v>29.75</v>
      </c>
      <c r="H60" s="148">
        <v>136.4876984</v>
      </c>
      <c r="I60" s="181">
        <f t="shared" si="2"/>
        <v>136.4876984</v>
      </c>
      <c r="J60" s="181">
        <f t="shared" si="3"/>
        <v>53.846763260948102</v>
      </c>
      <c r="K60" s="362">
        <v>24896</v>
      </c>
      <c r="L60" s="237">
        <v>24896</v>
      </c>
      <c r="M60" s="157">
        <v>6844.5776646000004</v>
      </c>
      <c r="N60" s="181">
        <f t="shared" si="4"/>
        <v>6844.5776646000004</v>
      </c>
      <c r="O60" s="242">
        <v>364.3</v>
      </c>
      <c r="P60" s="242">
        <v>6.9</v>
      </c>
      <c r="Q60" s="159">
        <v>4200</v>
      </c>
      <c r="R60" s="159">
        <v>1161</v>
      </c>
      <c r="S60" s="363">
        <f t="shared" si="5"/>
        <v>1243.7213206940874</v>
      </c>
      <c r="T60" s="271">
        <v>0.39451733666972072</v>
      </c>
    </row>
    <row r="61" spans="1:20" x14ac:dyDescent="0.2">
      <c r="A61" s="147">
        <v>2005</v>
      </c>
      <c r="B61" s="147">
        <v>12</v>
      </c>
      <c r="C61" s="362">
        <v>50418.582999999999</v>
      </c>
      <c r="D61" s="166">
        <v>5.1824420638157411</v>
      </c>
      <c r="E61" s="166">
        <v>5.1824420638157411</v>
      </c>
      <c r="F61" s="166">
        <f t="shared" si="1"/>
        <v>5.1824420638157411</v>
      </c>
      <c r="G61" s="166">
        <v>32.4</v>
      </c>
      <c r="H61" s="148">
        <v>136.4876984</v>
      </c>
      <c r="I61" s="181">
        <f t="shared" si="2"/>
        <v>136.4876984</v>
      </c>
      <c r="J61" s="181">
        <f t="shared" si="3"/>
        <v>53.846763260948102</v>
      </c>
      <c r="K61" s="362">
        <v>25007</v>
      </c>
      <c r="L61" s="237">
        <v>25007</v>
      </c>
      <c r="M61" s="157">
        <v>6844.5776646000004</v>
      </c>
      <c r="N61" s="181">
        <f t="shared" si="4"/>
        <v>6844.5776646000004</v>
      </c>
      <c r="O61" s="242">
        <v>745.05</v>
      </c>
      <c r="P61" s="242">
        <v>0.55000000000000004</v>
      </c>
      <c r="Q61" s="159">
        <v>4200</v>
      </c>
      <c r="R61" s="159">
        <v>1161</v>
      </c>
      <c r="S61" s="363">
        <f t="shared" si="5"/>
        <v>2016.1787899388171</v>
      </c>
      <c r="T61" s="271">
        <v>0.39451733666972072</v>
      </c>
    </row>
    <row r="62" spans="1:20" x14ac:dyDescent="0.2">
      <c r="A62" s="147">
        <v>2006</v>
      </c>
      <c r="B62" s="147">
        <v>1</v>
      </c>
      <c r="C62" s="362">
        <v>54843.745999999999</v>
      </c>
      <c r="D62" s="166">
        <v>5.7326028990148874</v>
      </c>
      <c r="E62" s="166">
        <v>5.7326028990148874</v>
      </c>
      <c r="F62" s="166">
        <f t="shared" si="1"/>
        <v>5.7326028990148874</v>
      </c>
      <c r="G62" s="166">
        <v>33.25</v>
      </c>
      <c r="H62" s="148">
        <v>136.53987325</v>
      </c>
      <c r="I62" s="181">
        <f t="shared" si="2"/>
        <v>136.53987325</v>
      </c>
      <c r="J62" s="181">
        <f t="shared" si="3"/>
        <v>53.74058746790142</v>
      </c>
      <c r="K62" s="362">
        <v>25083</v>
      </c>
      <c r="L62" s="237">
        <v>25083</v>
      </c>
      <c r="M62" s="157">
        <v>6988.4148658000004</v>
      </c>
      <c r="N62" s="181">
        <f t="shared" si="4"/>
        <v>6988.4148658000004</v>
      </c>
      <c r="O62" s="242">
        <v>844</v>
      </c>
      <c r="P62" s="242">
        <v>0</v>
      </c>
      <c r="Q62" s="159">
        <v>4200</v>
      </c>
      <c r="R62" s="159">
        <v>1161</v>
      </c>
      <c r="S62" s="363">
        <f t="shared" si="5"/>
        <v>2186.4906909061915</v>
      </c>
      <c r="T62" s="271">
        <v>0.39358896554345102</v>
      </c>
    </row>
    <row r="63" spans="1:20" x14ac:dyDescent="0.2">
      <c r="A63" s="147">
        <v>2006</v>
      </c>
      <c r="B63" s="147">
        <v>2</v>
      </c>
      <c r="C63" s="362">
        <v>47754.608</v>
      </c>
      <c r="D63" s="166">
        <v>5.7326028990148874</v>
      </c>
      <c r="E63" s="166">
        <v>5.7326028990148874</v>
      </c>
      <c r="F63" s="166">
        <f t="shared" si="1"/>
        <v>5.7326028990148874</v>
      </c>
      <c r="G63" s="166">
        <v>29.35</v>
      </c>
      <c r="H63" s="148">
        <v>136.53987325</v>
      </c>
      <c r="I63" s="181">
        <f t="shared" si="2"/>
        <v>136.53987325</v>
      </c>
      <c r="J63" s="181">
        <f t="shared" si="3"/>
        <v>53.74058746790142</v>
      </c>
      <c r="K63" s="362">
        <v>24922</v>
      </c>
      <c r="L63" s="237">
        <v>24922</v>
      </c>
      <c r="M63" s="157">
        <v>6988.4148658000004</v>
      </c>
      <c r="N63" s="181">
        <f t="shared" si="4"/>
        <v>6988.4148658000004</v>
      </c>
      <c r="O63" s="242">
        <v>743.45</v>
      </c>
      <c r="P63" s="242">
        <v>0</v>
      </c>
      <c r="Q63" s="159">
        <v>4200</v>
      </c>
      <c r="R63" s="159">
        <v>1161</v>
      </c>
      <c r="S63" s="363">
        <f t="shared" si="5"/>
        <v>1916.1627477730519</v>
      </c>
      <c r="T63" s="271">
        <v>0.39358896554345102</v>
      </c>
    </row>
    <row r="64" spans="1:20" x14ac:dyDescent="0.2">
      <c r="A64" s="147">
        <v>2006</v>
      </c>
      <c r="B64" s="147">
        <v>3</v>
      </c>
      <c r="C64" s="362">
        <v>44814.692999999999</v>
      </c>
      <c r="D64" s="166">
        <v>5.7326028990148874</v>
      </c>
      <c r="E64" s="166">
        <v>5.7326028990148874</v>
      </c>
      <c r="F64" s="166">
        <f t="shared" si="1"/>
        <v>5.7326028990148874</v>
      </c>
      <c r="G64" s="166">
        <v>29.45</v>
      </c>
      <c r="H64" s="148">
        <v>136.53987325</v>
      </c>
      <c r="I64" s="181">
        <f t="shared" si="2"/>
        <v>136.53987325</v>
      </c>
      <c r="J64" s="181">
        <f t="shared" si="3"/>
        <v>53.74058746790142</v>
      </c>
      <c r="K64" s="362">
        <v>24999</v>
      </c>
      <c r="L64" s="237">
        <v>24999</v>
      </c>
      <c r="M64" s="157">
        <v>6988.4148658000004</v>
      </c>
      <c r="N64" s="181">
        <f t="shared" si="4"/>
        <v>6988.4148658000004</v>
      </c>
      <c r="O64" s="242">
        <v>652.6</v>
      </c>
      <c r="P64" s="242">
        <v>0</v>
      </c>
      <c r="Q64" s="159">
        <v>4200</v>
      </c>
      <c r="R64" s="159">
        <v>1161</v>
      </c>
      <c r="S64" s="363">
        <f t="shared" si="5"/>
        <v>1792.6594263770551</v>
      </c>
      <c r="T64" s="271">
        <v>0.39358896554345102</v>
      </c>
    </row>
    <row r="65" spans="1:20" x14ac:dyDescent="0.2">
      <c r="A65" s="147">
        <v>2006</v>
      </c>
      <c r="B65" s="147">
        <v>4</v>
      </c>
      <c r="C65" s="362">
        <v>33991.652000000002</v>
      </c>
      <c r="D65" s="166">
        <v>5.7326028990148874</v>
      </c>
      <c r="E65" s="166">
        <v>5.7326028990148874</v>
      </c>
      <c r="F65" s="166">
        <f t="shared" si="1"/>
        <v>5.7326028990148874</v>
      </c>
      <c r="G65" s="166">
        <v>30</v>
      </c>
      <c r="H65" s="148">
        <v>136.53987325</v>
      </c>
      <c r="I65" s="181">
        <f t="shared" si="2"/>
        <v>136.53987325</v>
      </c>
      <c r="J65" s="181">
        <f t="shared" si="3"/>
        <v>53.614122482385682</v>
      </c>
      <c r="K65" s="362">
        <v>24915</v>
      </c>
      <c r="L65" s="237">
        <v>24915</v>
      </c>
      <c r="M65" s="157">
        <v>6988.4148658000004</v>
      </c>
      <c r="N65" s="181">
        <f t="shared" si="4"/>
        <v>6988.4148658000004</v>
      </c>
      <c r="O65" s="242">
        <v>384.4</v>
      </c>
      <c r="P65" s="242">
        <v>7</v>
      </c>
      <c r="Q65" s="159">
        <v>4200</v>
      </c>
      <c r="R65" s="159">
        <v>1161</v>
      </c>
      <c r="S65" s="363">
        <f t="shared" si="5"/>
        <v>1364.3047160345175</v>
      </c>
      <c r="T65" s="271">
        <v>0.39266275269071033</v>
      </c>
    </row>
    <row r="66" spans="1:20" x14ac:dyDescent="0.2">
      <c r="A66" s="147">
        <v>2006</v>
      </c>
      <c r="B66" s="147">
        <v>5</v>
      </c>
      <c r="C66" s="362">
        <v>23660.545999999998</v>
      </c>
      <c r="D66" s="166">
        <v>5.7326028990148874</v>
      </c>
      <c r="E66" s="166">
        <v>5.7326028990148874</v>
      </c>
      <c r="F66" s="166">
        <f t="shared" si="1"/>
        <v>5.7326028990148874</v>
      </c>
      <c r="G66" s="166">
        <v>30.95</v>
      </c>
      <c r="H66" s="148">
        <v>136.53987325</v>
      </c>
      <c r="I66" s="181">
        <f t="shared" si="2"/>
        <v>136.53987325</v>
      </c>
      <c r="J66" s="181">
        <f t="shared" si="3"/>
        <v>53.614122482385682</v>
      </c>
      <c r="K66" s="362">
        <v>24979</v>
      </c>
      <c r="L66" s="237">
        <v>24979</v>
      </c>
      <c r="M66" s="157">
        <v>6988.4148658000004</v>
      </c>
      <c r="N66" s="181">
        <f t="shared" si="4"/>
        <v>6988.4148658000004</v>
      </c>
      <c r="O66" s="242">
        <v>164.85</v>
      </c>
      <c r="P66" s="242">
        <v>13.15</v>
      </c>
      <c r="Q66" s="159">
        <v>4200</v>
      </c>
      <c r="R66" s="159">
        <v>1161</v>
      </c>
      <c r="S66" s="363">
        <f t="shared" si="5"/>
        <v>947.21750270226994</v>
      </c>
      <c r="T66" s="271">
        <v>0.39266275269071033</v>
      </c>
    </row>
    <row r="67" spans="1:20" x14ac:dyDescent="0.2">
      <c r="A67" s="147">
        <v>2006</v>
      </c>
      <c r="B67" s="147">
        <v>6</v>
      </c>
      <c r="C67" s="362">
        <v>24293.012999999999</v>
      </c>
      <c r="D67" s="166">
        <v>5.7326028990148874</v>
      </c>
      <c r="E67" s="166">
        <v>5.7326028990148874</v>
      </c>
      <c r="F67" s="166">
        <f t="shared" ref="F67:F130" si="7">E67</f>
        <v>5.7326028990148874</v>
      </c>
      <c r="G67" s="166">
        <v>31.35</v>
      </c>
      <c r="H67" s="148">
        <v>136.53987325</v>
      </c>
      <c r="I67" s="181">
        <f t="shared" ref="I67:I130" si="8">H67</f>
        <v>136.53987325</v>
      </c>
      <c r="J67" s="181">
        <f t="shared" ref="J67:J130" si="9">H67*T67</f>
        <v>53.614122482385682</v>
      </c>
      <c r="K67" s="362">
        <v>24937</v>
      </c>
      <c r="L67" s="237">
        <v>24937</v>
      </c>
      <c r="M67" s="157">
        <v>6988.4148658000004</v>
      </c>
      <c r="N67" s="181">
        <f t="shared" ref="N67:N130" si="10">M67</f>
        <v>6988.4148658000004</v>
      </c>
      <c r="O67" s="242">
        <v>70.55</v>
      </c>
      <c r="P67" s="242">
        <v>122.7</v>
      </c>
      <c r="Q67" s="159">
        <v>4200</v>
      </c>
      <c r="R67" s="159">
        <v>1161</v>
      </c>
      <c r="S67" s="363">
        <f t="shared" ref="S67:S130" si="11">C67/K67*1000</f>
        <v>974.17544211412758</v>
      </c>
      <c r="T67" s="271">
        <v>0.39266275269071033</v>
      </c>
    </row>
    <row r="68" spans="1:20" x14ac:dyDescent="0.2">
      <c r="A68" s="147">
        <v>2006</v>
      </c>
      <c r="B68" s="147">
        <v>7</v>
      </c>
      <c r="C68" s="362">
        <v>25697.185000000001</v>
      </c>
      <c r="D68" s="166">
        <v>5.7326028990148874</v>
      </c>
      <c r="E68" s="166">
        <v>5.7326028990148874</v>
      </c>
      <c r="F68" s="166">
        <f t="shared" si="7"/>
        <v>5.7326028990148874</v>
      </c>
      <c r="G68" s="166">
        <v>30.75</v>
      </c>
      <c r="H68" s="148">
        <v>136.53987325</v>
      </c>
      <c r="I68" s="181">
        <f t="shared" si="8"/>
        <v>136.53987325</v>
      </c>
      <c r="J68" s="181">
        <f t="shared" si="9"/>
        <v>53.533289120130853</v>
      </c>
      <c r="K68" s="362">
        <v>24926</v>
      </c>
      <c r="L68" s="237">
        <v>24926</v>
      </c>
      <c r="M68" s="157">
        <v>6988.4148658000004</v>
      </c>
      <c r="N68" s="181">
        <f t="shared" si="10"/>
        <v>6988.4148658000004</v>
      </c>
      <c r="O68" s="242">
        <v>0.7</v>
      </c>
      <c r="P68" s="242">
        <v>260.5</v>
      </c>
      <c r="Q68" s="159">
        <v>4200</v>
      </c>
      <c r="R68" s="159">
        <v>1161</v>
      </c>
      <c r="S68" s="363">
        <f t="shared" si="11"/>
        <v>1030.9389793789619</v>
      </c>
      <c r="T68" s="271">
        <v>0.39207073982054436</v>
      </c>
    </row>
    <row r="69" spans="1:20" x14ac:dyDescent="0.2">
      <c r="A69" s="147">
        <v>2006</v>
      </c>
      <c r="B69" s="147">
        <v>8</v>
      </c>
      <c r="C69" s="362">
        <v>27773.008000000002</v>
      </c>
      <c r="D69" s="166">
        <v>5.7326028990148874</v>
      </c>
      <c r="E69" s="166">
        <v>5.7326028990148874</v>
      </c>
      <c r="F69" s="166">
        <f t="shared" si="7"/>
        <v>5.7326028990148874</v>
      </c>
      <c r="G69" s="166">
        <v>29.5</v>
      </c>
      <c r="H69" s="148">
        <v>136.53987325</v>
      </c>
      <c r="I69" s="181">
        <f t="shared" si="8"/>
        <v>136.53987325</v>
      </c>
      <c r="J69" s="181">
        <f t="shared" si="9"/>
        <v>53.533289120130853</v>
      </c>
      <c r="K69" s="362">
        <v>24942</v>
      </c>
      <c r="L69" s="237">
        <v>24942</v>
      </c>
      <c r="M69" s="157">
        <v>6988.4148658000004</v>
      </c>
      <c r="N69" s="181">
        <f t="shared" si="10"/>
        <v>6988.4148658000004</v>
      </c>
      <c r="O69" s="242">
        <v>0</v>
      </c>
      <c r="P69" s="242">
        <v>359.5</v>
      </c>
      <c r="Q69" s="159">
        <v>4200</v>
      </c>
      <c r="R69" s="159">
        <v>1161</v>
      </c>
      <c r="S69" s="363">
        <f t="shared" si="11"/>
        <v>1113.5036484644377</v>
      </c>
      <c r="T69" s="271">
        <v>0.39207073982054436</v>
      </c>
    </row>
    <row r="70" spans="1:20" x14ac:dyDescent="0.2">
      <c r="A70" s="147">
        <v>2006</v>
      </c>
      <c r="B70" s="147">
        <v>9</v>
      </c>
      <c r="C70" s="362">
        <v>24726.316999999999</v>
      </c>
      <c r="D70" s="166">
        <v>5.7326028990148874</v>
      </c>
      <c r="E70" s="166">
        <v>5.7326028990148874</v>
      </c>
      <c r="F70" s="166">
        <f t="shared" si="7"/>
        <v>5.7326028990148874</v>
      </c>
      <c r="G70" s="166">
        <v>30.55</v>
      </c>
      <c r="H70" s="148">
        <v>136.53987325</v>
      </c>
      <c r="I70" s="181">
        <f t="shared" si="8"/>
        <v>136.53987325</v>
      </c>
      <c r="J70" s="181">
        <f t="shared" si="9"/>
        <v>53.533289120130853</v>
      </c>
      <c r="K70" s="362">
        <v>24933</v>
      </c>
      <c r="L70" s="237">
        <v>24933</v>
      </c>
      <c r="M70" s="157">
        <v>6988.4148658000004</v>
      </c>
      <c r="N70" s="181">
        <f t="shared" si="10"/>
        <v>6988.4148658000004</v>
      </c>
      <c r="O70" s="242">
        <v>10.050000000000001</v>
      </c>
      <c r="P70" s="242">
        <v>222</v>
      </c>
      <c r="Q70" s="159">
        <v>4200</v>
      </c>
      <c r="R70" s="159">
        <v>1161</v>
      </c>
      <c r="S70" s="363">
        <f t="shared" si="11"/>
        <v>991.71046404363699</v>
      </c>
      <c r="T70" s="271">
        <v>0.39207073982054436</v>
      </c>
    </row>
    <row r="71" spans="1:20" x14ac:dyDescent="0.2">
      <c r="A71" s="147">
        <v>2006</v>
      </c>
      <c r="B71" s="147">
        <v>10</v>
      </c>
      <c r="C71" s="362">
        <v>23672.190999999999</v>
      </c>
      <c r="D71" s="166">
        <v>5.7326028990148874</v>
      </c>
      <c r="E71" s="166">
        <v>5.7326028990148874</v>
      </c>
      <c r="F71" s="166">
        <f t="shared" si="7"/>
        <v>5.7326028990148874</v>
      </c>
      <c r="G71" s="166">
        <v>29.75</v>
      </c>
      <c r="H71" s="148">
        <v>136.53987325</v>
      </c>
      <c r="I71" s="181">
        <f t="shared" si="8"/>
        <v>136.53987325</v>
      </c>
      <c r="J71" s="181">
        <f t="shared" si="9"/>
        <v>53.452578908992784</v>
      </c>
      <c r="K71" s="362">
        <v>24871</v>
      </c>
      <c r="L71" s="237">
        <v>24871</v>
      </c>
      <c r="M71" s="157">
        <v>6988.4148658000004</v>
      </c>
      <c r="N71" s="181">
        <f t="shared" si="10"/>
        <v>6988.4148658000004</v>
      </c>
      <c r="O71" s="242">
        <v>177.25</v>
      </c>
      <c r="P71" s="242">
        <v>19.5</v>
      </c>
      <c r="Q71" s="159">
        <v>4200</v>
      </c>
      <c r="R71" s="159">
        <v>1161</v>
      </c>
      <c r="S71" s="363">
        <f t="shared" si="11"/>
        <v>951.79892243978929</v>
      </c>
      <c r="T71" s="271">
        <v>0.391479628892894</v>
      </c>
    </row>
    <row r="72" spans="1:20" x14ac:dyDescent="0.2">
      <c r="A72" s="147">
        <v>2006</v>
      </c>
      <c r="B72" s="147">
        <v>11</v>
      </c>
      <c r="C72" s="362">
        <v>34818.925000000003</v>
      </c>
      <c r="D72" s="166">
        <v>5.7326028990148874</v>
      </c>
      <c r="E72" s="166">
        <v>5.7326028990148874</v>
      </c>
      <c r="F72" s="166">
        <f t="shared" si="7"/>
        <v>5.7326028990148874</v>
      </c>
      <c r="G72" s="166">
        <v>29.75</v>
      </c>
      <c r="H72" s="148">
        <v>136.53987325</v>
      </c>
      <c r="I72" s="181">
        <f t="shared" si="8"/>
        <v>136.53987325</v>
      </c>
      <c r="J72" s="181">
        <f t="shared" si="9"/>
        <v>53.452578908992784</v>
      </c>
      <c r="K72" s="362">
        <v>24865</v>
      </c>
      <c r="L72" s="237">
        <v>24865</v>
      </c>
      <c r="M72" s="157">
        <v>6988.4148658000004</v>
      </c>
      <c r="N72" s="181">
        <f t="shared" si="10"/>
        <v>6988.4148658000004</v>
      </c>
      <c r="O72" s="242">
        <v>472.15</v>
      </c>
      <c r="P72" s="242">
        <v>0.65</v>
      </c>
      <c r="Q72" s="159">
        <v>4200</v>
      </c>
      <c r="R72" s="159">
        <v>1161</v>
      </c>
      <c r="S72" s="363">
        <f t="shared" si="11"/>
        <v>1400.3187210939072</v>
      </c>
      <c r="T72" s="271">
        <v>0.391479628892894</v>
      </c>
    </row>
    <row r="73" spans="1:20" x14ac:dyDescent="0.2">
      <c r="A73" s="147">
        <v>2006</v>
      </c>
      <c r="B73" s="147">
        <v>12</v>
      </c>
      <c r="C73" s="362">
        <v>45382.892</v>
      </c>
      <c r="D73" s="166">
        <v>5.7326028990148874</v>
      </c>
      <c r="E73" s="166">
        <v>5.7326028990148874</v>
      </c>
      <c r="F73" s="166">
        <f t="shared" si="7"/>
        <v>5.7326028990148874</v>
      </c>
      <c r="G73" s="166">
        <v>30.6</v>
      </c>
      <c r="H73" s="148">
        <v>136.53987325</v>
      </c>
      <c r="I73" s="181">
        <f t="shared" si="8"/>
        <v>136.53987325</v>
      </c>
      <c r="J73" s="181">
        <f t="shared" si="9"/>
        <v>53.452578908992784</v>
      </c>
      <c r="K73" s="362">
        <v>24885</v>
      </c>
      <c r="L73" s="237">
        <v>24885</v>
      </c>
      <c r="M73" s="157">
        <v>6988.4148658000004</v>
      </c>
      <c r="N73" s="181">
        <f t="shared" si="10"/>
        <v>6988.4148658000004</v>
      </c>
      <c r="O73" s="242">
        <v>655.15</v>
      </c>
      <c r="P73" s="242">
        <v>0</v>
      </c>
      <c r="Q73" s="159">
        <v>4200</v>
      </c>
      <c r="R73" s="159">
        <v>1161</v>
      </c>
      <c r="S73" s="363">
        <f t="shared" si="11"/>
        <v>1823.7047217199115</v>
      </c>
      <c r="T73" s="271">
        <v>0.391479628892894</v>
      </c>
    </row>
    <row r="74" spans="1:20" x14ac:dyDescent="0.2">
      <c r="A74" s="147">
        <v>2007</v>
      </c>
      <c r="B74" s="147">
        <v>1</v>
      </c>
      <c r="C74" s="362">
        <v>50549.894</v>
      </c>
      <c r="D74" s="166">
        <v>6.2826028990148872</v>
      </c>
      <c r="E74" s="166">
        <v>6.2826028990148872</v>
      </c>
      <c r="F74" s="166">
        <f t="shared" si="7"/>
        <v>6.2826028990148872</v>
      </c>
      <c r="G74" s="166">
        <v>33.35</v>
      </c>
      <c r="H74" s="148">
        <v>136.74518583</v>
      </c>
      <c r="I74" s="181">
        <f t="shared" si="8"/>
        <v>136.74518583</v>
      </c>
      <c r="J74" s="181">
        <f t="shared" si="9"/>
        <v>53.452246748877094</v>
      </c>
      <c r="K74" s="362">
        <v>24975</v>
      </c>
      <c r="L74" s="237">
        <v>24975</v>
      </c>
      <c r="M74" s="157">
        <v>7434.7625058000003</v>
      </c>
      <c r="N74" s="181">
        <f t="shared" si="10"/>
        <v>7434.7625058000003</v>
      </c>
      <c r="O74" s="242">
        <v>737.45</v>
      </c>
      <c r="P74" s="242">
        <v>0</v>
      </c>
      <c r="Q74" s="159">
        <v>4200</v>
      </c>
      <c r="R74" s="159">
        <v>1161</v>
      </c>
      <c r="S74" s="363">
        <f t="shared" si="11"/>
        <v>2024.0197797797798</v>
      </c>
      <c r="T74" s="271">
        <v>0.39088942272036031</v>
      </c>
    </row>
    <row r="75" spans="1:20" x14ac:dyDescent="0.2">
      <c r="A75" s="147">
        <v>2007</v>
      </c>
      <c r="B75" s="147">
        <v>2</v>
      </c>
      <c r="C75" s="362">
        <v>58658.097000000002</v>
      </c>
      <c r="D75" s="166">
        <v>6.2826028990148872</v>
      </c>
      <c r="E75" s="166">
        <v>6.2826028990148872</v>
      </c>
      <c r="F75" s="166">
        <f t="shared" si="7"/>
        <v>6.2826028990148872</v>
      </c>
      <c r="G75" s="166">
        <v>29.35</v>
      </c>
      <c r="H75" s="148">
        <v>136.74518583</v>
      </c>
      <c r="I75" s="181">
        <f t="shared" si="8"/>
        <v>136.74518583</v>
      </c>
      <c r="J75" s="181">
        <f t="shared" si="9"/>
        <v>53.452246748877094</v>
      </c>
      <c r="K75" s="362">
        <v>24938</v>
      </c>
      <c r="L75" s="238">
        <v>24938</v>
      </c>
      <c r="M75" s="157">
        <v>7434.7625058000003</v>
      </c>
      <c r="N75" s="181">
        <f t="shared" si="10"/>
        <v>7434.7625058000003</v>
      </c>
      <c r="O75" s="242">
        <v>938.3</v>
      </c>
      <c r="P75" s="242">
        <v>0</v>
      </c>
      <c r="Q75" s="159">
        <v>4200</v>
      </c>
      <c r="R75" s="159">
        <v>1161</v>
      </c>
      <c r="S75" s="363">
        <f t="shared" si="11"/>
        <v>2352.157229930227</v>
      </c>
      <c r="T75" s="271">
        <v>0.39088942272036031</v>
      </c>
    </row>
    <row r="76" spans="1:20" x14ac:dyDescent="0.2">
      <c r="A76" s="147">
        <v>2007</v>
      </c>
      <c r="B76" s="147">
        <v>3</v>
      </c>
      <c r="C76" s="362">
        <v>46178.103000000003</v>
      </c>
      <c r="D76" s="166">
        <v>6.2826028990148872</v>
      </c>
      <c r="E76" s="166">
        <v>6.2826028990148872</v>
      </c>
      <c r="F76" s="166">
        <f t="shared" si="7"/>
        <v>6.2826028990148872</v>
      </c>
      <c r="G76" s="166">
        <v>29.45</v>
      </c>
      <c r="H76" s="148">
        <v>136.74518583</v>
      </c>
      <c r="I76" s="181">
        <f t="shared" si="8"/>
        <v>136.74518583</v>
      </c>
      <c r="J76" s="181">
        <f t="shared" si="9"/>
        <v>53.452246748877094</v>
      </c>
      <c r="K76" s="362">
        <v>24917</v>
      </c>
      <c r="L76" s="238">
        <v>24917</v>
      </c>
      <c r="M76" s="157">
        <v>7434.7625058000003</v>
      </c>
      <c r="N76" s="181">
        <f t="shared" si="10"/>
        <v>7434.7625058000003</v>
      </c>
      <c r="O76" s="242">
        <v>623</v>
      </c>
      <c r="P76" s="242">
        <v>1</v>
      </c>
      <c r="Q76" s="159">
        <v>4200</v>
      </c>
      <c r="R76" s="159">
        <v>1161</v>
      </c>
      <c r="S76" s="363">
        <f t="shared" si="11"/>
        <v>1853.276999638801</v>
      </c>
      <c r="T76" s="271">
        <v>0.39088942272036031</v>
      </c>
    </row>
    <row r="77" spans="1:20" x14ac:dyDescent="0.2">
      <c r="A77" s="147">
        <v>2007</v>
      </c>
      <c r="B77" s="147">
        <v>4</v>
      </c>
      <c r="C77" s="362">
        <v>32110.977999999999</v>
      </c>
      <c r="D77" s="166">
        <v>6.2826028990148872</v>
      </c>
      <c r="E77" s="166">
        <v>6.2826028990148872</v>
      </c>
      <c r="F77" s="166">
        <f t="shared" si="7"/>
        <v>6.2826028990148872</v>
      </c>
      <c r="G77" s="166">
        <v>30.55</v>
      </c>
      <c r="H77" s="148">
        <v>136.74518583</v>
      </c>
      <c r="I77" s="181">
        <f t="shared" si="8"/>
        <v>136.74518583</v>
      </c>
      <c r="J77" s="181">
        <f t="shared" si="9"/>
        <v>53.371643408056705</v>
      </c>
      <c r="K77" s="362">
        <v>24843</v>
      </c>
      <c r="L77" s="237">
        <v>24843</v>
      </c>
      <c r="M77" s="157">
        <v>7434.7625058000003</v>
      </c>
      <c r="N77" s="181">
        <f t="shared" si="10"/>
        <v>7434.7625058000003</v>
      </c>
      <c r="O77" s="242">
        <v>347.45</v>
      </c>
      <c r="P77" s="242">
        <v>7.2</v>
      </c>
      <c r="Q77" s="159">
        <v>4200</v>
      </c>
      <c r="R77" s="159">
        <v>1161</v>
      </c>
      <c r="S77" s="363">
        <f t="shared" si="11"/>
        <v>1292.5563740289015</v>
      </c>
      <c r="T77" s="271">
        <v>0.39029998083009448</v>
      </c>
    </row>
    <row r="78" spans="1:20" x14ac:dyDescent="0.2">
      <c r="A78" s="147">
        <v>2007</v>
      </c>
      <c r="B78" s="147">
        <v>5</v>
      </c>
      <c r="C78" s="362">
        <v>24884.69</v>
      </c>
      <c r="D78" s="166">
        <v>6.2826028990148872</v>
      </c>
      <c r="E78" s="166">
        <v>6.2826028990148872</v>
      </c>
      <c r="F78" s="166">
        <f t="shared" si="7"/>
        <v>6.2826028990148872</v>
      </c>
      <c r="G78" s="166">
        <v>29.75</v>
      </c>
      <c r="H78" s="148">
        <v>136.74518583</v>
      </c>
      <c r="I78" s="181">
        <f t="shared" si="8"/>
        <v>136.74518583</v>
      </c>
      <c r="J78" s="181">
        <f t="shared" si="9"/>
        <v>53.371643408056705</v>
      </c>
      <c r="K78" s="362">
        <v>24843</v>
      </c>
      <c r="L78" s="237">
        <v>24843</v>
      </c>
      <c r="M78" s="157">
        <v>7434.7625058000003</v>
      </c>
      <c r="N78" s="181">
        <f t="shared" si="10"/>
        <v>7434.7625058000003</v>
      </c>
      <c r="O78" s="242">
        <v>151.15</v>
      </c>
      <c r="P78" s="242">
        <v>36.5</v>
      </c>
      <c r="Q78" s="159">
        <v>4200</v>
      </c>
      <c r="R78" s="159">
        <v>1161</v>
      </c>
      <c r="S78" s="363">
        <f t="shared" si="11"/>
        <v>1001.6781387111058</v>
      </c>
      <c r="T78" s="271">
        <v>0.39029998083009448</v>
      </c>
    </row>
    <row r="79" spans="1:20" x14ac:dyDescent="0.2">
      <c r="A79" s="147">
        <v>2007</v>
      </c>
      <c r="B79" s="147">
        <v>6</v>
      </c>
      <c r="C79" s="362">
        <v>23171.86</v>
      </c>
      <c r="D79" s="166">
        <v>6.2826028990148872</v>
      </c>
      <c r="E79" s="166">
        <v>6.2826028990148872</v>
      </c>
      <c r="F79" s="166">
        <f t="shared" si="7"/>
        <v>6.2826028990148872</v>
      </c>
      <c r="G79" s="166">
        <v>30.7</v>
      </c>
      <c r="H79" s="148">
        <v>136.74518583</v>
      </c>
      <c r="I79" s="181">
        <f t="shared" si="8"/>
        <v>136.74518583</v>
      </c>
      <c r="J79" s="181">
        <f t="shared" si="9"/>
        <v>53.371643408056705</v>
      </c>
      <c r="K79" s="362">
        <v>24795</v>
      </c>
      <c r="L79" s="237">
        <v>24795</v>
      </c>
      <c r="M79" s="157">
        <v>7434.7625058000003</v>
      </c>
      <c r="N79" s="181">
        <f t="shared" si="10"/>
        <v>7434.7625058000003</v>
      </c>
      <c r="O79" s="242">
        <v>27.65</v>
      </c>
      <c r="P79" s="242">
        <v>171.05</v>
      </c>
      <c r="Q79" s="159">
        <v>4200</v>
      </c>
      <c r="R79" s="159">
        <v>1161</v>
      </c>
      <c r="S79" s="363">
        <f t="shared" si="11"/>
        <v>934.53760838878804</v>
      </c>
      <c r="T79" s="271">
        <v>0.39029998083009448</v>
      </c>
    </row>
    <row r="80" spans="1:20" x14ac:dyDescent="0.2">
      <c r="A80" s="147">
        <v>2007</v>
      </c>
      <c r="B80" s="147">
        <v>7</v>
      </c>
      <c r="C80" s="362">
        <v>25344.748</v>
      </c>
      <c r="D80" s="166">
        <v>6.2826028990148872</v>
      </c>
      <c r="E80" s="166">
        <v>6.2826028990148872</v>
      </c>
      <c r="F80" s="166">
        <f t="shared" si="7"/>
        <v>6.2826028990148872</v>
      </c>
      <c r="G80" s="166">
        <v>30.7</v>
      </c>
      <c r="H80" s="148">
        <v>136.74518583</v>
      </c>
      <c r="I80" s="181">
        <f t="shared" si="8"/>
        <v>136.74518583</v>
      </c>
      <c r="J80" s="181">
        <f t="shared" si="9"/>
        <v>53.51802461360974</v>
      </c>
      <c r="K80" s="362">
        <v>24793</v>
      </c>
      <c r="L80" s="237">
        <v>24793</v>
      </c>
      <c r="M80" s="157">
        <v>7434.7625058000003</v>
      </c>
      <c r="N80" s="181">
        <f t="shared" si="10"/>
        <v>7434.7625058000003</v>
      </c>
      <c r="O80" s="242">
        <v>0</v>
      </c>
      <c r="P80" s="242">
        <v>283.60000000000002</v>
      </c>
      <c r="Q80" s="159">
        <v>4200</v>
      </c>
      <c r="R80" s="159">
        <v>1161</v>
      </c>
      <c r="S80" s="363">
        <f t="shared" si="11"/>
        <v>1022.2541846488929</v>
      </c>
      <c r="T80" s="271">
        <v>0.39137044780605817</v>
      </c>
    </row>
    <row r="81" spans="1:20" x14ac:dyDescent="0.2">
      <c r="A81" s="147">
        <v>2007</v>
      </c>
      <c r="B81" s="147">
        <v>8</v>
      </c>
      <c r="C81" s="362">
        <v>27665.396000000001</v>
      </c>
      <c r="D81" s="166">
        <v>6.2826028990148872</v>
      </c>
      <c r="E81" s="166">
        <v>6.2826028990148872</v>
      </c>
      <c r="F81" s="166">
        <f t="shared" si="7"/>
        <v>6.2826028990148872</v>
      </c>
      <c r="G81" s="166">
        <v>30.2</v>
      </c>
      <c r="H81" s="148">
        <v>136.74518583</v>
      </c>
      <c r="I81" s="181">
        <f t="shared" si="8"/>
        <v>136.74518583</v>
      </c>
      <c r="J81" s="181">
        <f t="shared" si="9"/>
        <v>53.51802461360974</v>
      </c>
      <c r="K81" s="362">
        <v>24825</v>
      </c>
      <c r="L81" s="237">
        <v>24825</v>
      </c>
      <c r="M81" s="157">
        <v>7434.7625058000003</v>
      </c>
      <c r="N81" s="181">
        <f t="shared" si="10"/>
        <v>7434.7625058000003</v>
      </c>
      <c r="O81" s="242">
        <v>0</v>
      </c>
      <c r="P81" s="242">
        <v>328</v>
      </c>
      <c r="Q81" s="159">
        <v>4200</v>
      </c>
      <c r="R81" s="159">
        <v>1161</v>
      </c>
      <c r="S81" s="363">
        <f t="shared" si="11"/>
        <v>1114.4167573011077</v>
      </c>
      <c r="T81" s="271">
        <v>0.39137044780605817</v>
      </c>
    </row>
    <row r="82" spans="1:20" x14ac:dyDescent="0.2">
      <c r="A82" s="147">
        <v>2007</v>
      </c>
      <c r="B82" s="147">
        <v>9</v>
      </c>
      <c r="C82" s="362">
        <v>28126.134999999998</v>
      </c>
      <c r="D82" s="166">
        <v>6.2826028990148872</v>
      </c>
      <c r="E82" s="166">
        <v>6.2826028990148872</v>
      </c>
      <c r="F82" s="166">
        <f t="shared" si="7"/>
        <v>6.2826028990148872</v>
      </c>
      <c r="G82" s="166">
        <v>31.3</v>
      </c>
      <c r="H82" s="148">
        <v>136.74518583</v>
      </c>
      <c r="I82" s="181">
        <f t="shared" si="8"/>
        <v>136.74518583</v>
      </c>
      <c r="J82" s="181">
        <f t="shared" si="9"/>
        <v>53.51802461360974</v>
      </c>
      <c r="K82" s="362">
        <v>24847</v>
      </c>
      <c r="L82" s="237">
        <v>24847</v>
      </c>
      <c r="M82" s="157">
        <v>7434.7625058000003</v>
      </c>
      <c r="N82" s="181">
        <f t="shared" si="10"/>
        <v>7434.7625058000003</v>
      </c>
      <c r="O82" s="242">
        <v>4.5</v>
      </c>
      <c r="P82" s="242">
        <v>354.55</v>
      </c>
      <c r="Q82" s="159">
        <v>4200</v>
      </c>
      <c r="R82" s="159">
        <v>1161</v>
      </c>
      <c r="S82" s="363">
        <f t="shared" si="11"/>
        <v>1131.9730752203486</v>
      </c>
      <c r="T82" s="271">
        <v>0.39137044780605817</v>
      </c>
    </row>
    <row r="83" spans="1:20" x14ac:dyDescent="0.2">
      <c r="A83" s="147">
        <v>2007</v>
      </c>
      <c r="B83" s="147">
        <v>10</v>
      </c>
      <c r="C83" s="362">
        <v>22738.567999999999</v>
      </c>
      <c r="D83" s="166">
        <v>6.2826028990148872</v>
      </c>
      <c r="E83" s="166">
        <v>6.2826028990148872</v>
      </c>
      <c r="F83" s="166">
        <f t="shared" si="7"/>
        <v>6.2826028990148872</v>
      </c>
      <c r="G83" s="166">
        <v>29.6</v>
      </c>
      <c r="H83" s="148">
        <v>136.74518583</v>
      </c>
      <c r="I83" s="181">
        <f t="shared" si="8"/>
        <v>136.74518583</v>
      </c>
      <c r="J83" s="181">
        <f t="shared" si="9"/>
        <v>53.6647772788046</v>
      </c>
      <c r="K83" s="362">
        <v>24812</v>
      </c>
      <c r="L83" s="237">
        <v>24812</v>
      </c>
      <c r="M83" s="157">
        <v>7434.7625058000003</v>
      </c>
      <c r="N83" s="181">
        <f t="shared" si="10"/>
        <v>7434.7625058000003</v>
      </c>
      <c r="O83" s="242">
        <v>50.4</v>
      </c>
      <c r="P83" s="242">
        <v>133.05000000000001</v>
      </c>
      <c r="Q83" s="159">
        <v>4200</v>
      </c>
      <c r="R83" s="159">
        <v>1161</v>
      </c>
      <c r="S83" s="363">
        <f t="shared" si="11"/>
        <v>916.434305980977</v>
      </c>
      <c r="T83" s="271">
        <v>0.39244363121872544</v>
      </c>
    </row>
    <row r="84" spans="1:20" x14ac:dyDescent="0.2">
      <c r="A84" s="147">
        <v>2007</v>
      </c>
      <c r="B84" s="147">
        <v>11</v>
      </c>
      <c r="C84" s="362">
        <v>30051.217000000001</v>
      </c>
      <c r="D84" s="166">
        <v>6.2826028990148872</v>
      </c>
      <c r="E84" s="166">
        <v>6.2826028990148872</v>
      </c>
      <c r="F84" s="166">
        <f t="shared" si="7"/>
        <v>6.2826028990148872</v>
      </c>
      <c r="G84" s="166">
        <v>29.95</v>
      </c>
      <c r="H84" s="148">
        <v>136.74518583</v>
      </c>
      <c r="I84" s="181">
        <f t="shared" si="8"/>
        <v>136.74518583</v>
      </c>
      <c r="J84" s="181">
        <f t="shared" si="9"/>
        <v>53.6647772788046</v>
      </c>
      <c r="K84" s="362">
        <v>24802</v>
      </c>
      <c r="L84" s="237">
        <v>24802</v>
      </c>
      <c r="M84" s="157">
        <v>7434.7625058000003</v>
      </c>
      <c r="N84" s="181">
        <f t="shared" si="10"/>
        <v>7434.7625058000003</v>
      </c>
      <c r="O84" s="242">
        <v>359.15</v>
      </c>
      <c r="P84" s="242">
        <v>22.1</v>
      </c>
      <c r="Q84" s="159">
        <v>4200</v>
      </c>
      <c r="R84" s="159">
        <v>1161</v>
      </c>
      <c r="S84" s="363">
        <f t="shared" si="11"/>
        <v>1211.6449076687363</v>
      </c>
      <c r="T84" s="271">
        <v>0.39244363121872544</v>
      </c>
    </row>
    <row r="85" spans="1:20" x14ac:dyDescent="0.2">
      <c r="A85" s="147">
        <v>2007</v>
      </c>
      <c r="B85" s="147">
        <v>12</v>
      </c>
      <c r="C85" s="362">
        <v>43541.24</v>
      </c>
      <c r="D85" s="166">
        <v>6.2826028990148872</v>
      </c>
      <c r="E85" s="166">
        <v>6.2826028990148872</v>
      </c>
      <c r="F85" s="166">
        <f t="shared" si="7"/>
        <v>6.2826028990148872</v>
      </c>
      <c r="G85" s="166">
        <v>30.7</v>
      </c>
      <c r="H85" s="148">
        <v>136.74518583</v>
      </c>
      <c r="I85" s="181">
        <f t="shared" si="8"/>
        <v>136.74518583</v>
      </c>
      <c r="J85" s="181">
        <f t="shared" si="9"/>
        <v>53.6647772788046</v>
      </c>
      <c r="K85" s="362">
        <v>24826</v>
      </c>
      <c r="L85" s="237">
        <v>24826</v>
      </c>
      <c r="M85" s="157">
        <v>7434.7625058000003</v>
      </c>
      <c r="N85" s="181">
        <f t="shared" si="10"/>
        <v>7434.7625058000003</v>
      </c>
      <c r="O85" s="242">
        <v>628.54999999999995</v>
      </c>
      <c r="P85" s="242">
        <v>0</v>
      </c>
      <c r="Q85" s="159">
        <v>4200</v>
      </c>
      <c r="R85" s="159">
        <v>1161</v>
      </c>
      <c r="S85" s="363">
        <f t="shared" si="11"/>
        <v>1753.8564408281638</v>
      </c>
      <c r="T85" s="271">
        <v>0.39244363121872544</v>
      </c>
    </row>
    <row r="86" spans="1:20" x14ac:dyDescent="0.2">
      <c r="A86" s="147">
        <v>2008</v>
      </c>
      <c r="B86" s="147">
        <v>1</v>
      </c>
      <c r="C86" s="362">
        <v>57278.826999999997</v>
      </c>
      <c r="D86" s="166">
        <v>6.8191285113595219</v>
      </c>
      <c r="E86" s="166">
        <v>6.8191285113595219</v>
      </c>
      <c r="F86" s="166">
        <f t="shared" si="7"/>
        <v>6.8191285113595219</v>
      </c>
      <c r="G86" s="166">
        <v>33.15</v>
      </c>
      <c r="H86" s="148">
        <v>136.80036315000001</v>
      </c>
      <c r="I86" s="181">
        <f t="shared" si="8"/>
        <v>136.80036315000001</v>
      </c>
      <c r="J86" s="181">
        <f t="shared" si="9"/>
        <v>53.833635995161629</v>
      </c>
      <c r="K86" s="362">
        <v>25346</v>
      </c>
      <c r="L86" s="237">
        <v>24925</v>
      </c>
      <c r="M86" s="157">
        <v>7787.9512188000008</v>
      </c>
      <c r="N86" s="181">
        <f t="shared" si="10"/>
        <v>7787.9512188000008</v>
      </c>
      <c r="O86" s="242">
        <v>866</v>
      </c>
      <c r="P86" s="242">
        <v>0</v>
      </c>
      <c r="Q86" s="159">
        <v>4200</v>
      </c>
      <c r="R86" s="159">
        <v>1161</v>
      </c>
      <c r="S86" s="363">
        <f t="shared" si="11"/>
        <v>2259.8763907519924</v>
      </c>
      <c r="T86" s="271">
        <v>0.39351968631935336</v>
      </c>
    </row>
    <row r="87" spans="1:20" x14ac:dyDescent="0.2">
      <c r="A87" s="147">
        <v>2008</v>
      </c>
      <c r="B87" s="147">
        <v>2</v>
      </c>
      <c r="C87" s="362">
        <v>50464.298999999999</v>
      </c>
      <c r="D87" s="166">
        <v>6.8191285113595219</v>
      </c>
      <c r="E87" s="166">
        <v>6.8191285113595219</v>
      </c>
      <c r="F87" s="166">
        <f t="shared" si="7"/>
        <v>6.8191285113595219</v>
      </c>
      <c r="G87" s="166">
        <v>29.35</v>
      </c>
      <c r="H87" s="148">
        <v>136.80036315000001</v>
      </c>
      <c r="I87" s="181">
        <f t="shared" si="8"/>
        <v>136.80036315000001</v>
      </c>
      <c r="J87" s="181">
        <f t="shared" si="9"/>
        <v>53.833635995161629</v>
      </c>
      <c r="K87" s="362">
        <v>25378</v>
      </c>
      <c r="L87" s="237">
        <v>24855</v>
      </c>
      <c r="M87" s="157">
        <v>7787.9512188000008</v>
      </c>
      <c r="N87" s="181">
        <f t="shared" si="10"/>
        <v>7787.9512188000008</v>
      </c>
      <c r="O87" s="242">
        <v>788.4</v>
      </c>
      <c r="P87" s="242">
        <v>0</v>
      </c>
      <c r="Q87" s="159">
        <v>4200</v>
      </c>
      <c r="R87" s="159">
        <v>1161</v>
      </c>
      <c r="S87" s="363">
        <f t="shared" si="11"/>
        <v>1988.505753014422</v>
      </c>
      <c r="T87" s="271">
        <v>0.39351968631935336</v>
      </c>
    </row>
    <row r="88" spans="1:20" x14ac:dyDescent="0.2">
      <c r="A88" s="147">
        <v>2008</v>
      </c>
      <c r="B88" s="147">
        <v>3</v>
      </c>
      <c r="C88" s="362">
        <v>45552.356</v>
      </c>
      <c r="D88" s="166">
        <v>6.8191285113595219</v>
      </c>
      <c r="E88" s="166">
        <v>6.8191285113595219</v>
      </c>
      <c r="F88" s="166">
        <f t="shared" si="7"/>
        <v>6.8191285113595219</v>
      </c>
      <c r="G88" s="166">
        <v>29.9</v>
      </c>
      <c r="H88" s="148">
        <v>136.80036315000001</v>
      </c>
      <c r="I88" s="181">
        <f t="shared" si="8"/>
        <v>136.80036315000001</v>
      </c>
      <c r="J88" s="181">
        <f t="shared" si="9"/>
        <v>53.833635995161629</v>
      </c>
      <c r="K88" s="362">
        <v>25309</v>
      </c>
      <c r="L88" s="237">
        <v>24840</v>
      </c>
      <c r="M88" s="157">
        <v>7787.9512188000008</v>
      </c>
      <c r="N88" s="181">
        <f t="shared" si="10"/>
        <v>7787.9512188000008</v>
      </c>
      <c r="O88" s="242">
        <v>666</v>
      </c>
      <c r="P88" s="242">
        <v>0</v>
      </c>
      <c r="Q88" s="159">
        <v>4200</v>
      </c>
      <c r="R88" s="159">
        <v>1161</v>
      </c>
      <c r="S88" s="363">
        <f t="shared" si="11"/>
        <v>1799.848117270536</v>
      </c>
      <c r="T88" s="271">
        <v>0.39351968631935336</v>
      </c>
    </row>
    <row r="89" spans="1:20" s="152" customFormat="1" x14ac:dyDescent="0.2">
      <c r="A89" s="152">
        <v>2008</v>
      </c>
      <c r="B89" s="152">
        <v>4</v>
      </c>
      <c r="C89" s="362">
        <v>33427.995999999999</v>
      </c>
      <c r="D89" s="166">
        <v>6.8191285113595219</v>
      </c>
      <c r="E89" s="166">
        <v>6.8191285113595219</v>
      </c>
      <c r="F89" s="166">
        <f t="shared" si="7"/>
        <v>6.8191285113595219</v>
      </c>
      <c r="G89" s="166">
        <v>30.3</v>
      </c>
      <c r="H89" s="148">
        <v>136.80036315000001</v>
      </c>
      <c r="I89" s="181">
        <f t="shared" si="8"/>
        <v>136.80036315000001</v>
      </c>
      <c r="J89" s="181">
        <f t="shared" si="9"/>
        <v>53.981268356214365</v>
      </c>
      <c r="K89" s="362">
        <v>25241</v>
      </c>
      <c r="L89" s="237">
        <v>24778</v>
      </c>
      <c r="M89" s="157">
        <v>7787.9512188000008</v>
      </c>
      <c r="N89" s="181">
        <f t="shared" si="10"/>
        <v>7787.9512188000008</v>
      </c>
      <c r="O89" s="243">
        <v>400</v>
      </c>
      <c r="P89" s="243">
        <v>5</v>
      </c>
      <c r="Q89" s="159">
        <v>4200</v>
      </c>
      <c r="R89" s="159">
        <v>1161</v>
      </c>
      <c r="S89" s="363">
        <f t="shared" si="11"/>
        <v>1324.3530763440435</v>
      </c>
      <c r="T89" s="271">
        <v>0.39459886738037769</v>
      </c>
    </row>
    <row r="90" spans="1:20" x14ac:dyDescent="0.2">
      <c r="A90" s="147">
        <v>2008</v>
      </c>
      <c r="B90" s="147">
        <v>5</v>
      </c>
      <c r="C90" s="362">
        <v>24021.778999999999</v>
      </c>
      <c r="D90" s="166">
        <v>6.8191285113595219</v>
      </c>
      <c r="E90" s="166">
        <v>6.8191285113595219</v>
      </c>
      <c r="F90" s="166">
        <f t="shared" si="7"/>
        <v>6.8191285113595219</v>
      </c>
      <c r="G90" s="166">
        <v>29.57</v>
      </c>
      <c r="H90" s="148">
        <v>136.80036315000001</v>
      </c>
      <c r="I90" s="181">
        <f t="shared" si="8"/>
        <v>136.80036315000001</v>
      </c>
      <c r="J90" s="181">
        <f t="shared" si="9"/>
        <v>53.981268356214365</v>
      </c>
      <c r="K90" s="362">
        <v>25223</v>
      </c>
      <c r="L90" s="237">
        <v>24740</v>
      </c>
      <c r="M90" s="157">
        <v>7787.9512188000008</v>
      </c>
      <c r="N90" s="181">
        <f t="shared" si="10"/>
        <v>7787.9512188000008</v>
      </c>
      <c r="O90" s="242">
        <v>190.4</v>
      </c>
      <c r="P90" s="242">
        <v>17.55</v>
      </c>
      <c r="Q90" s="159">
        <v>4200</v>
      </c>
      <c r="R90" s="159">
        <v>1161</v>
      </c>
      <c r="S90" s="363">
        <f t="shared" si="11"/>
        <v>952.37596637989134</v>
      </c>
      <c r="T90" s="271">
        <v>0.39459886738037769</v>
      </c>
    </row>
    <row r="91" spans="1:20" x14ac:dyDescent="0.2">
      <c r="A91" s="147">
        <v>2008</v>
      </c>
      <c r="B91" s="147">
        <v>6</v>
      </c>
      <c r="C91" s="362">
        <v>23605.632000000001</v>
      </c>
      <c r="D91" s="166">
        <v>6.8191285113595219</v>
      </c>
      <c r="E91" s="166">
        <v>6.8191285113595219</v>
      </c>
      <c r="F91" s="166">
        <f t="shared" si="7"/>
        <v>6.8191285113595219</v>
      </c>
      <c r="G91" s="166">
        <v>30.67</v>
      </c>
      <c r="H91" s="148">
        <v>136.80036315000001</v>
      </c>
      <c r="I91" s="181">
        <f t="shared" si="8"/>
        <v>136.80036315000001</v>
      </c>
      <c r="J91" s="181">
        <f t="shared" si="9"/>
        <v>53.981268356214365</v>
      </c>
      <c r="K91" s="362">
        <v>25272</v>
      </c>
      <c r="L91" s="237">
        <v>24706</v>
      </c>
      <c r="M91" s="157">
        <v>7787.9512188000008</v>
      </c>
      <c r="N91" s="181">
        <f t="shared" si="10"/>
        <v>7787.9512188000008</v>
      </c>
      <c r="O91" s="242">
        <v>46.45</v>
      </c>
      <c r="P91" s="242">
        <v>163.4</v>
      </c>
      <c r="Q91" s="159">
        <v>4200</v>
      </c>
      <c r="R91" s="159">
        <v>1161</v>
      </c>
      <c r="S91" s="363">
        <f t="shared" si="11"/>
        <v>934.06267806267806</v>
      </c>
      <c r="T91" s="271">
        <v>0.39459886738037769</v>
      </c>
    </row>
    <row r="92" spans="1:20" x14ac:dyDescent="0.2">
      <c r="A92" s="147">
        <v>2008</v>
      </c>
      <c r="B92" s="147">
        <v>7</v>
      </c>
      <c r="C92" s="362">
        <v>25404.508000000002</v>
      </c>
      <c r="D92" s="166">
        <v>6.8191285113595219</v>
      </c>
      <c r="E92" s="166">
        <v>6.8191285113595219</v>
      </c>
      <c r="F92" s="166">
        <f t="shared" si="7"/>
        <v>6.8191285113595219</v>
      </c>
      <c r="G92" s="166">
        <v>30.62</v>
      </c>
      <c r="H92" s="148">
        <v>136.80036315000001</v>
      </c>
      <c r="I92" s="181">
        <f t="shared" si="8"/>
        <v>136.80036315000001</v>
      </c>
      <c r="J92" s="181">
        <f t="shared" si="9"/>
        <v>53.965490208664427</v>
      </c>
      <c r="K92" s="362">
        <v>25307</v>
      </c>
      <c r="L92" s="237">
        <v>24796</v>
      </c>
      <c r="M92" s="157">
        <v>7787.9512188000008</v>
      </c>
      <c r="N92" s="181">
        <f t="shared" si="10"/>
        <v>7787.9512188000008</v>
      </c>
      <c r="O92" s="242">
        <v>1</v>
      </c>
      <c r="P92" s="242">
        <v>265</v>
      </c>
      <c r="Q92" s="159">
        <v>4200</v>
      </c>
      <c r="R92" s="159">
        <v>1161</v>
      </c>
      <c r="S92" s="363">
        <f t="shared" si="11"/>
        <v>1003.853005097404</v>
      </c>
      <c r="T92" s="271">
        <v>0.39448353035066064</v>
      </c>
    </row>
    <row r="93" spans="1:20" x14ac:dyDescent="0.2">
      <c r="A93" s="147">
        <v>2008</v>
      </c>
      <c r="B93" s="147">
        <v>8</v>
      </c>
      <c r="C93" s="362">
        <v>25247.146000000001</v>
      </c>
      <c r="D93" s="166">
        <v>6.8191285113595219</v>
      </c>
      <c r="E93" s="166">
        <v>6.8191285113595219</v>
      </c>
      <c r="F93" s="166">
        <f t="shared" si="7"/>
        <v>6.8191285113595219</v>
      </c>
      <c r="G93" s="166">
        <v>29.52</v>
      </c>
      <c r="H93" s="148">
        <v>136.80036315000001</v>
      </c>
      <c r="I93" s="181">
        <f t="shared" si="8"/>
        <v>136.80036315000001</v>
      </c>
      <c r="J93" s="181">
        <f t="shared" si="9"/>
        <v>53.965490208664427</v>
      </c>
      <c r="K93" s="362">
        <v>25348</v>
      </c>
      <c r="L93" s="237">
        <v>24768</v>
      </c>
      <c r="M93" s="157">
        <v>7787.9512188000008</v>
      </c>
      <c r="N93" s="181">
        <f t="shared" si="10"/>
        <v>7787.9512188000008</v>
      </c>
      <c r="O93" s="242">
        <v>0</v>
      </c>
      <c r="P93" s="242">
        <v>274</v>
      </c>
      <c r="Q93" s="159">
        <v>4200</v>
      </c>
      <c r="R93" s="159">
        <v>1161</v>
      </c>
      <c r="S93" s="363">
        <f t="shared" si="11"/>
        <v>996.02122455420545</v>
      </c>
      <c r="T93" s="271">
        <v>0.39448353035066064</v>
      </c>
    </row>
    <row r="94" spans="1:20" x14ac:dyDescent="0.2">
      <c r="A94" s="147">
        <v>2008</v>
      </c>
      <c r="B94" s="147">
        <v>9</v>
      </c>
      <c r="C94" s="362">
        <v>24617.201000000001</v>
      </c>
      <c r="D94" s="166">
        <v>6.8191285113595219</v>
      </c>
      <c r="E94" s="166">
        <v>6.8191285113595219</v>
      </c>
      <c r="F94" s="166">
        <f t="shared" si="7"/>
        <v>6.8191285113595219</v>
      </c>
      <c r="G94" s="166">
        <v>30.71</v>
      </c>
      <c r="H94" s="148">
        <v>136.80036315000001</v>
      </c>
      <c r="I94" s="181">
        <f t="shared" si="8"/>
        <v>136.80036315000001</v>
      </c>
      <c r="J94" s="181">
        <f t="shared" si="9"/>
        <v>53.965490208664427</v>
      </c>
      <c r="K94" s="362">
        <v>25364</v>
      </c>
      <c r="L94" s="237">
        <v>24844</v>
      </c>
      <c r="M94" s="157">
        <v>7787.9512188000008</v>
      </c>
      <c r="N94" s="181">
        <f t="shared" si="10"/>
        <v>7787.9512188000008</v>
      </c>
      <c r="O94" s="242">
        <v>1.4</v>
      </c>
      <c r="P94" s="242">
        <v>237.7</v>
      </c>
      <c r="Q94" s="159">
        <v>4200</v>
      </c>
      <c r="R94" s="159">
        <v>1161</v>
      </c>
      <c r="S94" s="363">
        <f t="shared" si="11"/>
        <v>970.5567339536351</v>
      </c>
      <c r="T94" s="271">
        <v>0.39448353035066064</v>
      </c>
    </row>
    <row r="95" spans="1:20" x14ac:dyDescent="0.2">
      <c r="A95" s="147">
        <v>2008</v>
      </c>
      <c r="B95" s="147">
        <v>10</v>
      </c>
      <c r="C95" s="362">
        <v>22233.927</v>
      </c>
      <c r="D95" s="166">
        <v>6.8191285113595219</v>
      </c>
      <c r="E95" s="166">
        <v>6.8191285113595219</v>
      </c>
      <c r="F95" s="166">
        <f t="shared" si="7"/>
        <v>6.8191285113595219</v>
      </c>
      <c r="G95" s="166">
        <v>29.52</v>
      </c>
      <c r="H95" s="148">
        <v>136.80036315000001</v>
      </c>
      <c r="I95" s="181">
        <f t="shared" si="8"/>
        <v>136.80036315000001</v>
      </c>
      <c r="J95" s="181">
        <f t="shared" si="9"/>
        <v>53.949751053266056</v>
      </c>
      <c r="K95" s="362">
        <v>25377</v>
      </c>
      <c r="L95" s="237">
        <v>24844</v>
      </c>
      <c r="M95" s="157">
        <v>7787.9512188000008</v>
      </c>
      <c r="N95" s="181">
        <f t="shared" si="10"/>
        <v>7787.9512188000008</v>
      </c>
      <c r="O95" s="242">
        <v>109</v>
      </c>
      <c r="P95" s="242">
        <v>44</v>
      </c>
      <c r="Q95" s="159">
        <v>4200</v>
      </c>
      <c r="R95" s="159">
        <v>1161</v>
      </c>
      <c r="S95" s="363">
        <f t="shared" si="11"/>
        <v>876.14481617212437</v>
      </c>
      <c r="T95" s="271">
        <v>0.39436847835053462</v>
      </c>
    </row>
    <row r="96" spans="1:20" x14ac:dyDescent="0.2">
      <c r="A96" s="147">
        <v>2008</v>
      </c>
      <c r="B96" s="147">
        <v>11</v>
      </c>
      <c r="C96" s="362">
        <v>34415.57</v>
      </c>
      <c r="D96" s="166">
        <v>6.8191285113595219</v>
      </c>
      <c r="E96" s="166">
        <v>6.8191285113595219</v>
      </c>
      <c r="F96" s="166">
        <f t="shared" si="7"/>
        <v>6.8191285113595219</v>
      </c>
      <c r="G96" s="166">
        <v>29.38</v>
      </c>
      <c r="H96" s="148">
        <v>136.80036315000001</v>
      </c>
      <c r="I96" s="181">
        <f t="shared" si="8"/>
        <v>136.80036315000001</v>
      </c>
      <c r="J96" s="181">
        <f t="shared" si="9"/>
        <v>53.949751053266056</v>
      </c>
      <c r="K96" s="362">
        <v>25443</v>
      </c>
      <c r="L96" s="239">
        <v>24756</v>
      </c>
      <c r="M96" s="157">
        <v>7787.9512188000008</v>
      </c>
      <c r="N96" s="181">
        <f t="shared" si="10"/>
        <v>7787.9512188000008</v>
      </c>
      <c r="O96" s="242">
        <v>458</v>
      </c>
      <c r="P96" s="242">
        <v>2</v>
      </c>
      <c r="Q96" s="159">
        <v>4200</v>
      </c>
      <c r="R96" s="159">
        <v>1161</v>
      </c>
      <c r="S96" s="363">
        <f t="shared" si="11"/>
        <v>1352.6537751051371</v>
      </c>
      <c r="T96" s="271">
        <v>0.39436847835053462</v>
      </c>
    </row>
    <row r="97" spans="1:20" x14ac:dyDescent="0.2">
      <c r="A97" s="147">
        <v>2008</v>
      </c>
      <c r="B97" s="147">
        <v>12</v>
      </c>
      <c r="C97" s="362">
        <v>55409.154000000002</v>
      </c>
      <c r="D97" s="166">
        <v>6.8191285113595219</v>
      </c>
      <c r="E97" s="166">
        <v>6.8191285113595219</v>
      </c>
      <c r="F97" s="166">
        <f t="shared" si="7"/>
        <v>6.8191285113595219</v>
      </c>
      <c r="G97" s="166">
        <v>32.81</v>
      </c>
      <c r="H97" s="148">
        <v>136.80036315000001</v>
      </c>
      <c r="I97" s="181">
        <f t="shared" si="8"/>
        <v>136.80036315000001</v>
      </c>
      <c r="J97" s="181">
        <f t="shared" si="9"/>
        <v>53.949751053266056</v>
      </c>
      <c r="K97" s="362">
        <v>25435</v>
      </c>
      <c r="L97" s="239">
        <v>24930</v>
      </c>
      <c r="M97" s="157">
        <v>7787.9512188000008</v>
      </c>
      <c r="N97" s="181">
        <f t="shared" si="10"/>
        <v>7787.9512188000008</v>
      </c>
      <c r="O97" s="242">
        <v>828.6</v>
      </c>
      <c r="P97" s="242">
        <v>0</v>
      </c>
      <c r="Q97" s="159">
        <v>4200</v>
      </c>
      <c r="R97" s="159">
        <v>1161</v>
      </c>
      <c r="S97" s="363">
        <f t="shared" si="11"/>
        <v>2178.4609396500887</v>
      </c>
      <c r="T97" s="271">
        <v>0.39436847835053462</v>
      </c>
    </row>
    <row r="98" spans="1:20" x14ac:dyDescent="0.2">
      <c r="A98" s="147">
        <v>2009</v>
      </c>
      <c r="B98" s="147">
        <v>1</v>
      </c>
      <c r="C98" s="232">
        <v>58302.082000000002</v>
      </c>
      <c r="D98" s="166">
        <v>6.8549750593316237</v>
      </c>
      <c r="E98" s="166">
        <v>6.8549750593316237</v>
      </c>
      <c r="F98" s="166">
        <f t="shared" si="7"/>
        <v>6.8549750593316237</v>
      </c>
      <c r="G98" s="166">
        <v>32.950000000000003</v>
      </c>
      <c r="H98" s="148">
        <v>136.83034581000001</v>
      </c>
      <c r="I98" s="181">
        <f t="shared" si="8"/>
        <v>136.83034581000001</v>
      </c>
      <c r="J98" s="181">
        <f t="shared" si="9"/>
        <v>53.94582062625252</v>
      </c>
      <c r="K98" s="362">
        <v>25448</v>
      </c>
      <c r="L98" s="240">
        <v>24914</v>
      </c>
      <c r="M98" s="157">
        <v>8091.3029981999989</v>
      </c>
      <c r="N98" s="181">
        <f t="shared" si="10"/>
        <v>8091.3029981999989</v>
      </c>
      <c r="O98" s="242">
        <v>843</v>
      </c>
      <c r="P98" s="242">
        <v>0</v>
      </c>
      <c r="Q98" s="159">
        <v>4200</v>
      </c>
      <c r="R98" s="159">
        <v>1161</v>
      </c>
      <c r="S98" s="363">
        <f t="shared" si="11"/>
        <v>2291.0280572147126</v>
      </c>
      <c r="T98" s="271">
        <v>0.39425333837247367</v>
      </c>
    </row>
    <row r="99" spans="1:20" x14ac:dyDescent="0.2">
      <c r="A99" s="147">
        <v>2009</v>
      </c>
      <c r="B99" s="147">
        <v>2</v>
      </c>
      <c r="C99" s="232">
        <v>58873.061000000002</v>
      </c>
      <c r="D99" s="166">
        <v>6.8549750593316237</v>
      </c>
      <c r="E99" s="166">
        <v>6.8549750593316237</v>
      </c>
      <c r="F99" s="166">
        <f t="shared" si="7"/>
        <v>6.8549750593316237</v>
      </c>
      <c r="G99" s="166">
        <v>30.19</v>
      </c>
      <c r="H99" s="148">
        <v>136.83034581000001</v>
      </c>
      <c r="I99" s="181">
        <f t="shared" si="8"/>
        <v>136.83034581000001</v>
      </c>
      <c r="J99" s="181">
        <f t="shared" si="9"/>
        <v>53.94582062625252</v>
      </c>
      <c r="K99" s="362">
        <v>25421</v>
      </c>
      <c r="L99" s="240">
        <v>24895</v>
      </c>
      <c r="M99" s="157">
        <v>8091.3029981999989</v>
      </c>
      <c r="N99" s="181">
        <f t="shared" si="10"/>
        <v>8091.3029981999989</v>
      </c>
      <c r="O99" s="242">
        <v>845</v>
      </c>
      <c r="P99" s="242">
        <v>0</v>
      </c>
      <c r="Q99" s="159">
        <v>4200</v>
      </c>
      <c r="R99" s="159">
        <v>1161</v>
      </c>
      <c r="S99" s="363">
        <f t="shared" si="11"/>
        <v>2315.9223083277607</v>
      </c>
      <c r="T99" s="271">
        <v>0.39425333837247367</v>
      </c>
    </row>
    <row r="100" spans="1:20" s="152" customFormat="1" x14ac:dyDescent="0.2">
      <c r="A100" s="152">
        <v>2009</v>
      </c>
      <c r="B100" s="152">
        <v>3</v>
      </c>
      <c r="C100" s="232">
        <v>41758.906999999999</v>
      </c>
      <c r="D100" s="166">
        <v>6.8549750593316237</v>
      </c>
      <c r="E100" s="166">
        <v>6.8549750593316237</v>
      </c>
      <c r="F100" s="166">
        <f t="shared" si="7"/>
        <v>6.8549750593316237</v>
      </c>
      <c r="G100" s="166">
        <v>30.05</v>
      </c>
      <c r="H100" s="148">
        <v>136.83034581000001</v>
      </c>
      <c r="I100" s="181">
        <f t="shared" si="8"/>
        <v>136.83034581000001</v>
      </c>
      <c r="J100" s="181">
        <f t="shared" si="9"/>
        <v>53.94582062625252</v>
      </c>
      <c r="K100" s="362">
        <v>25447</v>
      </c>
      <c r="L100" s="237">
        <v>24830</v>
      </c>
      <c r="M100" s="157">
        <v>8091.3029981999989</v>
      </c>
      <c r="N100" s="181">
        <f t="shared" si="10"/>
        <v>8091.3029981999989</v>
      </c>
      <c r="O100" s="244">
        <v>615.70000000000005</v>
      </c>
      <c r="P100" s="244">
        <v>0</v>
      </c>
      <c r="Q100" s="159">
        <v>4200</v>
      </c>
      <c r="R100" s="159">
        <v>1161</v>
      </c>
      <c r="S100" s="363">
        <f t="shared" si="11"/>
        <v>1641.0149329979956</v>
      </c>
      <c r="T100" s="271">
        <v>0.39425333837247367</v>
      </c>
    </row>
    <row r="101" spans="1:20" x14ac:dyDescent="0.2">
      <c r="A101" s="147">
        <v>2009</v>
      </c>
      <c r="B101" s="147">
        <v>4</v>
      </c>
      <c r="C101" s="232">
        <v>38639.836000000003</v>
      </c>
      <c r="D101" s="166">
        <v>6.8549750593316237</v>
      </c>
      <c r="E101" s="166">
        <v>6.8549750593316237</v>
      </c>
      <c r="F101" s="166">
        <f t="shared" si="7"/>
        <v>6.8549750593316237</v>
      </c>
      <c r="G101" s="166">
        <v>30.38</v>
      </c>
      <c r="H101" s="148">
        <v>136.83034581000001</v>
      </c>
      <c r="I101" s="181">
        <f t="shared" si="8"/>
        <v>136.83034581000001</v>
      </c>
      <c r="J101" s="181">
        <f t="shared" si="9"/>
        <v>53.930073314475138</v>
      </c>
      <c r="K101" s="362">
        <v>25045</v>
      </c>
      <c r="L101" s="241">
        <v>25061</v>
      </c>
      <c r="M101" s="157">
        <v>8091.3029981999989</v>
      </c>
      <c r="N101" s="181">
        <f t="shared" si="10"/>
        <v>8091.3029981999989</v>
      </c>
      <c r="O101" s="245">
        <v>429</v>
      </c>
      <c r="P101" s="245">
        <v>1</v>
      </c>
      <c r="Q101" s="159">
        <v>4200</v>
      </c>
      <c r="R101" s="159">
        <v>1161</v>
      </c>
      <c r="S101" s="363">
        <f t="shared" si="11"/>
        <v>1542.8163705330408</v>
      </c>
      <c r="T101" s="271">
        <v>0.3941382519734431</v>
      </c>
    </row>
    <row r="102" spans="1:20" x14ac:dyDescent="0.2">
      <c r="A102" s="147">
        <v>2009</v>
      </c>
      <c r="B102" s="147">
        <v>5</v>
      </c>
      <c r="C102" s="232">
        <v>24249.574000000001</v>
      </c>
      <c r="D102" s="166">
        <v>6.8549750593316237</v>
      </c>
      <c r="E102" s="166">
        <v>6.8549750593316237</v>
      </c>
      <c r="F102" s="166">
        <f t="shared" si="7"/>
        <v>6.8549750593316237</v>
      </c>
      <c r="G102" s="166">
        <v>30.24</v>
      </c>
      <c r="H102" s="148">
        <v>136.83034581000001</v>
      </c>
      <c r="I102" s="181">
        <f t="shared" si="8"/>
        <v>136.83034581000001</v>
      </c>
      <c r="J102" s="181">
        <f t="shared" si="9"/>
        <v>53.930073314475138</v>
      </c>
      <c r="K102" s="362">
        <v>25039</v>
      </c>
      <c r="L102" s="241">
        <v>25014</v>
      </c>
      <c r="M102" s="157">
        <v>8091.3029981999989</v>
      </c>
      <c r="N102" s="181">
        <f t="shared" si="10"/>
        <v>8091.3029981999989</v>
      </c>
      <c r="O102" s="245">
        <v>173.35</v>
      </c>
      <c r="P102" s="245">
        <v>32.049999999999997</v>
      </c>
      <c r="Q102" s="159">
        <v>4200</v>
      </c>
      <c r="R102" s="159">
        <v>1161</v>
      </c>
      <c r="S102" s="363">
        <f t="shared" si="11"/>
        <v>968.4721434562083</v>
      </c>
      <c r="T102" s="271">
        <v>0.3941382519734431</v>
      </c>
    </row>
    <row r="103" spans="1:20" x14ac:dyDescent="0.2">
      <c r="A103" s="147">
        <v>2009</v>
      </c>
      <c r="B103" s="147">
        <v>6</v>
      </c>
      <c r="C103" s="232">
        <v>23090.169000000002</v>
      </c>
      <c r="D103" s="166">
        <v>6.8549750593316237</v>
      </c>
      <c r="E103" s="166">
        <v>6.8549750593316237</v>
      </c>
      <c r="F103" s="166">
        <f t="shared" si="7"/>
        <v>6.8549750593316237</v>
      </c>
      <c r="G103" s="166">
        <v>30.38</v>
      </c>
      <c r="H103" s="148">
        <v>136.83034581000001</v>
      </c>
      <c r="I103" s="181">
        <f t="shared" si="8"/>
        <v>136.83034581000001</v>
      </c>
      <c r="J103" s="181">
        <f t="shared" si="9"/>
        <v>53.930073314475138</v>
      </c>
      <c r="K103" s="362">
        <v>25074</v>
      </c>
      <c r="L103" s="241">
        <v>25087</v>
      </c>
      <c r="M103" s="157">
        <v>8091.3029981999989</v>
      </c>
      <c r="N103" s="181">
        <f t="shared" si="10"/>
        <v>8091.3029981999989</v>
      </c>
      <c r="O103" s="245">
        <v>38</v>
      </c>
      <c r="P103" s="245">
        <v>146</v>
      </c>
      <c r="Q103" s="159">
        <v>4200</v>
      </c>
      <c r="R103" s="159">
        <v>1161</v>
      </c>
      <c r="S103" s="363">
        <f t="shared" si="11"/>
        <v>920.88095238095252</v>
      </c>
      <c r="T103" s="271">
        <v>0.3941382519734431</v>
      </c>
    </row>
    <row r="104" spans="1:20" x14ac:dyDescent="0.2">
      <c r="A104" s="147">
        <v>2009</v>
      </c>
      <c r="B104" s="147">
        <v>7</v>
      </c>
      <c r="C104" s="232">
        <v>24945.046999999999</v>
      </c>
      <c r="D104" s="166">
        <v>6.8549750593316237</v>
      </c>
      <c r="E104" s="166">
        <v>6.8549750593316237</v>
      </c>
      <c r="F104" s="166">
        <f t="shared" si="7"/>
        <v>6.8549750593316237</v>
      </c>
      <c r="G104" s="166">
        <v>30.71</v>
      </c>
      <c r="H104" s="148">
        <v>136.83034581000001</v>
      </c>
      <c r="I104" s="181">
        <f t="shared" si="8"/>
        <v>136.83034581000001</v>
      </c>
      <c r="J104" s="181">
        <f t="shared" si="9"/>
        <v>54.026455892692738</v>
      </c>
      <c r="K104" s="362">
        <v>25048</v>
      </c>
      <c r="L104" s="241">
        <v>25050</v>
      </c>
      <c r="M104" s="157">
        <v>8091.3029981999989</v>
      </c>
      <c r="N104" s="181">
        <f t="shared" si="10"/>
        <v>8091.3029981999989</v>
      </c>
      <c r="O104" s="245">
        <v>0</v>
      </c>
      <c r="P104" s="245">
        <v>229.65</v>
      </c>
      <c r="Q104" s="159">
        <v>4200</v>
      </c>
      <c r="R104" s="159">
        <v>1161</v>
      </c>
      <c r="S104" s="363">
        <f t="shared" si="11"/>
        <v>995.88977163845414</v>
      </c>
      <c r="T104" s="271">
        <v>0.39484264673066627</v>
      </c>
    </row>
    <row r="105" spans="1:20" x14ac:dyDescent="0.2">
      <c r="A105" s="147">
        <v>2009</v>
      </c>
      <c r="B105" s="147">
        <v>8</v>
      </c>
      <c r="C105" s="232">
        <v>23423.012999999999</v>
      </c>
      <c r="D105" s="166">
        <v>6.8549750593316237</v>
      </c>
      <c r="E105" s="166">
        <v>6.8549750593316237</v>
      </c>
      <c r="F105" s="166">
        <f t="shared" si="7"/>
        <v>6.8549750593316237</v>
      </c>
      <c r="G105" s="166">
        <v>29.52</v>
      </c>
      <c r="H105" s="148">
        <v>136.83034581000001</v>
      </c>
      <c r="I105" s="181">
        <f t="shared" si="8"/>
        <v>136.83034581000001</v>
      </c>
      <c r="J105" s="181">
        <f t="shared" si="9"/>
        <v>54.026455892692738</v>
      </c>
      <c r="K105" s="362">
        <v>25100</v>
      </c>
      <c r="L105" s="241">
        <v>25076</v>
      </c>
      <c r="M105" s="157">
        <v>8091.3029981999989</v>
      </c>
      <c r="N105" s="181">
        <f t="shared" si="10"/>
        <v>8091.3029981999989</v>
      </c>
      <c r="O105" s="245">
        <v>0</v>
      </c>
      <c r="P105" s="245">
        <v>234</v>
      </c>
      <c r="Q105" s="159">
        <v>4200</v>
      </c>
      <c r="R105" s="159">
        <v>1161</v>
      </c>
      <c r="S105" s="363">
        <f t="shared" si="11"/>
        <v>933.18776892430276</v>
      </c>
      <c r="T105" s="271">
        <v>0.39484264673066627</v>
      </c>
    </row>
    <row r="106" spans="1:20" x14ac:dyDescent="0.2">
      <c r="A106" s="147">
        <v>2009</v>
      </c>
      <c r="B106" s="147">
        <v>9</v>
      </c>
      <c r="C106" s="232">
        <v>23276.022000000001</v>
      </c>
      <c r="D106" s="166">
        <v>6.8549750593316237</v>
      </c>
      <c r="E106" s="166">
        <v>6.8549750593316237</v>
      </c>
      <c r="F106" s="166">
        <f t="shared" si="7"/>
        <v>6.8549750593316237</v>
      </c>
      <c r="G106" s="166">
        <v>30.48</v>
      </c>
      <c r="H106" s="148">
        <v>136.83034581000001</v>
      </c>
      <c r="I106" s="181">
        <f t="shared" si="8"/>
        <v>136.83034581000001</v>
      </c>
      <c r="J106" s="181">
        <f t="shared" si="9"/>
        <v>54.026455892692738</v>
      </c>
      <c r="K106" s="362">
        <v>25114</v>
      </c>
      <c r="L106" s="241">
        <v>25104</v>
      </c>
      <c r="M106" s="157">
        <v>8091.3029981999989</v>
      </c>
      <c r="N106" s="181">
        <f t="shared" si="10"/>
        <v>8091.3029981999989</v>
      </c>
      <c r="O106" s="245">
        <v>0</v>
      </c>
      <c r="P106" s="245">
        <v>215</v>
      </c>
      <c r="Q106" s="159">
        <v>4200</v>
      </c>
      <c r="R106" s="159">
        <v>1161</v>
      </c>
      <c r="S106" s="363">
        <f t="shared" si="11"/>
        <v>926.81460539937893</v>
      </c>
      <c r="T106" s="271">
        <v>0.39484264673066627</v>
      </c>
    </row>
    <row r="107" spans="1:20" x14ac:dyDescent="0.2">
      <c r="A107" s="147">
        <v>2009</v>
      </c>
      <c r="B107" s="147">
        <v>10</v>
      </c>
      <c r="C107" s="232">
        <v>23300.35</v>
      </c>
      <c r="D107" s="166">
        <v>6.8549750593316237</v>
      </c>
      <c r="E107" s="166">
        <v>6.8549750593316237</v>
      </c>
      <c r="F107" s="166">
        <f t="shared" si="7"/>
        <v>6.8549750593316237</v>
      </c>
      <c r="G107" s="166">
        <v>29.67</v>
      </c>
      <c r="H107" s="148">
        <v>136.83034581000001</v>
      </c>
      <c r="I107" s="181">
        <f t="shared" si="8"/>
        <v>136.83034581000001</v>
      </c>
      <c r="J107" s="181">
        <f t="shared" si="9"/>
        <v>54.12787749293426</v>
      </c>
      <c r="K107" s="362">
        <v>25101</v>
      </c>
      <c r="L107" s="241">
        <v>25111</v>
      </c>
      <c r="M107" s="157">
        <v>8091.3029981999989</v>
      </c>
      <c r="N107" s="181">
        <f t="shared" si="10"/>
        <v>8091.3029981999989</v>
      </c>
      <c r="O107" s="245">
        <v>128.6</v>
      </c>
      <c r="P107" s="245">
        <v>85</v>
      </c>
      <c r="Q107" s="159">
        <v>4200</v>
      </c>
      <c r="R107" s="159">
        <v>1161</v>
      </c>
      <c r="S107" s="363">
        <f t="shared" si="11"/>
        <v>928.26381419066956</v>
      </c>
      <c r="T107" s="271">
        <v>0.39558386827506226</v>
      </c>
    </row>
    <row r="108" spans="1:20" x14ac:dyDescent="0.2">
      <c r="A108" s="147">
        <v>2009</v>
      </c>
      <c r="B108" s="147">
        <v>11</v>
      </c>
      <c r="C108" s="232">
        <v>29183.416000000001</v>
      </c>
      <c r="D108" s="166">
        <v>6.8549750593316237</v>
      </c>
      <c r="E108" s="166">
        <v>6.8549750593316237</v>
      </c>
      <c r="F108" s="166">
        <f t="shared" si="7"/>
        <v>6.8549750593316237</v>
      </c>
      <c r="G108" s="166">
        <v>29.76</v>
      </c>
      <c r="H108" s="148">
        <v>136.83034581000001</v>
      </c>
      <c r="I108" s="181">
        <f t="shared" si="8"/>
        <v>136.83034581000001</v>
      </c>
      <c r="J108" s="181">
        <f t="shared" si="9"/>
        <v>54.12787749293426</v>
      </c>
      <c r="K108" s="362">
        <v>25099</v>
      </c>
      <c r="L108" s="241">
        <v>25161</v>
      </c>
      <c r="M108" s="157">
        <v>8091.3029981999989</v>
      </c>
      <c r="N108" s="181">
        <f t="shared" si="10"/>
        <v>8091.3029981999989</v>
      </c>
      <c r="O108" s="157">
        <v>356.75</v>
      </c>
      <c r="P108" s="157">
        <v>3.7</v>
      </c>
      <c r="Q108" s="159">
        <v>4200</v>
      </c>
      <c r="R108" s="159">
        <v>1161</v>
      </c>
      <c r="S108" s="363">
        <f t="shared" si="11"/>
        <v>1162.7322204071875</v>
      </c>
      <c r="T108" s="271">
        <v>0.39558386827506226</v>
      </c>
    </row>
    <row r="109" spans="1:20" x14ac:dyDescent="0.2">
      <c r="A109" s="147">
        <v>2009</v>
      </c>
      <c r="B109" s="147">
        <v>12</v>
      </c>
      <c r="C109" s="232">
        <v>49150.864999999998</v>
      </c>
      <c r="D109" s="166">
        <v>6.8549750593316237</v>
      </c>
      <c r="E109" s="166">
        <v>6.8549750593316237</v>
      </c>
      <c r="F109" s="166">
        <f t="shared" si="7"/>
        <v>6.8549750593316237</v>
      </c>
      <c r="G109" s="166">
        <v>31.57</v>
      </c>
      <c r="H109" s="148">
        <v>136.83034581000001</v>
      </c>
      <c r="I109" s="181">
        <f t="shared" si="8"/>
        <v>136.83034581000001</v>
      </c>
      <c r="J109" s="181">
        <f t="shared" si="9"/>
        <v>54.12787749293426</v>
      </c>
      <c r="K109" s="362">
        <v>25164</v>
      </c>
      <c r="L109" s="241">
        <v>25157</v>
      </c>
      <c r="M109" s="157">
        <v>8091.3029981999989</v>
      </c>
      <c r="N109" s="181">
        <f t="shared" si="10"/>
        <v>8091.3029981999989</v>
      </c>
      <c r="O109" s="157">
        <v>684</v>
      </c>
      <c r="P109" s="245">
        <v>0</v>
      </c>
      <c r="Q109" s="159">
        <v>4200</v>
      </c>
      <c r="R109" s="159">
        <v>1161</v>
      </c>
      <c r="S109" s="363">
        <f t="shared" si="11"/>
        <v>1953.22146717533</v>
      </c>
      <c r="T109" s="271">
        <v>0.39558386827506226</v>
      </c>
    </row>
    <row r="110" spans="1:20" x14ac:dyDescent="0.2">
      <c r="A110" s="147">
        <v>2010</v>
      </c>
      <c r="B110" s="147">
        <v>1</v>
      </c>
      <c r="C110" s="232">
        <v>65031.042000000001</v>
      </c>
      <c r="D110" s="166">
        <v>6.867</v>
      </c>
      <c r="E110" s="166">
        <v>6.9421927241744967</v>
      </c>
      <c r="F110" s="166">
        <f t="shared" si="7"/>
        <v>6.9421927241744967</v>
      </c>
      <c r="G110" s="166">
        <v>32.520000000000003</v>
      </c>
      <c r="H110" s="148">
        <v>136.72222432000001</v>
      </c>
      <c r="I110" s="181">
        <f t="shared" si="8"/>
        <v>136.72222432000001</v>
      </c>
      <c r="J110" s="181">
        <f t="shared" si="9"/>
        <v>54.191646051728007</v>
      </c>
      <c r="K110" s="364">
        <v>25107</v>
      </c>
      <c r="L110" s="241">
        <v>25083</v>
      </c>
      <c r="M110" s="157">
        <v>8393.0723087999995</v>
      </c>
      <c r="N110" s="181">
        <f t="shared" si="10"/>
        <v>8393.0723087999995</v>
      </c>
      <c r="O110" s="245">
        <v>1052.2</v>
      </c>
      <c r="P110" s="245">
        <v>0</v>
      </c>
      <c r="Q110" s="159">
        <v>4200</v>
      </c>
      <c r="R110" s="159">
        <v>1161</v>
      </c>
      <c r="S110" s="363">
        <f t="shared" si="11"/>
        <v>2590.1558131198472</v>
      </c>
      <c r="T110" s="271">
        <v>0.39636311010338604</v>
      </c>
    </row>
    <row r="111" spans="1:20" x14ac:dyDescent="0.2">
      <c r="A111" s="147">
        <v>2010</v>
      </c>
      <c r="B111" s="147">
        <v>2</v>
      </c>
      <c r="C111" s="232">
        <v>53642.690999999999</v>
      </c>
      <c r="D111" s="166">
        <v>6.9421927241744967</v>
      </c>
      <c r="E111" s="166">
        <v>6.9421927241744967</v>
      </c>
      <c r="F111" s="166">
        <f t="shared" si="7"/>
        <v>6.9421927241744967</v>
      </c>
      <c r="G111" s="166">
        <v>30.14</v>
      </c>
      <c r="H111" s="148">
        <v>136.72222432000001</v>
      </c>
      <c r="I111" s="181">
        <f t="shared" si="8"/>
        <v>136.72222432000001</v>
      </c>
      <c r="J111" s="181">
        <f t="shared" si="9"/>
        <v>54.191646051728007</v>
      </c>
      <c r="K111" s="364">
        <v>25042</v>
      </c>
      <c r="L111" s="241">
        <v>25046</v>
      </c>
      <c r="M111" s="157">
        <v>8393.0723087999995</v>
      </c>
      <c r="N111" s="181">
        <f t="shared" si="10"/>
        <v>8393.0723087999995</v>
      </c>
      <c r="O111" s="245">
        <v>878</v>
      </c>
      <c r="P111" s="245">
        <v>0</v>
      </c>
      <c r="Q111" s="159">
        <v>4200</v>
      </c>
      <c r="R111" s="159">
        <v>1161</v>
      </c>
      <c r="S111" s="363">
        <f t="shared" si="11"/>
        <v>2142.1088970529509</v>
      </c>
      <c r="T111" s="271">
        <v>0.39636311010338604</v>
      </c>
    </row>
    <row r="112" spans="1:20" x14ac:dyDescent="0.2">
      <c r="A112" s="147">
        <v>2010</v>
      </c>
      <c r="B112" s="147">
        <v>3</v>
      </c>
      <c r="C112" s="232">
        <v>53439.336000000003</v>
      </c>
      <c r="D112" s="166">
        <v>6.9421927241744967</v>
      </c>
      <c r="E112" s="166">
        <v>6.9421927241744967</v>
      </c>
      <c r="F112" s="166">
        <f t="shared" si="7"/>
        <v>6.9421927241744967</v>
      </c>
      <c r="G112" s="166">
        <v>30</v>
      </c>
      <c r="H112" s="148">
        <v>136.72222432000001</v>
      </c>
      <c r="I112" s="181">
        <f t="shared" si="8"/>
        <v>136.72222432000001</v>
      </c>
      <c r="J112" s="181">
        <f t="shared" si="9"/>
        <v>54.191646051728007</v>
      </c>
      <c r="K112" s="364">
        <v>25028</v>
      </c>
      <c r="L112" s="241">
        <v>25020</v>
      </c>
      <c r="M112" s="157">
        <v>8393.0723087999995</v>
      </c>
      <c r="N112" s="181">
        <f t="shared" si="10"/>
        <v>8393.0723087999995</v>
      </c>
      <c r="O112" s="245">
        <v>852</v>
      </c>
      <c r="P112" s="245">
        <v>0</v>
      </c>
      <c r="Q112" s="159">
        <v>4200</v>
      </c>
      <c r="R112" s="159">
        <v>1161</v>
      </c>
      <c r="S112" s="363">
        <f t="shared" si="11"/>
        <v>2135.1820361195464</v>
      </c>
      <c r="T112" s="271">
        <v>0.39636311010338604</v>
      </c>
    </row>
    <row r="113" spans="1:20" x14ac:dyDescent="0.2">
      <c r="A113" s="147">
        <v>2010</v>
      </c>
      <c r="B113" s="147">
        <v>4</v>
      </c>
      <c r="C113" s="232">
        <v>32336.49</v>
      </c>
      <c r="D113" s="166">
        <v>6.9421927241744967</v>
      </c>
      <c r="E113" s="166">
        <v>6.9421927241744967</v>
      </c>
      <c r="F113" s="166">
        <f t="shared" si="7"/>
        <v>6.9421927241744967</v>
      </c>
      <c r="G113" s="166">
        <v>30.86</v>
      </c>
      <c r="H113" s="148">
        <v>136.72222432000001</v>
      </c>
      <c r="I113" s="181">
        <f t="shared" si="8"/>
        <v>136.72222432000001</v>
      </c>
      <c r="J113" s="181">
        <f t="shared" si="9"/>
        <v>54.186556465757896</v>
      </c>
      <c r="K113" s="364">
        <v>24926</v>
      </c>
      <c r="L113" s="241">
        <v>24927</v>
      </c>
      <c r="M113" s="157">
        <v>8393.0723087999995</v>
      </c>
      <c r="N113" s="181">
        <f t="shared" si="10"/>
        <v>8393.0723087999995</v>
      </c>
      <c r="O113" s="157">
        <v>396.95000000000005</v>
      </c>
      <c r="P113" s="157">
        <v>5.25</v>
      </c>
      <c r="Q113" s="159">
        <v>4200</v>
      </c>
      <c r="R113" s="159">
        <v>1161</v>
      </c>
      <c r="S113" s="363">
        <f t="shared" si="11"/>
        <v>1297.2996068362352</v>
      </c>
      <c r="T113" s="271">
        <v>0.39632588436342003</v>
      </c>
    </row>
    <row r="114" spans="1:20" x14ac:dyDescent="0.2">
      <c r="A114" s="147">
        <v>2010</v>
      </c>
      <c r="B114" s="147">
        <v>5</v>
      </c>
      <c r="C114" s="232">
        <v>22371.967000000001</v>
      </c>
      <c r="D114" s="166">
        <v>6.9421927241744967</v>
      </c>
      <c r="E114" s="166">
        <v>6.9421927241744967</v>
      </c>
      <c r="F114" s="166">
        <f t="shared" si="7"/>
        <v>6.9421927241744967</v>
      </c>
      <c r="G114" s="166">
        <v>30.48</v>
      </c>
      <c r="H114" s="148">
        <v>136.72222432000001</v>
      </c>
      <c r="I114" s="181">
        <f t="shared" si="8"/>
        <v>136.72222432000001</v>
      </c>
      <c r="J114" s="181">
        <f t="shared" si="9"/>
        <v>54.186556465757896</v>
      </c>
      <c r="K114" s="364">
        <v>24868</v>
      </c>
      <c r="L114" s="241">
        <v>24907</v>
      </c>
      <c r="M114" s="157">
        <v>8393.0723087999995</v>
      </c>
      <c r="N114" s="181">
        <f t="shared" si="10"/>
        <v>8393.0723087999995</v>
      </c>
      <c r="O114" s="245">
        <v>154.4</v>
      </c>
      <c r="P114" s="245">
        <v>46.5</v>
      </c>
      <c r="Q114" s="159">
        <v>4200</v>
      </c>
      <c r="R114" s="159">
        <v>1161</v>
      </c>
      <c r="S114" s="363">
        <f t="shared" si="11"/>
        <v>899.62871963969758</v>
      </c>
      <c r="T114" s="271">
        <v>0.39632588436342003</v>
      </c>
    </row>
    <row r="115" spans="1:20" x14ac:dyDescent="0.2">
      <c r="A115" s="147">
        <v>2010</v>
      </c>
      <c r="B115" s="147">
        <v>6</v>
      </c>
      <c r="C115" s="232">
        <v>23050.978999999999</v>
      </c>
      <c r="D115" s="166">
        <v>6.9421927241744967</v>
      </c>
      <c r="E115" s="166">
        <v>6.9421927241744967</v>
      </c>
      <c r="F115" s="166">
        <f t="shared" si="7"/>
        <v>6.9421927241744967</v>
      </c>
      <c r="G115" s="166">
        <v>30.67</v>
      </c>
      <c r="H115" s="148">
        <v>136.72222432000001</v>
      </c>
      <c r="I115" s="181">
        <f t="shared" si="8"/>
        <v>136.72222432000001</v>
      </c>
      <c r="J115" s="181">
        <f t="shared" si="9"/>
        <v>54.186556465757896</v>
      </c>
      <c r="K115" s="364">
        <v>24920</v>
      </c>
      <c r="L115" s="241">
        <v>24920</v>
      </c>
      <c r="M115" s="157">
        <v>8393.0723087999995</v>
      </c>
      <c r="N115" s="181">
        <f t="shared" si="10"/>
        <v>8393.0723087999995</v>
      </c>
      <c r="O115" s="245">
        <v>15.799999999999999</v>
      </c>
      <c r="P115" s="245">
        <v>201.65</v>
      </c>
      <c r="Q115" s="159">
        <v>4200</v>
      </c>
      <c r="R115" s="159">
        <v>1161</v>
      </c>
      <c r="S115" s="363">
        <f t="shared" si="11"/>
        <v>924.99915730337079</v>
      </c>
      <c r="T115" s="271">
        <v>0.39632588436342003</v>
      </c>
    </row>
    <row r="116" spans="1:20" x14ac:dyDescent="0.2">
      <c r="A116" s="147">
        <v>2010</v>
      </c>
      <c r="B116" s="147">
        <v>7</v>
      </c>
      <c r="C116" s="232">
        <v>27818.853999999999</v>
      </c>
      <c r="D116" s="166">
        <v>6.9421927241744967</v>
      </c>
      <c r="E116" s="166">
        <v>6.9421927241744967</v>
      </c>
      <c r="F116" s="166">
        <f t="shared" si="7"/>
        <v>6.9421927241744967</v>
      </c>
      <c r="G116" s="166">
        <v>30.71</v>
      </c>
      <c r="H116" s="148">
        <v>136.72222432000001</v>
      </c>
      <c r="I116" s="181">
        <f t="shared" si="8"/>
        <v>136.72222432000001</v>
      </c>
      <c r="J116" s="181">
        <f t="shared" si="9"/>
        <v>54.157694268303835</v>
      </c>
      <c r="K116" s="364">
        <v>24852</v>
      </c>
      <c r="L116" s="241">
        <v>24883</v>
      </c>
      <c r="M116" s="157">
        <v>8393.0723087999995</v>
      </c>
      <c r="N116" s="181">
        <f t="shared" si="10"/>
        <v>8393.0723087999995</v>
      </c>
      <c r="O116" s="245">
        <v>0</v>
      </c>
      <c r="P116" s="245">
        <v>372.85</v>
      </c>
      <c r="Q116" s="159">
        <v>4200</v>
      </c>
      <c r="R116" s="159">
        <v>1161</v>
      </c>
      <c r="S116" s="363">
        <f t="shared" si="11"/>
        <v>1119.3808948977951</v>
      </c>
      <c r="T116" s="271">
        <v>0.39611478336943307</v>
      </c>
    </row>
    <row r="117" spans="1:20" x14ac:dyDescent="0.2">
      <c r="A117" s="147">
        <v>2010</v>
      </c>
      <c r="B117" s="147">
        <v>8</v>
      </c>
      <c r="C117" s="232">
        <v>29062.985000000001</v>
      </c>
      <c r="D117" s="166">
        <v>6.9421927241744967</v>
      </c>
      <c r="E117" s="166">
        <v>6.9421927241744967</v>
      </c>
      <c r="F117" s="166">
        <f t="shared" si="7"/>
        <v>6.9421927241744967</v>
      </c>
      <c r="G117" s="166">
        <v>29.52</v>
      </c>
      <c r="H117" s="148">
        <v>136.72222432000001</v>
      </c>
      <c r="I117" s="181">
        <f t="shared" si="8"/>
        <v>136.72222432000001</v>
      </c>
      <c r="J117" s="181">
        <f t="shared" si="9"/>
        <v>54.157694268303835</v>
      </c>
      <c r="K117" s="364">
        <v>24950</v>
      </c>
      <c r="L117" s="241">
        <v>24974</v>
      </c>
      <c r="M117" s="157">
        <v>8393.0723087999995</v>
      </c>
      <c r="N117" s="181">
        <f t="shared" si="10"/>
        <v>8393.0723087999995</v>
      </c>
      <c r="O117" s="245">
        <v>0</v>
      </c>
      <c r="P117" s="245">
        <v>453.15</v>
      </c>
      <c r="Q117" s="159">
        <v>4200</v>
      </c>
      <c r="R117" s="159">
        <v>1161</v>
      </c>
      <c r="S117" s="363">
        <f t="shared" si="11"/>
        <v>1164.8490981963928</v>
      </c>
      <c r="T117" s="271">
        <v>0.39611478336943307</v>
      </c>
    </row>
    <row r="118" spans="1:20" x14ac:dyDescent="0.2">
      <c r="A118" s="147">
        <v>2010</v>
      </c>
      <c r="B118" s="147">
        <v>9</v>
      </c>
      <c r="C118" s="232">
        <v>26095.475999999999</v>
      </c>
      <c r="D118" s="166">
        <v>6.9421927241744967</v>
      </c>
      <c r="E118" s="166">
        <v>6.9421927241744967</v>
      </c>
      <c r="F118" s="166">
        <f t="shared" si="7"/>
        <v>6.9421927241744967</v>
      </c>
      <c r="G118" s="166">
        <v>30.52</v>
      </c>
      <c r="H118" s="148">
        <v>136.72222432000001</v>
      </c>
      <c r="I118" s="181">
        <f t="shared" si="8"/>
        <v>136.72222432000001</v>
      </c>
      <c r="J118" s="181">
        <f t="shared" si="9"/>
        <v>54.157694268303835</v>
      </c>
      <c r="K118" s="364">
        <v>24928</v>
      </c>
      <c r="L118" s="241">
        <v>24965</v>
      </c>
      <c r="M118" s="157">
        <v>8393.0723087999995</v>
      </c>
      <c r="N118" s="181">
        <f t="shared" si="10"/>
        <v>8393.0723087999995</v>
      </c>
      <c r="O118" s="245">
        <v>1.55</v>
      </c>
      <c r="P118" s="245">
        <v>294.64999999999998</v>
      </c>
      <c r="Q118" s="159">
        <v>4200</v>
      </c>
      <c r="R118" s="159">
        <v>1161</v>
      </c>
      <c r="S118" s="363">
        <f t="shared" si="11"/>
        <v>1046.8339216944801</v>
      </c>
      <c r="T118" s="271">
        <v>0.39611478336943307</v>
      </c>
    </row>
    <row r="119" spans="1:20" x14ac:dyDescent="0.2">
      <c r="A119" s="147">
        <v>2010</v>
      </c>
      <c r="B119" s="147">
        <v>10</v>
      </c>
      <c r="C119" s="232">
        <v>22565.238000000001</v>
      </c>
      <c r="D119" s="166">
        <v>6.9421927241744967</v>
      </c>
      <c r="E119" s="166">
        <v>6.9421927241744967</v>
      </c>
      <c r="F119" s="166">
        <f t="shared" si="7"/>
        <v>6.9421927241744967</v>
      </c>
      <c r="G119" s="166">
        <v>29.62</v>
      </c>
      <c r="H119" s="148">
        <v>136.72222432000001</v>
      </c>
      <c r="I119" s="181">
        <f t="shared" si="8"/>
        <v>136.72222432000001</v>
      </c>
      <c r="J119" s="181">
        <f t="shared" si="9"/>
        <v>54.11690936046444</v>
      </c>
      <c r="K119" s="364">
        <v>24902</v>
      </c>
      <c r="L119" s="241">
        <v>24930</v>
      </c>
      <c r="M119" s="157">
        <v>8393.0723087999995</v>
      </c>
      <c r="N119" s="181">
        <f t="shared" si="10"/>
        <v>8393.0723087999995</v>
      </c>
      <c r="O119" s="245">
        <v>121.85000000000001</v>
      </c>
      <c r="P119" s="245">
        <v>81.650000000000006</v>
      </c>
      <c r="Q119" s="159">
        <v>4200</v>
      </c>
      <c r="R119" s="159">
        <v>1161</v>
      </c>
      <c r="S119" s="363">
        <f t="shared" si="11"/>
        <v>906.16167376114379</v>
      </c>
      <c r="T119" s="271">
        <v>0.39581647848123919</v>
      </c>
    </row>
    <row r="120" spans="1:20" x14ac:dyDescent="0.2">
      <c r="A120" s="147">
        <v>2010</v>
      </c>
      <c r="B120" s="147">
        <v>11</v>
      </c>
      <c r="C120" s="232">
        <v>28643.159</v>
      </c>
      <c r="D120" s="166">
        <v>6.9421927241744967</v>
      </c>
      <c r="E120" s="166">
        <v>6.9421927241744967</v>
      </c>
      <c r="F120" s="166">
        <f t="shared" si="7"/>
        <v>6.9421927241744967</v>
      </c>
      <c r="G120" s="166">
        <v>29.6</v>
      </c>
      <c r="H120" s="148">
        <v>136.72222432000001</v>
      </c>
      <c r="I120" s="181">
        <f t="shared" si="8"/>
        <v>136.72222432000001</v>
      </c>
      <c r="J120" s="181">
        <f t="shared" si="9"/>
        <v>54.11690936046444</v>
      </c>
      <c r="K120" s="364">
        <v>24928</v>
      </c>
      <c r="L120" s="241">
        <v>24940</v>
      </c>
      <c r="M120" s="157">
        <v>8393.0723087999995</v>
      </c>
      <c r="N120" s="181">
        <f t="shared" si="10"/>
        <v>8393.0723087999995</v>
      </c>
      <c r="O120" s="245">
        <v>354</v>
      </c>
      <c r="P120" s="245">
        <v>3</v>
      </c>
      <c r="Q120" s="159">
        <v>4200</v>
      </c>
      <c r="R120" s="159">
        <v>1161</v>
      </c>
      <c r="S120" s="363">
        <f t="shared" si="11"/>
        <v>1149.0355824775354</v>
      </c>
      <c r="T120" s="271">
        <v>0.39581647848123919</v>
      </c>
    </row>
    <row r="121" spans="1:20" x14ac:dyDescent="0.2">
      <c r="A121" s="147">
        <v>2010</v>
      </c>
      <c r="B121" s="147">
        <v>12</v>
      </c>
      <c r="C121" s="232">
        <v>51672.137000000002</v>
      </c>
      <c r="D121" s="166">
        <v>6.9421927241744967</v>
      </c>
      <c r="E121" s="166">
        <v>6.9421927241744967</v>
      </c>
      <c r="F121" s="166">
        <f t="shared" si="7"/>
        <v>6.9421927241744967</v>
      </c>
      <c r="G121" s="166">
        <v>31.17</v>
      </c>
      <c r="H121" s="148">
        <v>136.72222432000001</v>
      </c>
      <c r="I121" s="181">
        <f t="shared" si="8"/>
        <v>136.72222432000001</v>
      </c>
      <c r="J121" s="181">
        <f t="shared" si="9"/>
        <v>54.11690936046444</v>
      </c>
      <c r="K121" s="364">
        <v>24803</v>
      </c>
      <c r="L121" s="241">
        <v>25002</v>
      </c>
      <c r="M121" s="157">
        <v>8393.0723087999995</v>
      </c>
      <c r="N121" s="181">
        <f t="shared" si="10"/>
        <v>8393.0723087999995</v>
      </c>
      <c r="O121" s="245">
        <v>751.25</v>
      </c>
      <c r="P121" s="245">
        <v>0</v>
      </c>
      <c r="Q121" s="159">
        <v>4200</v>
      </c>
      <c r="R121" s="159">
        <v>1161</v>
      </c>
      <c r="S121" s="363">
        <f t="shared" si="11"/>
        <v>2083.3018989638349</v>
      </c>
      <c r="T121" s="271">
        <v>0.39581647848123919</v>
      </c>
    </row>
    <row r="122" spans="1:20" x14ac:dyDescent="0.2">
      <c r="A122" s="147">
        <v>2011</v>
      </c>
      <c r="B122" s="147">
        <v>1</v>
      </c>
      <c r="C122" s="232">
        <v>70343.077000000005</v>
      </c>
      <c r="D122" s="166">
        <v>6.867</v>
      </c>
      <c r="E122" s="256">
        <f>D122</f>
        <v>6.867</v>
      </c>
      <c r="F122" s="166">
        <f t="shared" si="7"/>
        <v>6.867</v>
      </c>
      <c r="G122" s="166">
        <v>32.71</v>
      </c>
      <c r="H122" s="148">
        <v>136.34601402000001</v>
      </c>
      <c r="I122" s="181">
        <f t="shared" si="8"/>
        <v>136.34601402000001</v>
      </c>
      <c r="J122" s="181">
        <f t="shared" si="9"/>
        <v>53.995648974941282</v>
      </c>
      <c r="K122" s="364">
        <v>24960</v>
      </c>
      <c r="L122" s="241">
        <v>24982</v>
      </c>
      <c r="M122" s="157">
        <v>8707.5028902000013</v>
      </c>
      <c r="N122" s="181">
        <f t="shared" si="10"/>
        <v>8707.5028902000013</v>
      </c>
      <c r="O122" s="245">
        <v>1131.8499999999999</v>
      </c>
      <c r="P122" s="245">
        <v>0</v>
      </c>
      <c r="Q122" s="159">
        <v>4200</v>
      </c>
      <c r="R122" s="159">
        <v>1161</v>
      </c>
      <c r="S122" s="363">
        <f t="shared" si="11"/>
        <v>2818.2322516025642</v>
      </c>
      <c r="T122" s="271">
        <v>0.39601927025912831</v>
      </c>
    </row>
    <row r="123" spans="1:20" x14ac:dyDescent="0.2">
      <c r="A123" s="147">
        <v>2011</v>
      </c>
      <c r="B123" s="147">
        <v>2</v>
      </c>
      <c r="C123" s="232">
        <v>53202.078999999998</v>
      </c>
      <c r="D123" s="166">
        <v>6.867</v>
      </c>
      <c r="E123" s="256">
        <f t="shared" ref="E123:F133" si="12">D123</f>
        <v>6.867</v>
      </c>
      <c r="F123" s="166">
        <f t="shared" si="7"/>
        <v>6.867</v>
      </c>
      <c r="G123" s="166">
        <v>29.81</v>
      </c>
      <c r="H123" s="148">
        <v>136.34601402000001</v>
      </c>
      <c r="I123" s="181">
        <f t="shared" si="8"/>
        <v>136.34601402000001</v>
      </c>
      <c r="J123" s="181">
        <f t="shared" si="9"/>
        <v>53.995648974941282</v>
      </c>
      <c r="K123" s="364">
        <v>24950</v>
      </c>
      <c r="L123" s="241">
        <v>24990</v>
      </c>
      <c r="M123" s="157">
        <v>8707.5028902000013</v>
      </c>
      <c r="N123" s="181">
        <f t="shared" si="10"/>
        <v>8707.5028902000013</v>
      </c>
      <c r="O123" s="245">
        <v>817.85</v>
      </c>
      <c r="P123" s="245">
        <v>0</v>
      </c>
      <c r="Q123" s="159">
        <v>4200</v>
      </c>
      <c r="R123" s="159">
        <v>1161</v>
      </c>
      <c r="S123" s="363">
        <f t="shared" si="11"/>
        <v>2132.3478557114227</v>
      </c>
      <c r="T123" s="271">
        <v>0.39601927025912831</v>
      </c>
    </row>
    <row r="124" spans="1:20" x14ac:dyDescent="0.2">
      <c r="A124" s="147">
        <v>2011</v>
      </c>
      <c r="B124" s="147">
        <v>3</v>
      </c>
      <c r="C124" s="232">
        <v>41169.398999999998</v>
      </c>
      <c r="D124" s="166">
        <v>6.867</v>
      </c>
      <c r="E124" s="256">
        <f t="shared" si="12"/>
        <v>6.867</v>
      </c>
      <c r="F124" s="166">
        <f t="shared" si="7"/>
        <v>6.867</v>
      </c>
      <c r="G124" s="166">
        <v>30.33</v>
      </c>
      <c r="H124" s="148">
        <v>136.34601402000001</v>
      </c>
      <c r="I124" s="181">
        <f t="shared" si="8"/>
        <v>136.34601402000001</v>
      </c>
      <c r="J124" s="181">
        <f t="shared" si="9"/>
        <v>53.995648974941282</v>
      </c>
      <c r="K124" s="364">
        <v>24950</v>
      </c>
      <c r="L124" s="241">
        <v>24972</v>
      </c>
      <c r="M124" s="157">
        <v>8707.5028902000013</v>
      </c>
      <c r="N124" s="181">
        <f t="shared" si="10"/>
        <v>8707.5028902000013</v>
      </c>
      <c r="O124" s="245">
        <v>556.95000000000005</v>
      </c>
      <c r="P124" s="245">
        <v>0</v>
      </c>
      <c r="Q124" s="159">
        <v>4200</v>
      </c>
      <c r="R124" s="159">
        <v>1161</v>
      </c>
      <c r="S124" s="363">
        <f t="shared" si="11"/>
        <v>1650.0761122244487</v>
      </c>
      <c r="T124" s="271">
        <v>0.39601927025912831</v>
      </c>
    </row>
    <row r="125" spans="1:20" x14ac:dyDescent="0.2">
      <c r="A125" s="147">
        <v>2011</v>
      </c>
      <c r="B125" s="147">
        <v>4</v>
      </c>
      <c r="C125" s="232">
        <v>32984.226999999999</v>
      </c>
      <c r="D125" s="166">
        <v>6.8669999999999991</v>
      </c>
      <c r="E125" s="256">
        <f t="shared" si="12"/>
        <v>6.8669999999999991</v>
      </c>
      <c r="F125" s="166">
        <f t="shared" si="7"/>
        <v>6.8669999999999991</v>
      </c>
      <c r="G125" s="166">
        <v>29.86</v>
      </c>
      <c r="H125" s="148">
        <v>136.34601402000001</v>
      </c>
      <c r="I125" s="181">
        <f t="shared" si="8"/>
        <v>136.34601402000001</v>
      </c>
      <c r="J125" s="181">
        <f t="shared" si="9"/>
        <v>53.994145682983955</v>
      </c>
      <c r="K125" s="362">
        <v>24948</v>
      </c>
      <c r="L125" s="241">
        <v>24864</v>
      </c>
      <c r="M125" s="157">
        <v>8707.5028902000013</v>
      </c>
      <c r="N125" s="181">
        <f t="shared" si="10"/>
        <v>8707.5028902000013</v>
      </c>
      <c r="O125" s="245">
        <v>377.1</v>
      </c>
      <c r="P125" s="245">
        <v>8</v>
      </c>
      <c r="Q125" s="159">
        <v>4200</v>
      </c>
      <c r="R125" s="159">
        <v>1161</v>
      </c>
      <c r="S125" s="363">
        <f t="shared" si="11"/>
        <v>1322.119087702421</v>
      </c>
      <c r="T125" s="271">
        <v>0.39600824469326829</v>
      </c>
    </row>
    <row r="126" spans="1:20" x14ac:dyDescent="0.2">
      <c r="A126" s="147">
        <v>2011</v>
      </c>
      <c r="B126" s="147">
        <v>5</v>
      </c>
      <c r="C126" s="232">
        <v>23199.846000000001</v>
      </c>
      <c r="D126" s="166">
        <v>6.8669999999999991</v>
      </c>
      <c r="E126" s="256">
        <f t="shared" si="12"/>
        <v>6.8669999999999991</v>
      </c>
      <c r="F126" s="166">
        <f t="shared" si="7"/>
        <v>6.8669999999999991</v>
      </c>
      <c r="G126" s="166">
        <v>30.48</v>
      </c>
      <c r="H126" s="148">
        <v>136.34601402000001</v>
      </c>
      <c r="I126" s="181">
        <f t="shared" si="8"/>
        <v>136.34601402000001</v>
      </c>
      <c r="J126" s="181">
        <f t="shared" si="9"/>
        <v>53.994145682983955</v>
      </c>
      <c r="K126" s="362">
        <v>24946</v>
      </c>
      <c r="L126" s="241">
        <v>24900</v>
      </c>
      <c r="M126" s="157">
        <v>8707.5028902000013</v>
      </c>
      <c r="N126" s="181">
        <f t="shared" si="10"/>
        <v>8707.5028902000013</v>
      </c>
      <c r="O126" s="245">
        <v>142.39999999999998</v>
      </c>
      <c r="P126" s="245">
        <v>76.2</v>
      </c>
      <c r="Q126" s="159">
        <v>4200</v>
      </c>
      <c r="R126" s="159">
        <v>1161</v>
      </c>
      <c r="S126" s="363">
        <f t="shared" si="11"/>
        <v>930.00264571474395</v>
      </c>
      <c r="T126" s="271">
        <v>0.39600824469326829</v>
      </c>
    </row>
    <row r="127" spans="1:20" x14ac:dyDescent="0.2">
      <c r="A127" s="147">
        <v>2011</v>
      </c>
      <c r="B127" s="147">
        <v>6</v>
      </c>
      <c r="C127" s="232">
        <v>25088.501</v>
      </c>
      <c r="D127" s="166">
        <v>6.8669999999999991</v>
      </c>
      <c r="E127" s="256">
        <f t="shared" si="12"/>
        <v>6.8669999999999991</v>
      </c>
      <c r="F127" s="166">
        <f t="shared" si="7"/>
        <v>6.8669999999999991</v>
      </c>
      <c r="G127" s="166">
        <v>30.67</v>
      </c>
      <c r="H127" s="148">
        <v>136.34601402000001</v>
      </c>
      <c r="I127" s="181">
        <f t="shared" si="8"/>
        <v>136.34601402000001</v>
      </c>
      <c r="J127" s="181">
        <f t="shared" si="9"/>
        <v>53.994145682983955</v>
      </c>
      <c r="K127" s="362">
        <v>24944</v>
      </c>
      <c r="L127" s="241">
        <v>24842</v>
      </c>
      <c r="M127" s="157">
        <v>8707.5028902000013</v>
      </c>
      <c r="N127" s="181">
        <f t="shared" si="10"/>
        <v>8707.5028902000013</v>
      </c>
      <c r="O127" s="245">
        <v>38.700000000000003</v>
      </c>
      <c r="P127" s="245">
        <v>271</v>
      </c>
      <c r="Q127" s="159">
        <v>4200</v>
      </c>
      <c r="R127" s="159">
        <v>1161</v>
      </c>
      <c r="S127" s="363">
        <f t="shared" si="11"/>
        <v>1005.7930163566389</v>
      </c>
      <c r="T127" s="271">
        <v>0.39600824469326829</v>
      </c>
    </row>
    <row r="128" spans="1:20" x14ac:dyDescent="0.2">
      <c r="A128" s="147">
        <v>2011</v>
      </c>
      <c r="B128" s="147">
        <v>7</v>
      </c>
      <c r="C128" s="232">
        <v>25208.544000000002</v>
      </c>
      <c r="D128" s="166">
        <v>6.8669999999999991</v>
      </c>
      <c r="E128" s="256">
        <f t="shared" si="12"/>
        <v>6.8669999999999991</v>
      </c>
      <c r="F128" s="166">
        <f t="shared" si="7"/>
        <v>6.8669999999999991</v>
      </c>
      <c r="G128" s="166">
        <v>30.71</v>
      </c>
      <c r="H128" s="148">
        <v>136.34601402000001</v>
      </c>
      <c r="I128" s="181">
        <f t="shared" si="8"/>
        <v>136.34601402000001</v>
      </c>
      <c r="J128" s="181">
        <f t="shared" si="9"/>
        <v>53.998030466308215</v>
      </c>
      <c r="K128" s="362">
        <v>24942</v>
      </c>
      <c r="L128" s="241">
        <v>24817</v>
      </c>
      <c r="M128" s="157">
        <v>8707.5028902000013</v>
      </c>
      <c r="N128" s="181">
        <f t="shared" si="10"/>
        <v>8707.5028902000013</v>
      </c>
      <c r="O128" s="245">
        <v>0</v>
      </c>
      <c r="P128" s="245">
        <v>323</v>
      </c>
      <c r="Q128" s="159">
        <v>4200</v>
      </c>
      <c r="R128" s="159">
        <v>1161</v>
      </c>
      <c r="S128" s="363">
        <f t="shared" si="11"/>
        <v>1010.686552802502</v>
      </c>
      <c r="T128" s="271">
        <v>0.39603673678636087</v>
      </c>
    </row>
    <row r="129" spans="1:20" x14ac:dyDescent="0.2">
      <c r="A129" s="147">
        <v>2011</v>
      </c>
      <c r="B129" s="147">
        <v>8</v>
      </c>
      <c r="C129" s="232">
        <v>28238.304</v>
      </c>
      <c r="D129" s="166">
        <v>6.8669999999999991</v>
      </c>
      <c r="E129" s="256">
        <f t="shared" si="12"/>
        <v>6.8669999999999991</v>
      </c>
      <c r="F129" s="166">
        <f t="shared" si="7"/>
        <v>6.8669999999999991</v>
      </c>
      <c r="G129" s="166">
        <v>29.52</v>
      </c>
      <c r="H129" s="148">
        <v>136.34601402000001</v>
      </c>
      <c r="I129" s="181">
        <f t="shared" si="8"/>
        <v>136.34601402000001</v>
      </c>
      <c r="J129" s="181">
        <f t="shared" si="9"/>
        <v>53.998030466308215</v>
      </c>
      <c r="K129" s="362">
        <v>24940</v>
      </c>
      <c r="L129" s="241">
        <v>24854</v>
      </c>
      <c r="M129" s="157">
        <v>8707.5028902000013</v>
      </c>
      <c r="N129" s="181">
        <f t="shared" si="10"/>
        <v>8707.5028902000013</v>
      </c>
      <c r="O129" s="245">
        <v>0</v>
      </c>
      <c r="P129" s="245">
        <v>412.8</v>
      </c>
      <c r="Q129" s="159">
        <v>4200</v>
      </c>
      <c r="R129" s="159">
        <v>1161</v>
      </c>
      <c r="S129" s="363">
        <f t="shared" si="11"/>
        <v>1132.2495589414593</v>
      </c>
      <c r="T129" s="271">
        <v>0.39603673678636087</v>
      </c>
    </row>
    <row r="130" spans="1:20" x14ac:dyDescent="0.2">
      <c r="A130" s="147">
        <v>2011</v>
      </c>
      <c r="B130" s="147">
        <v>9</v>
      </c>
      <c r="C130" s="232">
        <v>24902.756000000001</v>
      </c>
      <c r="D130" s="166">
        <v>6.8669999999999991</v>
      </c>
      <c r="E130" s="256">
        <f t="shared" si="12"/>
        <v>6.8669999999999991</v>
      </c>
      <c r="F130" s="166">
        <f t="shared" si="7"/>
        <v>6.8669999999999991</v>
      </c>
      <c r="G130" s="166">
        <v>30.52</v>
      </c>
      <c r="H130" s="148">
        <v>136.34601402000001</v>
      </c>
      <c r="I130" s="181">
        <f t="shared" si="8"/>
        <v>136.34601402000001</v>
      </c>
      <c r="J130" s="181">
        <f t="shared" si="9"/>
        <v>53.998030466308215</v>
      </c>
      <c r="K130" s="362">
        <v>24938</v>
      </c>
      <c r="L130" s="241">
        <v>24771</v>
      </c>
      <c r="M130" s="157">
        <v>8707.5028902000013</v>
      </c>
      <c r="N130" s="181">
        <f t="shared" si="10"/>
        <v>8707.5028902000013</v>
      </c>
      <c r="O130" s="245">
        <v>4.5</v>
      </c>
      <c r="P130" s="245">
        <v>258.15000000000003</v>
      </c>
      <c r="Q130" s="159">
        <v>4200</v>
      </c>
      <c r="R130" s="159">
        <v>1161</v>
      </c>
      <c r="S130" s="363">
        <f t="shared" si="11"/>
        <v>998.58673510305562</v>
      </c>
      <c r="T130" s="271">
        <v>0.39603673678636087</v>
      </c>
    </row>
    <row r="131" spans="1:20" x14ac:dyDescent="0.2">
      <c r="A131" s="147">
        <v>2011</v>
      </c>
      <c r="B131" s="147">
        <v>10</v>
      </c>
      <c r="C131" s="232">
        <v>22230.395</v>
      </c>
      <c r="D131" s="166">
        <v>6.8669999999999991</v>
      </c>
      <c r="E131" s="256">
        <f t="shared" si="12"/>
        <v>6.8669999999999991</v>
      </c>
      <c r="F131" s="166">
        <f t="shared" si="12"/>
        <v>6.8669999999999991</v>
      </c>
      <c r="G131" s="166">
        <v>29.62</v>
      </c>
      <c r="H131" s="148">
        <v>136.34601402000001</v>
      </c>
      <c r="I131" s="181">
        <f t="shared" ref="I131:I194" si="13">H131</f>
        <v>136.34601402000001</v>
      </c>
      <c r="J131" s="181">
        <f t="shared" ref="J131:J194" si="14">H131*T131</f>
        <v>54.009985225382707</v>
      </c>
      <c r="K131" s="362">
        <v>24936</v>
      </c>
      <c r="L131" s="241">
        <v>24785</v>
      </c>
      <c r="M131" s="157">
        <v>8707.5028902000013</v>
      </c>
      <c r="N131" s="181">
        <f t="shared" ref="N131:N194" si="15">M131</f>
        <v>8707.5028902000013</v>
      </c>
      <c r="O131" s="245">
        <v>107.15</v>
      </c>
      <c r="P131" s="245">
        <v>57.35</v>
      </c>
      <c r="Q131" s="159">
        <v>4200</v>
      </c>
      <c r="R131" s="159">
        <v>1161</v>
      </c>
      <c r="S131" s="363">
        <f t="shared" ref="S131:S194" si="16">C131/K131*1000</f>
        <v>891.498034969522</v>
      </c>
      <c r="T131" s="271">
        <v>0.39612441635044948</v>
      </c>
    </row>
    <row r="132" spans="1:20" x14ac:dyDescent="0.2">
      <c r="A132" s="147">
        <v>2011</v>
      </c>
      <c r="B132" s="147">
        <v>11</v>
      </c>
      <c r="C132" s="232">
        <v>29108.956999999999</v>
      </c>
      <c r="D132" s="166">
        <v>6.8669999999999991</v>
      </c>
      <c r="E132" s="256">
        <f t="shared" si="12"/>
        <v>6.8669999999999991</v>
      </c>
      <c r="F132" s="166">
        <f t="shared" si="12"/>
        <v>6.8669999999999991</v>
      </c>
      <c r="G132" s="166">
        <v>29.95</v>
      </c>
      <c r="H132" s="148">
        <v>136.34601402000001</v>
      </c>
      <c r="I132" s="181">
        <f t="shared" si="13"/>
        <v>136.34601402000001</v>
      </c>
      <c r="J132" s="181">
        <f t="shared" si="14"/>
        <v>54.009985225382707</v>
      </c>
      <c r="K132" s="362">
        <v>24934</v>
      </c>
      <c r="L132" s="241">
        <v>24770</v>
      </c>
      <c r="M132" s="157">
        <v>8707.5028902000013</v>
      </c>
      <c r="N132" s="181">
        <f t="shared" si="15"/>
        <v>8707.5028902000013</v>
      </c>
      <c r="O132" s="245">
        <v>387.7</v>
      </c>
      <c r="P132" s="245">
        <v>0.9</v>
      </c>
      <c r="Q132" s="159">
        <v>4200</v>
      </c>
      <c r="R132" s="159">
        <v>1161</v>
      </c>
      <c r="S132" s="363">
        <f t="shared" si="16"/>
        <v>1167.4403224512712</v>
      </c>
      <c r="T132" s="271">
        <v>0.39612441635044948</v>
      </c>
    </row>
    <row r="133" spans="1:20" x14ac:dyDescent="0.2">
      <c r="A133" s="147">
        <v>2011</v>
      </c>
      <c r="B133" s="147">
        <v>12</v>
      </c>
      <c r="C133" s="232">
        <v>39803.669000000002</v>
      </c>
      <c r="D133" s="166">
        <v>6.8669999999999991</v>
      </c>
      <c r="E133" s="256">
        <f t="shared" si="12"/>
        <v>6.8669999999999991</v>
      </c>
      <c r="F133" s="166">
        <f t="shared" si="12"/>
        <v>6.8669999999999991</v>
      </c>
      <c r="G133" s="166">
        <v>31.24</v>
      </c>
      <c r="H133" s="148">
        <v>136.34601402000001</v>
      </c>
      <c r="I133" s="181">
        <f t="shared" si="13"/>
        <v>136.34601402000001</v>
      </c>
      <c r="J133" s="181">
        <f t="shared" si="14"/>
        <v>54.009985225382707</v>
      </c>
      <c r="K133" s="362">
        <v>24932</v>
      </c>
      <c r="L133" s="241">
        <v>24727</v>
      </c>
      <c r="M133" s="157">
        <v>8707.5028902000013</v>
      </c>
      <c r="N133" s="181">
        <f t="shared" si="15"/>
        <v>8707.5028902000013</v>
      </c>
      <c r="O133" s="245">
        <v>559.85</v>
      </c>
      <c r="P133" s="245">
        <v>0</v>
      </c>
      <c r="Q133" s="159">
        <v>4200</v>
      </c>
      <c r="R133" s="159">
        <v>1161</v>
      </c>
      <c r="S133" s="363">
        <f t="shared" si="16"/>
        <v>1596.4892106529762</v>
      </c>
      <c r="T133" s="271">
        <v>0.39612441635044948</v>
      </c>
    </row>
    <row r="134" spans="1:20" x14ac:dyDescent="0.2">
      <c r="A134" s="147">
        <v>2012</v>
      </c>
      <c r="B134" s="147">
        <v>1</v>
      </c>
      <c r="C134" s="232">
        <v>53501.097999999998</v>
      </c>
      <c r="D134" s="166">
        <v>7.4624290124847041</v>
      </c>
      <c r="E134" s="256">
        <f>HLOOKUP($A134,'OD Rates'!$B$1:$K$13,13,0)*100</f>
        <v>8.8233866865828006</v>
      </c>
      <c r="F134" s="256">
        <f>HLOOKUP($A134,'OD Rates'!$B$17:$K$26,10,0)*100</f>
        <v>8.5397890552402913</v>
      </c>
      <c r="G134" s="166">
        <v>32.549999999999997</v>
      </c>
      <c r="H134" s="148">
        <v>136.38378685999999</v>
      </c>
      <c r="I134" s="181">
        <f t="shared" si="13"/>
        <v>136.38378685999999</v>
      </c>
      <c r="J134" s="181">
        <f t="shared" si="14"/>
        <v>54.051983296156834</v>
      </c>
      <c r="K134" s="362">
        <v>24930</v>
      </c>
      <c r="L134" s="241">
        <v>24776</v>
      </c>
      <c r="M134" s="157">
        <v>9049.0733648000005</v>
      </c>
      <c r="N134" s="181">
        <f t="shared" si="15"/>
        <v>9049.0733648000005</v>
      </c>
      <c r="O134" s="245">
        <v>807.09999999999991</v>
      </c>
      <c r="P134" s="245">
        <v>0</v>
      </c>
      <c r="Q134" s="159">
        <v>4200</v>
      </c>
      <c r="R134" s="159">
        <v>1161</v>
      </c>
      <c r="S134" s="363">
        <f t="shared" si="16"/>
        <v>2146.0528680304851</v>
      </c>
      <c r="T134" s="271">
        <v>0.39632264611952744</v>
      </c>
    </row>
    <row r="135" spans="1:20" x14ac:dyDescent="0.2">
      <c r="A135" s="147">
        <v>2012</v>
      </c>
      <c r="B135" s="147">
        <v>2</v>
      </c>
      <c r="C135" s="232">
        <v>45861.491999999998</v>
      </c>
      <c r="D135" s="166">
        <v>7.4624290124847041</v>
      </c>
      <c r="E135" s="256">
        <f>HLOOKUP($A135,'OD Rates'!$B$1:$K$13,13,0)*100</f>
        <v>8.8233866865828006</v>
      </c>
      <c r="F135" s="256">
        <f>HLOOKUP($A135,'OD Rates'!$B$17:$K$26,10,0)*100</f>
        <v>8.5397890552402913</v>
      </c>
      <c r="G135" s="166">
        <v>29.75</v>
      </c>
      <c r="H135" s="148">
        <v>136.38378685999999</v>
      </c>
      <c r="I135" s="181">
        <f t="shared" si="13"/>
        <v>136.38378685999999</v>
      </c>
      <c r="J135" s="181">
        <f t="shared" si="14"/>
        <v>54.051983296156834</v>
      </c>
      <c r="K135" s="362">
        <v>24928</v>
      </c>
      <c r="L135" s="241">
        <v>24762</v>
      </c>
      <c r="M135" s="157">
        <v>9049.0733648000005</v>
      </c>
      <c r="N135" s="181">
        <f t="shared" si="15"/>
        <v>9049.0733648000005</v>
      </c>
      <c r="O135" s="245">
        <v>689.15</v>
      </c>
      <c r="P135" s="245">
        <v>0</v>
      </c>
      <c r="Q135" s="159">
        <v>4200</v>
      </c>
      <c r="R135" s="159">
        <v>1161</v>
      </c>
      <c r="S135" s="363">
        <f t="shared" si="16"/>
        <v>1839.7581835686779</v>
      </c>
      <c r="T135" s="271">
        <v>0.39632264611952744</v>
      </c>
    </row>
    <row r="136" spans="1:20" x14ac:dyDescent="0.2">
      <c r="A136" s="147">
        <v>2012</v>
      </c>
      <c r="B136" s="147">
        <v>3</v>
      </c>
      <c r="C136" s="232">
        <v>38058.786</v>
      </c>
      <c r="D136" s="166">
        <v>7.4624290124847041</v>
      </c>
      <c r="E136" s="256">
        <f>HLOOKUP($A136,'OD Rates'!$B$1:$K$13,13,0)*100</f>
        <v>8.8233866865828006</v>
      </c>
      <c r="F136" s="256">
        <f>HLOOKUP($A136,'OD Rates'!$B$17:$K$26,10,0)*100</f>
        <v>8.5397890552402913</v>
      </c>
      <c r="G136" s="166">
        <v>30.38</v>
      </c>
      <c r="H136" s="148">
        <v>136.38378685999999</v>
      </c>
      <c r="I136" s="181">
        <f t="shared" si="13"/>
        <v>136.38378685999999</v>
      </c>
      <c r="J136" s="181">
        <f t="shared" si="14"/>
        <v>54.051983296156834</v>
      </c>
      <c r="K136" s="362">
        <v>24926</v>
      </c>
      <c r="L136" s="241">
        <v>24715</v>
      </c>
      <c r="M136" s="157">
        <v>9049.0733648000005</v>
      </c>
      <c r="N136" s="181">
        <f t="shared" si="15"/>
        <v>9049.0733648000005</v>
      </c>
      <c r="O136" s="365">
        <v>494</v>
      </c>
      <c r="P136" s="365">
        <v>1.5</v>
      </c>
      <c r="Q136" s="159">
        <v>4200</v>
      </c>
      <c r="R136" s="159">
        <v>1161</v>
      </c>
      <c r="S136" s="363">
        <f t="shared" si="16"/>
        <v>1526.8709780951617</v>
      </c>
      <c r="T136" s="271">
        <v>0.39632264611952744</v>
      </c>
    </row>
    <row r="137" spans="1:20" x14ac:dyDescent="0.2">
      <c r="A137" s="147">
        <v>2012</v>
      </c>
      <c r="B137" s="147">
        <v>4</v>
      </c>
      <c r="C137" s="232">
        <v>23648.072</v>
      </c>
      <c r="D137" s="166">
        <v>7.4624290124847041</v>
      </c>
      <c r="E137" s="256">
        <f>HLOOKUP($A137,'OD Rates'!$B$1:$K$13,13,0)*100</f>
        <v>8.8233866865828006</v>
      </c>
      <c r="F137" s="256">
        <f>HLOOKUP($A137,'OD Rates'!$B$17:$K$26,10,0)*100</f>
        <v>8.5397890552402913</v>
      </c>
      <c r="G137" s="166">
        <v>30.67</v>
      </c>
      <c r="H137" s="148">
        <v>136.38378685999999</v>
      </c>
      <c r="I137" s="181">
        <f t="shared" si="13"/>
        <v>136.38378685999999</v>
      </c>
      <c r="J137" s="181">
        <f t="shared" si="14"/>
        <v>54.073605074429324</v>
      </c>
      <c r="K137" s="362">
        <v>24924</v>
      </c>
      <c r="L137" s="241">
        <v>24647</v>
      </c>
      <c r="M137" s="157">
        <v>9049.0733648000005</v>
      </c>
      <c r="N137" s="181">
        <f t="shared" si="15"/>
        <v>9049.0733648000005</v>
      </c>
      <c r="O137" s="157">
        <v>188</v>
      </c>
      <c r="P137" s="157">
        <v>7</v>
      </c>
      <c r="Q137" s="159">
        <v>4200</v>
      </c>
      <c r="R137" s="159">
        <v>1161</v>
      </c>
      <c r="S137" s="363">
        <f t="shared" si="16"/>
        <v>948.80725405231908</v>
      </c>
      <c r="T137" s="271">
        <v>0.39648118239990426</v>
      </c>
    </row>
    <row r="138" spans="1:20" x14ac:dyDescent="0.2">
      <c r="A138" s="147">
        <v>2012</v>
      </c>
      <c r="B138" s="147">
        <v>5</v>
      </c>
      <c r="C138" s="232">
        <v>22838.196</v>
      </c>
      <c r="D138" s="166">
        <v>7.4624290124847041</v>
      </c>
      <c r="E138" s="256">
        <f>HLOOKUP($A138,'OD Rates'!$B$1:$K$13,13,0)*100</f>
        <v>8.8233866865828006</v>
      </c>
      <c r="F138" s="256">
        <f>HLOOKUP($A138,'OD Rates'!$B$17:$K$26,10,0)*100</f>
        <v>8.5397890552402913</v>
      </c>
      <c r="G138" s="166">
        <v>29.71</v>
      </c>
      <c r="H138" s="148">
        <v>136.38378685999999</v>
      </c>
      <c r="I138" s="181">
        <f t="shared" si="13"/>
        <v>136.38378685999999</v>
      </c>
      <c r="J138" s="181">
        <f t="shared" si="14"/>
        <v>54.073605074429324</v>
      </c>
      <c r="K138" s="362">
        <v>24922</v>
      </c>
      <c r="L138" s="265">
        <v>24638</v>
      </c>
      <c r="M138" s="157">
        <v>9049.0733648000005</v>
      </c>
      <c r="N138" s="181">
        <f t="shared" si="15"/>
        <v>9049.0733648000005</v>
      </c>
      <c r="O138" s="245">
        <v>131.80000000000001</v>
      </c>
      <c r="P138" s="245">
        <v>60.95</v>
      </c>
      <c r="Q138" s="159">
        <v>4200</v>
      </c>
      <c r="R138" s="159">
        <v>1161</v>
      </c>
      <c r="S138" s="363">
        <f t="shared" ref="S138:S148" si="17">C138/L138*1000</f>
        <v>926.95007711664914</v>
      </c>
      <c r="T138" s="271">
        <v>0.39648118239990426</v>
      </c>
    </row>
    <row r="139" spans="1:20" x14ac:dyDescent="0.2">
      <c r="A139" s="147">
        <v>2012</v>
      </c>
      <c r="B139" s="147">
        <v>6</v>
      </c>
      <c r="C139" s="232">
        <v>22357.558000000001</v>
      </c>
      <c r="D139" s="166">
        <v>7.4624290124847041</v>
      </c>
      <c r="E139" s="256">
        <f>HLOOKUP($A139,'OD Rates'!$B$1:$K$13,13,0)*100</f>
        <v>8.8233866865828006</v>
      </c>
      <c r="F139" s="256">
        <f>HLOOKUP($A139,'OD Rates'!$B$17:$K$26,10,0)*100</f>
        <v>8.5397890552402913</v>
      </c>
      <c r="G139" s="166">
        <v>30.62</v>
      </c>
      <c r="H139" s="148">
        <v>136.38378685999999</v>
      </c>
      <c r="I139" s="181">
        <f t="shared" si="13"/>
        <v>136.38378685999999</v>
      </c>
      <c r="J139" s="181">
        <f t="shared" si="14"/>
        <v>54.073605074429324</v>
      </c>
      <c r="K139" s="362">
        <v>24920</v>
      </c>
      <c r="L139" s="265">
        <v>24615</v>
      </c>
      <c r="M139" s="157">
        <v>9049.0733648000005</v>
      </c>
      <c r="N139" s="181">
        <f t="shared" si="15"/>
        <v>9049.0733648000005</v>
      </c>
      <c r="O139" s="245">
        <v>17.25</v>
      </c>
      <c r="P139" s="245">
        <v>161.94999999999999</v>
      </c>
      <c r="Q139" s="159">
        <v>4200</v>
      </c>
      <c r="R139" s="159">
        <v>1161</v>
      </c>
      <c r="S139" s="363">
        <f t="shared" si="17"/>
        <v>908.28998578102778</v>
      </c>
      <c r="T139" s="271">
        <v>0.39648118239990426</v>
      </c>
    </row>
    <row r="140" spans="1:20" x14ac:dyDescent="0.2">
      <c r="A140" s="147">
        <v>2012</v>
      </c>
      <c r="B140" s="147">
        <v>7</v>
      </c>
      <c r="C140" s="232">
        <v>26683.851999999999</v>
      </c>
      <c r="D140" s="166">
        <v>7.4624290124847041</v>
      </c>
      <c r="E140" s="256">
        <f>HLOOKUP($A140,'OD Rates'!$B$1:$K$13,13,0)*100</f>
        <v>8.8233866865828006</v>
      </c>
      <c r="F140" s="256">
        <f>HLOOKUP($A140,'OD Rates'!$B$17:$K$26,10,0)*100</f>
        <v>8.5397890552402913</v>
      </c>
      <c r="G140" s="166">
        <v>30.76</v>
      </c>
      <c r="H140" s="148">
        <v>136.38378685999999</v>
      </c>
      <c r="I140" s="181">
        <f t="shared" si="13"/>
        <v>136.38378685999999</v>
      </c>
      <c r="J140" s="181">
        <f t="shared" si="14"/>
        <v>54.083928967681345</v>
      </c>
      <c r="K140" s="362">
        <v>24918</v>
      </c>
      <c r="L140" s="265">
        <v>24595</v>
      </c>
      <c r="M140" s="157">
        <v>9049.0733648000005</v>
      </c>
      <c r="N140" s="181">
        <f t="shared" si="15"/>
        <v>9049.0733648000005</v>
      </c>
      <c r="O140" s="245">
        <v>0.5</v>
      </c>
      <c r="P140" s="245">
        <v>362.75</v>
      </c>
      <c r="Q140" s="159">
        <v>4200</v>
      </c>
      <c r="R140" s="159">
        <v>1161</v>
      </c>
      <c r="S140" s="363">
        <f t="shared" si="17"/>
        <v>1084.9299451107947</v>
      </c>
      <c r="T140" s="271">
        <v>0.3965568797645963</v>
      </c>
    </row>
    <row r="141" spans="1:20" x14ac:dyDescent="0.2">
      <c r="A141" s="147">
        <v>2012</v>
      </c>
      <c r="B141" s="147">
        <v>8</v>
      </c>
      <c r="C141" s="232">
        <v>25544.995999999999</v>
      </c>
      <c r="D141" s="166">
        <v>7.4624290124847041</v>
      </c>
      <c r="E141" s="256">
        <f>HLOOKUP($A141,'OD Rates'!$B$1:$K$13,13,0)*100</f>
        <v>8.8233866865828006</v>
      </c>
      <c r="F141" s="256">
        <f>HLOOKUP($A141,'OD Rates'!$B$17:$K$26,10,0)*100</f>
        <v>8.5397890552402913</v>
      </c>
      <c r="G141" s="166">
        <v>29.48</v>
      </c>
      <c r="H141" s="148">
        <v>136.38378685999999</v>
      </c>
      <c r="I141" s="181">
        <f t="shared" si="13"/>
        <v>136.38378685999999</v>
      </c>
      <c r="J141" s="181">
        <f t="shared" si="14"/>
        <v>54.083928967681345</v>
      </c>
      <c r="K141" s="362">
        <v>24916</v>
      </c>
      <c r="L141" s="265">
        <v>24633</v>
      </c>
      <c r="M141" s="157">
        <v>9049.0733648000005</v>
      </c>
      <c r="N141" s="181">
        <f t="shared" si="15"/>
        <v>9049.0733648000005</v>
      </c>
      <c r="O141" s="245">
        <v>0</v>
      </c>
      <c r="P141" s="245">
        <v>332</v>
      </c>
      <c r="Q141" s="159">
        <v>4200</v>
      </c>
      <c r="R141" s="159">
        <v>1161</v>
      </c>
      <c r="S141" s="363">
        <f t="shared" si="17"/>
        <v>1037.0233426704015</v>
      </c>
      <c r="T141" s="271">
        <v>0.3965568797645963</v>
      </c>
    </row>
    <row r="142" spans="1:20" x14ac:dyDescent="0.2">
      <c r="A142" s="147">
        <v>2012</v>
      </c>
      <c r="B142" s="147">
        <v>9</v>
      </c>
      <c r="C142" s="232">
        <v>23654.171999999999</v>
      </c>
      <c r="D142" s="166">
        <v>7.4624290124847041</v>
      </c>
      <c r="E142" s="256">
        <f>HLOOKUP($A142,'OD Rates'!$B$1:$K$13,13,0)*100</f>
        <v>8.8233866865828006</v>
      </c>
      <c r="F142" s="256">
        <f>HLOOKUP($A142,'OD Rates'!$B$17:$K$26,10,0)*100</f>
        <v>8.5397890552402913</v>
      </c>
      <c r="G142" s="166">
        <v>30.57</v>
      </c>
      <c r="H142" s="148">
        <v>136.38378685999999</v>
      </c>
      <c r="I142" s="181">
        <f t="shared" si="13"/>
        <v>136.38378685999999</v>
      </c>
      <c r="J142" s="181">
        <f t="shared" si="14"/>
        <v>54.083928967681345</v>
      </c>
      <c r="K142" s="362">
        <v>24914</v>
      </c>
      <c r="L142" s="265">
        <v>24572</v>
      </c>
      <c r="M142" s="157">
        <v>9049.0733648000005</v>
      </c>
      <c r="N142" s="181">
        <f t="shared" si="15"/>
        <v>9049.0733648000005</v>
      </c>
      <c r="O142" s="245">
        <v>8.9499999999999993</v>
      </c>
      <c r="P142" s="245">
        <v>226.65</v>
      </c>
      <c r="Q142" s="159">
        <v>4200</v>
      </c>
      <c r="R142" s="159">
        <v>1161</v>
      </c>
      <c r="S142" s="363">
        <f t="shared" si="17"/>
        <v>962.64740354875471</v>
      </c>
      <c r="T142" s="271">
        <v>0.3965568797645963</v>
      </c>
    </row>
    <row r="143" spans="1:20" x14ac:dyDescent="0.2">
      <c r="A143" s="147">
        <v>2012</v>
      </c>
      <c r="B143" s="147">
        <v>10</v>
      </c>
      <c r="C143" s="232">
        <v>21267.893</v>
      </c>
      <c r="D143" s="166">
        <v>7.4624290124847041</v>
      </c>
      <c r="E143" s="256">
        <f>HLOOKUP($A143,'OD Rates'!$B$1:$K$13,13,0)*100</f>
        <v>8.8233866865828006</v>
      </c>
      <c r="F143" s="256">
        <f>HLOOKUP($A143,'OD Rates'!$B$17:$K$26,10,0)*100</f>
        <v>8.5397890552402913</v>
      </c>
      <c r="G143" s="166">
        <v>29.67</v>
      </c>
      <c r="H143" s="148">
        <v>136.38378685999999</v>
      </c>
      <c r="I143" s="181">
        <f t="shared" si="13"/>
        <v>136.38378685999999</v>
      </c>
      <c r="J143" s="181">
        <f t="shared" si="14"/>
        <v>54.0947010267476</v>
      </c>
      <c r="K143" s="362">
        <v>24912</v>
      </c>
      <c r="L143" s="265">
        <v>24599</v>
      </c>
      <c r="M143" s="157">
        <v>9049.0733648000005</v>
      </c>
      <c r="N143" s="181">
        <f t="shared" si="15"/>
        <v>9049.0733648000005</v>
      </c>
      <c r="O143" s="245">
        <v>139.25</v>
      </c>
      <c r="P143" s="245">
        <v>39.6</v>
      </c>
      <c r="Q143" s="159">
        <v>4200</v>
      </c>
      <c r="R143" s="159">
        <v>1161</v>
      </c>
      <c r="S143" s="363">
        <f t="shared" si="17"/>
        <v>864.58364161144766</v>
      </c>
      <c r="T143" s="271">
        <v>0.39663586319301009</v>
      </c>
    </row>
    <row r="144" spans="1:20" x14ac:dyDescent="0.2">
      <c r="A144" s="147">
        <v>2012</v>
      </c>
      <c r="B144" s="147">
        <v>11</v>
      </c>
      <c r="C144" s="232">
        <v>32869.603999999999</v>
      </c>
      <c r="D144" s="166">
        <v>7.4624290124847041</v>
      </c>
      <c r="E144" s="256">
        <f>HLOOKUP($A144,'OD Rates'!$B$1:$K$13,13,0)*100</f>
        <v>8.8233866865828006</v>
      </c>
      <c r="F144" s="256">
        <f>HLOOKUP($A144,'OD Rates'!$B$17:$K$26,10,0)*100</f>
        <v>8.5397890552402913</v>
      </c>
      <c r="G144" s="166">
        <v>29.95</v>
      </c>
      <c r="H144" s="148">
        <v>136.38378685999999</v>
      </c>
      <c r="I144" s="181">
        <f t="shared" si="13"/>
        <v>136.38378685999999</v>
      </c>
      <c r="J144" s="181">
        <f t="shared" si="14"/>
        <v>54.0947010267476</v>
      </c>
      <c r="K144" s="362">
        <v>24910</v>
      </c>
      <c r="L144" s="265">
        <v>24522</v>
      </c>
      <c r="M144" s="157">
        <v>9049.0733648000005</v>
      </c>
      <c r="N144" s="181">
        <f t="shared" si="15"/>
        <v>9049.0733648000005</v>
      </c>
      <c r="O144" s="245">
        <v>442.1</v>
      </c>
      <c r="P144" s="245">
        <v>0.6</v>
      </c>
      <c r="Q144" s="159">
        <v>4200</v>
      </c>
      <c r="R144" s="159">
        <v>1161</v>
      </c>
      <c r="S144" s="363">
        <f t="shared" si="17"/>
        <v>1340.412853763967</v>
      </c>
      <c r="T144" s="271">
        <v>0.39663586319301009</v>
      </c>
    </row>
    <row r="145" spans="1:20" x14ac:dyDescent="0.2">
      <c r="A145" s="147">
        <v>2012</v>
      </c>
      <c r="B145" s="147">
        <v>12</v>
      </c>
      <c r="C145" s="232">
        <v>40530.495000000003</v>
      </c>
      <c r="D145" s="166">
        <v>7.4624290124847041</v>
      </c>
      <c r="E145" s="256">
        <f>HLOOKUP($A145,'OD Rates'!$B$1:$K$13,13,0)*100</f>
        <v>8.8233866865828006</v>
      </c>
      <c r="F145" s="256">
        <f>HLOOKUP($A145,'OD Rates'!$B$17:$K$26,10,0)*100</f>
        <v>8.5397890552402913</v>
      </c>
      <c r="G145" s="166">
        <v>31.1</v>
      </c>
      <c r="H145" s="148">
        <v>136.38378685999999</v>
      </c>
      <c r="I145" s="181">
        <f t="shared" si="13"/>
        <v>136.38378685999999</v>
      </c>
      <c r="J145" s="181">
        <f t="shared" si="14"/>
        <v>54.0947010267476</v>
      </c>
      <c r="K145" s="362">
        <v>24908</v>
      </c>
      <c r="L145" s="265">
        <v>24495</v>
      </c>
      <c r="M145" s="157">
        <v>9049.0733648000005</v>
      </c>
      <c r="N145" s="181">
        <f t="shared" si="15"/>
        <v>9049.0733648000005</v>
      </c>
      <c r="O145" s="245">
        <v>632.79999999999995</v>
      </c>
      <c r="P145" s="245">
        <v>0</v>
      </c>
      <c r="Q145" s="159">
        <v>4200</v>
      </c>
      <c r="R145" s="159">
        <v>1161</v>
      </c>
      <c r="S145" s="363">
        <f t="shared" si="17"/>
        <v>1654.6436007348439</v>
      </c>
      <c r="T145" s="271">
        <v>0.39663586319301009</v>
      </c>
    </row>
    <row r="146" spans="1:20" x14ac:dyDescent="0.2">
      <c r="A146" s="147">
        <v>2013</v>
      </c>
      <c r="B146" s="147">
        <v>1</v>
      </c>
      <c r="C146" s="232">
        <v>52478.258000000002</v>
      </c>
      <c r="D146" s="166">
        <v>7.4591080954466298</v>
      </c>
      <c r="E146" s="256">
        <f>HLOOKUP($A146,'OD Rates'!$B$1:$K$13,13,0)*100</f>
        <v>8.8478702501483504</v>
      </c>
      <c r="F146" s="256">
        <f>HLOOKUP($A146,'OD Rates'!$B$17:$K$26,10,0)*100</f>
        <v>8.7346253410155903</v>
      </c>
      <c r="G146" s="166">
        <v>32.71</v>
      </c>
      <c r="H146" s="148">
        <v>136.5423097</v>
      </c>
      <c r="I146" s="181">
        <f t="shared" si="13"/>
        <v>136.5423097</v>
      </c>
      <c r="J146" s="181">
        <f t="shared" si="14"/>
        <v>54.162774020754739</v>
      </c>
      <c r="K146" s="362">
        <v>24906</v>
      </c>
      <c r="L146" s="265">
        <v>24507</v>
      </c>
      <c r="M146" s="157">
        <v>9383.5757761999994</v>
      </c>
      <c r="N146" s="181">
        <f t="shared" si="15"/>
        <v>9383.5757761999994</v>
      </c>
      <c r="O146" s="245">
        <v>899.3</v>
      </c>
      <c r="P146" s="245">
        <v>0</v>
      </c>
      <c r="Q146" s="159">
        <v>4200</v>
      </c>
      <c r="R146" s="159">
        <v>1161</v>
      </c>
      <c r="S146" s="363">
        <f t="shared" si="17"/>
        <v>2141.3578977435018</v>
      </c>
      <c r="T146" s="271">
        <v>0.39667392575793475</v>
      </c>
    </row>
    <row r="147" spans="1:20" x14ac:dyDescent="0.2">
      <c r="A147" s="147">
        <v>2013</v>
      </c>
      <c r="B147" s="147">
        <v>2</v>
      </c>
      <c r="C147" s="232">
        <v>50604.476999999999</v>
      </c>
      <c r="D147" s="166">
        <v>7.4591080954466298</v>
      </c>
      <c r="E147" s="256">
        <f>HLOOKUP($A147,'OD Rates'!$B$1:$K$13,13,0)*100</f>
        <v>8.8478702501483504</v>
      </c>
      <c r="F147" s="256">
        <f>HLOOKUP($A147,'OD Rates'!$B$17:$K$26,10,0)*100</f>
        <v>8.7346253410155903</v>
      </c>
      <c r="G147" s="166">
        <v>29.9</v>
      </c>
      <c r="H147" s="148">
        <v>136.5423097</v>
      </c>
      <c r="I147" s="181">
        <f t="shared" si="13"/>
        <v>136.5423097</v>
      </c>
      <c r="J147" s="181">
        <f t="shared" si="14"/>
        <v>54.162774020754739</v>
      </c>
      <c r="K147" s="362">
        <v>24904</v>
      </c>
      <c r="L147" s="265">
        <v>24490</v>
      </c>
      <c r="M147" s="157">
        <v>9383.5757761999994</v>
      </c>
      <c r="N147" s="181">
        <f t="shared" si="15"/>
        <v>9383.5757761999994</v>
      </c>
      <c r="O147" s="245">
        <v>737.25</v>
      </c>
      <c r="P147" s="245">
        <v>0</v>
      </c>
      <c r="Q147" s="159">
        <v>4200</v>
      </c>
      <c r="R147" s="159">
        <v>1161</v>
      </c>
      <c r="S147" s="363">
        <f t="shared" si="17"/>
        <v>2066.3322580645158</v>
      </c>
      <c r="T147" s="271">
        <v>0.39667392575793475</v>
      </c>
    </row>
    <row r="148" spans="1:20" x14ac:dyDescent="0.2">
      <c r="A148" s="147">
        <v>2013</v>
      </c>
      <c r="B148" s="147">
        <v>3</v>
      </c>
      <c r="C148" s="232">
        <v>46748.550999999999</v>
      </c>
      <c r="D148" s="166">
        <v>7.4591080954466298</v>
      </c>
      <c r="E148" s="256">
        <f>HLOOKUP($A148,'OD Rates'!$B$1:$K$13,13,0)*100</f>
        <v>8.8478702501483504</v>
      </c>
      <c r="F148" s="256">
        <f>HLOOKUP($A148,'OD Rates'!$B$17:$K$26,10,0)*100</f>
        <v>8.7346253410155903</v>
      </c>
      <c r="G148" s="166">
        <v>30.52</v>
      </c>
      <c r="H148" s="148">
        <v>136.5423097</v>
      </c>
      <c r="I148" s="181">
        <f t="shared" si="13"/>
        <v>136.5423097</v>
      </c>
      <c r="J148" s="181">
        <f t="shared" si="14"/>
        <v>54.162774020754739</v>
      </c>
      <c r="K148" s="362">
        <v>24902</v>
      </c>
      <c r="L148" s="265">
        <v>24507</v>
      </c>
      <c r="M148" s="157">
        <v>9383.5757761999994</v>
      </c>
      <c r="N148" s="181">
        <f t="shared" si="15"/>
        <v>9383.5757761999994</v>
      </c>
      <c r="O148" s="245">
        <v>698.90000000000009</v>
      </c>
      <c r="P148" s="245">
        <v>0</v>
      </c>
      <c r="Q148" s="159">
        <v>4200</v>
      </c>
      <c r="R148" s="159">
        <v>1161</v>
      </c>
      <c r="S148" s="363">
        <f t="shared" si="17"/>
        <v>1907.5591055616762</v>
      </c>
      <c r="T148" s="271">
        <v>0.39667392575793475</v>
      </c>
    </row>
    <row r="149" spans="1:20" x14ac:dyDescent="0.2">
      <c r="A149" s="147">
        <v>2013</v>
      </c>
      <c r="B149" s="147">
        <v>4</v>
      </c>
      <c r="C149" s="232">
        <v>37484</v>
      </c>
      <c r="D149" s="166">
        <v>7.4591080954466298</v>
      </c>
      <c r="E149" s="256">
        <f>HLOOKUP($A149,'OD Rates'!$B$1:$K$13,13,0)*100</f>
        <v>8.8478702501483504</v>
      </c>
      <c r="F149" s="256">
        <f>HLOOKUP($A149,'OD Rates'!$B$17:$K$26,10,0)*100</f>
        <v>8.7346253410155903</v>
      </c>
      <c r="G149" s="166">
        <v>30.57</v>
      </c>
      <c r="H149" s="148">
        <v>136.5423097</v>
      </c>
      <c r="I149" s="181">
        <f t="shared" si="13"/>
        <v>136.5423097</v>
      </c>
      <c r="J149" s="181">
        <f t="shared" si="14"/>
        <v>54.17099972517827</v>
      </c>
      <c r="K149" s="362">
        <v>24900</v>
      </c>
      <c r="L149" s="265">
        <v>24486</v>
      </c>
      <c r="M149" s="157">
        <v>9383.5757761999994</v>
      </c>
      <c r="N149" s="181">
        <f t="shared" si="15"/>
        <v>9383.5757761999994</v>
      </c>
      <c r="O149" s="266">
        <v>533</v>
      </c>
      <c r="P149" s="266">
        <v>4</v>
      </c>
      <c r="Q149" s="159">
        <v>4200</v>
      </c>
      <c r="R149" s="159">
        <v>1161</v>
      </c>
      <c r="S149" s="363">
        <f>C149/L149*1000</f>
        <v>1530.8339459282856</v>
      </c>
      <c r="T149" s="271">
        <v>0.39673416865584388</v>
      </c>
    </row>
    <row r="150" spans="1:20" x14ac:dyDescent="0.2">
      <c r="A150" s="147">
        <v>2013</v>
      </c>
      <c r="B150" s="147">
        <v>5</v>
      </c>
      <c r="C150" s="161"/>
      <c r="D150" s="166">
        <v>7.4591080954466298</v>
      </c>
      <c r="E150" s="256">
        <f>HLOOKUP($A150,'OD Rates'!$B$1:$K$13,13,0)*100</f>
        <v>8.8478702501483504</v>
      </c>
      <c r="F150" s="256">
        <f>HLOOKUP($A150,'OD Rates'!$B$17:$K$26,10,0)*100</f>
        <v>8.7346253410155903</v>
      </c>
      <c r="G150" s="166">
        <v>29.57</v>
      </c>
      <c r="H150" s="148">
        <v>136.5423097</v>
      </c>
      <c r="I150" s="181">
        <f t="shared" si="13"/>
        <v>136.5423097</v>
      </c>
      <c r="J150" s="181">
        <f t="shared" si="14"/>
        <v>54.17099972517827</v>
      </c>
      <c r="K150" s="362">
        <v>24898</v>
      </c>
      <c r="L150" s="231"/>
      <c r="M150" s="157">
        <v>9383.5757761999994</v>
      </c>
      <c r="N150" s="181">
        <f t="shared" si="15"/>
        <v>9383.5757761999994</v>
      </c>
      <c r="O150" s="157">
        <v>170.59</v>
      </c>
      <c r="P150" s="157">
        <v>35.347500000000004</v>
      </c>
      <c r="Q150" s="159">
        <v>4200</v>
      </c>
      <c r="R150" s="159">
        <v>1161</v>
      </c>
      <c r="S150" s="363">
        <f t="shared" si="16"/>
        <v>0</v>
      </c>
      <c r="T150" s="271">
        <v>0.39673416865584388</v>
      </c>
    </row>
    <row r="151" spans="1:20" x14ac:dyDescent="0.2">
      <c r="A151" s="147">
        <v>2013</v>
      </c>
      <c r="B151" s="147">
        <v>6</v>
      </c>
      <c r="C151" s="161"/>
      <c r="D151" s="166">
        <v>7.4591080954466298</v>
      </c>
      <c r="E151" s="256">
        <f>HLOOKUP($A151,'OD Rates'!$B$1:$K$13,13,0)*100</f>
        <v>8.8478702501483504</v>
      </c>
      <c r="F151" s="256">
        <f>HLOOKUP($A151,'OD Rates'!$B$17:$K$26,10,0)*100</f>
        <v>8.7346253410155903</v>
      </c>
      <c r="G151" s="166">
        <v>30.67</v>
      </c>
      <c r="H151" s="148">
        <v>136.5423097</v>
      </c>
      <c r="I151" s="181">
        <f t="shared" si="13"/>
        <v>136.5423097</v>
      </c>
      <c r="J151" s="181">
        <f t="shared" si="14"/>
        <v>54.17099972517827</v>
      </c>
      <c r="K151" s="362">
        <v>24896</v>
      </c>
      <c r="L151" s="231"/>
      <c r="M151" s="157">
        <v>9383.5757761999994</v>
      </c>
      <c r="N151" s="181">
        <f t="shared" si="15"/>
        <v>9383.5757761999994</v>
      </c>
      <c r="O151" s="157">
        <v>42.912500000000001</v>
      </c>
      <c r="P151" s="157">
        <v>148.8475</v>
      </c>
      <c r="Q151" s="159">
        <v>4200</v>
      </c>
      <c r="R151" s="159">
        <v>1161</v>
      </c>
      <c r="S151" s="363">
        <f t="shared" si="16"/>
        <v>0</v>
      </c>
      <c r="T151" s="271">
        <v>0.39673416865584388</v>
      </c>
    </row>
    <row r="152" spans="1:20" x14ac:dyDescent="0.2">
      <c r="A152" s="147">
        <v>2013</v>
      </c>
      <c r="B152" s="147">
        <v>7</v>
      </c>
      <c r="C152" s="161"/>
      <c r="D152" s="166">
        <v>7.4591080954466298</v>
      </c>
      <c r="E152" s="256">
        <f>HLOOKUP($A152,'OD Rates'!$B$1:$K$13,13,0)*100</f>
        <v>8.8478702501483504</v>
      </c>
      <c r="F152" s="256">
        <f>HLOOKUP($A152,'OD Rates'!$B$17:$K$26,10,0)*100</f>
        <v>8.7346253410155903</v>
      </c>
      <c r="G152" s="166">
        <v>30.67</v>
      </c>
      <c r="H152" s="148">
        <v>136.5423097</v>
      </c>
      <c r="I152" s="181">
        <f t="shared" si="13"/>
        <v>136.5423097</v>
      </c>
      <c r="J152" s="181">
        <f t="shared" si="14"/>
        <v>54.171065853389379</v>
      </c>
      <c r="K152" s="362">
        <v>24894</v>
      </c>
      <c r="L152" s="231"/>
      <c r="M152" s="157">
        <v>9383.5757761999994</v>
      </c>
      <c r="N152" s="181">
        <f t="shared" si="15"/>
        <v>9383.5757761999994</v>
      </c>
      <c r="O152" s="157">
        <v>1.375</v>
      </c>
      <c r="P152" s="157">
        <v>291.78750000000002</v>
      </c>
      <c r="Q152" s="159">
        <v>4200</v>
      </c>
      <c r="R152" s="159">
        <v>1161</v>
      </c>
      <c r="S152" s="363">
        <f t="shared" si="16"/>
        <v>0</v>
      </c>
      <c r="T152" s="271">
        <v>0.39673465296148697</v>
      </c>
    </row>
    <row r="153" spans="1:20" x14ac:dyDescent="0.2">
      <c r="A153" s="147">
        <v>2013</v>
      </c>
      <c r="B153" s="147">
        <v>8</v>
      </c>
      <c r="C153" s="161"/>
      <c r="D153" s="166">
        <v>7.4591080954466298</v>
      </c>
      <c r="E153" s="256">
        <f>HLOOKUP($A153,'OD Rates'!$B$1:$K$13,13,0)*100</f>
        <v>8.8478702501483504</v>
      </c>
      <c r="F153" s="256">
        <f>HLOOKUP($A153,'OD Rates'!$B$17:$K$26,10,0)*100</f>
        <v>8.7346253410155903</v>
      </c>
      <c r="G153" s="166">
        <v>29.48</v>
      </c>
      <c r="H153" s="148">
        <v>136.5423097</v>
      </c>
      <c r="I153" s="181">
        <f t="shared" si="13"/>
        <v>136.5423097</v>
      </c>
      <c r="J153" s="181">
        <f t="shared" si="14"/>
        <v>54.171065853389379</v>
      </c>
      <c r="K153" s="362">
        <v>24892</v>
      </c>
      <c r="L153" s="231"/>
      <c r="M153" s="157">
        <v>9383.5757761999994</v>
      </c>
      <c r="N153" s="181">
        <f t="shared" si="15"/>
        <v>9383.5757761999994</v>
      </c>
      <c r="O153" s="157">
        <v>0.35</v>
      </c>
      <c r="P153" s="157">
        <v>311.80250000000001</v>
      </c>
      <c r="Q153" s="159">
        <v>4200</v>
      </c>
      <c r="R153" s="159">
        <v>1161</v>
      </c>
      <c r="S153" s="363">
        <f t="shared" si="16"/>
        <v>0</v>
      </c>
      <c r="T153" s="271">
        <v>0.39673465296148697</v>
      </c>
    </row>
    <row r="154" spans="1:20" x14ac:dyDescent="0.2">
      <c r="A154" s="147">
        <v>2013</v>
      </c>
      <c r="B154" s="147">
        <v>9</v>
      </c>
      <c r="C154" s="161"/>
      <c r="D154" s="166">
        <v>7.4591080954466298</v>
      </c>
      <c r="E154" s="256">
        <f>HLOOKUP($A154,'OD Rates'!$B$1:$K$13,13,0)*100</f>
        <v>8.8478702501483504</v>
      </c>
      <c r="F154" s="256">
        <f>HLOOKUP($A154,'OD Rates'!$B$17:$K$26,10,0)*100</f>
        <v>8.7346253410155903</v>
      </c>
      <c r="G154" s="166">
        <v>30.71</v>
      </c>
      <c r="H154" s="148">
        <v>136.5423097</v>
      </c>
      <c r="I154" s="181">
        <f t="shared" si="13"/>
        <v>136.5423097</v>
      </c>
      <c r="J154" s="181">
        <f t="shared" si="14"/>
        <v>54.171065853389379</v>
      </c>
      <c r="K154" s="362">
        <v>24890</v>
      </c>
      <c r="L154" s="231"/>
      <c r="M154" s="157">
        <v>9383.5757761999994</v>
      </c>
      <c r="N154" s="181">
        <f t="shared" si="15"/>
        <v>9383.5757761999994</v>
      </c>
      <c r="O154" s="157">
        <v>8.2974999999999994</v>
      </c>
      <c r="P154" s="157">
        <v>230.68249999999998</v>
      </c>
      <c r="Q154" s="159">
        <v>4200</v>
      </c>
      <c r="R154" s="159">
        <v>1161</v>
      </c>
      <c r="S154" s="363">
        <f t="shared" si="16"/>
        <v>0</v>
      </c>
      <c r="T154" s="271">
        <v>0.39673465296148697</v>
      </c>
    </row>
    <row r="155" spans="1:20" x14ac:dyDescent="0.2">
      <c r="A155" s="147">
        <v>2013</v>
      </c>
      <c r="B155" s="147">
        <v>10</v>
      </c>
      <c r="C155" s="161"/>
      <c r="D155" s="166">
        <v>7.4591080954466298</v>
      </c>
      <c r="E155" s="256">
        <f>HLOOKUP($A155,'OD Rates'!$B$1:$K$13,13,0)*100</f>
        <v>8.8478702501483504</v>
      </c>
      <c r="F155" s="256">
        <f>HLOOKUP($A155,'OD Rates'!$B$17:$K$26,10,0)*100</f>
        <v>8.7346253410155903</v>
      </c>
      <c r="G155" s="166">
        <v>29.52</v>
      </c>
      <c r="H155" s="148">
        <v>136.5423097</v>
      </c>
      <c r="I155" s="181">
        <f t="shared" si="13"/>
        <v>136.5423097</v>
      </c>
      <c r="J155" s="181">
        <f t="shared" si="14"/>
        <v>54.182335607854156</v>
      </c>
      <c r="K155" s="362">
        <v>24888</v>
      </c>
      <c r="L155" s="231"/>
      <c r="M155" s="157">
        <v>9383.5757761999994</v>
      </c>
      <c r="N155" s="181">
        <f t="shared" si="15"/>
        <v>9383.5757761999994</v>
      </c>
      <c r="O155" s="157">
        <v>129.8125</v>
      </c>
      <c r="P155" s="157">
        <v>57.779999999999994</v>
      </c>
      <c r="Q155" s="159">
        <v>4200</v>
      </c>
      <c r="R155" s="159">
        <v>1161</v>
      </c>
      <c r="S155" s="363">
        <f t="shared" si="16"/>
        <v>0</v>
      </c>
      <c r="T155" s="271">
        <v>0.39681718968207957</v>
      </c>
    </row>
    <row r="156" spans="1:20" x14ac:dyDescent="0.2">
      <c r="A156" s="147">
        <v>2013</v>
      </c>
      <c r="B156" s="147">
        <v>11</v>
      </c>
      <c r="C156" s="161"/>
      <c r="D156" s="166">
        <v>7.4591080954466298</v>
      </c>
      <c r="E156" s="256">
        <f>HLOOKUP($A156,'OD Rates'!$B$1:$K$13,13,0)*100</f>
        <v>8.8478702501483504</v>
      </c>
      <c r="F156" s="256">
        <f>HLOOKUP($A156,'OD Rates'!$B$17:$K$26,10,0)*100</f>
        <v>8.7346253410155903</v>
      </c>
      <c r="G156" s="166">
        <v>29.38</v>
      </c>
      <c r="H156" s="148">
        <v>136.5423097</v>
      </c>
      <c r="I156" s="181">
        <f t="shared" si="13"/>
        <v>136.5423097</v>
      </c>
      <c r="J156" s="181">
        <f t="shared" si="14"/>
        <v>54.182335607854156</v>
      </c>
      <c r="K156" s="362">
        <v>24886</v>
      </c>
      <c r="L156" s="231"/>
      <c r="M156" s="157">
        <v>9383.5757761999994</v>
      </c>
      <c r="N156" s="181">
        <f t="shared" si="15"/>
        <v>9383.5757761999994</v>
      </c>
      <c r="O156" s="157">
        <v>387.90500000000003</v>
      </c>
      <c r="P156" s="157">
        <v>3.9299999999999997</v>
      </c>
      <c r="Q156" s="159">
        <v>4200</v>
      </c>
      <c r="R156" s="159">
        <v>1161</v>
      </c>
      <c r="S156" s="363">
        <f t="shared" si="16"/>
        <v>0</v>
      </c>
      <c r="T156" s="271">
        <v>0.39681718968207957</v>
      </c>
    </row>
    <row r="157" spans="1:20" x14ac:dyDescent="0.2">
      <c r="A157" s="147">
        <v>2013</v>
      </c>
      <c r="B157" s="147">
        <v>12</v>
      </c>
      <c r="C157" s="161"/>
      <c r="D157" s="166">
        <v>7.4591080954466298</v>
      </c>
      <c r="E157" s="256">
        <f>HLOOKUP($A157,'OD Rates'!$B$1:$K$13,13,0)*100</f>
        <v>8.8478702501483504</v>
      </c>
      <c r="F157" s="256">
        <f>HLOOKUP($A157,'OD Rates'!$B$17:$K$26,10,0)*100</f>
        <v>8.7346253410155903</v>
      </c>
      <c r="G157" s="166">
        <v>32.049999999999997</v>
      </c>
      <c r="H157" s="148">
        <v>136.5423097</v>
      </c>
      <c r="I157" s="181">
        <f t="shared" si="13"/>
        <v>136.5423097</v>
      </c>
      <c r="J157" s="181">
        <f t="shared" si="14"/>
        <v>54.182335607854156</v>
      </c>
      <c r="K157" s="362">
        <v>24884</v>
      </c>
      <c r="L157" s="231"/>
      <c r="M157" s="157">
        <v>9383.5757761999994</v>
      </c>
      <c r="N157" s="181">
        <f t="shared" si="15"/>
        <v>9383.5757761999994</v>
      </c>
      <c r="O157" s="157">
        <v>681.89</v>
      </c>
      <c r="P157" s="157">
        <v>0.1</v>
      </c>
      <c r="Q157" s="159">
        <v>4200</v>
      </c>
      <c r="R157" s="159">
        <v>1161</v>
      </c>
      <c r="S157" s="363">
        <f t="shared" si="16"/>
        <v>0</v>
      </c>
      <c r="T157" s="271">
        <v>0.39681718968207957</v>
      </c>
    </row>
    <row r="158" spans="1:20" x14ac:dyDescent="0.2">
      <c r="A158" s="147">
        <v>2014</v>
      </c>
      <c r="B158" s="147">
        <v>1</v>
      </c>
      <c r="C158" s="161"/>
      <c r="D158" s="166">
        <v>8.1713101443026481</v>
      </c>
      <c r="E158" s="256">
        <f>HLOOKUP($A158,'OD Rates'!$B$1:$K$13,13,0)*100</f>
        <v>9.8567702208098193</v>
      </c>
      <c r="F158" s="256">
        <f>HLOOKUP($A158,'OD Rates'!$B$17:$K$26,10,0)*100</f>
        <v>9.2046712507306498</v>
      </c>
      <c r="G158" s="166">
        <v>32.33</v>
      </c>
      <c r="H158" s="148">
        <v>136.53362824999999</v>
      </c>
      <c r="I158" s="181">
        <f t="shared" si="13"/>
        <v>136.53362824999999</v>
      </c>
      <c r="J158" s="181">
        <f t="shared" si="14"/>
        <v>54.18795176869763</v>
      </c>
      <c r="K158" s="362">
        <v>24882</v>
      </c>
      <c r="L158" s="231"/>
      <c r="M158" s="157">
        <v>9733.2135728000012</v>
      </c>
      <c r="N158" s="181">
        <f t="shared" si="15"/>
        <v>9733.2135728000012</v>
      </c>
      <c r="O158" s="157">
        <v>918.70499999999993</v>
      </c>
      <c r="P158" s="157">
        <v>0</v>
      </c>
      <c r="Q158" s="159">
        <v>4200</v>
      </c>
      <c r="R158" s="159">
        <v>1161</v>
      </c>
      <c r="S158" s="363">
        <f t="shared" si="16"/>
        <v>0</v>
      </c>
      <c r="T158" s="271">
        <v>0.39688355508634654</v>
      </c>
    </row>
    <row r="159" spans="1:20" x14ac:dyDescent="0.2">
      <c r="A159" s="147">
        <v>2014</v>
      </c>
      <c r="B159" s="147">
        <v>2</v>
      </c>
      <c r="C159" s="161"/>
      <c r="D159" s="166">
        <v>8.1713101443026481</v>
      </c>
      <c r="E159" s="256">
        <f>HLOOKUP($A159,'OD Rates'!$B$1:$K$13,13,0)*100</f>
        <v>9.8567702208098193</v>
      </c>
      <c r="F159" s="256">
        <f>HLOOKUP($A159,'OD Rates'!$B$17:$K$26,10,0)*100</f>
        <v>9.2046712507306498</v>
      </c>
      <c r="G159" s="166">
        <v>30.05</v>
      </c>
      <c r="H159" s="148">
        <v>136.53362824999999</v>
      </c>
      <c r="I159" s="181">
        <f t="shared" si="13"/>
        <v>136.53362824999999</v>
      </c>
      <c r="J159" s="181">
        <f t="shared" si="14"/>
        <v>54.18795176869763</v>
      </c>
      <c r="K159" s="362">
        <v>24880</v>
      </c>
      <c r="L159" s="231"/>
      <c r="M159" s="157">
        <v>9733.2135728000012</v>
      </c>
      <c r="N159" s="181">
        <f t="shared" si="15"/>
        <v>9733.2135728000012</v>
      </c>
      <c r="O159" s="157">
        <v>796.85749999999996</v>
      </c>
      <c r="P159" s="157">
        <v>0</v>
      </c>
      <c r="Q159" s="159">
        <v>4200</v>
      </c>
      <c r="R159" s="159">
        <v>1161</v>
      </c>
      <c r="S159" s="363">
        <f t="shared" si="16"/>
        <v>0</v>
      </c>
      <c r="T159" s="271">
        <v>0.39688355508634654</v>
      </c>
    </row>
    <row r="160" spans="1:20" x14ac:dyDescent="0.2">
      <c r="A160" s="147">
        <v>2014</v>
      </c>
      <c r="B160" s="147">
        <v>3</v>
      </c>
      <c r="C160" s="161"/>
      <c r="D160" s="166">
        <v>8.1713101443026481</v>
      </c>
      <c r="E160" s="256">
        <f>HLOOKUP($A160,'OD Rates'!$B$1:$K$13,13,0)*100</f>
        <v>9.8567702208098193</v>
      </c>
      <c r="F160" s="256">
        <f>HLOOKUP($A160,'OD Rates'!$B$17:$K$26,10,0)*100</f>
        <v>9.2046712507306498</v>
      </c>
      <c r="G160" s="166">
        <v>30.19</v>
      </c>
      <c r="H160" s="148">
        <v>136.53362824999999</v>
      </c>
      <c r="I160" s="181">
        <f t="shared" si="13"/>
        <v>136.53362824999999</v>
      </c>
      <c r="J160" s="181">
        <f t="shared" si="14"/>
        <v>54.18795176869763</v>
      </c>
      <c r="K160" s="362">
        <v>24878</v>
      </c>
      <c r="L160" s="231"/>
      <c r="M160" s="157">
        <v>9733.2135728000012</v>
      </c>
      <c r="N160" s="181">
        <f t="shared" si="15"/>
        <v>9733.2135728000012</v>
      </c>
      <c r="O160" s="157">
        <v>645</v>
      </c>
      <c r="P160" s="157">
        <v>0.32500000000000001</v>
      </c>
      <c r="Q160" s="159">
        <v>4200</v>
      </c>
      <c r="R160" s="159">
        <v>1161</v>
      </c>
      <c r="S160" s="363">
        <f t="shared" si="16"/>
        <v>0</v>
      </c>
      <c r="T160" s="271">
        <v>0.39688355508634654</v>
      </c>
    </row>
    <row r="161" spans="1:20" x14ac:dyDescent="0.2">
      <c r="A161" s="147">
        <v>2014</v>
      </c>
      <c r="B161" s="147">
        <v>4</v>
      </c>
      <c r="C161" s="161"/>
      <c r="D161" s="166">
        <v>8.1713101443026481</v>
      </c>
      <c r="E161" s="256">
        <f>HLOOKUP($A161,'OD Rates'!$B$1:$K$13,13,0)*100</f>
        <v>9.8567702208098193</v>
      </c>
      <c r="F161" s="256">
        <f>HLOOKUP($A161,'OD Rates'!$B$17:$K$26,10,0)*100</f>
        <v>9.2046712507306498</v>
      </c>
      <c r="G161" s="166">
        <v>30</v>
      </c>
      <c r="H161" s="148">
        <v>136.53362824999999</v>
      </c>
      <c r="I161" s="181">
        <f t="shared" si="13"/>
        <v>136.53362824999999</v>
      </c>
      <c r="J161" s="181">
        <f t="shared" si="14"/>
        <v>54.194268031963702</v>
      </c>
      <c r="K161" s="362">
        <v>24876</v>
      </c>
      <c r="L161" s="231"/>
      <c r="M161" s="157">
        <v>9733.2135728000012</v>
      </c>
      <c r="N161" s="181">
        <f t="shared" si="15"/>
        <v>9733.2135728000012</v>
      </c>
      <c r="O161" s="157">
        <v>393.33749999999998</v>
      </c>
      <c r="P161" s="157">
        <v>5.6325000000000003</v>
      </c>
      <c r="Q161" s="159">
        <v>4200</v>
      </c>
      <c r="R161" s="159">
        <v>1161</v>
      </c>
      <c r="S161" s="363">
        <f t="shared" si="16"/>
        <v>0</v>
      </c>
      <c r="T161" s="271">
        <v>0.39692981668026323</v>
      </c>
    </row>
    <row r="162" spans="1:20" x14ac:dyDescent="0.2">
      <c r="A162" s="147">
        <v>2014</v>
      </c>
      <c r="B162" s="147">
        <v>5</v>
      </c>
      <c r="C162" s="161"/>
      <c r="D162" s="166">
        <v>8.1713101443026481</v>
      </c>
      <c r="E162" s="256">
        <f>HLOOKUP($A162,'OD Rates'!$B$1:$K$13,13,0)*100</f>
        <v>9.8567702208098193</v>
      </c>
      <c r="F162" s="256">
        <f>HLOOKUP($A162,'OD Rates'!$B$17:$K$26,10,0)*100</f>
        <v>9.2046712507306498</v>
      </c>
      <c r="G162" s="166">
        <v>30.48</v>
      </c>
      <c r="H162" s="148">
        <v>136.53362824999999</v>
      </c>
      <c r="I162" s="181">
        <f t="shared" si="13"/>
        <v>136.53362824999999</v>
      </c>
      <c r="J162" s="181">
        <f t="shared" si="14"/>
        <v>54.194268031963702</v>
      </c>
      <c r="K162" s="362">
        <v>24874</v>
      </c>
      <c r="L162" s="231"/>
      <c r="M162" s="157">
        <v>9733.2135728000012</v>
      </c>
      <c r="N162" s="181">
        <f t="shared" si="15"/>
        <v>9733.2135728000012</v>
      </c>
      <c r="O162" s="157">
        <v>170.59</v>
      </c>
      <c r="P162" s="157">
        <v>35.347500000000004</v>
      </c>
      <c r="Q162" s="159">
        <v>4200</v>
      </c>
      <c r="R162" s="159">
        <v>1161</v>
      </c>
      <c r="S162" s="363">
        <f t="shared" si="16"/>
        <v>0</v>
      </c>
      <c r="T162" s="271">
        <v>0.39692981668026323</v>
      </c>
    </row>
    <row r="163" spans="1:20" x14ac:dyDescent="0.2">
      <c r="A163" s="147">
        <v>2014</v>
      </c>
      <c r="B163" s="147">
        <v>6</v>
      </c>
      <c r="C163" s="161"/>
      <c r="D163" s="166">
        <v>8.1713101443026481</v>
      </c>
      <c r="E163" s="256">
        <f>HLOOKUP($A163,'OD Rates'!$B$1:$K$13,13,0)*100</f>
        <v>9.8567702208098193</v>
      </c>
      <c r="F163" s="256">
        <f>HLOOKUP($A163,'OD Rates'!$B$17:$K$26,10,0)*100</f>
        <v>9.2046712507306498</v>
      </c>
      <c r="G163" s="166">
        <v>30.52</v>
      </c>
      <c r="H163" s="148">
        <v>136.53362824999999</v>
      </c>
      <c r="I163" s="181">
        <f t="shared" si="13"/>
        <v>136.53362824999999</v>
      </c>
      <c r="J163" s="181">
        <f t="shared" si="14"/>
        <v>54.194268031963702</v>
      </c>
      <c r="K163" s="362">
        <v>24872</v>
      </c>
      <c r="L163" s="231"/>
      <c r="M163" s="157">
        <v>9733.2135728000012</v>
      </c>
      <c r="N163" s="181">
        <f t="shared" si="15"/>
        <v>9733.2135728000012</v>
      </c>
      <c r="O163" s="157">
        <v>42.912500000000001</v>
      </c>
      <c r="P163" s="157">
        <v>148.8475</v>
      </c>
      <c r="Q163" s="159">
        <v>4200</v>
      </c>
      <c r="R163" s="159">
        <v>1161</v>
      </c>
      <c r="S163" s="363">
        <f t="shared" si="16"/>
        <v>0</v>
      </c>
      <c r="T163" s="271">
        <v>0.39692981668026323</v>
      </c>
    </row>
    <row r="164" spans="1:20" x14ac:dyDescent="0.2">
      <c r="A164" s="147">
        <v>2014</v>
      </c>
      <c r="B164" s="147">
        <v>7</v>
      </c>
      <c r="C164" s="161"/>
      <c r="D164" s="166">
        <v>8.1713101443026481</v>
      </c>
      <c r="E164" s="256">
        <f>HLOOKUP($A164,'OD Rates'!$B$1:$K$13,13,0)*100</f>
        <v>9.8567702208098193</v>
      </c>
      <c r="F164" s="256">
        <f>HLOOKUP($A164,'OD Rates'!$B$17:$K$26,10,0)*100</f>
        <v>9.2046712507306498</v>
      </c>
      <c r="G164" s="166">
        <v>30.67</v>
      </c>
      <c r="H164" s="148">
        <v>136.53362824999999</v>
      </c>
      <c r="I164" s="181">
        <f t="shared" si="13"/>
        <v>136.53362824999999</v>
      </c>
      <c r="J164" s="181">
        <f t="shared" si="14"/>
        <v>54.210288119624281</v>
      </c>
      <c r="K164" s="362">
        <v>24870</v>
      </c>
      <c r="L164" s="231"/>
      <c r="M164" s="157">
        <v>9733.2135728000012</v>
      </c>
      <c r="N164" s="181">
        <f t="shared" si="15"/>
        <v>9733.2135728000012</v>
      </c>
      <c r="O164" s="157">
        <v>1.375</v>
      </c>
      <c r="P164" s="157">
        <v>291.78750000000002</v>
      </c>
      <c r="Q164" s="159">
        <v>4200</v>
      </c>
      <c r="R164" s="159">
        <v>1161</v>
      </c>
      <c r="S164" s="363">
        <f t="shared" si="16"/>
        <v>0</v>
      </c>
      <c r="T164" s="271">
        <v>0.39704715105323718</v>
      </c>
    </row>
    <row r="165" spans="1:20" x14ac:dyDescent="0.2">
      <c r="A165" s="147">
        <v>2014</v>
      </c>
      <c r="B165" s="147">
        <v>8</v>
      </c>
      <c r="C165" s="161"/>
      <c r="D165" s="166">
        <v>8.1713101443026481</v>
      </c>
      <c r="E165" s="256">
        <f>HLOOKUP($A165,'OD Rates'!$B$1:$K$13,13,0)*100</f>
        <v>9.8567702208098193</v>
      </c>
      <c r="F165" s="256">
        <f>HLOOKUP($A165,'OD Rates'!$B$17:$K$26,10,0)*100</f>
        <v>9.2046712507306498</v>
      </c>
      <c r="G165" s="166">
        <v>29.48</v>
      </c>
      <c r="H165" s="148">
        <v>136.53362824999999</v>
      </c>
      <c r="I165" s="181">
        <f t="shared" si="13"/>
        <v>136.53362824999999</v>
      </c>
      <c r="J165" s="181">
        <f t="shared" si="14"/>
        <v>54.210288119624281</v>
      </c>
      <c r="K165" s="362">
        <v>24868</v>
      </c>
      <c r="L165" s="231"/>
      <c r="M165" s="157">
        <v>9733.2135728000012</v>
      </c>
      <c r="N165" s="181">
        <f t="shared" si="15"/>
        <v>9733.2135728000012</v>
      </c>
      <c r="O165" s="157">
        <v>0.35</v>
      </c>
      <c r="P165" s="157">
        <v>311.80250000000001</v>
      </c>
      <c r="Q165" s="159">
        <v>4200</v>
      </c>
      <c r="R165" s="159">
        <v>1161</v>
      </c>
      <c r="S165" s="363">
        <f t="shared" si="16"/>
        <v>0</v>
      </c>
      <c r="T165" s="271">
        <v>0.39704715105323718</v>
      </c>
    </row>
    <row r="166" spans="1:20" x14ac:dyDescent="0.2">
      <c r="A166" s="147">
        <v>2014</v>
      </c>
      <c r="B166" s="147">
        <v>9</v>
      </c>
      <c r="C166" s="161"/>
      <c r="D166" s="166">
        <v>8.1713101443026481</v>
      </c>
      <c r="E166" s="256">
        <f>HLOOKUP($A166,'OD Rates'!$B$1:$K$13,13,0)*100</f>
        <v>9.8567702208098193</v>
      </c>
      <c r="F166" s="256">
        <f>HLOOKUP($A166,'OD Rates'!$B$17:$K$26,10,0)*100</f>
        <v>9.2046712507306498</v>
      </c>
      <c r="G166" s="166">
        <v>30.86</v>
      </c>
      <c r="H166" s="148">
        <v>136.53362824999999</v>
      </c>
      <c r="I166" s="181">
        <f t="shared" si="13"/>
        <v>136.53362824999999</v>
      </c>
      <c r="J166" s="181">
        <f t="shared" si="14"/>
        <v>54.210288119624281</v>
      </c>
      <c r="K166" s="362">
        <v>24866</v>
      </c>
      <c r="L166" s="231"/>
      <c r="M166" s="157">
        <v>9733.2135728000012</v>
      </c>
      <c r="N166" s="181">
        <f t="shared" si="15"/>
        <v>9733.2135728000012</v>
      </c>
      <c r="O166" s="157">
        <v>8.2974999999999994</v>
      </c>
      <c r="P166" s="157">
        <v>230.68249999999998</v>
      </c>
      <c r="Q166" s="159">
        <v>4200</v>
      </c>
      <c r="R166" s="159">
        <v>1161</v>
      </c>
      <c r="S166" s="363">
        <f t="shared" si="16"/>
        <v>0</v>
      </c>
      <c r="T166" s="271">
        <v>0.39704715105323718</v>
      </c>
    </row>
    <row r="167" spans="1:20" x14ac:dyDescent="0.2">
      <c r="A167" s="147">
        <v>2014</v>
      </c>
      <c r="B167" s="147">
        <v>10</v>
      </c>
      <c r="C167" s="161"/>
      <c r="D167" s="166">
        <v>8.1713101443026481</v>
      </c>
      <c r="E167" s="256">
        <f>HLOOKUP($A167,'OD Rates'!$B$1:$K$13,13,0)*100</f>
        <v>9.8567702208098193</v>
      </c>
      <c r="F167" s="256">
        <f>HLOOKUP($A167,'OD Rates'!$B$17:$K$26,10,0)*100</f>
        <v>9.2046712507306498</v>
      </c>
      <c r="G167" s="166">
        <v>29.38</v>
      </c>
      <c r="H167" s="148">
        <v>136.53362824999999</v>
      </c>
      <c r="I167" s="181">
        <f t="shared" si="13"/>
        <v>136.53362824999999</v>
      </c>
      <c r="J167" s="181">
        <f t="shared" si="14"/>
        <v>54.221114130786255</v>
      </c>
      <c r="K167" s="362">
        <v>24864</v>
      </c>
      <c r="L167" s="231"/>
      <c r="M167" s="157">
        <v>9733.2135728000012</v>
      </c>
      <c r="N167" s="181">
        <f t="shared" si="15"/>
        <v>9733.2135728000012</v>
      </c>
      <c r="O167" s="157">
        <v>129.8125</v>
      </c>
      <c r="P167" s="157">
        <v>57.779999999999994</v>
      </c>
      <c r="Q167" s="159">
        <v>4200</v>
      </c>
      <c r="R167" s="159">
        <v>1161</v>
      </c>
      <c r="S167" s="363">
        <f t="shared" si="16"/>
        <v>0</v>
      </c>
      <c r="T167" s="271">
        <v>0.39712644295590421</v>
      </c>
    </row>
    <row r="168" spans="1:20" x14ac:dyDescent="0.2">
      <c r="A168" s="147">
        <v>2014</v>
      </c>
      <c r="B168" s="147">
        <v>11</v>
      </c>
      <c r="C168" s="161"/>
      <c r="D168" s="166">
        <v>8.1713101443026481</v>
      </c>
      <c r="E168" s="256">
        <f>HLOOKUP($A168,'OD Rates'!$B$1:$K$13,13,0)*100</f>
        <v>9.8567702208098193</v>
      </c>
      <c r="F168" s="256">
        <f>HLOOKUP($A168,'OD Rates'!$B$17:$K$26,10,0)*100</f>
        <v>9.2046712507306498</v>
      </c>
      <c r="G168" s="166">
        <v>29.57</v>
      </c>
      <c r="H168" s="148">
        <v>136.53362824999999</v>
      </c>
      <c r="I168" s="181">
        <f t="shared" si="13"/>
        <v>136.53362824999999</v>
      </c>
      <c r="J168" s="181">
        <f t="shared" si="14"/>
        <v>54.221114130786255</v>
      </c>
      <c r="K168" s="362">
        <v>24862</v>
      </c>
      <c r="L168" s="231"/>
      <c r="M168" s="157">
        <v>9733.2135728000012</v>
      </c>
      <c r="N168" s="181">
        <f t="shared" si="15"/>
        <v>9733.2135728000012</v>
      </c>
      <c r="O168" s="157">
        <v>387.90500000000003</v>
      </c>
      <c r="P168" s="157">
        <v>3.9299999999999997</v>
      </c>
      <c r="Q168" s="159">
        <v>4200</v>
      </c>
      <c r="R168" s="159">
        <v>1161</v>
      </c>
      <c r="S168" s="363">
        <f t="shared" si="16"/>
        <v>0</v>
      </c>
      <c r="T168" s="271">
        <v>0.39712644295590421</v>
      </c>
    </row>
    <row r="169" spans="1:20" x14ac:dyDescent="0.2">
      <c r="A169" s="147">
        <v>2014</v>
      </c>
      <c r="B169" s="147">
        <v>12</v>
      </c>
      <c r="C169" s="161"/>
      <c r="D169" s="166">
        <v>8.1713101443026481</v>
      </c>
      <c r="E169" s="256">
        <f>HLOOKUP($A169,'OD Rates'!$B$1:$K$13,13,0)*100</f>
        <v>9.8567702208098193</v>
      </c>
      <c r="F169" s="256">
        <f>HLOOKUP($A169,'OD Rates'!$B$17:$K$26,10,0)*100</f>
        <v>9.2046712507306498</v>
      </c>
      <c r="G169" s="166">
        <v>31.81</v>
      </c>
      <c r="H169" s="148">
        <v>136.53362824999999</v>
      </c>
      <c r="I169" s="181">
        <f t="shared" si="13"/>
        <v>136.53362824999999</v>
      </c>
      <c r="J169" s="181">
        <f t="shared" si="14"/>
        <v>54.221114130786255</v>
      </c>
      <c r="K169" s="362">
        <v>24860</v>
      </c>
      <c r="L169" s="231"/>
      <c r="M169" s="157">
        <v>9733.2135728000012</v>
      </c>
      <c r="N169" s="181">
        <f t="shared" si="15"/>
        <v>9733.2135728000012</v>
      </c>
      <c r="O169" s="157">
        <v>681.89</v>
      </c>
      <c r="P169" s="157">
        <v>0.1</v>
      </c>
      <c r="Q169" s="159">
        <v>4200</v>
      </c>
      <c r="R169" s="159">
        <v>1161</v>
      </c>
      <c r="S169" s="363">
        <f t="shared" si="16"/>
        <v>0</v>
      </c>
      <c r="T169" s="271">
        <v>0.39712644295590421</v>
      </c>
    </row>
    <row r="170" spans="1:20" x14ac:dyDescent="0.2">
      <c r="A170" s="147">
        <v>2015</v>
      </c>
      <c r="B170" s="147">
        <v>1</v>
      </c>
      <c r="C170" s="161"/>
      <c r="D170" s="166">
        <v>8.1602139087259289</v>
      </c>
      <c r="E170" s="256">
        <f>HLOOKUP($A170,'OD Rates'!$B$1:$K$13,13,0)*100</f>
        <v>9.98435440913366</v>
      </c>
      <c r="F170" s="256">
        <f>HLOOKUP($A170,'OD Rates'!$B$17:$K$26,10,0)*100</f>
        <v>9.337919624405929</v>
      </c>
      <c r="G170" s="166">
        <v>32.380000000000003</v>
      </c>
      <c r="H170" s="148">
        <v>136.48636771</v>
      </c>
      <c r="I170" s="181">
        <f t="shared" si="13"/>
        <v>136.48636771</v>
      </c>
      <c r="J170" s="181">
        <f t="shared" si="14"/>
        <v>54.219780160637399</v>
      </c>
      <c r="K170" s="362">
        <v>24858</v>
      </c>
      <c r="L170" s="231"/>
      <c r="M170" s="157">
        <v>10113.8908242</v>
      </c>
      <c r="N170" s="181">
        <f t="shared" si="15"/>
        <v>10113.8908242</v>
      </c>
      <c r="O170" s="246">
        <f t="shared" ref="O170:P185" si="18">O158</f>
        <v>918.70499999999993</v>
      </c>
      <c r="P170" s="246">
        <f t="shared" si="18"/>
        <v>0</v>
      </c>
      <c r="Q170" s="159">
        <v>4200</v>
      </c>
      <c r="R170" s="159">
        <v>1161</v>
      </c>
      <c r="S170" s="363">
        <f t="shared" si="16"/>
        <v>0</v>
      </c>
      <c r="T170" s="271">
        <v>0.39725418054820766</v>
      </c>
    </row>
    <row r="171" spans="1:20" x14ac:dyDescent="0.2">
      <c r="A171" s="147">
        <v>2015</v>
      </c>
      <c r="B171" s="147">
        <v>2</v>
      </c>
      <c r="C171" s="161"/>
      <c r="D171" s="166">
        <v>8.1602139087259289</v>
      </c>
      <c r="E171" s="256">
        <f>HLOOKUP($A171,'OD Rates'!$B$1:$K$13,13,0)*100</f>
        <v>9.98435440913366</v>
      </c>
      <c r="F171" s="256">
        <f>HLOOKUP($A171,'OD Rates'!$B$17:$K$26,10,0)*100</f>
        <v>9.337919624405929</v>
      </c>
      <c r="G171" s="166">
        <v>30.19</v>
      </c>
      <c r="H171" s="148">
        <v>136.48636771</v>
      </c>
      <c r="I171" s="181">
        <f t="shared" si="13"/>
        <v>136.48636771</v>
      </c>
      <c r="J171" s="181">
        <f t="shared" si="14"/>
        <v>54.219780160637399</v>
      </c>
      <c r="K171" s="362">
        <v>24856</v>
      </c>
      <c r="L171" s="231"/>
      <c r="M171" s="157">
        <v>10113.8908242</v>
      </c>
      <c r="N171" s="181">
        <f t="shared" si="15"/>
        <v>10113.8908242</v>
      </c>
      <c r="O171" s="246">
        <f t="shared" si="18"/>
        <v>796.85749999999996</v>
      </c>
      <c r="P171" s="246">
        <f t="shared" si="18"/>
        <v>0</v>
      </c>
      <c r="Q171" s="159">
        <v>4200</v>
      </c>
      <c r="R171" s="159">
        <v>1161</v>
      </c>
      <c r="S171" s="363">
        <f t="shared" si="16"/>
        <v>0</v>
      </c>
      <c r="T171" s="271">
        <v>0.39725418054820766</v>
      </c>
    </row>
    <row r="172" spans="1:20" x14ac:dyDescent="0.2">
      <c r="A172" s="147">
        <v>2015</v>
      </c>
      <c r="B172" s="147">
        <v>3</v>
      </c>
      <c r="C172" s="161"/>
      <c r="D172" s="166">
        <v>8.1602139087259289</v>
      </c>
      <c r="E172" s="256">
        <f>HLOOKUP($A172,'OD Rates'!$B$1:$K$13,13,0)*100</f>
        <v>9.98435440913366</v>
      </c>
      <c r="F172" s="256">
        <f>HLOOKUP($A172,'OD Rates'!$B$17:$K$26,10,0)*100</f>
        <v>9.337919624405929</v>
      </c>
      <c r="G172" s="166">
        <v>30.05</v>
      </c>
      <c r="H172" s="148">
        <v>136.48636771</v>
      </c>
      <c r="I172" s="181">
        <f t="shared" si="13"/>
        <v>136.48636771</v>
      </c>
      <c r="J172" s="181">
        <f t="shared" si="14"/>
        <v>54.219780160637399</v>
      </c>
      <c r="K172" s="362">
        <v>24854</v>
      </c>
      <c r="L172" s="231"/>
      <c r="M172" s="157">
        <v>10113.8908242</v>
      </c>
      <c r="N172" s="181">
        <f t="shared" si="15"/>
        <v>10113.8908242</v>
      </c>
      <c r="O172" s="246">
        <f t="shared" si="18"/>
        <v>645</v>
      </c>
      <c r="P172" s="246">
        <f t="shared" si="18"/>
        <v>0.32500000000000001</v>
      </c>
      <c r="Q172" s="159">
        <v>4200</v>
      </c>
      <c r="R172" s="159">
        <v>1161</v>
      </c>
      <c r="S172" s="363">
        <f t="shared" si="16"/>
        <v>0</v>
      </c>
      <c r="T172" s="271">
        <v>0.39725418054820766</v>
      </c>
    </row>
    <row r="173" spans="1:20" x14ac:dyDescent="0.2">
      <c r="A173" s="147">
        <v>2015</v>
      </c>
      <c r="B173" s="147">
        <v>4</v>
      </c>
      <c r="C173" s="161"/>
      <c r="D173" s="166">
        <v>8.1602139087259289</v>
      </c>
      <c r="E173" s="256">
        <f>HLOOKUP($A173,'OD Rates'!$B$1:$K$13,13,0)*100</f>
        <v>9.98435440913366</v>
      </c>
      <c r="F173" s="256">
        <f>HLOOKUP($A173,'OD Rates'!$B$17:$K$26,10,0)*100</f>
        <v>9.337919624405929</v>
      </c>
      <c r="G173" s="166">
        <v>30.71</v>
      </c>
      <c r="H173" s="148">
        <v>136.48636771</v>
      </c>
      <c r="I173" s="181">
        <f t="shared" si="13"/>
        <v>136.48636771</v>
      </c>
      <c r="J173" s="181">
        <f t="shared" si="14"/>
        <v>54.242827971994544</v>
      </c>
      <c r="K173" s="362">
        <v>24852</v>
      </c>
      <c r="L173" s="231"/>
      <c r="M173" s="157">
        <v>10113.8908242</v>
      </c>
      <c r="N173" s="181">
        <f t="shared" si="15"/>
        <v>10113.8908242</v>
      </c>
      <c r="O173" s="246">
        <f t="shared" si="18"/>
        <v>393.33749999999998</v>
      </c>
      <c r="P173" s="246">
        <f t="shared" si="18"/>
        <v>5.6325000000000003</v>
      </c>
      <c r="Q173" s="159">
        <v>4200</v>
      </c>
      <c r="R173" s="159">
        <v>1161</v>
      </c>
      <c r="S173" s="363">
        <f t="shared" si="16"/>
        <v>0</v>
      </c>
      <c r="T173" s="271">
        <v>0.39742304584767929</v>
      </c>
    </row>
    <row r="174" spans="1:20" x14ac:dyDescent="0.2">
      <c r="A174" s="147">
        <v>2015</v>
      </c>
      <c r="B174" s="147">
        <v>5</v>
      </c>
      <c r="C174" s="161"/>
      <c r="D174" s="166">
        <v>8.1602139087259289</v>
      </c>
      <c r="E174" s="256">
        <f>HLOOKUP($A174,'OD Rates'!$B$1:$K$13,13,0)*100</f>
        <v>9.98435440913366</v>
      </c>
      <c r="F174" s="256">
        <f>HLOOKUP($A174,'OD Rates'!$B$17:$K$26,10,0)*100</f>
        <v>9.337919624405929</v>
      </c>
      <c r="G174" s="166">
        <v>29.9</v>
      </c>
      <c r="H174" s="148">
        <v>136.48636771</v>
      </c>
      <c r="I174" s="181">
        <f t="shared" si="13"/>
        <v>136.48636771</v>
      </c>
      <c r="J174" s="181">
        <f t="shared" si="14"/>
        <v>54.242827971994544</v>
      </c>
      <c r="K174" s="362">
        <v>24850</v>
      </c>
      <c r="L174" s="231"/>
      <c r="M174" s="157">
        <v>10113.8908242</v>
      </c>
      <c r="N174" s="181">
        <f t="shared" si="15"/>
        <v>10113.8908242</v>
      </c>
      <c r="O174" s="246">
        <f t="shared" si="18"/>
        <v>170.59</v>
      </c>
      <c r="P174" s="246">
        <f t="shared" si="18"/>
        <v>35.347500000000004</v>
      </c>
      <c r="Q174" s="159">
        <v>4200</v>
      </c>
      <c r="R174" s="159">
        <v>1161</v>
      </c>
      <c r="S174" s="363">
        <f t="shared" si="16"/>
        <v>0</v>
      </c>
      <c r="T174" s="271">
        <v>0.39742304584767929</v>
      </c>
    </row>
    <row r="175" spans="1:20" x14ac:dyDescent="0.2">
      <c r="A175" s="147">
        <v>2015</v>
      </c>
      <c r="B175" s="147">
        <v>6</v>
      </c>
      <c r="C175" s="161"/>
      <c r="D175" s="166">
        <v>8.1602139087259289</v>
      </c>
      <c r="E175" s="256">
        <f>HLOOKUP($A175,'OD Rates'!$B$1:$K$13,13,0)*100</f>
        <v>9.98435440913366</v>
      </c>
      <c r="F175" s="256">
        <f>HLOOKUP($A175,'OD Rates'!$B$17:$K$26,10,0)*100</f>
        <v>9.337919624405929</v>
      </c>
      <c r="G175" s="166">
        <v>30.38</v>
      </c>
      <c r="H175" s="148">
        <v>136.48636771</v>
      </c>
      <c r="I175" s="181">
        <f t="shared" si="13"/>
        <v>136.48636771</v>
      </c>
      <c r="J175" s="181">
        <f t="shared" si="14"/>
        <v>54.242827971994544</v>
      </c>
      <c r="K175" s="362">
        <v>24848</v>
      </c>
      <c r="L175" s="231"/>
      <c r="M175" s="157">
        <v>10113.8908242</v>
      </c>
      <c r="N175" s="181">
        <f t="shared" si="15"/>
        <v>10113.8908242</v>
      </c>
      <c r="O175" s="246">
        <f t="shared" si="18"/>
        <v>42.912500000000001</v>
      </c>
      <c r="P175" s="246">
        <f t="shared" si="18"/>
        <v>148.8475</v>
      </c>
      <c r="Q175" s="159">
        <v>4200</v>
      </c>
      <c r="R175" s="159">
        <v>1161</v>
      </c>
      <c r="S175" s="363">
        <f t="shared" si="16"/>
        <v>0</v>
      </c>
      <c r="T175" s="271">
        <v>0.39742304584767929</v>
      </c>
    </row>
    <row r="176" spans="1:20" x14ac:dyDescent="0.2">
      <c r="A176" s="147">
        <v>2015</v>
      </c>
      <c r="B176" s="147">
        <v>7</v>
      </c>
      <c r="C176" s="161"/>
      <c r="D176" s="166">
        <v>8.1602139087259289</v>
      </c>
      <c r="E176" s="256">
        <f>HLOOKUP($A176,'OD Rates'!$B$1:$K$13,13,0)*100</f>
        <v>9.98435440913366</v>
      </c>
      <c r="F176" s="256">
        <f>HLOOKUP($A176,'OD Rates'!$B$17:$K$26,10,0)*100</f>
        <v>9.337919624405929</v>
      </c>
      <c r="G176" s="166">
        <v>30.71</v>
      </c>
      <c r="H176" s="148">
        <v>136.48636771</v>
      </c>
      <c r="I176" s="181">
        <f t="shared" si="13"/>
        <v>136.48636771</v>
      </c>
      <c r="J176" s="181">
        <f t="shared" si="14"/>
        <v>54.260318936199781</v>
      </c>
      <c r="K176" s="362">
        <v>24846</v>
      </c>
      <c r="L176" s="231"/>
      <c r="M176" s="157">
        <v>10113.8908242</v>
      </c>
      <c r="N176" s="181">
        <f t="shared" si="15"/>
        <v>10113.8908242</v>
      </c>
      <c r="O176" s="246">
        <f t="shared" si="18"/>
        <v>1.375</v>
      </c>
      <c r="P176" s="246">
        <f t="shared" si="18"/>
        <v>291.78750000000002</v>
      </c>
      <c r="Q176" s="159">
        <v>4200</v>
      </c>
      <c r="R176" s="159">
        <v>1161</v>
      </c>
      <c r="S176" s="363">
        <f t="shared" si="16"/>
        <v>0</v>
      </c>
      <c r="T176" s="271">
        <v>0.39755119757813195</v>
      </c>
    </row>
    <row r="177" spans="1:20" x14ac:dyDescent="0.2">
      <c r="A177" s="147">
        <v>2015</v>
      </c>
      <c r="B177" s="147">
        <v>8</v>
      </c>
      <c r="C177" s="161"/>
      <c r="D177" s="166">
        <v>8.1602139087259289</v>
      </c>
      <c r="E177" s="256">
        <f>HLOOKUP($A177,'OD Rates'!$B$1:$K$13,13,0)*100</f>
        <v>9.98435440913366</v>
      </c>
      <c r="F177" s="256">
        <f>HLOOKUP($A177,'OD Rates'!$B$17:$K$26,10,0)*100</f>
        <v>9.337919624405929</v>
      </c>
      <c r="G177" s="166">
        <v>29.52</v>
      </c>
      <c r="H177" s="148">
        <v>136.48636771</v>
      </c>
      <c r="I177" s="181">
        <f t="shared" si="13"/>
        <v>136.48636771</v>
      </c>
      <c r="J177" s="181">
        <f t="shared" si="14"/>
        <v>54.260318936199781</v>
      </c>
      <c r="K177" s="362">
        <v>24844</v>
      </c>
      <c r="L177" s="231"/>
      <c r="M177" s="157">
        <v>10113.8908242</v>
      </c>
      <c r="N177" s="181">
        <f t="shared" si="15"/>
        <v>10113.8908242</v>
      </c>
      <c r="O177" s="246">
        <f t="shared" si="18"/>
        <v>0.35</v>
      </c>
      <c r="P177" s="246">
        <f t="shared" si="18"/>
        <v>311.80250000000001</v>
      </c>
      <c r="Q177" s="159">
        <v>4200</v>
      </c>
      <c r="R177" s="159">
        <v>1161</v>
      </c>
      <c r="S177" s="363">
        <f t="shared" si="16"/>
        <v>0</v>
      </c>
      <c r="T177" s="271">
        <v>0.39755119757813195</v>
      </c>
    </row>
    <row r="178" spans="1:20" x14ac:dyDescent="0.2">
      <c r="A178" s="147">
        <v>2015</v>
      </c>
      <c r="B178" s="147">
        <v>9</v>
      </c>
      <c r="C178" s="161"/>
      <c r="D178" s="166">
        <v>8.1602139087259289</v>
      </c>
      <c r="E178" s="256">
        <f>HLOOKUP($A178,'OD Rates'!$B$1:$K$13,13,0)*100</f>
        <v>9.98435440913366</v>
      </c>
      <c r="F178" s="256">
        <f>HLOOKUP($A178,'OD Rates'!$B$17:$K$26,10,0)*100</f>
        <v>9.337919624405929</v>
      </c>
      <c r="G178" s="166">
        <v>30.48</v>
      </c>
      <c r="H178" s="148">
        <v>136.48636771</v>
      </c>
      <c r="I178" s="181">
        <f t="shared" si="13"/>
        <v>136.48636771</v>
      </c>
      <c r="J178" s="181">
        <f t="shared" si="14"/>
        <v>54.260318936199781</v>
      </c>
      <c r="K178" s="362">
        <v>24842</v>
      </c>
      <c r="L178" s="231"/>
      <c r="M178" s="157">
        <v>10113.8908242</v>
      </c>
      <c r="N178" s="181">
        <f t="shared" si="15"/>
        <v>10113.8908242</v>
      </c>
      <c r="O178" s="246">
        <f t="shared" si="18"/>
        <v>8.2974999999999994</v>
      </c>
      <c r="P178" s="246">
        <f t="shared" si="18"/>
        <v>230.68249999999998</v>
      </c>
      <c r="Q178" s="159">
        <v>4200</v>
      </c>
      <c r="R178" s="159">
        <v>1161</v>
      </c>
      <c r="S178" s="363">
        <f t="shared" si="16"/>
        <v>0</v>
      </c>
      <c r="T178" s="271">
        <v>0.39755119757813195</v>
      </c>
    </row>
    <row r="179" spans="1:20" x14ac:dyDescent="0.2">
      <c r="A179" s="147">
        <v>2015</v>
      </c>
      <c r="B179" s="147">
        <v>10</v>
      </c>
      <c r="C179" s="161"/>
      <c r="D179" s="166">
        <v>8.1602139087259289</v>
      </c>
      <c r="E179" s="256">
        <f>HLOOKUP($A179,'OD Rates'!$B$1:$K$13,13,0)*100</f>
        <v>9.98435440913366</v>
      </c>
      <c r="F179" s="256">
        <f>HLOOKUP($A179,'OD Rates'!$B$17:$K$26,10,0)*100</f>
        <v>9.337919624405929</v>
      </c>
      <c r="G179" s="166">
        <v>29.67</v>
      </c>
      <c r="H179" s="148">
        <v>136.48636771</v>
      </c>
      <c r="I179" s="181">
        <f t="shared" si="13"/>
        <v>136.48636771</v>
      </c>
      <c r="J179" s="181">
        <f t="shared" si="14"/>
        <v>54.273804906817006</v>
      </c>
      <c r="K179" s="362">
        <v>24840</v>
      </c>
      <c r="L179" s="231"/>
      <c r="M179" s="157">
        <v>10113.8908242</v>
      </c>
      <c r="N179" s="181">
        <f t="shared" si="15"/>
        <v>10113.8908242</v>
      </c>
      <c r="O179" s="246">
        <f t="shared" si="18"/>
        <v>129.8125</v>
      </c>
      <c r="P179" s="246">
        <f t="shared" si="18"/>
        <v>57.779999999999994</v>
      </c>
      <c r="Q179" s="159">
        <v>4200</v>
      </c>
      <c r="R179" s="159">
        <v>1161</v>
      </c>
      <c r="S179" s="363">
        <f t="shared" si="16"/>
        <v>0</v>
      </c>
      <c r="T179" s="271">
        <v>0.39765000576567111</v>
      </c>
    </row>
    <row r="180" spans="1:20" x14ac:dyDescent="0.2">
      <c r="A180" s="147">
        <v>2015</v>
      </c>
      <c r="B180" s="147">
        <v>11</v>
      </c>
      <c r="C180" s="161"/>
      <c r="D180" s="166">
        <v>8.1602139087259289</v>
      </c>
      <c r="E180" s="256">
        <f>HLOOKUP($A180,'OD Rates'!$B$1:$K$13,13,0)*100</f>
        <v>9.98435440913366</v>
      </c>
      <c r="F180" s="256">
        <f>HLOOKUP($A180,'OD Rates'!$B$17:$K$26,10,0)*100</f>
        <v>9.337919624405929</v>
      </c>
      <c r="G180" s="166">
        <v>29.76</v>
      </c>
      <c r="H180" s="148">
        <v>136.48636771</v>
      </c>
      <c r="I180" s="181">
        <f t="shared" si="13"/>
        <v>136.48636771</v>
      </c>
      <c r="J180" s="181">
        <f t="shared" si="14"/>
        <v>54.273804906817006</v>
      </c>
      <c r="K180" s="362">
        <v>24838</v>
      </c>
      <c r="L180" s="231"/>
      <c r="M180" s="157">
        <v>10113.8908242</v>
      </c>
      <c r="N180" s="181">
        <f t="shared" si="15"/>
        <v>10113.8908242</v>
      </c>
      <c r="O180" s="246">
        <f t="shared" si="18"/>
        <v>387.90500000000003</v>
      </c>
      <c r="P180" s="246">
        <f t="shared" si="18"/>
        <v>3.9299999999999997</v>
      </c>
      <c r="Q180" s="159">
        <v>4200</v>
      </c>
      <c r="R180" s="159">
        <v>1161</v>
      </c>
      <c r="S180" s="363">
        <f t="shared" si="16"/>
        <v>0</v>
      </c>
      <c r="T180" s="271">
        <v>0.39765000576567111</v>
      </c>
    </row>
    <row r="181" spans="1:20" x14ac:dyDescent="0.2">
      <c r="A181" s="147">
        <v>2015</v>
      </c>
      <c r="B181" s="147">
        <v>12</v>
      </c>
      <c r="C181" s="161"/>
      <c r="D181" s="166">
        <v>8.1602139087259289</v>
      </c>
      <c r="E181" s="256">
        <f>HLOOKUP($A181,'OD Rates'!$B$1:$K$13,13,0)*100</f>
        <v>9.98435440913366</v>
      </c>
      <c r="F181" s="256">
        <f>HLOOKUP($A181,'OD Rates'!$B$17:$K$26,10,0)*100</f>
        <v>9.337919624405929</v>
      </c>
      <c r="G181" s="166">
        <v>31.57</v>
      </c>
      <c r="H181" s="148">
        <v>136.48636771</v>
      </c>
      <c r="I181" s="181">
        <f t="shared" si="13"/>
        <v>136.48636771</v>
      </c>
      <c r="J181" s="181">
        <f t="shared" si="14"/>
        <v>54.273804906817006</v>
      </c>
      <c r="K181" s="362">
        <v>24836</v>
      </c>
      <c r="L181" s="231"/>
      <c r="M181" s="157">
        <v>10113.8908242</v>
      </c>
      <c r="N181" s="181">
        <f t="shared" si="15"/>
        <v>10113.8908242</v>
      </c>
      <c r="O181" s="246">
        <f t="shared" si="18"/>
        <v>681.89</v>
      </c>
      <c r="P181" s="246">
        <f t="shared" si="18"/>
        <v>0.1</v>
      </c>
      <c r="Q181" s="159">
        <v>4200</v>
      </c>
      <c r="R181" s="159">
        <v>1161</v>
      </c>
      <c r="S181" s="363">
        <f t="shared" si="16"/>
        <v>0</v>
      </c>
      <c r="T181" s="271">
        <v>0.39765000576567111</v>
      </c>
    </row>
    <row r="182" spans="1:20" x14ac:dyDescent="0.2">
      <c r="A182" s="147">
        <v>2016</v>
      </c>
      <c r="B182" s="147">
        <v>1</v>
      </c>
      <c r="C182" s="161"/>
      <c r="D182" s="166">
        <v>8.9141516065326432</v>
      </c>
      <c r="E182" s="256">
        <f>HLOOKUP($A182,'OD Rates'!$B$1:$K$13,13,0)*100</f>
        <v>11.1511374889444</v>
      </c>
      <c r="F182" s="256">
        <f>HLOOKUP($A182,'OD Rates'!$B$17:$K$26,10,0)*100</f>
        <v>10.306953177276499</v>
      </c>
      <c r="G182" s="166">
        <v>32.520000000000003</v>
      </c>
      <c r="H182" s="148">
        <v>136.45708119</v>
      </c>
      <c r="I182" s="181">
        <f t="shared" si="13"/>
        <v>136.45708119</v>
      </c>
      <c r="J182" s="181">
        <f t="shared" si="14"/>
        <v>54.272083060717364</v>
      </c>
      <c r="K182" s="362">
        <v>24834</v>
      </c>
      <c r="L182" s="231"/>
      <c r="M182" s="157">
        <v>10485.507251000001</v>
      </c>
      <c r="N182" s="181">
        <f t="shared" si="15"/>
        <v>10485.507251000001</v>
      </c>
      <c r="O182" s="246">
        <f t="shared" si="18"/>
        <v>918.70499999999993</v>
      </c>
      <c r="P182" s="246">
        <f t="shared" si="18"/>
        <v>0</v>
      </c>
      <c r="Q182" s="159">
        <v>4200</v>
      </c>
      <c r="R182" s="159">
        <v>1161</v>
      </c>
      <c r="S182" s="363">
        <f t="shared" si="16"/>
        <v>0</v>
      </c>
      <c r="T182" s="271">
        <v>0.39772273148031101</v>
      </c>
    </row>
    <row r="183" spans="1:20" x14ac:dyDescent="0.2">
      <c r="A183" s="147">
        <v>2016</v>
      </c>
      <c r="B183" s="147">
        <v>2</v>
      </c>
      <c r="C183" s="161"/>
      <c r="D183" s="166">
        <v>8.9141516065326432</v>
      </c>
      <c r="E183" s="256">
        <f>HLOOKUP($A183,'OD Rates'!$B$1:$K$13,13,0)*100</f>
        <v>11.1511374889444</v>
      </c>
      <c r="F183" s="256">
        <f>HLOOKUP($A183,'OD Rates'!$B$17:$K$26,10,0)*100</f>
        <v>10.306953177276499</v>
      </c>
      <c r="G183" s="166">
        <v>30.14</v>
      </c>
      <c r="H183" s="148">
        <v>136.45708119</v>
      </c>
      <c r="I183" s="181">
        <f t="shared" si="13"/>
        <v>136.45708119</v>
      </c>
      <c r="J183" s="181">
        <f t="shared" si="14"/>
        <v>54.272083060717364</v>
      </c>
      <c r="K183" s="362">
        <v>24832</v>
      </c>
      <c r="L183" s="231"/>
      <c r="M183" s="157">
        <v>10485.507251000001</v>
      </c>
      <c r="N183" s="181">
        <f t="shared" si="15"/>
        <v>10485.507251000001</v>
      </c>
      <c r="O183" s="246">
        <f t="shared" si="18"/>
        <v>796.85749999999996</v>
      </c>
      <c r="P183" s="246">
        <f t="shared" si="18"/>
        <v>0</v>
      </c>
      <c r="Q183" s="159">
        <v>4200</v>
      </c>
      <c r="R183" s="159">
        <v>1161</v>
      </c>
      <c r="S183" s="363">
        <f t="shared" si="16"/>
        <v>0</v>
      </c>
      <c r="T183" s="271">
        <v>0.39772273148031101</v>
      </c>
    </row>
    <row r="184" spans="1:20" x14ac:dyDescent="0.2">
      <c r="A184" s="147">
        <v>2016</v>
      </c>
      <c r="B184" s="147">
        <v>3</v>
      </c>
      <c r="C184" s="161"/>
      <c r="D184" s="166">
        <v>8.9141516065326432</v>
      </c>
      <c r="E184" s="256">
        <f>HLOOKUP($A184,'OD Rates'!$B$1:$K$13,13,0)*100</f>
        <v>11.1511374889444</v>
      </c>
      <c r="F184" s="256">
        <f>HLOOKUP($A184,'OD Rates'!$B$17:$K$26,10,0)*100</f>
        <v>10.306953177276499</v>
      </c>
      <c r="G184" s="166">
        <v>30.33</v>
      </c>
      <c r="H184" s="148">
        <v>136.45708119</v>
      </c>
      <c r="I184" s="181">
        <f t="shared" si="13"/>
        <v>136.45708119</v>
      </c>
      <c r="J184" s="181">
        <f t="shared" si="14"/>
        <v>54.272083060717364</v>
      </c>
      <c r="K184" s="362">
        <v>24830</v>
      </c>
      <c r="L184" s="231"/>
      <c r="M184" s="157">
        <v>10485.507251000001</v>
      </c>
      <c r="N184" s="181">
        <f t="shared" si="15"/>
        <v>10485.507251000001</v>
      </c>
      <c r="O184" s="246">
        <f t="shared" si="18"/>
        <v>645</v>
      </c>
      <c r="P184" s="246">
        <f t="shared" si="18"/>
        <v>0.32500000000000001</v>
      </c>
      <c r="Q184" s="159">
        <v>4200</v>
      </c>
      <c r="R184" s="159">
        <v>1161</v>
      </c>
      <c r="S184" s="363">
        <f t="shared" si="16"/>
        <v>0</v>
      </c>
      <c r="T184" s="271">
        <v>0.39772273148031101</v>
      </c>
    </row>
    <row r="185" spans="1:20" x14ac:dyDescent="0.2">
      <c r="A185" s="147">
        <v>2016</v>
      </c>
      <c r="B185" s="147">
        <v>4</v>
      </c>
      <c r="C185" s="161"/>
      <c r="D185" s="166">
        <v>8.9141516065326432</v>
      </c>
      <c r="E185" s="256">
        <f>HLOOKUP($A185,'OD Rates'!$B$1:$K$13,13,0)*100</f>
        <v>11.1511374889444</v>
      </c>
      <c r="F185" s="256">
        <f>HLOOKUP($A185,'OD Rates'!$B$17:$K$26,10,0)*100</f>
        <v>10.306953177276499</v>
      </c>
      <c r="G185" s="166">
        <v>30.52</v>
      </c>
      <c r="H185" s="148">
        <v>136.45708119</v>
      </c>
      <c r="I185" s="181">
        <f t="shared" si="13"/>
        <v>136.45708119</v>
      </c>
      <c r="J185" s="181">
        <f t="shared" si="14"/>
        <v>54.280690783760562</v>
      </c>
      <c r="K185" s="362">
        <v>24828</v>
      </c>
      <c r="L185" s="231"/>
      <c r="M185" s="157">
        <v>10485.507251000001</v>
      </c>
      <c r="N185" s="181">
        <f t="shared" si="15"/>
        <v>10485.507251000001</v>
      </c>
      <c r="O185" s="246">
        <f t="shared" si="18"/>
        <v>393.33749999999998</v>
      </c>
      <c r="P185" s="246">
        <f t="shared" si="18"/>
        <v>5.6325000000000003</v>
      </c>
      <c r="Q185" s="159">
        <v>4200</v>
      </c>
      <c r="R185" s="159">
        <v>1161</v>
      </c>
      <c r="S185" s="363">
        <f t="shared" si="16"/>
        <v>0</v>
      </c>
      <c r="T185" s="271">
        <v>0.39778581155624498</v>
      </c>
    </row>
    <row r="186" spans="1:20" x14ac:dyDescent="0.2">
      <c r="A186" s="147">
        <v>2016</v>
      </c>
      <c r="B186" s="147">
        <v>5</v>
      </c>
      <c r="C186" s="161"/>
      <c r="D186" s="166">
        <v>8.9141516065326432</v>
      </c>
      <c r="E186" s="256">
        <f>HLOOKUP($A186,'OD Rates'!$B$1:$K$13,13,0)*100</f>
        <v>11.1511374889444</v>
      </c>
      <c r="F186" s="256">
        <f>HLOOKUP($A186,'OD Rates'!$B$17:$K$26,10,0)*100</f>
        <v>10.306953177276499</v>
      </c>
      <c r="G186" s="166">
        <v>29.48</v>
      </c>
      <c r="H186" s="148">
        <v>136.45708119</v>
      </c>
      <c r="I186" s="181">
        <f t="shared" si="13"/>
        <v>136.45708119</v>
      </c>
      <c r="J186" s="181">
        <f t="shared" si="14"/>
        <v>54.280690783760562</v>
      </c>
      <c r="K186" s="362">
        <v>24826</v>
      </c>
      <c r="L186" s="231"/>
      <c r="M186" s="157">
        <v>10485.507251000001</v>
      </c>
      <c r="N186" s="181">
        <f t="shared" si="15"/>
        <v>10485.507251000001</v>
      </c>
      <c r="O186" s="246">
        <f t="shared" ref="O186:P201" si="19">O174</f>
        <v>170.59</v>
      </c>
      <c r="P186" s="246">
        <f t="shared" si="19"/>
        <v>35.347500000000004</v>
      </c>
      <c r="Q186" s="159">
        <v>4200</v>
      </c>
      <c r="R186" s="159">
        <v>1161</v>
      </c>
      <c r="S186" s="363">
        <f t="shared" si="16"/>
        <v>0</v>
      </c>
      <c r="T186" s="271">
        <v>0.39778581155624498</v>
      </c>
    </row>
    <row r="187" spans="1:20" x14ac:dyDescent="0.2">
      <c r="A187" s="147">
        <v>2016</v>
      </c>
      <c r="B187" s="147">
        <v>6</v>
      </c>
      <c r="C187" s="161"/>
      <c r="D187" s="166">
        <v>8.9141516065326432</v>
      </c>
      <c r="E187" s="256">
        <f>HLOOKUP($A187,'OD Rates'!$B$1:$K$13,13,0)*100</f>
        <v>11.1511374889444</v>
      </c>
      <c r="F187" s="256">
        <f>HLOOKUP($A187,'OD Rates'!$B$17:$K$26,10,0)*100</f>
        <v>10.306953177276499</v>
      </c>
      <c r="G187" s="166">
        <v>30.67</v>
      </c>
      <c r="H187" s="148">
        <v>136.45708119</v>
      </c>
      <c r="I187" s="181">
        <f t="shared" si="13"/>
        <v>136.45708119</v>
      </c>
      <c r="J187" s="181">
        <f t="shared" si="14"/>
        <v>54.280690783760562</v>
      </c>
      <c r="K187" s="362">
        <v>24824</v>
      </c>
      <c r="L187" s="231"/>
      <c r="M187" s="157">
        <v>10485.507251000001</v>
      </c>
      <c r="N187" s="181">
        <f t="shared" si="15"/>
        <v>10485.507251000001</v>
      </c>
      <c r="O187" s="246">
        <f t="shared" si="19"/>
        <v>42.912500000000001</v>
      </c>
      <c r="P187" s="246">
        <f t="shared" si="19"/>
        <v>148.8475</v>
      </c>
      <c r="Q187" s="159">
        <v>4200</v>
      </c>
      <c r="R187" s="159">
        <v>1161</v>
      </c>
      <c r="S187" s="363">
        <f t="shared" si="16"/>
        <v>0</v>
      </c>
      <c r="T187" s="271">
        <v>0.39778581155624498</v>
      </c>
    </row>
    <row r="188" spans="1:20" x14ac:dyDescent="0.2">
      <c r="A188" s="147">
        <v>2016</v>
      </c>
      <c r="B188" s="147">
        <v>7</v>
      </c>
      <c r="C188" s="161"/>
      <c r="D188" s="166">
        <v>8.9141516065326432</v>
      </c>
      <c r="E188" s="256">
        <f>HLOOKUP($A188,'OD Rates'!$B$1:$K$13,13,0)*100</f>
        <v>11.1511374889444</v>
      </c>
      <c r="F188" s="256">
        <f>HLOOKUP($A188,'OD Rates'!$B$17:$K$26,10,0)*100</f>
        <v>10.306953177276499</v>
      </c>
      <c r="G188" s="166">
        <v>30.71</v>
      </c>
      <c r="H188" s="148">
        <v>136.45708119</v>
      </c>
      <c r="I188" s="181">
        <f t="shared" si="13"/>
        <v>136.45708119</v>
      </c>
      <c r="J188" s="181">
        <f t="shared" si="14"/>
        <v>54.28886384776149</v>
      </c>
      <c r="K188" s="362">
        <v>24822</v>
      </c>
      <c r="L188" s="231"/>
      <c r="M188" s="157">
        <v>10485.507251000001</v>
      </c>
      <c r="N188" s="181">
        <f t="shared" si="15"/>
        <v>10485.507251000001</v>
      </c>
      <c r="O188" s="246">
        <f t="shared" si="19"/>
        <v>1.375</v>
      </c>
      <c r="P188" s="246">
        <f t="shared" si="19"/>
        <v>291.78750000000002</v>
      </c>
      <c r="Q188" s="159">
        <v>4200</v>
      </c>
      <c r="R188" s="159">
        <v>1161</v>
      </c>
      <c r="S188" s="363">
        <f t="shared" si="16"/>
        <v>0</v>
      </c>
      <c r="T188" s="271">
        <v>0.39784570631531246</v>
      </c>
    </row>
    <row r="189" spans="1:20" x14ac:dyDescent="0.2">
      <c r="A189" s="147">
        <v>2016</v>
      </c>
      <c r="B189" s="147">
        <v>8</v>
      </c>
      <c r="C189" s="161"/>
      <c r="D189" s="166">
        <v>8.9141516065326432</v>
      </c>
      <c r="E189" s="256">
        <f>HLOOKUP($A189,'OD Rates'!$B$1:$K$13,13,0)*100</f>
        <v>11.1511374889444</v>
      </c>
      <c r="F189" s="256">
        <f>HLOOKUP($A189,'OD Rates'!$B$17:$K$26,10,0)*100</f>
        <v>10.306953177276499</v>
      </c>
      <c r="G189" s="166">
        <v>29.52</v>
      </c>
      <c r="H189" s="148">
        <v>136.45708119</v>
      </c>
      <c r="I189" s="181">
        <f t="shared" si="13"/>
        <v>136.45708119</v>
      </c>
      <c r="J189" s="181">
        <f t="shared" si="14"/>
        <v>54.28886384776149</v>
      </c>
      <c r="K189" s="362">
        <v>24820</v>
      </c>
      <c r="L189" s="231"/>
      <c r="M189" s="157">
        <v>10485.507251000001</v>
      </c>
      <c r="N189" s="181">
        <f t="shared" si="15"/>
        <v>10485.507251000001</v>
      </c>
      <c r="O189" s="246">
        <f t="shared" si="19"/>
        <v>0.35</v>
      </c>
      <c r="P189" s="246">
        <f t="shared" si="19"/>
        <v>311.80250000000001</v>
      </c>
      <c r="Q189" s="159">
        <v>4200</v>
      </c>
      <c r="R189" s="159">
        <v>1161</v>
      </c>
      <c r="S189" s="363">
        <f t="shared" si="16"/>
        <v>0</v>
      </c>
      <c r="T189" s="271">
        <v>0.39784570631531246</v>
      </c>
    </row>
    <row r="190" spans="1:20" x14ac:dyDescent="0.2">
      <c r="A190" s="147">
        <v>2016</v>
      </c>
      <c r="B190" s="147">
        <v>9</v>
      </c>
      <c r="C190" s="161"/>
      <c r="D190" s="166">
        <v>8.9141516065326432</v>
      </c>
      <c r="E190" s="256">
        <f>HLOOKUP($A190,'OD Rates'!$B$1:$K$13,13,0)*100</f>
        <v>11.1511374889444</v>
      </c>
      <c r="F190" s="256">
        <f>HLOOKUP($A190,'OD Rates'!$B$17:$K$26,10,0)*100</f>
        <v>10.306953177276499</v>
      </c>
      <c r="G190" s="166">
        <v>30.52</v>
      </c>
      <c r="H190" s="148">
        <v>136.45708119</v>
      </c>
      <c r="I190" s="181">
        <f t="shared" si="13"/>
        <v>136.45708119</v>
      </c>
      <c r="J190" s="181">
        <f t="shared" si="14"/>
        <v>54.28886384776149</v>
      </c>
      <c r="K190" s="362">
        <v>24818</v>
      </c>
      <c r="L190" s="231"/>
      <c r="M190" s="157">
        <v>10485.507251000001</v>
      </c>
      <c r="N190" s="181">
        <f t="shared" si="15"/>
        <v>10485.507251000001</v>
      </c>
      <c r="O190" s="246">
        <f t="shared" si="19"/>
        <v>8.2974999999999994</v>
      </c>
      <c r="P190" s="246">
        <f t="shared" si="19"/>
        <v>230.68249999999998</v>
      </c>
      <c r="Q190" s="159">
        <v>4200</v>
      </c>
      <c r="R190" s="159">
        <v>1161</v>
      </c>
      <c r="S190" s="363">
        <f t="shared" si="16"/>
        <v>0</v>
      </c>
      <c r="T190" s="271">
        <v>0.39784570631531246</v>
      </c>
    </row>
    <row r="191" spans="1:20" x14ac:dyDescent="0.2">
      <c r="A191" s="147">
        <v>2016</v>
      </c>
      <c r="B191" s="147">
        <v>10</v>
      </c>
      <c r="C191" s="161"/>
      <c r="D191" s="166">
        <v>8.9141516065326432</v>
      </c>
      <c r="E191" s="256">
        <f>HLOOKUP($A191,'OD Rates'!$B$1:$K$13,13,0)*100</f>
        <v>11.1511374889444</v>
      </c>
      <c r="F191" s="256">
        <f>HLOOKUP($A191,'OD Rates'!$B$17:$K$26,10,0)*100</f>
        <v>10.306953177276499</v>
      </c>
      <c r="G191" s="166">
        <v>29.62</v>
      </c>
      <c r="H191" s="148">
        <v>136.45708119</v>
      </c>
      <c r="I191" s="181">
        <f t="shared" si="13"/>
        <v>136.45708119</v>
      </c>
      <c r="J191" s="181">
        <f t="shared" si="14"/>
        <v>54.297290563652339</v>
      </c>
      <c r="K191" s="362">
        <v>24816</v>
      </c>
      <c r="L191" s="231"/>
      <c r="M191" s="157">
        <v>10485.507251000001</v>
      </c>
      <c r="N191" s="181">
        <f t="shared" si="15"/>
        <v>10485.507251000001</v>
      </c>
      <c r="O191" s="246">
        <f t="shared" si="19"/>
        <v>129.8125</v>
      </c>
      <c r="P191" s="246">
        <f t="shared" si="19"/>
        <v>57.779999999999994</v>
      </c>
      <c r="Q191" s="159">
        <v>4200</v>
      </c>
      <c r="R191" s="159">
        <v>1161</v>
      </c>
      <c r="S191" s="363">
        <f t="shared" si="16"/>
        <v>0</v>
      </c>
      <c r="T191" s="271">
        <v>0.39790745991444681</v>
      </c>
    </row>
    <row r="192" spans="1:20" x14ac:dyDescent="0.2">
      <c r="A192" s="147">
        <v>2016</v>
      </c>
      <c r="B192" s="147">
        <v>11</v>
      </c>
      <c r="C192" s="161"/>
      <c r="D192" s="166">
        <v>8.9141516065326432</v>
      </c>
      <c r="E192" s="256">
        <f>HLOOKUP($A192,'OD Rates'!$B$1:$K$13,13,0)*100</f>
        <v>11.1511374889444</v>
      </c>
      <c r="F192" s="256">
        <f>HLOOKUP($A192,'OD Rates'!$B$17:$K$26,10,0)*100</f>
        <v>10.306953177276499</v>
      </c>
      <c r="G192" s="166">
        <v>29.95</v>
      </c>
      <c r="H192" s="148">
        <v>136.45708119</v>
      </c>
      <c r="I192" s="181">
        <f t="shared" si="13"/>
        <v>136.45708119</v>
      </c>
      <c r="J192" s="181">
        <f t="shared" si="14"/>
        <v>54.297290563652339</v>
      </c>
      <c r="K192" s="362">
        <v>24814</v>
      </c>
      <c r="L192" s="231"/>
      <c r="M192" s="157">
        <v>10485.507251000001</v>
      </c>
      <c r="N192" s="181">
        <f t="shared" si="15"/>
        <v>10485.507251000001</v>
      </c>
      <c r="O192" s="246">
        <f t="shared" si="19"/>
        <v>387.90500000000003</v>
      </c>
      <c r="P192" s="246">
        <f t="shared" si="19"/>
        <v>3.9299999999999997</v>
      </c>
      <c r="Q192" s="159">
        <v>4200</v>
      </c>
      <c r="R192" s="159">
        <v>1161</v>
      </c>
      <c r="S192" s="363">
        <f t="shared" si="16"/>
        <v>0</v>
      </c>
      <c r="T192" s="271">
        <v>0.39790745991444681</v>
      </c>
    </row>
    <row r="193" spans="1:20" x14ac:dyDescent="0.2">
      <c r="A193" s="147">
        <v>2016</v>
      </c>
      <c r="B193" s="147">
        <v>12</v>
      </c>
      <c r="C193" s="161"/>
      <c r="D193" s="166">
        <v>8.9141516065326432</v>
      </c>
      <c r="E193" s="256">
        <f>HLOOKUP($A193,'OD Rates'!$B$1:$K$13,13,0)*100</f>
        <v>11.1511374889444</v>
      </c>
      <c r="F193" s="256">
        <f>HLOOKUP($A193,'OD Rates'!$B$17:$K$26,10,0)*100</f>
        <v>10.306953177276499</v>
      </c>
      <c r="G193" s="166">
        <v>31.24</v>
      </c>
      <c r="H193" s="148">
        <v>136.45708119</v>
      </c>
      <c r="I193" s="181">
        <f t="shared" si="13"/>
        <v>136.45708119</v>
      </c>
      <c r="J193" s="181">
        <f t="shared" si="14"/>
        <v>54.297290563652339</v>
      </c>
      <c r="K193" s="362">
        <v>24812</v>
      </c>
      <c r="L193" s="231"/>
      <c r="M193" s="157">
        <v>10485.507251000001</v>
      </c>
      <c r="N193" s="181">
        <f t="shared" si="15"/>
        <v>10485.507251000001</v>
      </c>
      <c r="O193" s="246">
        <f t="shared" si="19"/>
        <v>681.89</v>
      </c>
      <c r="P193" s="246">
        <f t="shared" si="19"/>
        <v>0.1</v>
      </c>
      <c r="Q193" s="159">
        <v>4200</v>
      </c>
      <c r="R193" s="159">
        <v>1161</v>
      </c>
      <c r="S193" s="363">
        <f t="shared" si="16"/>
        <v>0</v>
      </c>
      <c r="T193" s="271">
        <v>0.39790745991444681</v>
      </c>
    </row>
    <row r="194" spans="1:20" x14ac:dyDescent="0.2">
      <c r="A194" s="147">
        <v>2017</v>
      </c>
      <c r="B194" s="147">
        <v>1</v>
      </c>
      <c r="C194" s="161"/>
      <c r="D194" s="166">
        <v>8.9002615420299822</v>
      </c>
      <c r="E194" s="258">
        <f>E182*(1+0.02)</f>
        <v>11.374160238723288</v>
      </c>
      <c r="F194" s="256">
        <f>HLOOKUP($A194,'OD Rates'!$B$17:$K$26,10,0)*100</f>
        <v>10.533662077481699</v>
      </c>
      <c r="G194" s="166">
        <v>32.67</v>
      </c>
      <c r="H194" s="148">
        <v>136.43033462</v>
      </c>
      <c r="I194" s="181">
        <f t="shared" si="13"/>
        <v>136.43033462</v>
      </c>
      <c r="J194" s="181">
        <f t="shared" si="14"/>
        <v>54.261862535715153</v>
      </c>
      <c r="K194" s="362">
        <v>24810</v>
      </c>
      <c r="L194" s="231"/>
      <c r="M194" s="157">
        <v>10899.1221188</v>
      </c>
      <c r="N194" s="181">
        <f t="shared" si="15"/>
        <v>10899.1221188</v>
      </c>
      <c r="O194" s="246">
        <f t="shared" si="19"/>
        <v>918.70499999999993</v>
      </c>
      <c r="P194" s="246">
        <f t="shared" si="19"/>
        <v>0</v>
      </c>
      <c r="Q194" s="159">
        <v>4200</v>
      </c>
      <c r="R194" s="159">
        <v>1161</v>
      </c>
      <c r="S194" s="363">
        <f t="shared" si="16"/>
        <v>0</v>
      </c>
      <c r="T194" s="271">
        <v>0.39772578940637326</v>
      </c>
    </row>
    <row r="195" spans="1:20" x14ac:dyDescent="0.2">
      <c r="A195" s="147">
        <v>2017</v>
      </c>
      <c r="B195" s="147">
        <v>2</v>
      </c>
      <c r="C195" s="161"/>
      <c r="D195" s="166">
        <v>8.9002615420299822</v>
      </c>
      <c r="E195" s="258">
        <f t="shared" ref="E195:F210" si="20">E183*(1+0.02)</f>
        <v>11.374160238723288</v>
      </c>
      <c r="F195" s="256">
        <f>HLOOKUP($A195,'OD Rates'!$B$17:$K$26,10,0)*100</f>
        <v>10.533662077481699</v>
      </c>
      <c r="G195" s="166">
        <v>29.86</v>
      </c>
      <c r="H195" s="148">
        <v>136.43033462</v>
      </c>
      <c r="I195" s="181">
        <f t="shared" ref="I195:I258" si="21">H195</f>
        <v>136.43033462</v>
      </c>
      <c r="J195" s="181">
        <f t="shared" ref="J195:J258" si="22">H195*T195</f>
        <v>54.261862535715153</v>
      </c>
      <c r="K195" s="362">
        <v>24808</v>
      </c>
      <c r="L195" s="231"/>
      <c r="M195" s="157">
        <v>10899.1221188</v>
      </c>
      <c r="N195" s="181">
        <f t="shared" ref="N195:N258" si="23">M195</f>
        <v>10899.1221188</v>
      </c>
      <c r="O195" s="246">
        <f t="shared" si="19"/>
        <v>796.85749999999996</v>
      </c>
      <c r="P195" s="246">
        <f t="shared" si="19"/>
        <v>0</v>
      </c>
      <c r="Q195" s="159">
        <v>4200</v>
      </c>
      <c r="R195" s="159">
        <v>1161</v>
      </c>
      <c r="S195" s="363">
        <f t="shared" ref="S195:S258" si="24">C195/K195*1000</f>
        <v>0</v>
      </c>
      <c r="T195" s="271">
        <v>0.39772578940637326</v>
      </c>
    </row>
    <row r="196" spans="1:20" x14ac:dyDescent="0.2">
      <c r="A196" s="147">
        <v>2017</v>
      </c>
      <c r="B196" s="147">
        <v>3</v>
      </c>
      <c r="C196" s="161"/>
      <c r="D196" s="166">
        <v>8.9002615420299822</v>
      </c>
      <c r="E196" s="258">
        <f t="shared" si="20"/>
        <v>11.374160238723288</v>
      </c>
      <c r="F196" s="256">
        <f>HLOOKUP($A196,'OD Rates'!$B$17:$K$26,10,0)*100</f>
        <v>10.533662077481699</v>
      </c>
      <c r="G196" s="166">
        <v>30.29</v>
      </c>
      <c r="H196" s="148">
        <v>136.43033462</v>
      </c>
      <c r="I196" s="181">
        <f t="shared" si="21"/>
        <v>136.43033462</v>
      </c>
      <c r="J196" s="181">
        <f t="shared" si="22"/>
        <v>54.261862535715153</v>
      </c>
      <c r="K196" s="362">
        <v>24806</v>
      </c>
      <c r="L196" s="231"/>
      <c r="M196" s="157">
        <v>10899.1221188</v>
      </c>
      <c r="N196" s="181">
        <f t="shared" si="23"/>
        <v>10899.1221188</v>
      </c>
      <c r="O196" s="246">
        <f t="shared" si="19"/>
        <v>645</v>
      </c>
      <c r="P196" s="246">
        <f t="shared" si="19"/>
        <v>0.32500000000000001</v>
      </c>
      <c r="Q196" s="159">
        <v>4200</v>
      </c>
      <c r="R196" s="159">
        <v>1161</v>
      </c>
      <c r="S196" s="363">
        <f t="shared" si="24"/>
        <v>0</v>
      </c>
      <c r="T196" s="271">
        <v>0.39772578940637326</v>
      </c>
    </row>
    <row r="197" spans="1:20" x14ac:dyDescent="0.2">
      <c r="A197" s="147">
        <v>2017</v>
      </c>
      <c r="B197" s="147">
        <v>4</v>
      </c>
      <c r="C197" s="161"/>
      <c r="D197" s="166">
        <v>8.9002615420299822</v>
      </c>
      <c r="E197" s="258">
        <f t="shared" si="20"/>
        <v>11.374160238723288</v>
      </c>
      <c r="F197" s="256">
        <f>HLOOKUP($A197,'OD Rates'!$B$17:$K$26,10,0)*100</f>
        <v>10.533662077481699</v>
      </c>
      <c r="G197" s="166">
        <v>30.33</v>
      </c>
      <c r="H197" s="148">
        <v>136.43033462</v>
      </c>
      <c r="I197" s="181">
        <f t="shared" si="21"/>
        <v>136.43033462</v>
      </c>
      <c r="J197" s="181">
        <f t="shared" si="22"/>
        <v>54.237845985487475</v>
      </c>
      <c r="K197" s="362">
        <v>24804</v>
      </c>
      <c r="L197" s="231"/>
      <c r="M197" s="157">
        <v>10899.1221188</v>
      </c>
      <c r="N197" s="181">
        <f t="shared" si="23"/>
        <v>10899.1221188</v>
      </c>
      <c r="O197" s="246">
        <f t="shared" si="19"/>
        <v>393.33749999999998</v>
      </c>
      <c r="P197" s="246">
        <f t="shared" si="19"/>
        <v>5.6325000000000003</v>
      </c>
      <c r="Q197" s="159">
        <v>4200</v>
      </c>
      <c r="R197" s="159">
        <v>1161</v>
      </c>
      <c r="S197" s="363">
        <f t="shared" si="24"/>
        <v>0</v>
      </c>
      <c r="T197" s="271">
        <v>0.39754975414050242</v>
      </c>
    </row>
    <row r="198" spans="1:20" x14ac:dyDescent="0.2">
      <c r="A198" s="147">
        <v>2017</v>
      </c>
      <c r="B198" s="147">
        <v>5</v>
      </c>
      <c r="C198" s="161"/>
      <c r="D198" s="166">
        <v>8.9002615420299822</v>
      </c>
      <c r="E198" s="258">
        <f t="shared" si="20"/>
        <v>11.374160238723288</v>
      </c>
      <c r="F198" s="256">
        <f>HLOOKUP($A198,'OD Rates'!$B$17:$K$26,10,0)*100</f>
        <v>10.533662077481699</v>
      </c>
      <c r="G198" s="166">
        <v>30.05</v>
      </c>
      <c r="H198" s="148">
        <v>136.43033462</v>
      </c>
      <c r="I198" s="181">
        <f t="shared" si="21"/>
        <v>136.43033462</v>
      </c>
      <c r="J198" s="181">
        <f t="shared" si="22"/>
        <v>54.237845985487475</v>
      </c>
      <c r="K198" s="362">
        <v>24802</v>
      </c>
      <c r="L198" s="231"/>
      <c r="M198" s="157">
        <v>10899.1221188</v>
      </c>
      <c r="N198" s="181">
        <f t="shared" si="23"/>
        <v>10899.1221188</v>
      </c>
      <c r="O198" s="246">
        <f t="shared" si="19"/>
        <v>170.59</v>
      </c>
      <c r="P198" s="246">
        <f t="shared" si="19"/>
        <v>35.347500000000004</v>
      </c>
      <c r="Q198" s="159">
        <v>4200</v>
      </c>
      <c r="R198" s="159">
        <v>1161</v>
      </c>
      <c r="S198" s="363">
        <f t="shared" si="24"/>
        <v>0</v>
      </c>
      <c r="T198" s="271">
        <v>0.39754975414050242</v>
      </c>
    </row>
    <row r="199" spans="1:20" x14ac:dyDescent="0.2">
      <c r="A199" s="147">
        <v>2017</v>
      </c>
      <c r="B199" s="147">
        <v>6</v>
      </c>
      <c r="C199" s="161"/>
      <c r="D199" s="166">
        <v>8.9002615420299822</v>
      </c>
      <c r="E199" s="258">
        <f t="shared" si="20"/>
        <v>11.374160238723288</v>
      </c>
      <c r="F199" s="256">
        <f>HLOOKUP($A199,'OD Rates'!$B$17:$K$26,10,0)*100</f>
        <v>10.533662077481699</v>
      </c>
      <c r="G199" s="166">
        <v>30.62</v>
      </c>
      <c r="H199" s="148">
        <v>136.43033462</v>
      </c>
      <c r="I199" s="181">
        <f t="shared" si="21"/>
        <v>136.43033462</v>
      </c>
      <c r="J199" s="181">
        <f t="shared" si="22"/>
        <v>54.237845985487475</v>
      </c>
      <c r="K199" s="362">
        <v>24800</v>
      </c>
      <c r="L199" s="231"/>
      <c r="M199" s="157">
        <v>10899.1221188</v>
      </c>
      <c r="N199" s="181">
        <f t="shared" si="23"/>
        <v>10899.1221188</v>
      </c>
      <c r="O199" s="246">
        <f t="shared" si="19"/>
        <v>42.912500000000001</v>
      </c>
      <c r="P199" s="246">
        <f t="shared" si="19"/>
        <v>148.8475</v>
      </c>
      <c r="Q199" s="159">
        <v>4200</v>
      </c>
      <c r="R199" s="159">
        <v>1161</v>
      </c>
      <c r="S199" s="363">
        <f t="shared" si="24"/>
        <v>0</v>
      </c>
      <c r="T199" s="271">
        <v>0.39754975414050242</v>
      </c>
    </row>
    <row r="200" spans="1:20" x14ac:dyDescent="0.2">
      <c r="A200" s="147">
        <v>2017</v>
      </c>
      <c r="B200" s="147">
        <v>7</v>
      </c>
      <c r="C200" s="161"/>
      <c r="D200" s="166">
        <v>8.9002615420299822</v>
      </c>
      <c r="E200" s="258">
        <f t="shared" si="20"/>
        <v>11.374160238723288</v>
      </c>
      <c r="F200" s="256">
        <f>HLOOKUP($A200,'OD Rates'!$B$17:$K$26,10,0)*100</f>
        <v>10.533662077481699</v>
      </c>
      <c r="G200" s="166">
        <v>30.81</v>
      </c>
      <c r="H200" s="148">
        <v>136.43033462</v>
      </c>
      <c r="I200" s="181">
        <f t="shared" si="21"/>
        <v>136.43033462</v>
      </c>
      <c r="J200" s="181">
        <f t="shared" si="22"/>
        <v>54.213474905811609</v>
      </c>
      <c r="K200" s="362">
        <v>24798</v>
      </c>
      <c r="L200" s="231"/>
      <c r="M200" s="157">
        <v>10899.1221188</v>
      </c>
      <c r="N200" s="181">
        <f t="shared" si="23"/>
        <v>10899.1221188</v>
      </c>
      <c r="O200" s="246">
        <f t="shared" si="19"/>
        <v>1.375</v>
      </c>
      <c r="P200" s="246">
        <f t="shared" si="19"/>
        <v>291.78750000000002</v>
      </c>
      <c r="Q200" s="159">
        <v>4200</v>
      </c>
      <c r="R200" s="159">
        <v>1161</v>
      </c>
      <c r="S200" s="363">
        <f t="shared" si="24"/>
        <v>0</v>
      </c>
      <c r="T200" s="271">
        <v>0.39737112026304588</v>
      </c>
    </row>
    <row r="201" spans="1:20" x14ac:dyDescent="0.2">
      <c r="A201" s="147">
        <v>2017</v>
      </c>
      <c r="B201" s="147">
        <v>8</v>
      </c>
      <c r="C201" s="161"/>
      <c r="D201" s="166">
        <v>8.9002615420299822</v>
      </c>
      <c r="E201" s="258">
        <f t="shared" si="20"/>
        <v>11.374160238723288</v>
      </c>
      <c r="F201" s="256">
        <f>HLOOKUP($A201,'OD Rates'!$B$17:$K$26,10,0)*100</f>
        <v>10.533662077481699</v>
      </c>
      <c r="G201" s="166">
        <v>29.43</v>
      </c>
      <c r="H201" s="148">
        <v>136.43033462</v>
      </c>
      <c r="I201" s="181">
        <f t="shared" si="21"/>
        <v>136.43033462</v>
      </c>
      <c r="J201" s="181">
        <f t="shared" si="22"/>
        <v>54.213474905811609</v>
      </c>
      <c r="K201" s="362">
        <v>24796</v>
      </c>
      <c r="L201" s="231"/>
      <c r="M201" s="157">
        <v>10899.1221188</v>
      </c>
      <c r="N201" s="181">
        <f t="shared" si="23"/>
        <v>10899.1221188</v>
      </c>
      <c r="O201" s="246">
        <f t="shared" si="19"/>
        <v>0.35</v>
      </c>
      <c r="P201" s="246">
        <f t="shared" si="19"/>
        <v>311.80250000000001</v>
      </c>
      <c r="Q201" s="159">
        <v>4200</v>
      </c>
      <c r="R201" s="159">
        <v>1161</v>
      </c>
      <c r="S201" s="363">
        <f t="shared" si="24"/>
        <v>0</v>
      </c>
      <c r="T201" s="271">
        <v>0.39737112026304588</v>
      </c>
    </row>
    <row r="202" spans="1:20" x14ac:dyDescent="0.2">
      <c r="A202" s="147">
        <v>2017</v>
      </c>
      <c r="B202" s="147">
        <v>9</v>
      </c>
      <c r="C202" s="161"/>
      <c r="D202" s="166">
        <v>8.9002615420299822</v>
      </c>
      <c r="E202" s="258">
        <f t="shared" si="20"/>
        <v>11.374160238723288</v>
      </c>
      <c r="F202" s="256">
        <f>HLOOKUP($A202,'OD Rates'!$B$17:$K$26,10,0)*100</f>
        <v>10.533662077481699</v>
      </c>
      <c r="G202" s="166">
        <v>30.57</v>
      </c>
      <c r="H202" s="148">
        <v>136.43033462</v>
      </c>
      <c r="I202" s="181">
        <f t="shared" si="21"/>
        <v>136.43033462</v>
      </c>
      <c r="J202" s="181">
        <f t="shared" si="22"/>
        <v>54.213474905811609</v>
      </c>
      <c r="K202" s="362">
        <v>24794</v>
      </c>
      <c r="L202" s="231"/>
      <c r="M202" s="157">
        <v>10899.1221188</v>
      </c>
      <c r="N202" s="181">
        <f t="shared" si="23"/>
        <v>10899.1221188</v>
      </c>
      <c r="O202" s="246">
        <f t="shared" ref="O202:P217" si="25">O190</f>
        <v>8.2974999999999994</v>
      </c>
      <c r="P202" s="246">
        <f t="shared" si="25"/>
        <v>230.68249999999998</v>
      </c>
      <c r="Q202" s="159">
        <v>4200</v>
      </c>
      <c r="R202" s="159">
        <v>1161</v>
      </c>
      <c r="S202" s="363">
        <f t="shared" si="24"/>
        <v>0</v>
      </c>
      <c r="T202" s="271">
        <v>0.39737112026304588</v>
      </c>
    </row>
    <row r="203" spans="1:20" x14ac:dyDescent="0.2">
      <c r="A203" s="147">
        <v>2017</v>
      </c>
      <c r="B203" s="147">
        <v>10</v>
      </c>
      <c r="C203" s="161"/>
      <c r="D203" s="166">
        <v>8.9002615420299822</v>
      </c>
      <c r="E203" s="258">
        <f t="shared" si="20"/>
        <v>11.374160238723288</v>
      </c>
      <c r="F203" s="256">
        <f>HLOOKUP($A203,'OD Rates'!$B$17:$K$26,10,0)*100</f>
        <v>10.533662077481699</v>
      </c>
      <c r="G203" s="166">
        <v>29.67</v>
      </c>
      <c r="H203" s="148">
        <v>136.43033462</v>
      </c>
      <c r="I203" s="181">
        <f t="shared" si="21"/>
        <v>136.43033462</v>
      </c>
      <c r="J203" s="181">
        <f t="shared" si="22"/>
        <v>54.186814784848067</v>
      </c>
      <c r="K203" s="362">
        <v>24792</v>
      </c>
      <c r="L203" s="231"/>
      <c r="M203" s="157">
        <v>10899.1221188</v>
      </c>
      <c r="N203" s="181">
        <f t="shared" si="23"/>
        <v>10899.1221188</v>
      </c>
      <c r="O203" s="246">
        <f t="shared" si="25"/>
        <v>129.8125</v>
      </c>
      <c r="P203" s="246">
        <f t="shared" si="25"/>
        <v>57.779999999999994</v>
      </c>
      <c r="Q203" s="159">
        <v>4200</v>
      </c>
      <c r="R203" s="159">
        <v>1161</v>
      </c>
      <c r="S203" s="363">
        <f t="shared" si="24"/>
        <v>0</v>
      </c>
      <c r="T203" s="271">
        <v>0.39717570828932464</v>
      </c>
    </row>
    <row r="204" spans="1:20" x14ac:dyDescent="0.2">
      <c r="A204" s="147">
        <v>2017</v>
      </c>
      <c r="B204" s="147">
        <v>11</v>
      </c>
      <c r="C204" s="161"/>
      <c r="D204" s="166">
        <v>8.9002615420299822</v>
      </c>
      <c r="E204" s="258">
        <f t="shared" si="20"/>
        <v>11.374160238723288</v>
      </c>
      <c r="F204" s="256">
        <f>HLOOKUP($A204,'OD Rates'!$B$17:$K$26,10,0)*100</f>
        <v>10.533662077481699</v>
      </c>
      <c r="G204" s="166">
        <v>30.05</v>
      </c>
      <c r="H204" s="148">
        <v>136.43033462</v>
      </c>
      <c r="I204" s="181">
        <f t="shared" si="21"/>
        <v>136.43033462</v>
      </c>
      <c r="J204" s="181">
        <f t="shared" si="22"/>
        <v>54.186814784848067</v>
      </c>
      <c r="K204" s="362">
        <v>24790</v>
      </c>
      <c r="L204" s="231"/>
      <c r="M204" s="157">
        <v>10899.1221188</v>
      </c>
      <c r="N204" s="181">
        <f t="shared" si="23"/>
        <v>10899.1221188</v>
      </c>
      <c r="O204" s="246">
        <f t="shared" si="25"/>
        <v>387.90500000000003</v>
      </c>
      <c r="P204" s="246">
        <f t="shared" si="25"/>
        <v>3.9299999999999997</v>
      </c>
      <c r="Q204" s="159">
        <v>4200</v>
      </c>
      <c r="R204" s="159">
        <v>1161</v>
      </c>
      <c r="S204" s="363">
        <f t="shared" si="24"/>
        <v>0</v>
      </c>
      <c r="T204" s="271">
        <v>0.39717570828932464</v>
      </c>
    </row>
    <row r="205" spans="1:20" x14ac:dyDescent="0.2">
      <c r="A205" s="147">
        <v>2017</v>
      </c>
      <c r="B205" s="147">
        <v>12</v>
      </c>
      <c r="C205" s="161"/>
      <c r="D205" s="166">
        <v>8.9002615420299822</v>
      </c>
      <c r="E205" s="258">
        <f t="shared" si="20"/>
        <v>11.374160238723288</v>
      </c>
      <c r="F205" s="256">
        <f>HLOOKUP($A205,'OD Rates'!$B$17:$K$26,10,0)*100</f>
        <v>10.533662077481699</v>
      </c>
      <c r="G205" s="166">
        <v>30.67</v>
      </c>
      <c r="H205" s="148">
        <v>136.43033462</v>
      </c>
      <c r="I205" s="181">
        <f t="shared" si="21"/>
        <v>136.43033462</v>
      </c>
      <c r="J205" s="181">
        <f t="shared" si="22"/>
        <v>54.186814784848067</v>
      </c>
      <c r="K205" s="362">
        <v>24788</v>
      </c>
      <c r="L205" s="231"/>
      <c r="M205" s="157">
        <v>10899.1221188</v>
      </c>
      <c r="N205" s="181">
        <f t="shared" si="23"/>
        <v>10899.1221188</v>
      </c>
      <c r="O205" s="246">
        <f t="shared" si="25"/>
        <v>681.89</v>
      </c>
      <c r="P205" s="246">
        <f t="shared" si="25"/>
        <v>0.1</v>
      </c>
      <c r="Q205" s="159">
        <v>4200</v>
      </c>
      <c r="R205" s="159">
        <v>1161</v>
      </c>
      <c r="S205" s="363">
        <f t="shared" si="24"/>
        <v>0</v>
      </c>
      <c r="T205" s="271">
        <v>0.39717570828932464</v>
      </c>
    </row>
    <row r="206" spans="1:20" x14ac:dyDescent="0.2">
      <c r="A206" s="147">
        <v>2018</v>
      </c>
      <c r="B206" s="147">
        <v>1</v>
      </c>
      <c r="C206" s="161"/>
      <c r="D206" s="166">
        <v>10.265524702749273</v>
      </c>
      <c r="E206" s="258">
        <f t="shared" si="20"/>
        <v>11.601643443497753</v>
      </c>
      <c r="F206" s="258">
        <f t="shared" si="20"/>
        <v>10.744335319031332</v>
      </c>
      <c r="G206" s="166">
        <v>32.67</v>
      </c>
      <c r="H206" s="148">
        <v>136.49621035000001</v>
      </c>
      <c r="I206" s="181">
        <f t="shared" si="21"/>
        <v>136.49621035000001</v>
      </c>
      <c r="J206" s="181">
        <f t="shared" si="22"/>
        <v>54.215476482987164</v>
      </c>
      <c r="K206" s="362">
        <v>24786</v>
      </c>
      <c r="L206" s="231"/>
      <c r="M206" s="157">
        <v>11318.781959800001</v>
      </c>
      <c r="N206" s="181">
        <f t="shared" si="23"/>
        <v>11318.781959800001</v>
      </c>
      <c r="O206" s="246">
        <f t="shared" si="25"/>
        <v>918.70499999999993</v>
      </c>
      <c r="P206" s="246">
        <f t="shared" si="25"/>
        <v>0</v>
      </c>
      <c r="Q206" s="159">
        <v>4200</v>
      </c>
      <c r="R206" s="159">
        <v>1161</v>
      </c>
      <c r="S206" s="363">
        <f t="shared" si="24"/>
        <v>0</v>
      </c>
      <c r="T206" s="271">
        <v>0.39719400519596298</v>
      </c>
    </row>
    <row r="207" spans="1:20" x14ac:dyDescent="0.2">
      <c r="A207" s="147">
        <v>2018</v>
      </c>
      <c r="B207" s="147">
        <v>2</v>
      </c>
      <c r="C207" s="161"/>
      <c r="D207" s="166">
        <v>10.265524702749273</v>
      </c>
      <c r="E207" s="258">
        <f t="shared" si="20"/>
        <v>11.601643443497753</v>
      </c>
      <c r="F207" s="258">
        <f t="shared" si="20"/>
        <v>10.744335319031332</v>
      </c>
      <c r="G207" s="166">
        <v>29.86</v>
      </c>
      <c r="H207" s="148">
        <v>136.49621035000001</v>
      </c>
      <c r="I207" s="181">
        <f t="shared" si="21"/>
        <v>136.49621035000001</v>
      </c>
      <c r="J207" s="181">
        <f t="shared" si="22"/>
        <v>54.215476482987164</v>
      </c>
      <c r="K207" s="362">
        <v>24784</v>
      </c>
      <c r="L207" s="231"/>
      <c r="M207" s="157">
        <v>11318.781959800001</v>
      </c>
      <c r="N207" s="181">
        <f t="shared" si="23"/>
        <v>11318.781959800001</v>
      </c>
      <c r="O207" s="246">
        <f t="shared" si="25"/>
        <v>796.85749999999996</v>
      </c>
      <c r="P207" s="246">
        <f t="shared" si="25"/>
        <v>0</v>
      </c>
      <c r="Q207" s="159">
        <v>4200</v>
      </c>
      <c r="R207" s="159">
        <v>1161</v>
      </c>
      <c r="S207" s="363">
        <f t="shared" si="24"/>
        <v>0</v>
      </c>
      <c r="T207" s="271">
        <v>0.39719400519596298</v>
      </c>
    </row>
    <row r="208" spans="1:20" x14ac:dyDescent="0.2">
      <c r="A208" s="147">
        <v>2018</v>
      </c>
      <c r="B208" s="147">
        <v>3</v>
      </c>
      <c r="C208" s="161"/>
      <c r="D208" s="166">
        <v>10.265524702749273</v>
      </c>
      <c r="E208" s="258">
        <f t="shared" si="20"/>
        <v>11.601643443497753</v>
      </c>
      <c r="F208" s="258">
        <f t="shared" si="20"/>
        <v>10.744335319031332</v>
      </c>
      <c r="G208" s="166">
        <v>30.43</v>
      </c>
      <c r="H208" s="148">
        <v>136.49621035000001</v>
      </c>
      <c r="I208" s="181">
        <f t="shared" si="21"/>
        <v>136.49621035000001</v>
      </c>
      <c r="J208" s="181">
        <f t="shared" si="22"/>
        <v>54.215476482987164</v>
      </c>
      <c r="K208" s="362">
        <v>24782</v>
      </c>
      <c r="L208" s="231"/>
      <c r="M208" s="157">
        <v>11318.781959800001</v>
      </c>
      <c r="N208" s="181">
        <f t="shared" si="23"/>
        <v>11318.781959800001</v>
      </c>
      <c r="O208" s="246">
        <f t="shared" si="25"/>
        <v>645</v>
      </c>
      <c r="P208" s="246">
        <f t="shared" si="25"/>
        <v>0.32500000000000001</v>
      </c>
      <c r="Q208" s="159">
        <v>4200</v>
      </c>
      <c r="R208" s="159">
        <v>1161</v>
      </c>
      <c r="S208" s="363">
        <f t="shared" si="24"/>
        <v>0</v>
      </c>
      <c r="T208" s="271">
        <v>0.39719400519596298</v>
      </c>
    </row>
    <row r="209" spans="1:20" x14ac:dyDescent="0.2">
      <c r="A209" s="147">
        <v>2018</v>
      </c>
      <c r="B209" s="147">
        <v>4</v>
      </c>
      <c r="C209" s="161"/>
      <c r="D209" s="166">
        <v>10.265524702749273</v>
      </c>
      <c r="E209" s="258">
        <f t="shared" si="20"/>
        <v>11.601643443497753</v>
      </c>
      <c r="F209" s="258">
        <f t="shared" si="20"/>
        <v>10.744335319031332</v>
      </c>
      <c r="G209" s="166">
        <v>30.71</v>
      </c>
      <c r="H209" s="148">
        <v>136.49621035000001</v>
      </c>
      <c r="I209" s="181">
        <f t="shared" si="21"/>
        <v>136.49621035000001</v>
      </c>
      <c r="J209" s="181">
        <f t="shared" si="22"/>
        <v>54.216714031292227</v>
      </c>
      <c r="K209" s="362">
        <v>24780</v>
      </c>
      <c r="L209" s="231"/>
      <c r="M209" s="157">
        <v>11318.781959800001</v>
      </c>
      <c r="N209" s="181">
        <f t="shared" si="23"/>
        <v>11318.781959800001</v>
      </c>
      <c r="O209" s="246">
        <f t="shared" si="25"/>
        <v>393.33749999999998</v>
      </c>
      <c r="P209" s="246">
        <f t="shared" si="25"/>
        <v>5.6325000000000003</v>
      </c>
      <c r="Q209" s="159">
        <v>4200</v>
      </c>
      <c r="R209" s="159">
        <v>1161</v>
      </c>
      <c r="S209" s="363">
        <f t="shared" si="24"/>
        <v>0</v>
      </c>
      <c r="T209" s="271">
        <v>0.39720307173562658</v>
      </c>
    </row>
    <row r="210" spans="1:20" x14ac:dyDescent="0.2">
      <c r="A210" s="147">
        <v>2018</v>
      </c>
      <c r="B210" s="147">
        <v>5</v>
      </c>
      <c r="C210" s="161"/>
      <c r="D210" s="166">
        <v>10.265524702749273</v>
      </c>
      <c r="E210" s="258">
        <f t="shared" si="20"/>
        <v>11.601643443497753</v>
      </c>
      <c r="F210" s="258">
        <f t="shared" si="20"/>
        <v>10.744335319031332</v>
      </c>
      <c r="G210" s="166">
        <v>29.52</v>
      </c>
      <c r="H210" s="148">
        <v>136.49621035000001</v>
      </c>
      <c r="I210" s="181">
        <f t="shared" si="21"/>
        <v>136.49621035000001</v>
      </c>
      <c r="J210" s="181">
        <f t="shared" si="22"/>
        <v>54.216714031292227</v>
      </c>
      <c r="K210" s="362">
        <v>24778</v>
      </c>
      <c r="L210" s="231"/>
      <c r="M210" s="157">
        <v>11318.781959800001</v>
      </c>
      <c r="N210" s="181">
        <f t="shared" si="23"/>
        <v>11318.781959800001</v>
      </c>
      <c r="O210" s="246">
        <f t="shared" si="25"/>
        <v>170.59</v>
      </c>
      <c r="P210" s="246">
        <f t="shared" si="25"/>
        <v>35.347500000000004</v>
      </c>
      <c r="Q210" s="159">
        <v>4200</v>
      </c>
      <c r="R210" s="159">
        <v>1161</v>
      </c>
      <c r="S210" s="363">
        <f t="shared" si="24"/>
        <v>0</v>
      </c>
      <c r="T210" s="271">
        <v>0.39720307173562658</v>
      </c>
    </row>
    <row r="211" spans="1:20" x14ac:dyDescent="0.2">
      <c r="A211" s="147">
        <v>2018</v>
      </c>
      <c r="B211" s="147">
        <v>6</v>
      </c>
      <c r="C211" s="161"/>
      <c r="D211" s="166">
        <v>10.265524702749273</v>
      </c>
      <c r="E211" s="258">
        <f t="shared" ref="E211:F226" si="26">E199*(1+0.02)</f>
        <v>11.601643443497753</v>
      </c>
      <c r="F211" s="258">
        <f t="shared" si="26"/>
        <v>10.744335319031332</v>
      </c>
      <c r="G211" s="166">
        <v>30.62</v>
      </c>
      <c r="H211" s="148">
        <v>136.49621035000001</v>
      </c>
      <c r="I211" s="181">
        <f t="shared" si="21"/>
        <v>136.49621035000001</v>
      </c>
      <c r="J211" s="181">
        <f t="shared" si="22"/>
        <v>54.216714031292227</v>
      </c>
      <c r="K211" s="362">
        <v>24776</v>
      </c>
      <c r="L211" s="231"/>
      <c r="M211" s="157">
        <v>11318.781959800001</v>
      </c>
      <c r="N211" s="181">
        <f t="shared" si="23"/>
        <v>11318.781959800001</v>
      </c>
      <c r="O211" s="246">
        <f t="shared" si="25"/>
        <v>42.912500000000001</v>
      </c>
      <c r="P211" s="246">
        <f t="shared" si="25"/>
        <v>148.8475</v>
      </c>
      <c r="Q211" s="159">
        <v>4200</v>
      </c>
      <c r="R211" s="159">
        <v>1161</v>
      </c>
      <c r="S211" s="363">
        <f t="shared" si="24"/>
        <v>0</v>
      </c>
      <c r="T211" s="271">
        <v>0.39720307173562658</v>
      </c>
    </row>
    <row r="212" spans="1:20" x14ac:dyDescent="0.2">
      <c r="A212" s="147">
        <v>2018</v>
      </c>
      <c r="B212" s="147">
        <v>7</v>
      </c>
      <c r="C212" s="161"/>
      <c r="D212" s="166">
        <v>10.265524702749273</v>
      </c>
      <c r="E212" s="258">
        <f t="shared" si="26"/>
        <v>11.601643443497753</v>
      </c>
      <c r="F212" s="258">
        <f t="shared" si="26"/>
        <v>10.744335319031332</v>
      </c>
      <c r="G212" s="166">
        <v>30.76</v>
      </c>
      <c r="H212" s="148">
        <v>136.49621035000001</v>
      </c>
      <c r="I212" s="181">
        <f t="shared" si="21"/>
        <v>136.49621035000001</v>
      </c>
      <c r="J212" s="181">
        <f t="shared" si="22"/>
        <v>54.218148539400687</v>
      </c>
      <c r="K212" s="362">
        <v>24774</v>
      </c>
      <c r="L212" s="231"/>
      <c r="M212" s="157">
        <v>11318.781959800001</v>
      </c>
      <c r="N212" s="181">
        <f t="shared" si="23"/>
        <v>11318.781959800001</v>
      </c>
      <c r="O212" s="246">
        <f t="shared" si="25"/>
        <v>1.375</v>
      </c>
      <c r="P212" s="246">
        <f t="shared" si="25"/>
        <v>291.78750000000002</v>
      </c>
      <c r="Q212" s="159">
        <v>4200</v>
      </c>
      <c r="R212" s="159">
        <v>1161</v>
      </c>
      <c r="S212" s="363">
        <f t="shared" si="24"/>
        <v>0</v>
      </c>
      <c r="T212" s="271">
        <v>0.39721358124431388</v>
      </c>
    </row>
    <row r="213" spans="1:20" x14ac:dyDescent="0.2">
      <c r="A213" s="147">
        <v>2018</v>
      </c>
      <c r="B213" s="147">
        <v>8</v>
      </c>
      <c r="C213" s="161"/>
      <c r="D213" s="166">
        <v>10.265524702749273</v>
      </c>
      <c r="E213" s="258">
        <f t="shared" si="26"/>
        <v>11.601643443497753</v>
      </c>
      <c r="F213" s="258">
        <f t="shared" si="26"/>
        <v>10.744335319031332</v>
      </c>
      <c r="G213" s="166">
        <v>29.48</v>
      </c>
      <c r="H213" s="148">
        <v>136.49621035000001</v>
      </c>
      <c r="I213" s="181">
        <f t="shared" si="21"/>
        <v>136.49621035000001</v>
      </c>
      <c r="J213" s="181">
        <f t="shared" si="22"/>
        <v>54.218148539400687</v>
      </c>
      <c r="K213" s="362">
        <v>24772</v>
      </c>
      <c r="L213" s="231"/>
      <c r="M213" s="157">
        <v>11318.781959800001</v>
      </c>
      <c r="N213" s="181">
        <f t="shared" si="23"/>
        <v>11318.781959800001</v>
      </c>
      <c r="O213" s="246">
        <f t="shared" si="25"/>
        <v>0.35</v>
      </c>
      <c r="P213" s="246">
        <f t="shared" si="25"/>
        <v>311.80250000000001</v>
      </c>
      <c r="Q213" s="159">
        <v>4200</v>
      </c>
      <c r="R213" s="159">
        <v>1161</v>
      </c>
      <c r="S213" s="363">
        <f t="shared" si="24"/>
        <v>0</v>
      </c>
      <c r="T213" s="271">
        <v>0.39721358124431388</v>
      </c>
    </row>
    <row r="214" spans="1:20" x14ac:dyDescent="0.2">
      <c r="A214" s="147">
        <v>2018</v>
      </c>
      <c r="B214" s="147">
        <v>9</v>
      </c>
      <c r="C214" s="161"/>
      <c r="D214" s="166">
        <v>10.265524702749273</v>
      </c>
      <c r="E214" s="258">
        <f t="shared" si="26"/>
        <v>11.601643443497753</v>
      </c>
      <c r="F214" s="258">
        <f t="shared" si="26"/>
        <v>10.744335319031332</v>
      </c>
      <c r="G214" s="166">
        <v>30.57</v>
      </c>
      <c r="H214" s="148">
        <v>136.49621035000001</v>
      </c>
      <c r="I214" s="181">
        <f t="shared" si="21"/>
        <v>136.49621035000001</v>
      </c>
      <c r="J214" s="181">
        <f t="shared" si="22"/>
        <v>54.218148539400687</v>
      </c>
      <c r="K214" s="362">
        <v>24770</v>
      </c>
      <c r="L214" s="231"/>
      <c r="M214" s="157">
        <v>11318.781959800001</v>
      </c>
      <c r="N214" s="181">
        <f t="shared" si="23"/>
        <v>11318.781959800001</v>
      </c>
      <c r="O214" s="246">
        <f t="shared" si="25"/>
        <v>8.2974999999999994</v>
      </c>
      <c r="P214" s="246">
        <f t="shared" si="25"/>
        <v>230.68249999999998</v>
      </c>
      <c r="Q214" s="159">
        <v>4200</v>
      </c>
      <c r="R214" s="159">
        <v>1161</v>
      </c>
      <c r="S214" s="363">
        <f t="shared" si="24"/>
        <v>0</v>
      </c>
      <c r="T214" s="271">
        <v>0.39721358124431388</v>
      </c>
    </row>
    <row r="215" spans="1:20" x14ac:dyDescent="0.2">
      <c r="A215" s="147">
        <v>2018</v>
      </c>
      <c r="B215" s="147">
        <v>10</v>
      </c>
      <c r="C215" s="161"/>
      <c r="D215" s="166">
        <v>10.265524702749273</v>
      </c>
      <c r="E215" s="258">
        <f t="shared" si="26"/>
        <v>11.601643443497753</v>
      </c>
      <c r="F215" s="258">
        <f t="shared" si="26"/>
        <v>10.744335319031332</v>
      </c>
      <c r="G215" s="166">
        <v>29.67</v>
      </c>
      <c r="H215" s="148">
        <v>136.49621035000001</v>
      </c>
      <c r="I215" s="181">
        <f t="shared" si="21"/>
        <v>136.49621035000001</v>
      </c>
      <c r="J215" s="181">
        <f t="shared" si="22"/>
        <v>54.219274691967584</v>
      </c>
      <c r="K215" s="362">
        <v>24768</v>
      </c>
      <c r="L215" s="231"/>
      <c r="M215" s="157">
        <v>11318.781959800001</v>
      </c>
      <c r="N215" s="181">
        <f t="shared" si="23"/>
        <v>11318.781959800001</v>
      </c>
      <c r="O215" s="246">
        <f t="shared" si="25"/>
        <v>129.8125</v>
      </c>
      <c r="P215" s="246">
        <f t="shared" si="25"/>
        <v>57.779999999999994</v>
      </c>
      <c r="Q215" s="159">
        <v>4200</v>
      </c>
      <c r="R215" s="159">
        <v>1161</v>
      </c>
      <c r="S215" s="363">
        <f t="shared" si="24"/>
        <v>0</v>
      </c>
      <c r="T215" s="271">
        <v>0.39722183167532593</v>
      </c>
    </row>
    <row r="216" spans="1:20" x14ac:dyDescent="0.2">
      <c r="A216" s="147">
        <v>2018</v>
      </c>
      <c r="B216" s="147">
        <v>11</v>
      </c>
      <c r="C216" s="161"/>
      <c r="D216" s="166">
        <v>10.265524702749273</v>
      </c>
      <c r="E216" s="258">
        <f t="shared" si="26"/>
        <v>11.601643443497753</v>
      </c>
      <c r="F216" s="258">
        <f t="shared" si="26"/>
        <v>10.744335319031332</v>
      </c>
      <c r="G216" s="166">
        <v>29.95</v>
      </c>
      <c r="H216" s="148">
        <v>136.49621035000001</v>
      </c>
      <c r="I216" s="181">
        <f t="shared" si="21"/>
        <v>136.49621035000001</v>
      </c>
      <c r="J216" s="181">
        <f t="shared" si="22"/>
        <v>54.219274691967584</v>
      </c>
      <c r="K216" s="362">
        <v>24766</v>
      </c>
      <c r="L216" s="231"/>
      <c r="M216" s="157">
        <v>11318.781959800001</v>
      </c>
      <c r="N216" s="181">
        <f t="shared" si="23"/>
        <v>11318.781959800001</v>
      </c>
      <c r="O216" s="246">
        <f t="shared" si="25"/>
        <v>387.90500000000003</v>
      </c>
      <c r="P216" s="246">
        <f t="shared" si="25"/>
        <v>3.9299999999999997</v>
      </c>
      <c r="Q216" s="159">
        <v>4200</v>
      </c>
      <c r="R216" s="159">
        <v>1161</v>
      </c>
      <c r="S216" s="363">
        <f t="shared" si="24"/>
        <v>0</v>
      </c>
      <c r="T216" s="271">
        <v>0.39722183167532593</v>
      </c>
    </row>
    <row r="217" spans="1:20" x14ac:dyDescent="0.2">
      <c r="A217" s="147">
        <v>2018</v>
      </c>
      <c r="B217" s="147">
        <v>12</v>
      </c>
      <c r="C217" s="161"/>
      <c r="D217" s="166">
        <v>10.265524702749273</v>
      </c>
      <c r="E217" s="258">
        <f t="shared" si="26"/>
        <v>11.601643443497753</v>
      </c>
      <c r="F217" s="258">
        <f t="shared" si="26"/>
        <v>10.744335319031332</v>
      </c>
      <c r="G217" s="166">
        <v>31.1</v>
      </c>
      <c r="H217" s="148">
        <v>136.49621035000001</v>
      </c>
      <c r="I217" s="181">
        <f t="shared" si="21"/>
        <v>136.49621035000001</v>
      </c>
      <c r="J217" s="181">
        <f t="shared" si="22"/>
        <v>54.219274691967584</v>
      </c>
      <c r="K217" s="362">
        <v>24764</v>
      </c>
      <c r="L217" s="231"/>
      <c r="M217" s="157">
        <v>11318.781959800001</v>
      </c>
      <c r="N217" s="181">
        <f t="shared" si="23"/>
        <v>11318.781959800001</v>
      </c>
      <c r="O217" s="246">
        <f t="shared" si="25"/>
        <v>681.89</v>
      </c>
      <c r="P217" s="246">
        <f t="shared" si="25"/>
        <v>0.1</v>
      </c>
      <c r="Q217" s="159">
        <v>4200</v>
      </c>
      <c r="R217" s="159">
        <v>1161</v>
      </c>
      <c r="S217" s="363">
        <f t="shared" si="24"/>
        <v>0</v>
      </c>
      <c r="T217" s="271">
        <v>0.39722183167532593</v>
      </c>
    </row>
    <row r="218" spans="1:20" x14ac:dyDescent="0.2">
      <c r="A218" s="147">
        <v>2019</v>
      </c>
      <c r="B218" s="147">
        <v>1</v>
      </c>
      <c r="C218" s="161"/>
      <c r="D218" s="166">
        <v>10.239441999711172</v>
      </c>
      <c r="E218" s="258">
        <f t="shared" si="26"/>
        <v>11.833676312367709</v>
      </c>
      <c r="F218" s="258">
        <f t="shared" si="26"/>
        <v>10.959222025411959</v>
      </c>
      <c r="G218" s="166">
        <v>32.71</v>
      </c>
      <c r="H218" s="148">
        <v>136.52182888999999</v>
      </c>
      <c r="I218" s="181">
        <f t="shared" si="21"/>
        <v>136.52182888999999</v>
      </c>
      <c r="J218" s="181">
        <f t="shared" si="22"/>
        <v>54.23092206160532</v>
      </c>
      <c r="K218" s="362">
        <v>24762</v>
      </c>
      <c r="L218" s="231"/>
      <c r="M218" s="157">
        <v>11755.450726599998</v>
      </c>
      <c r="N218" s="181">
        <f t="shared" si="23"/>
        <v>11755.450726599998</v>
      </c>
      <c r="O218" s="246">
        <f t="shared" ref="O218:P233" si="27">O206</f>
        <v>918.70499999999993</v>
      </c>
      <c r="P218" s="246">
        <f t="shared" si="27"/>
        <v>0</v>
      </c>
      <c r="Q218" s="159">
        <v>4200</v>
      </c>
      <c r="R218" s="159">
        <v>1161</v>
      </c>
      <c r="S218" s="363">
        <f t="shared" si="24"/>
        <v>0</v>
      </c>
      <c r="T218" s="271">
        <v>0.39723260743379663</v>
      </c>
    </row>
    <row r="219" spans="1:20" x14ac:dyDescent="0.2">
      <c r="A219" s="147">
        <v>2019</v>
      </c>
      <c r="B219" s="147">
        <v>2</v>
      </c>
      <c r="C219" s="161"/>
      <c r="D219" s="166">
        <v>10.239441999711172</v>
      </c>
      <c r="E219" s="258">
        <f t="shared" si="26"/>
        <v>11.833676312367709</v>
      </c>
      <c r="F219" s="258">
        <f t="shared" si="26"/>
        <v>10.959222025411959</v>
      </c>
      <c r="G219" s="166">
        <v>29.9</v>
      </c>
      <c r="H219" s="148">
        <v>136.52182888999999</v>
      </c>
      <c r="I219" s="181">
        <f t="shared" si="21"/>
        <v>136.52182888999999</v>
      </c>
      <c r="J219" s="181">
        <f t="shared" si="22"/>
        <v>54.23092206160532</v>
      </c>
      <c r="K219" s="362">
        <v>24760</v>
      </c>
      <c r="L219" s="231"/>
      <c r="M219" s="157">
        <v>11755.450726599998</v>
      </c>
      <c r="N219" s="181">
        <f t="shared" si="23"/>
        <v>11755.450726599998</v>
      </c>
      <c r="O219" s="246">
        <f t="shared" si="27"/>
        <v>796.85749999999996</v>
      </c>
      <c r="P219" s="246">
        <f t="shared" si="27"/>
        <v>0</v>
      </c>
      <c r="Q219" s="159">
        <v>4200</v>
      </c>
      <c r="R219" s="159">
        <v>1161</v>
      </c>
      <c r="S219" s="363">
        <f t="shared" si="24"/>
        <v>0</v>
      </c>
      <c r="T219" s="271">
        <v>0.39723260743379663</v>
      </c>
    </row>
    <row r="220" spans="1:20" x14ac:dyDescent="0.2">
      <c r="A220" s="147">
        <v>2019</v>
      </c>
      <c r="B220" s="147">
        <v>3</v>
      </c>
      <c r="C220" s="161"/>
      <c r="D220" s="166">
        <v>10.239441999711172</v>
      </c>
      <c r="E220" s="258">
        <f t="shared" si="26"/>
        <v>11.833676312367709</v>
      </c>
      <c r="F220" s="258">
        <f t="shared" si="26"/>
        <v>10.959222025411959</v>
      </c>
      <c r="G220" s="166">
        <v>30.33</v>
      </c>
      <c r="H220" s="148">
        <v>136.52182888999999</v>
      </c>
      <c r="I220" s="181">
        <f t="shared" si="21"/>
        <v>136.52182888999999</v>
      </c>
      <c r="J220" s="181">
        <f t="shared" si="22"/>
        <v>54.23092206160532</v>
      </c>
      <c r="K220" s="362">
        <v>24758</v>
      </c>
      <c r="L220" s="231"/>
      <c r="M220" s="157">
        <v>11755.450726599998</v>
      </c>
      <c r="N220" s="181">
        <f t="shared" si="23"/>
        <v>11755.450726599998</v>
      </c>
      <c r="O220" s="246">
        <f t="shared" si="27"/>
        <v>645</v>
      </c>
      <c r="P220" s="246">
        <f t="shared" si="27"/>
        <v>0.32500000000000001</v>
      </c>
      <c r="Q220" s="159">
        <v>4200</v>
      </c>
      <c r="R220" s="159">
        <v>1161</v>
      </c>
      <c r="S220" s="363">
        <f t="shared" si="24"/>
        <v>0</v>
      </c>
      <c r="T220" s="271">
        <v>0.39723260743379663</v>
      </c>
    </row>
    <row r="221" spans="1:20" x14ac:dyDescent="0.2">
      <c r="A221" s="147">
        <v>2019</v>
      </c>
      <c r="B221" s="147">
        <v>4</v>
      </c>
      <c r="C221" s="161"/>
      <c r="D221" s="166">
        <v>10.239441999711172</v>
      </c>
      <c r="E221" s="258">
        <f t="shared" si="26"/>
        <v>11.833676312367709</v>
      </c>
      <c r="F221" s="258">
        <f t="shared" si="26"/>
        <v>10.959222025411959</v>
      </c>
      <c r="G221" s="166">
        <v>29.95</v>
      </c>
      <c r="H221" s="148">
        <v>136.52182888999999</v>
      </c>
      <c r="I221" s="181">
        <f t="shared" si="21"/>
        <v>136.52182888999999</v>
      </c>
      <c r="J221" s="181">
        <f t="shared" si="22"/>
        <v>54.232050139438584</v>
      </c>
      <c r="K221" s="362">
        <v>24756</v>
      </c>
      <c r="L221" s="231"/>
      <c r="M221" s="157">
        <v>11755.450726599998</v>
      </c>
      <c r="N221" s="181">
        <f t="shared" si="23"/>
        <v>11755.450726599998</v>
      </c>
      <c r="O221" s="246">
        <f t="shared" si="27"/>
        <v>393.33749999999998</v>
      </c>
      <c r="P221" s="246">
        <f t="shared" si="27"/>
        <v>5.6325000000000003</v>
      </c>
      <c r="Q221" s="159">
        <v>4200</v>
      </c>
      <c r="R221" s="159">
        <v>1161</v>
      </c>
      <c r="S221" s="363">
        <f t="shared" si="24"/>
        <v>0</v>
      </c>
      <c r="T221" s="271">
        <v>0.39724087041886236</v>
      </c>
    </row>
    <row r="222" spans="1:20" x14ac:dyDescent="0.2">
      <c r="A222" s="147">
        <v>2019</v>
      </c>
      <c r="B222" s="147">
        <v>5</v>
      </c>
      <c r="C222" s="161"/>
      <c r="D222" s="166">
        <v>10.239441999711172</v>
      </c>
      <c r="E222" s="258">
        <f t="shared" si="26"/>
        <v>11.833676312367709</v>
      </c>
      <c r="F222" s="258">
        <f t="shared" si="26"/>
        <v>10.959222025411959</v>
      </c>
      <c r="G222" s="166">
        <v>30.38</v>
      </c>
      <c r="H222" s="148">
        <v>136.52182888999999</v>
      </c>
      <c r="I222" s="181">
        <f t="shared" si="21"/>
        <v>136.52182888999999</v>
      </c>
      <c r="J222" s="181">
        <f t="shared" si="22"/>
        <v>54.232050139438584</v>
      </c>
      <c r="K222" s="362">
        <v>24754</v>
      </c>
      <c r="L222" s="231"/>
      <c r="M222" s="157">
        <v>11755.450726599998</v>
      </c>
      <c r="N222" s="181">
        <f t="shared" si="23"/>
        <v>11755.450726599998</v>
      </c>
      <c r="O222" s="246">
        <f t="shared" si="27"/>
        <v>170.59</v>
      </c>
      <c r="P222" s="246">
        <f t="shared" si="27"/>
        <v>35.347500000000004</v>
      </c>
      <c r="Q222" s="159">
        <v>4200</v>
      </c>
      <c r="R222" s="159">
        <v>1161</v>
      </c>
      <c r="S222" s="363">
        <f t="shared" si="24"/>
        <v>0</v>
      </c>
      <c r="T222" s="271">
        <v>0.39724087041886236</v>
      </c>
    </row>
    <row r="223" spans="1:20" x14ac:dyDescent="0.2">
      <c r="A223" s="147">
        <v>2019</v>
      </c>
      <c r="B223" s="147">
        <v>6</v>
      </c>
      <c r="C223" s="161"/>
      <c r="D223" s="166">
        <v>10.239441999711172</v>
      </c>
      <c r="E223" s="258">
        <f t="shared" si="26"/>
        <v>11.833676312367709</v>
      </c>
      <c r="F223" s="258">
        <f t="shared" si="26"/>
        <v>10.959222025411959</v>
      </c>
      <c r="G223" s="166">
        <v>30.67</v>
      </c>
      <c r="H223" s="148">
        <v>136.52182888999999</v>
      </c>
      <c r="I223" s="181">
        <f t="shared" si="21"/>
        <v>136.52182888999999</v>
      </c>
      <c r="J223" s="181">
        <f t="shared" si="22"/>
        <v>54.232050139438584</v>
      </c>
      <c r="K223" s="362">
        <v>24752</v>
      </c>
      <c r="L223" s="231"/>
      <c r="M223" s="157">
        <v>11755.450726599998</v>
      </c>
      <c r="N223" s="181">
        <f t="shared" si="23"/>
        <v>11755.450726599998</v>
      </c>
      <c r="O223" s="246">
        <f t="shared" si="27"/>
        <v>42.912500000000001</v>
      </c>
      <c r="P223" s="246">
        <f t="shared" si="27"/>
        <v>148.8475</v>
      </c>
      <c r="Q223" s="159">
        <v>4200</v>
      </c>
      <c r="R223" s="159">
        <v>1161</v>
      </c>
      <c r="S223" s="363">
        <f t="shared" si="24"/>
        <v>0</v>
      </c>
      <c r="T223" s="271">
        <v>0.39724087041886236</v>
      </c>
    </row>
    <row r="224" spans="1:20" x14ac:dyDescent="0.2">
      <c r="A224" s="147">
        <v>2019</v>
      </c>
      <c r="B224" s="147">
        <v>7</v>
      </c>
      <c r="C224" s="161"/>
      <c r="D224" s="166">
        <v>10.239441999711172</v>
      </c>
      <c r="E224" s="258">
        <f t="shared" si="26"/>
        <v>11.833676312367709</v>
      </c>
      <c r="F224" s="258">
        <f t="shared" si="26"/>
        <v>10.959222025411959</v>
      </c>
      <c r="G224" s="166">
        <v>30.67</v>
      </c>
      <c r="H224" s="148">
        <v>136.52182888999999</v>
      </c>
      <c r="I224" s="181">
        <f t="shared" si="21"/>
        <v>136.52182888999999</v>
      </c>
      <c r="J224" s="181">
        <f t="shared" si="22"/>
        <v>54.233154727770028</v>
      </c>
      <c r="K224" s="362">
        <v>24750</v>
      </c>
      <c r="L224" s="231"/>
      <c r="M224" s="157">
        <v>11755.450726599998</v>
      </c>
      <c r="N224" s="181">
        <f t="shared" si="23"/>
        <v>11755.450726599998</v>
      </c>
      <c r="O224" s="246">
        <f t="shared" si="27"/>
        <v>1.375</v>
      </c>
      <c r="P224" s="246">
        <f t="shared" si="27"/>
        <v>291.78750000000002</v>
      </c>
      <c r="Q224" s="159">
        <v>4200</v>
      </c>
      <c r="R224" s="159">
        <v>1161</v>
      </c>
      <c r="S224" s="363">
        <f t="shared" si="24"/>
        <v>0</v>
      </c>
      <c r="T224" s="271">
        <v>0.39724896134718074</v>
      </c>
    </row>
    <row r="225" spans="1:20" x14ac:dyDescent="0.2">
      <c r="A225" s="147">
        <v>2019</v>
      </c>
      <c r="B225" s="147">
        <v>8</v>
      </c>
      <c r="C225" s="161"/>
      <c r="D225" s="166">
        <v>10.239441999711172</v>
      </c>
      <c r="E225" s="258">
        <f t="shared" si="26"/>
        <v>11.833676312367709</v>
      </c>
      <c r="F225" s="258">
        <f t="shared" si="26"/>
        <v>10.959222025411959</v>
      </c>
      <c r="G225" s="166">
        <v>29.48</v>
      </c>
      <c r="H225" s="148">
        <v>136.52182888999999</v>
      </c>
      <c r="I225" s="181">
        <f t="shared" si="21"/>
        <v>136.52182888999999</v>
      </c>
      <c r="J225" s="181">
        <f t="shared" si="22"/>
        <v>54.233154727770028</v>
      </c>
      <c r="K225" s="362">
        <v>24748</v>
      </c>
      <c r="L225" s="231"/>
      <c r="M225" s="157">
        <v>11755.450726599998</v>
      </c>
      <c r="N225" s="181">
        <f t="shared" si="23"/>
        <v>11755.450726599998</v>
      </c>
      <c r="O225" s="246">
        <f t="shared" si="27"/>
        <v>0.35</v>
      </c>
      <c r="P225" s="246">
        <f t="shared" si="27"/>
        <v>311.80250000000001</v>
      </c>
      <c r="Q225" s="159">
        <v>4200</v>
      </c>
      <c r="R225" s="159">
        <v>1161</v>
      </c>
      <c r="S225" s="363">
        <f t="shared" si="24"/>
        <v>0</v>
      </c>
      <c r="T225" s="271">
        <v>0.39724896134718074</v>
      </c>
    </row>
    <row r="226" spans="1:20" x14ac:dyDescent="0.2">
      <c r="A226" s="147">
        <v>2019</v>
      </c>
      <c r="B226" s="147">
        <v>9</v>
      </c>
      <c r="C226" s="161"/>
      <c r="D226" s="166">
        <v>10.239441999711172</v>
      </c>
      <c r="E226" s="258">
        <f t="shared" si="26"/>
        <v>11.833676312367709</v>
      </c>
      <c r="F226" s="258">
        <f t="shared" si="26"/>
        <v>10.959222025411959</v>
      </c>
      <c r="G226" s="166">
        <v>30.71</v>
      </c>
      <c r="H226" s="148">
        <v>136.52182888999999</v>
      </c>
      <c r="I226" s="181">
        <f t="shared" si="21"/>
        <v>136.52182888999999</v>
      </c>
      <c r="J226" s="181">
        <f t="shared" si="22"/>
        <v>54.233154727770028</v>
      </c>
      <c r="K226" s="362">
        <v>24746</v>
      </c>
      <c r="L226" s="231"/>
      <c r="M226" s="157">
        <v>11755.450726599998</v>
      </c>
      <c r="N226" s="181">
        <f t="shared" si="23"/>
        <v>11755.450726599998</v>
      </c>
      <c r="O226" s="246">
        <f t="shared" si="27"/>
        <v>8.2974999999999994</v>
      </c>
      <c r="P226" s="246">
        <f t="shared" si="27"/>
        <v>230.68249999999998</v>
      </c>
      <c r="Q226" s="159">
        <v>4200</v>
      </c>
      <c r="R226" s="159">
        <v>1161</v>
      </c>
      <c r="S226" s="363">
        <f t="shared" si="24"/>
        <v>0</v>
      </c>
      <c r="T226" s="271">
        <v>0.39724896134718074</v>
      </c>
    </row>
    <row r="227" spans="1:20" x14ac:dyDescent="0.2">
      <c r="A227" s="147">
        <v>2019</v>
      </c>
      <c r="B227" s="147">
        <v>10</v>
      </c>
      <c r="C227" s="161"/>
      <c r="D227" s="166">
        <v>10.239441999711172</v>
      </c>
      <c r="E227" s="258">
        <f t="shared" ref="E227:F242" si="28">E215*(1+0.02)</f>
        <v>11.833676312367709</v>
      </c>
      <c r="F227" s="258">
        <f t="shared" si="28"/>
        <v>10.959222025411959</v>
      </c>
      <c r="G227" s="166">
        <v>29.52</v>
      </c>
      <c r="H227" s="148">
        <v>136.52182888999999</v>
      </c>
      <c r="I227" s="181">
        <f t="shared" si="21"/>
        <v>136.52182888999999</v>
      </c>
      <c r="J227" s="181">
        <f t="shared" si="22"/>
        <v>54.233712675044877</v>
      </c>
      <c r="K227" s="362">
        <v>24744</v>
      </c>
      <c r="L227" s="231"/>
      <c r="M227" s="157">
        <v>11755.450726599998</v>
      </c>
      <c r="N227" s="181">
        <f t="shared" si="23"/>
        <v>11755.450726599998</v>
      </c>
      <c r="O227" s="246">
        <f t="shared" si="27"/>
        <v>129.8125</v>
      </c>
      <c r="P227" s="246">
        <f t="shared" si="27"/>
        <v>57.779999999999994</v>
      </c>
      <c r="Q227" s="159">
        <v>4200</v>
      </c>
      <c r="R227" s="159">
        <v>1161</v>
      </c>
      <c r="S227" s="363">
        <f t="shared" si="24"/>
        <v>0</v>
      </c>
      <c r="T227" s="271">
        <v>0.39725304821943686</v>
      </c>
    </row>
    <row r="228" spans="1:20" x14ac:dyDescent="0.2">
      <c r="A228" s="147">
        <v>2019</v>
      </c>
      <c r="B228" s="147">
        <v>11</v>
      </c>
      <c r="C228" s="161"/>
      <c r="D228" s="166">
        <v>10.239441999711172</v>
      </c>
      <c r="E228" s="258">
        <f t="shared" si="28"/>
        <v>11.833676312367709</v>
      </c>
      <c r="F228" s="258">
        <f t="shared" si="28"/>
        <v>10.959222025411959</v>
      </c>
      <c r="G228" s="166">
        <v>29.38</v>
      </c>
      <c r="H228" s="148">
        <v>136.52182888999999</v>
      </c>
      <c r="I228" s="181">
        <f t="shared" si="21"/>
        <v>136.52182888999999</v>
      </c>
      <c r="J228" s="181">
        <f t="shared" si="22"/>
        <v>54.233712675044877</v>
      </c>
      <c r="K228" s="362">
        <v>24742</v>
      </c>
      <c r="L228" s="231"/>
      <c r="M228" s="157">
        <v>11755.450726599998</v>
      </c>
      <c r="N228" s="181">
        <f t="shared" si="23"/>
        <v>11755.450726599998</v>
      </c>
      <c r="O228" s="246">
        <f t="shared" si="27"/>
        <v>387.90500000000003</v>
      </c>
      <c r="P228" s="246">
        <f t="shared" si="27"/>
        <v>3.9299999999999997</v>
      </c>
      <c r="Q228" s="159">
        <v>4200</v>
      </c>
      <c r="R228" s="159">
        <v>1161</v>
      </c>
      <c r="S228" s="363">
        <f t="shared" si="24"/>
        <v>0</v>
      </c>
      <c r="T228" s="271">
        <v>0.39725304821943686</v>
      </c>
    </row>
    <row r="229" spans="1:20" x14ac:dyDescent="0.2">
      <c r="A229" s="147">
        <v>2019</v>
      </c>
      <c r="B229" s="147">
        <v>12</v>
      </c>
      <c r="C229" s="161"/>
      <c r="D229" s="166">
        <v>10.239441999711172</v>
      </c>
      <c r="E229" s="258">
        <f t="shared" si="28"/>
        <v>11.833676312367709</v>
      </c>
      <c r="F229" s="258">
        <f t="shared" si="28"/>
        <v>10.959222025411959</v>
      </c>
      <c r="G229" s="166">
        <v>32.049999999999997</v>
      </c>
      <c r="H229" s="148">
        <v>136.52182888999999</v>
      </c>
      <c r="I229" s="181">
        <f t="shared" si="21"/>
        <v>136.52182888999999</v>
      </c>
      <c r="J229" s="181">
        <f t="shared" si="22"/>
        <v>54.233712675044877</v>
      </c>
      <c r="K229" s="362">
        <v>24740</v>
      </c>
      <c r="L229" s="231"/>
      <c r="M229" s="157">
        <v>11755.450726599998</v>
      </c>
      <c r="N229" s="181">
        <f t="shared" si="23"/>
        <v>11755.450726599998</v>
      </c>
      <c r="O229" s="246">
        <f t="shared" si="27"/>
        <v>681.89</v>
      </c>
      <c r="P229" s="246">
        <f t="shared" si="27"/>
        <v>0.1</v>
      </c>
      <c r="Q229" s="159">
        <v>4200</v>
      </c>
      <c r="R229" s="159">
        <v>1161</v>
      </c>
      <c r="S229" s="363">
        <f t="shared" si="24"/>
        <v>0</v>
      </c>
      <c r="T229" s="271">
        <v>0.39725304821943686</v>
      </c>
    </row>
    <row r="230" spans="1:20" x14ac:dyDescent="0.2">
      <c r="A230" s="147">
        <v>2020</v>
      </c>
      <c r="B230" s="147">
        <v>1</v>
      </c>
      <c r="C230" s="161"/>
      <c r="D230" s="166">
        <v>10.760366634676476</v>
      </c>
      <c r="E230" s="258">
        <f t="shared" si="28"/>
        <v>12.070349838615064</v>
      </c>
      <c r="F230" s="258">
        <f t="shared" si="28"/>
        <v>11.178406465920199</v>
      </c>
      <c r="G230" s="166">
        <v>32.33</v>
      </c>
      <c r="H230" s="148">
        <v>136.58184248999999</v>
      </c>
      <c r="I230" s="181">
        <f t="shared" si="21"/>
        <v>136.58184248999999</v>
      </c>
      <c r="J230" s="181">
        <f t="shared" si="22"/>
        <v>54.258667489578691</v>
      </c>
      <c r="K230" s="362">
        <v>24738</v>
      </c>
      <c r="L230" s="231"/>
      <c r="M230" s="157">
        <v>12194.911138200001</v>
      </c>
      <c r="N230" s="181">
        <f t="shared" si="23"/>
        <v>12194.911138200001</v>
      </c>
      <c r="O230" s="246">
        <f t="shared" si="27"/>
        <v>918.70499999999993</v>
      </c>
      <c r="P230" s="246">
        <f t="shared" si="27"/>
        <v>0</v>
      </c>
      <c r="Q230" s="159">
        <v>4200</v>
      </c>
      <c r="R230" s="159">
        <v>1161</v>
      </c>
      <c r="S230" s="363">
        <f t="shared" si="24"/>
        <v>0</v>
      </c>
      <c r="T230" s="271">
        <v>0.39726120617790983</v>
      </c>
    </row>
    <row r="231" spans="1:20" x14ac:dyDescent="0.2">
      <c r="A231" s="147">
        <v>2020</v>
      </c>
      <c r="B231" s="147">
        <v>2</v>
      </c>
      <c r="C231" s="161"/>
      <c r="D231" s="166">
        <v>10.760366634676476</v>
      </c>
      <c r="E231" s="258">
        <f t="shared" si="28"/>
        <v>12.070349838615064</v>
      </c>
      <c r="F231" s="258">
        <f t="shared" si="28"/>
        <v>11.178406465920199</v>
      </c>
      <c r="G231" s="166">
        <v>30.05</v>
      </c>
      <c r="H231" s="148">
        <v>136.58184248999999</v>
      </c>
      <c r="I231" s="181">
        <f t="shared" si="21"/>
        <v>136.58184248999999</v>
      </c>
      <c r="J231" s="181">
        <f t="shared" si="22"/>
        <v>54.258667489578691</v>
      </c>
      <c r="K231" s="362">
        <v>24736</v>
      </c>
      <c r="L231" s="231"/>
      <c r="M231" s="157">
        <v>12194.911138200001</v>
      </c>
      <c r="N231" s="181">
        <f t="shared" si="23"/>
        <v>12194.911138200001</v>
      </c>
      <c r="O231" s="246">
        <f t="shared" si="27"/>
        <v>796.85749999999996</v>
      </c>
      <c r="P231" s="246">
        <f t="shared" si="27"/>
        <v>0</v>
      </c>
      <c r="Q231" s="159">
        <v>4200</v>
      </c>
      <c r="R231" s="159">
        <v>1161</v>
      </c>
      <c r="S231" s="363">
        <f t="shared" si="24"/>
        <v>0</v>
      </c>
      <c r="T231" s="271">
        <v>0.39726120617790983</v>
      </c>
    </row>
    <row r="232" spans="1:20" x14ac:dyDescent="0.2">
      <c r="A232" s="147">
        <v>2020</v>
      </c>
      <c r="B232" s="147">
        <v>3</v>
      </c>
      <c r="C232" s="161"/>
      <c r="D232" s="166">
        <v>10.760366634676476</v>
      </c>
      <c r="E232" s="258">
        <f t="shared" si="28"/>
        <v>12.070349838615064</v>
      </c>
      <c r="F232" s="258">
        <f t="shared" si="28"/>
        <v>11.178406465920199</v>
      </c>
      <c r="G232" s="166">
        <v>30.19</v>
      </c>
      <c r="H232" s="148">
        <v>136.58184248999999</v>
      </c>
      <c r="I232" s="181">
        <f t="shared" si="21"/>
        <v>136.58184248999999</v>
      </c>
      <c r="J232" s="181">
        <f t="shared" si="22"/>
        <v>54.258667489578691</v>
      </c>
      <c r="K232" s="362">
        <v>24734</v>
      </c>
      <c r="L232" s="231"/>
      <c r="M232" s="157">
        <v>12194.911138200001</v>
      </c>
      <c r="N232" s="181">
        <f t="shared" si="23"/>
        <v>12194.911138200001</v>
      </c>
      <c r="O232" s="246">
        <f t="shared" si="27"/>
        <v>645</v>
      </c>
      <c r="P232" s="246">
        <f t="shared" si="27"/>
        <v>0.32500000000000001</v>
      </c>
      <c r="Q232" s="159">
        <v>4200</v>
      </c>
      <c r="R232" s="159">
        <v>1161</v>
      </c>
      <c r="S232" s="363">
        <f t="shared" si="24"/>
        <v>0</v>
      </c>
      <c r="T232" s="271">
        <v>0.39726120617790983</v>
      </c>
    </row>
    <row r="233" spans="1:20" x14ac:dyDescent="0.2">
      <c r="A233" s="147">
        <v>2020</v>
      </c>
      <c r="B233" s="147">
        <v>4</v>
      </c>
      <c r="C233" s="161"/>
      <c r="D233" s="166">
        <v>10.760366634676476</v>
      </c>
      <c r="E233" s="258">
        <f t="shared" si="28"/>
        <v>12.070349838615064</v>
      </c>
      <c r="F233" s="258">
        <f t="shared" si="28"/>
        <v>11.178406465920199</v>
      </c>
      <c r="G233" s="166">
        <v>30.33</v>
      </c>
      <c r="H233" s="148">
        <v>136.58184248999999</v>
      </c>
      <c r="I233" s="181">
        <f t="shared" si="21"/>
        <v>136.58184248999999</v>
      </c>
      <c r="J233" s="181">
        <f t="shared" si="22"/>
        <v>54.25278913660101</v>
      </c>
      <c r="K233" s="362">
        <v>24732</v>
      </c>
      <c r="L233" s="231"/>
      <c r="M233" s="157">
        <v>12194.911138200001</v>
      </c>
      <c r="N233" s="181">
        <f t="shared" si="23"/>
        <v>12194.911138200001</v>
      </c>
      <c r="O233" s="246">
        <f t="shared" si="27"/>
        <v>393.33749999999998</v>
      </c>
      <c r="P233" s="246">
        <f t="shared" si="27"/>
        <v>5.6325000000000003</v>
      </c>
      <c r="Q233" s="159">
        <v>4200</v>
      </c>
      <c r="R233" s="159">
        <v>1161</v>
      </c>
      <c r="S233" s="363">
        <f t="shared" si="24"/>
        <v>0</v>
      </c>
      <c r="T233" s="271">
        <v>0.39721816712622832</v>
      </c>
    </row>
    <row r="234" spans="1:20" x14ac:dyDescent="0.2">
      <c r="A234" s="147">
        <v>2020</v>
      </c>
      <c r="B234" s="147">
        <v>5</v>
      </c>
      <c r="C234" s="161"/>
      <c r="D234" s="166">
        <v>10.760366634676476</v>
      </c>
      <c r="E234" s="258">
        <f t="shared" si="28"/>
        <v>12.070349838615064</v>
      </c>
      <c r="F234" s="258">
        <f t="shared" si="28"/>
        <v>11.178406465920199</v>
      </c>
      <c r="G234" s="166">
        <v>30.14</v>
      </c>
      <c r="H234" s="148">
        <v>136.58184248999999</v>
      </c>
      <c r="I234" s="181">
        <f t="shared" si="21"/>
        <v>136.58184248999999</v>
      </c>
      <c r="J234" s="181">
        <f t="shared" si="22"/>
        <v>54.25278913660101</v>
      </c>
      <c r="K234" s="362">
        <v>24730</v>
      </c>
      <c r="L234" s="231"/>
      <c r="M234" s="157">
        <v>12194.911138200001</v>
      </c>
      <c r="N234" s="181">
        <f t="shared" si="23"/>
        <v>12194.911138200001</v>
      </c>
      <c r="O234" s="246">
        <f t="shared" ref="O234:P249" si="29">O222</f>
        <v>170.59</v>
      </c>
      <c r="P234" s="246">
        <f t="shared" si="29"/>
        <v>35.347500000000004</v>
      </c>
      <c r="Q234" s="159">
        <v>4200</v>
      </c>
      <c r="R234" s="159">
        <v>1161</v>
      </c>
      <c r="S234" s="363">
        <f t="shared" si="24"/>
        <v>0</v>
      </c>
      <c r="T234" s="271">
        <v>0.39721816712622832</v>
      </c>
    </row>
    <row r="235" spans="1:20" x14ac:dyDescent="0.2">
      <c r="A235" s="147">
        <v>2020</v>
      </c>
      <c r="B235" s="147">
        <v>6</v>
      </c>
      <c r="C235" s="161"/>
      <c r="D235" s="166">
        <v>10.760366634676476</v>
      </c>
      <c r="E235" s="258">
        <f t="shared" si="28"/>
        <v>12.070349838615064</v>
      </c>
      <c r="F235" s="258">
        <f t="shared" si="28"/>
        <v>11.178406465920199</v>
      </c>
      <c r="G235" s="166">
        <v>30.52</v>
      </c>
      <c r="H235" s="148">
        <v>136.58184248999999</v>
      </c>
      <c r="I235" s="181">
        <f t="shared" si="21"/>
        <v>136.58184248999999</v>
      </c>
      <c r="J235" s="181">
        <f t="shared" si="22"/>
        <v>54.25278913660101</v>
      </c>
      <c r="K235" s="362">
        <v>24728</v>
      </c>
      <c r="L235" s="231"/>
      <c r="M235" s="157">
        <v>12194.911138200001</v>
      </c>
      <c r="N235" s="181">
        <f t="shared" si="23"/>
        <v>12194.911138200001</v>
      </c>
      <c r="O235" s="246">
        <f t="shared" si="29"/>
        <v>42.912500000000001</v>
      </c>
      <c r="P235" s="246">
        <f t="shared" si="29"/>
        <v>148.8475</v>
      </c>
      <c r="Q235" s="159">
        <v>4200</v>
      </c>
      <c r="R235" s="159">
        <v>1161</v>
      </c>
      <c r="S235" s="363">
        <f t="shared" si="24"/>
        <v>0</v>
      </c>
      <c r="T235" s="271">
        <v>0.39721816712622832</v>
      </c>
    </row>
    <row r="236" spans="1:20" x14ac:dyDescent="0.2">
      <c r="A236" s="147">
        <v>2020</v>
      </c>
      <c r="B236" s="147">
        <v>7</v>
      </c>
      <c r="C236" s="161"/>
      <c r="D236" s="166">
        <v>10.760366634676476</v>
      </c>
      <c r="E236" s="258">
        <f t="shared" si="28"/>
        <v>12.070349838615064</v>
      </c>
      <c r="F236" s="258">
        <f t="shared" si="28"/>
        <v>11.178406465920199</v>
      </c>
      <c r="G236" s="166">
        <v>30.67</v>
      </c>
      <c r="H236" s="148">
        <v>136.58184248999999</v>
      </c>
      <c r="I236" s="181">
        <f t="shared" si="21"/>
        <v>136.58184248999999</v>
      </c>
      <c r="J236" s="181">
        <f t="shared" si="22"/>
        <v>54.246473655943198</v>
      </c>
      <c r="K236" s="362">
        <v>24726</v>
      </c>
      <c r="L236" s="231"/>
      <c r="M236" s="157">
        <v>12194.911138200001</v>
      </c>
      <c r="N236" s="181">
        <f t="shared" si="23"/>
        <v>12194.911138200001</v>
      </c>
      <c r="O236" s="246">
        <f t="shared" si="29"/>
        <v>1.375</v>
      </c>
      <c r="P236" s="246">
        <f t="shared" si="29"/>
        <v>291.78750000000002</v>
      </c>
      <c r="Q236" s="159">
        <v>4200</v>
      </c>
      <c r="R236" s="159">
        <v>1161</v>
      </c>
      <c r="S236" s="363">
        <f t="shared" si="24"/>
        <v>0</v>
      </c>
      <c r="T236" s="271">
        <v>0.39717192759290038</v>
      </c>
    </row>
    <row r="237" spans="1:20" x14ac:dyDescent="0.2">
      <c r="A237" s="147">
        <v>2020</v>
      </c>
      <c r="B237" s="147">
        <v>8</v>
      </c>
      <c r="C237" s="161"/>
      <c r="D237" s="166">
        <v>10.760366634676476</v>
      </c>
      <c r="E237" s="258">
        <f t="shared" si="28"/>
        <v>12.070349838615064</v>
      </c>
      <c r="F237" s="258">
        <f t="shared" si="28"/>
        <v>11.178406465920199</v>
      </c>
      <c r="G237" s="166">
        <v>29.48</v>
      </c>
      <c r="H237" s="148">
        <v>136.58184248999999</v>
      </c>
      <c r="I237" s="181">
        <f t="shared" si="21"/>
        <v>136.58184248999999</v>
      </c>
      <c r="J237" s="181">
        <f t="shared" si="22"/>
        <v>54.246473655943198</v>
      </c>
      <c r="K237" s="362">
        <v>24724</v>
      </c>
      <c r="L237" s="231"/>
      <c r="M237" s="157">
        <v>12194.911138200001</v>
      </c>
      <c r="N237" s="181">
        <f t="shared" si="23"/>
        <v>12194.911138200001</v>
      </c>
      <c r="O237" s="246">
        <f t="shared" si="29"/>
        <v>0.35</v>
      </c>
      <c r="P237" s="246">
        <f t="shared" si="29"/>
        <v>311.80250000000001</v>
      </c>
      <c r="Q237" s="159">
        <v>4200</v>
      </c>
      <c r="R237" s="159">
        <v>1161</v>
      </c>
      <c r="S237" s="363">
        <f t="shared" si="24"/>
        <v>0</v>
      </c>
      <c r="T237" s="271">
        <v>0.39717192759290038</v>
      </c>
    </row>
    <row r="238" spans="1:20" x14ac:dyDescent="0.2">
      <c r="A238" s="147">
        <v>2020</v>
      </c>
      <c r="B238" s="147">
        <v>9</v>
      </c>
      <c r="C238" s="161"/>
      <c r="D238" s="166">
        <v>10.760366634676476</v>
      </c>
      <c r="E238" s="258">
        <f t="shared" si="28"/>
        <v>12.070349838615064</v>
      </c>
      <c r="F238" s="258">
        <f t="shared" si="28"/>
        <v>11.178406465920199</v>
      </c>
      <c r="G238" s="166">
        <v>30.52</v>
      </c>
      <c r="H238" s="148">
        <v>136.58184248999999</v>
      </c>
      <c r="I238" s="181">
        <f t="shared" si="21"/>
        <v>136.58184248999999</v>
      </c>
      <c r="J238" s="181">
        <f t="shared" si="22"/>
        <v>54.246473655943198</v>
      </c>
      <c r="K238" s="362">
        <v>24722</v>
      </c>
      <c r="L238" s="231"/>
      <c r="M238" s="157">
        <v>12194.911138200001</v>
      </c>
      <c r="N238" s="181">
        <f t="shared" si="23"/>
        <v>12194.911138200001</v>
      </c>
      <c r="O238" s="246">
        <f t="shared" si="29"/>
        <v>8.2974999999999994</v>
      </c>
      <c r="P238" s="246">
        <f t="shared" si="29"/>
        <v>230.68249999999998</v>
      </c>
      <c r="Q238" s="159">
        <v>4200</v>
      </c>
      <c r="R238" s="159">
        <v>1161</v>
      </c>
      <c r="S238" s="363">
        <f t="shared" si="24"/>
        <v>0</v>
      </c>
      <c r="T238" s="271">
        <v>0.39717192759290038</v>
      </c>
    </row>
    <row r="239" spans="1:20" x14ac:dyDescent="0.2">
      <c r="A239" s="147">
        <v>2020</v>
      </c>
      <c r="B239" s="147">
        <v>10</v>
      </c>
      <c r="C239" s="161"/>
      <c r="D239" s="166">
        <v>10.760366634676476</v>
      </c>
      <c r="E239" s="258">
        <f t="shared" si="28"/>
        <v>12.070349838615064</v>
      </c>
      <c r="F239" s="258">
        <f t="shared" si="28"/>
        <v>11.178406465920199</v>
      </c>
      <c r="G239" s="166">
        <v>29.71</v>
      </c>
      <c r="H239" s="148">
        <v>136.58184248999999</v>
      </c>
      <c r="I239" s="181">
        <f t="shared" si="21"/>
        <v>136.58184248999999</v>
      </c>
      <c r="J239" s="181">
        <f t="shared" si="22"/>
        <v>54.239957385115275</v>
      </c>
      <c r="K239" s="362">
        <v>24720</v>
      </c>
      <c r="L239" s="231"/>
      <c r="M239" s="157">
        <v>12194.911138200001</v>
      </c>
      <c r="N239" s="181">
        <f t="shared" si="23"/>
        <v>12194.911138200001</v>
      </c>
      <c r="O239" s="246">
        <f t="shared" si="29"/>
        <v>129.8125</v>
      </c>
      <c r="P239" s="246">
        <f t="shared" si="29"/>
        <v>57.779999999999994</v>
      </c>
      <c r="Q239" s="159">
        <v>4200</v>
      </c>
      <c r="R239" s="159">
        <v>1161</v>
      </c>
      <c r="S239" s="363">
        <f t="shared" si="24"/>
        <v>0</v>
      </c>
      <c r="T239" s="271">
        <v>0.39712421795076108</v>
      </c>
    </row>
    <row r="240" spans="1:20" x14ac:dyDescent="0.2">
      <c r="A240" s="147">
        <v>2020</v>
      </c>
      <c r="B240" s="147">
        <v>11</v>
      </c>
      <c r="C240" s="161"/>
      <c r="D240" s="166">
        <v>10.760366634676476</v>
      </c>
      <c r="E240" s="258">
        <f t="shared" si="28"/>
        <v>12.070349838615064</v>
      </c>
      <c r="F240" s="258">
        <f t="shared" si="28"/>
        <v>11.178406465920199</v>
      </c>
      <c r="G240" s="166">
        <v>29.57</v>
      </c>
      <c r="H240" s="148">
        <v>136.58184248999999</v>
      </c>
      <c r="I240" s="181">
        <f t="shared" si="21"/>
        <v>136.58184248999999</v>
      </c>
      <c r="J240" s="181">
        <f t="shared" si="22"/>
        <v>54.239957385115275</v>
      </c>
      <c r="K240" s="362">
        <v>24718</v>
      </c>
      <c r="L240" s="231"/>
      <c r="M240" s="157">
        <v>12194.911138200001</v>
      </c>
      <c r="N240" s="181">
        <f t="shared" si="23"/>
        <v>12194.911138200001</v>
      </c>
      <c r="O240" s="246">
        <f t="shared" si="29"/>
        <v>387.90500000000003</v>
      </c>
      <c r="P240" s="246">
        <f t="shared" si="29"/>
        <v>3.9299999999999997</v>
      </c>
      <c r="Q240" s="159">
        <v>4200</v>
      </c>
      <c r="R240" s="159">
        <v>1161</v>
      </c>
      <c r="S240" s="363">
        <f t="shared" si="24"/>
        <v>0</v>
      </c>
      <c r="T240" s="271">
        <v>0.39712421795076108</v>
      </c>
    </row>
    <row r="241" spans="1:20" x14ac:dyDescent="0.2">
      <c r="A241" s="147">
        <v>2020</v>
      </c>
      <c r="B241" s="147">
        <v>12</v>
      </c>
      <c r="C241" s="169"/>
      <c r="D241" s="166">
        <v>10.760366634676476</v>
      </c>
      <c r="E241" s="258">
        <f t="shared" si="28"/>
        <v>12.070349838615064</v>
      </c>
      <c r="F241" s="258">
        <f t="shared" si="28"/>
        <v>11.178406465920199</v>
      </c>
      <c r="G241" s="166">
        <v>32.619999999999997</v>
      </c>
      <c r="H241" s="148">
        <v>136.58184248999999</v>
      </c>
      <c r="I241" s="181">
        <f t="shared" si="21"/>
        <v>136.58184248999999</v>
      </c>
      <c r="J241" s="181">
        <f t="shared" si="22"/>
        <v>54.239957385115275</v>
      </c>
      <c r="K241" s="362">
        <v>24716</v>
      </c>
      <c r="L241" s="231"/>
      <c r="M241" s="366">
        <v>12194.911138200001</v>
      </c>
      <c r="N241" s="181">
        <f t="shared" si="23"/>
        <v>12194.911138200001</v>
      </c>
      <c r="O241" s="246">
        <f t="shared" si="29"/>
        <v>681.89</v>
      </c>
      <c r="P241" s="246">
        <f t="shared" si="29"/>
        <v>0.1</v>
      </c>
      <c r="Q241" s="159">
        <v>4200</v>
      </c>
      <c r="R241" s="159">
        <v>1161</v>
      </c>
      <c r="S241" s="363">
        <f t="shared" si="24"/>
        <v>0</v>
      </c>
      <c r="T241" s="271">
        <v>0.39712421795076108</v>
      </c>
    </row>
    <row r="242" spans="1:20" x14ac:dyDescent="0.2">
      <c r="A242" s="147">
        <v>2021</v>
      </c>
      <c r="B242" s="147">
        <v>1</v>
      </c>
      <c r="C242" s="169"/>
      <c r="D242" s="166">
        <v>11.029375800543386</v>
      </c>
      <c r="E242" s="258">
        <f t="shared" si="28"/>
        <v>12.311756835387365</v>
      </c>
      <c r="F242" s="258">
        <f t="shared" si="28"/>
        <v>11.401974595238602</v>
      </c>
      <c r="G242" s="166">
        <v>33.049999999999997</v>
      </c>
      <c r="H242" s="148">
        <v>136.64819033999999</v>
      </c>
      <c r="I242" s="181">
        <f t="shared" si="21"/>
        <v>136.64819033999999</v>
      </c>
      <c r="J242" s="181">
        <f t="shared" si="22"/>
        <v>54.253871223449401</v>
      </c>
      <c r="K242" s="362">
        <v>24714</v>
      </c>
      <c r="L242" s="231"/>
      <c r="M242" s="157">
        <v>12631.648254200001</v>
      </c>
      <c r="N242" s="181">
        <f t="shared" si="23"/>
        <v>12631.648254200001</v>
      </c>
      <c r="O242" s="246">
        <f t="shared" si="29"/>
        <v>918.70499999999993</v>
      </c>
      <c r="P242" s="246">
        <f t="shared" si="29"/>
        <v>0</v>
      </c>
      <c r="Q242" s="159">
        <v>4200</v>
      </c>
      <c r="R242" s="159">
        <v>1161</v>
      </c>
      <c r="S242" s="363">
        <f t="shared" si="24"/>
        <v>0</v>
      </c>
      <c r="T242" s="271">
        <v>0.39703322150449349</v>
      </c>
    </row>
    <row r="243" spans="1:20" x14ac:dyDescent="0.2">
      <c r="A243" s="147">
        <v>2021</v>
      </c>
      <c r="B243" s="147">
        <v>2</v>
      </c>
      <c r="C243" s="169"/>
      <c r="D243" s="166">
        <v>11.029375800543386</v>
      </c>
      <c r="E243" s="258">
        <f t="shared" ref="E243:F258" si="30">E231*(1+0.02)</f>
        <v>12.311756835387365</v>
      </c>
      <c r="F243" s="258">
        <f t="shared" si="30"/>
        <v>11.401974595238602</v>
      </c>
      <c r="G243" s="166">
        <v>30.14</v>
      </c>
      <c r="H243" s="148">
        <v>136.64819033999999</v>
      </c>
      <c r="I243" s="181">
        <f t="shared" si="21"/>
        <v>136.64819033999999</v>
      </c>
      <c r="J243" s="181">
        <f t="shared" si="22"/>
        <v>54.253871223449401</v>
      </c>
      <c r="K243" s="362">
        <v>24712</v>
      </c>
      <c r="L243" s="231"/>
      <c r="M243" s="157">
        <v>12631.648254200001</v>
      </c>
      <c r="N243" s="181">
        <f t="shared" si="23"/>
        <v>12631.648254200001</v>
      </c>
      <c r="O243" s="246">
        <f t="shared" si="29"/>
        <v>796.85749999999996</v>
      </c>
      <c r="P243" s="246">
        <f t="shared" si="29"/>
        <v>0</v>
      </c>
      <c r="Q243" s="159">
        <v>4200</v>
      </c>
      <c r="R243" s="159">
        <v>1161</v>
      </c>
      <c r="S243" s="363">
        <f t="shared" si="24"/>
        <v>0</v>
      </c>
      <c r="T243" s="271">
        <v>0.39703322150449349</v>
      </c>
    </row>
    <row r="244" spans="1:20" x14ac:dyDescent="0.2">
      <c r="A244" s="147">
        <v>2021</v>
      </c>
      <c r="B244" s="147">
        <v>3</v>
      </c>
      <c r="C244" s="169"/>
      <c r="D244" s="166">
        <v>11.029375800543386</v>
      </c>
      <c r="E244" s="258">
        <f t="shared" si="30"/>
        <v>12.311756835387365</v>
      </c>
      <c r="F244" s="258">
        <f t="shared" si="30"/>
        <v>11.401974595238602</v>
      </c>
      <c r="G244" s="166">
        <v>30</v>
      </c>
      <c r="H244" s="148">
        <v>136.64819033999999</v>
      </c>
      <c r="I244" s="181">
        <f t="shared" si="21"/>
        <v>136.64819033999999</v>
      </c>
      <c r="J244" s="181">
        <f t="shared" si="22"/>
        <v>54.253871223449401</v>
      </c>
      <c r="K244" s="362">
        <v>24710</v>
      </c>
      <c r="L244" s="231"/>
      <c r="M244" s="157">
        <v>12631.648254200001</v>
      </c>
      <c r="N244" s="181">
        <f t="shared" si="23"/>
        <v>12631.648254200001</v>
      </c>
      <c r="O244" s="246">
        <f t="shared" si="29"/>
        <v>645</v>
      </c>
      <c r="P244" s="246">
        <f t="shared" si="29"/>
        <v>0.32500000000000001</v>
      </c>
      <c r="Q244" s="159">
        <v>4200</v>
      </c>
      <c r="R244" s="159">
        <v>1161</v>
      </c>
      <c r="S244" s="363">
        <f t="shared" si="24"/>
        <v>0</v>
      </c>
      <c r="T244" s="271">
        <v>0.39703322150449349</v>
      </c>
    </row>
    <row r="245" spans="1:20" x14ac:dyDescent="0.2">
      <c r="A245" s="147">
        <v>2021</v>
      </c>
      <c r="B245" s="147">
        <v>4</v>
      </c>
      <c r="C245" s="169"/>
      <c r="D245" s="166">
        <v>11.029375800543386</v>
      </c>
      <c r="E245" s="258">
        <f t="shared" si="30"/>
        <v>12.311756835387365</v>
      </c>
      <c r="F245" s="258">
        <f t="shared" si="30"/>
        <v>11.401974595238602</v>
      </c>
      <c r="G245" s="166">
        <v>30.86</v>
      </c>
      <c r="H245" s="148">
        <v>136.64819033999999</v>
      </c>
      <c r="I245" s="181">
        <f t="shared" si="21"/>
        <v>136.64819033999999</v>
      </c>
      <c r="J245" s="181">
        <f t="shared" si="22"/>
        <v>54.244249328474524</v>
      </c>
      <c r="K245" s="362">
        <v>24708</v>
      </c>
      <c r="L245" s="231"/>
      <c r="M245" s="157">
        <v>12631.648254200001</v>
      </c>
      <c r="N245" s="181">
        <f t="shared" si="23"/>
        <v>12631.648254200001</v>
      </c>
      <c r="O245" s="246">
        <f t="shared" si="29"/>
        <v>393.33749999999998</v>
      </c>
      <c r="P245" s="246">
        <f t="shared" si="29"/>
        <v>5.6325000000000003</v>
      </c>
      <c r="Q245" s="159">
        <v>4200</v>
      </c>
      <c r="R245" s="159">
        <v>1161</v>
      </c>
      <c r="S245" s="363">
        <f t="shared" si="24"/>
        <v>0</v>
      </c>
      <c r="T245" s="271">
        <v>0.39696280787551724</v>
      </c>
    </row>
    <row r="246" spans="1:20" x14ac:dyDescent="0.2">
      <c r="A246" s="147">
        <v>2021</v>
      </c>
      <c r="B246" s="147">
        <v>5</v>
      </c>
      <c r="C246" s="169"/>
      <c r="D246" s="166">
        <v>11.029375800543386</v>
      </c>
      <c r="E246" s="258">
        <f t="shared" si="30"/>
        <v>12.311756835387365</v>
      </c>
      <c r="F246" s="258">
        <f t="shared" si="30"/>
        <v>11.401974595238602</v>
      </c>
      <c r="G246" s="166">
        <v>29.48</v>
      </c>
      <c r="H246" s="148">
        <v>136.64819033999999</v>
      </c>
      <c r="I246" s="181">
        <f t="shared" si="21"/>
        <v>136.64819033999999</v>
      </c>
      <c r="J246" s="181">
        <f t="shared" si="22"/>
        <v>54.244249328474524</v>
      </c>
      <c r="K246" s="362">
        <v>24706</v>
      </c>
      <c r="L246" s="231"/>
      <c r="M246" s="157">
        <v>12631.648254200001</v>
      </c>
      <c r="N246" s="181">
        <f t="shared" si="23"/>
        <v>12631.648254200001</v>
      </c>
      <c r="O246" s="246">
        <f t="shared" si="29"/>
        <v>170.59</v>
      </c>
      <c r="P246" s="246">
        <f t="shared" si="29"/>
        <v>35.347500000000004</v>
      </c>
      <c r="Q246" s="159">
        <v>4200</v>
      </c>
      <c r="R246" s="159">
        <v>1161</v>
      </c>
      <c r="S246" s="363">
        <f t="shared" si="24"/>
        <v>0</v>
      </c>
      <c r="T246" s="271">
        <v>0.39696280787551724</v>
      </c>
    </row>
    <row r="247" spans="1:20" x14ac:dyDescent="0.2">
      <c r="A247" s="147">
        <v>2021</v>
      </c>
      <c r="B247" s="147">
        <v>6</v>
      </c>
      <c r="C247" s="169"/>
      <c r="D247" s="166">
        <v>11.029375800543386</v>
      </c>
      <c r="E247" s="258">
        <f t="shared" si="30"/>
        <v>12.311756835387365</v>
      </c>
      <c r="F247" s="258">
        <f t="shared" si="30"/>
        <v>11.401974595238602</v>
      </c>
      <c r="G247" s="166">
        <v>30.67</v>
      </c>
      <c r="H247" s="148">
        <v>136.64819033999999</v>
      </c>
      <c r="I247" s="181">
        <f t="shared" si="21"/>
        <v>136.64819033999999</v>
      </c>
      <c r="J247" s="181">
        <f t="shared" si="22"/>
        <v>54.244249328474524</v>
      </c>
      <c r="K247" s="362">
        <v>24704</v>
      </c>
      <c r="L247" s="231"/>
      <c r="M247" s="157">
        <v>12631.648254200001</v>
      </c>
      <c r="N247" s="181">
        <f t="shared" si="23"/>
        <v>12631.648254200001</v>
      </c>
      <c r="O247" s="246">
        <f t="shared" si="29"/>
        <v>42.912500000000001</v>
      </c>
      <c r="P247" s="246">
        <f t="shared" si="29"/>
        <v>148.8475</v>
      </c>
      <c r="Q247" s="159">
        <v>4200</v>
      </c>
      <c r="R247" s="159">
        <v>1161</v>
      </c>
      <c r="S247" s="363">
        <f t="shared" si="24"/>
        <v>0</v>
      </c>
      <c r="T247" s="271">
        <v>0.39696280787551724</v>
      </c>
    </row>
    <row r="248" spans="1:20" x14ac:dyDescent="0.2">
      <c r="A248" s="147">
        <v>2021</v>
      </c>
      <c r="B248" s="147">
        <v>7</v>
      </c>
      <c r="C248" s="169"/>
      <c r="D248" s="166">
        <v>11.029375800543386</v>
      </c>
      <c r="E248" s="258">
        <f t="shared" si="30"/>
        <v>12.311756835387365</v>
      </c>
      <c r="F248" s="258">
        <f t="shared" si="30"/>
        <v>11.401974595238602</v>
      </c>
      <c r="G248" s="166">
        <v>30.71</v>
      </c>
      <c r="H248" s="148">
        <v>136.64819033999999</v>
      </c>
      <c r="I248" s="181">
        <f t="shared" si="21"/>
        <v>136.64819033999999</v>
      </c>
      <c r="J248" s="181">
        <f t="shared" si="22"/>
        <v>54.233413982144668</v>
      </c>
      <c r="K248" s="362">
        <v>24702</v>
      </c>
      <c r="L248" s="231"/>
      <c r="M248" s="157">
        <v>12631.648254200001</v>
      </c>
      <c r="N248" s="181">
        <f t="shared" si="23"/>
        <v>12631.648254200001</v>
      </c>
      <c r="O248" s="246">
        <f t="shared" si="29"/>
        <v>1.375</v>
      </c>
      <c r="P248" s="246">
        <f t="shared" si="29"/>
        <v>291.78750000000002</v>
      </c>
      <c r="Q248" s="159">
        <v>4200</v>
      </c>
      <c r="R248" s="159">
        <v>1161</v>
      </c>
      <c r="S248" s="363">
        <f t="shared" si="24"/>
        <v>0</v>
      </c>
      <c r="T248" s="271">
        <v>0.39688351413366163</v>
      </c>
    </row>
    <row r="249" spans="1:20" x14ac:dyDescent="0.2">
      <c r="A249" s="147">
        <v>2021</v>
      </c>
      <c r="B249" s="147">
        <v>8</v>
      </c>
      <c r="C249" s="169"/>
      <c r="D249" s="166">
        <v>11.029375800543386</v>
      </c>
      <c r="E249" s="258">
        <f t="shared" si="30"/>
        <v>12.311756835387365</v>
      </c>
      <c r="F249" s="258">
        <f t="shared" si="30"/>
        <v>11.401974595238602</v>
      </c>
      <c r="G249" s="166">
        <v>29.52</v>
      </c>
      <c r="H249" s="148">
        <v>136.64819033999999</v>
      </c>
      <c r="I249" s="181">
        <f t="shared" si="21"/>
        <v>136.64819033999999</v>
      </c>
      <c r="J249" s="181">
        <f t="shared" si="22"/>
        <v>54.233413982144668</v>
      </c>
      <c r="K249" s="362">
        <v>24700</v>
      </c>
      <c r="L249" s="231"/>
      <c r="M249" s="157">
        <v>12631.648254200001</v>
      </c>
      <c r="N249" s="181">
        <f t="shared" si="23"/>
        <v>12631.648254200001</v>
      </c>
      <c r="O249" s="246">
        <f t="shared" si="29"/>
        <v>0.35</v>
      </c>
      <c r="P249" s="246">
        <f t="shared" si="29"/>
        <v>311.80250000000001</v>
      </c>
      <c r="Q249" s="159">
        <v>4200</v>
      </c>
      <c r="R249" s="159">
        <v>1161</v>
      </c>
      <c r="S249" s="363">
        <f t="shared" si="24"/>
        <v>0</v>
      </c>
      <c r="T249" s="271">
        <v>0.39688351413366163</v>
      </c>
    </row>
    <row r="250" spans="1:20" x14ac:dyDescent="0.2">
      <c r="A250" s="147">
        <v>2021</v>
      </c>
      <c r="B250" s="147">
        <v>9</v>
      </c>
      <c r="C250" s="169"/>
      <c r="D250" s="166">
        <v>11.029375800543386</v>
      </c>
      <c r="E250" s="258">
        <f t="shared" si="30"/>
        <v>12.311756835387365</v>
      </c>
      <c r="F250" s="258">
        <f t="shared" si="30"/>
        <v>11.401974595238602</v>
      </c>
      <c r="G250" s="166">
        <v>30.52</v>
      </c>
      <c r="H250" s="148">
        <v>136.64819033999999</v>
      </c>
      <c r="I250" s="181">
        <f t="shared" si="21"/>
        <v>136.64819033999999</v>
      </c>
      <c r="J250" s="181">
        <f t="shared" si="22"/>
        <v>54.233413982144668</v>
      </c>
      <c r="K250" s="362">
        <v>24698</v>
      </c>
      <c r="L250" s="231"/>
      <c r="M250" s="157">
        <v>12631.648254200001</v>
      </c>
      <c r="N250" s="181">
        <f t="shared" si="23"/>
        <v>12631.648254200001</v>
      </c>
      <c r="O250" s="246">
        <f t="shared" ref="O250:P265" si="31">O238</f>
        <v>8.2974999999999994</v>
      </c>
      <c r="P250" s="246">
        <f t="shared" si="31"/>
        <v>230.68249999999998</v>
      </c>
      <c r="Q250" s="159">
        <v>4200</v>
      </c>
      <c r="R250" s="159">
        <v>1161</v>
      </c>
      <c r="S250" s="363">
        <f t="shared" si="24"/>
        <v>0</v>
      </c>
      <c r="T250" s="271">
        <v>0.39688351413366163</v>
      </c>
    </row>
    <row r="251" spans="1:20" x14ac:dyDescent="0.2">
      <c r="A251" s="147">
        <v>2021</v>
      </c>
      <c r="B251" s="147">
        <v>10</v>
      </c>
      <c r="C251" s="169"/>
      <c r="D251" s="166">
        <v>11.029375800543386</v>
      </c>
      <c r="E251" s="258">
        <f t="shared" si="30"/>
        <v>12.311756835387365</v>
      </c>
      <c r="F251" s="258">
        <f t="shared" si="30"/>
        <v>11.401974595238602</v>
      </c>
      <c r="G251" s="166">
        <v>29.62</v>
      </c>
      <c r="H251" s="148">
        <v>136.64819033999999</v>
      </c>
      <c r="I251" s="181">
        <f t="shared" si="21"/>
        <v>136.64819033999999</v>
      </c>
      <c r="J251" s="181">
        <f t="shared" si="22"/>
        <v>54.261143390592188</v>
      </c>
      <c r="K251" s="362">
        <v>24696</v>
      </c>
      <c r="L251" s="231"/>
      <c r="M251" s="157">
        <v>12631.648254200001</v>
      </c>
      <c r="N251" s="181">
        <f t="shared" si="23"/>
        <v>12631.648254200001</v>
      </c>
      <c r="O251" s="246">
        <f t="shared" si="31"/>
        <v>129.8125</v>
      </c>
      <c r="P251" s="246">
        <f t="shared" si="31"/>
        <v>57.779999999999994</v>
      </c>
      <c r="Q251" s="159">
        <v>4200</v>
      </c>
      <c r="R251" s="159">
        <v>1161</v>
      </c>
      <c r="S251" s="363">
        <f t="shared" si="24"/>
        <v>0</v>
      </c>
      <c r="T251" s="271">
        <v>0.39708643967829216</v>
      </c>
    </row>
    <row r="252" spans="1:20" x14ac:dyDescent="0.2">
      <c r="A252" s="147">
        <v>2021</v>
      </c>
      <c r="B252" s="147">
        <v>11</v>
      </c>
      <c r="C252" s="169"/>
      <c r="D252" s="166">
        <v>11.029375800543386</v>
      </c>
      <c r="E252" s="258">
        <f t="shared" si="30"/>
        <v>12.311756835387365</v>
      </c>
      <c r="F252" s="258">
        <f t="shared" si="30"/>
        <v>11.401974595238602</v>
      </c>
      <c r="G252" s="166">
        <v>29.1</v>
      </c>
      <c r="H252" s="148">
        <v>136.64819033999999</v>
      </c>
      <c r="I252" s="181">
        <f t="shared" si="21"/>
        <v>136.64819033999999</v>
      </c>
      <c r="J252" s="181">
        <f t="shared" si="22"/>
        <v>54.261143390592188</v>
      </c>
      <c r="K252" s="362">
        <v>24694</v>
      </c>
      <c r="L252" s="231"/>
      <c r="M252" s="157">
        <v>12631.648254200001</v>
      </c>
      <c r="N252" s="181">
        <f t="shared" si="23"/>
        <v>12631.648254200001</v>
      </c>
      <c r="O252" s="246">
        <f t="shared" si="31"/>
        <v>387.90500000000003</v>
      </c>
      <c r="P252" s="246">
        <f t="shared" si="31"/>
        <v>3.9299999999999997</v>
      </c>
      <c r="Q252" s="159">
        <v>4200</v>
      </c>
      <c r="R252" s="159">
        <v>1161</v>
      </c>
      <c r="S252" s="363">
        <f t="shared" si="24"/>
        <v>0</v>
      </c>
      <c r="T252" s="271">
        <v>0.39708643967829216</v>
      </c>
    </row>
    <row r="253" spans="1:20" x14ac:dyDescent="0.2">
      <c r="A253" s="147">
        <v>2021</v>
      </c>
      <c r="B253" s="147">
        <v>12</v>
      </c>
      <c r="C253" s="169"/>
      <c r="D253" s="166">
        <v>11.029375800543386</v>
      </c>
      <c r="E253" s="258">
        <f t="shared" si="30"/>
        <v>12.311756835387365</v>
      </c>
      <c r="F253" s="258">
        <f t="shared" si="30"/>
        <v>11.401974595238602</v>
      </c>
      <c r="G253" s="166">
        <v>31.67</v>
      </c>
      <c r="H253" s="148">
        <v>136.64819033999999</v>
      </c>
      <c r="I253" s="181">
        <f t="shared" si="21"/>
        <v>136.64819033999999</v>
      </c>
      <c r="J253" s="181">
        <f t="shared" si="22"/>
        <v>54.261143390592188</v>
      </c>
      <c r="K253" s="362">
        <v>24692</v>
      </c>
      <c r="L253" s="231"/>
      <c r="M253" s="157">
        <v>12631.648254200001</v>
      </c>
      <c r="N253" s="181">
        <f t="shared" si="23"/>
        <v>12631.648254200001</v>
      </c>
      <c r="O253" s="246">
        <f t="shared" si="31"/>
        <v>681.89</v>
      </c>
      <c r="P253" s="246">
        <f t="shared" si="31"/>
        <v>0.1</v>
      </c>
      <c r="Q253" s="159">
        <v>4200</v>
      </c>
      <c r="R253" s="159">
        <v>1161</v>
      </c>
      <c r="S253" s="363">
        <f t="shared" si="24"/>
        <v>0</v>
      </c>
      <c r="T253" s="271">
        <v>0.39708643967829216</v>
      </c>
    </row>
    <row r="254" spans="1:20" x14ac:dyDescent="0.2">
      <c r="A254" s="147">
        <v>2022</v>
      </c>
      <c r="B254" s="147">
        <v>1</v>
      </c>
      <c r="C254" s="169"/>
      <c r="D254" s="166">
        <v>11.305110195556971</v>
      </c>
      <c r="E254" s="258">
        <f t="shared" si="30"/>
        <v>12.557991972095113</v>
      </c>
      <c r="F254" s="258">
        <f t="shared" si="30"/>
        <v>11.630014087143374</v>
      </c>
      <c r="G254" s="166">
        <v>32.71</v>
      </c>
      <c r="H254" s="148">
        <v>136.78675090000002</v>
      </c>
      <c r="I254" s="181">
        <f t="shared" si="21"/>
        <v>136.78675090000002</v>
      </c>
      <c r="J254" s="181">
        <f t="shared" si="22"/>
        <v>54.282181785936146</v>
      </c>
      <c r="K254" s="362">
        <v>24690</v>
      </c>
      <c r="L254" s="231"/>
      <c r="M254" s="157">
        <v>13141.726165600001</v>
      </c>
      <c r="N254" s="181">
        <f t="shared" si="23"/>
        <v>13141.726165600001</v>
      </c>
      <c r="O254" s="246">
        <f t="shared" si="31"/>
        <v>918.70499999999993</v>
      </c>
      <c r="P254" s="246">
        <f t="shared" si="31"/>
        <v>0</v>
      </c>
      <c r="Q254" s="159">
        <v>4200</v>
      </c>
      <c r="R254" s="159">
        <v>1161</v>
      </c>
      <c r="S254" s="363">
        <f t="shared" si="24"/>
        <v>0</v>
      </c>
      <c r="T254" s="271">
        <v>0.39683800827771648</v>
      </c>
    </row>
    <row r="255" spans="1:20" x14ac:dyDescent="0.2">
      <c r="A255" s="147">
        <v>2022</v>
      </c>
      <c r="B255" s="147">
        <v>2</v>
      </c>
      <c r="C255" s="169"/>
      <c r="D255" s="166">
        <v>11.305110195556971</v>
      </c>
      <c r="E255" s="258">
        <f t="shared" si="30"/>
        <v>12.557991972095113</v>
      </c>
      <c r="F255" s="258">
        <f t="shared" si="30"/>
        <v>11.630014087143374</v>
      </c>
      <c r="G255" s="166">
        <v>29.81</v>
      </c>
      <c r="H255" s="148">
        <v>136.78675090000002</v>
      </c>
      <c r="I255" s="181">
        <f t="shared" si="21"/>
        <v>136.78675090000002</v>
      </c>
      <c r="J255" s="181">
        <f t="shared" si="22"/>
        <v>54.282181785936146</v>
      </c>
      <c r="K255" s="362">
        <v>24688</v>
      </c>
      <c r="L255" s="231"/>
      <c r="M255" s="157">
        <v>13141.726165600001</v>
      </c>
      <c r="N255" s="181">
        <f t="shared" si="23"/>
        <v>13141.726165600001</v>
      </c>
      <c r="O255" s="246">
        <f t="shared" si="31"/>
        <v>796.85749999999996</v>
      </c>
      <c r="P255" s="246">
        <f t="shared" si="31"/>
        <v>0</v>
      </c>
      <c r="Q255" s="159">
        <v>4200</v>
      </c>
      <c r="R255" s="159">
        <v>1161</v>
      </c>
      <c r="S255" s="363">
        <f t="shared" si="24"/>
        <v>0</v>
      </c>
      <c r="T255" s="271">
        <v>0.39683800827771648</v>
      </c>
    </row>
    <row r="256" spans="1:20" x14ac:dyDescent="0.2">
      <c r="A256" s="147">
        <v>2022</v>
      </c>
      <c r="B256" s="147">
        <v>3</v>
      </c>
      <c r="C256" s="169"/>
      <c r="D256" s="166">
        <v>11.305110195556971</v>
      </c>
      <c r="E256" s="258">
        <f t="shared" si="30"/>
        <v>12.557991972095113</v>
      </c>
      <c r="F256" s="258">
        <f t="shared" si="30"/>
        <v>11.630014087143374</v>
      </c>
      <c r="G256" s="166">
        <v>30.33</v>
      </c>
      <c r="H256" s="148">
        <v>136.78675090000002</v>
      </c>
      <c r="I256" s="181">
        <f t="shared" si="21"/>
        <v>136.78675090000002</v>
      </c>
      <c r="J256" s="181">
        <f t="shared" si="22"/>
        <v>54.282181785936146</v>
      </c>
      <c r="K256" s="362">
        <v>24686</v>
      </c>
      <c r="L256" s="231"/>
      <c r="M256" s="157">
        <v>13141.726165600001</v>
      </c>
      <c r="N256" s="181">
        <f t="shared" si="23"/>
        <v>13141.726165600001</v>
      </c>
      <c r="O256" s="246">
        <f t="shared" si="31"/>
        <v>645</v>
      </c>
      <c r="P256" s="246">
        <f t="shared" si="31"/>
        <v>0.32500000000000001</v>
      </c>
      <c r="Q256" s="159">
        <v>4200</v>
      </c>
      <c r="R256" s="159">
        <v>1161</v>
      </c>
      <c r="S256" s="363">
        <f t="shared" si="24"/>
        <v>0</v>
      </c>
      <c r="T256" s="271">
        <v>0.39683800827771648</v>
      </c>
    </row>
    <row r="257" spans="1:20" x14ac:dyDescent="0.2">
      <c r="A257" s="147">
        <v>2022</v>
      </c>
      <c r="B257" s="147">
        <v>4</v>
      </c>
      <c r="C257" s="169"/>
      <c r="D257" s="166">
        <v>11.305110195556971</v>
      </c>
      <c r="E257" s="258">
        <f t="shared" si="30"/>
        <v>12.557991972095113</v>
      </c>
      <c r="F257" s="258">
        <f t="shared" si="30"/>
        <v>11.630014087143374</v>
      </c>
      <c r="G257" s="166">
        <v>30.19</v>
      </c>
      <c r="H257" s="148">
        <v>136.78675090000002</v>
      </c>
      <c r="I257" s="181">
        <f t="shared" si="21"/>
        <v>136.78675090000002</v>
      </c>
      <c r="J257" s="181">
        <f t="shared" si="22"/>
        <v>54.277889233998124</v>
      </c>
      <c r="K257" s="362">
        <v>24684</v>
      </c>
      <c r="L257" s="231"/>
      <c r="M257" s="157">
        <v>13141.726165600001</v>
      </c>
      <c r="N257" s="181">
        <f t="shared" si="23"/>
        <v>13141.726165600001</v>
      </c>
      <c r="O257" s="246">
        <f t="shared" si="31"/>
        <v>393.33749999999998</v>
      </c>
      <c r="P257" s="246">
        <f t="shared" si="31"/>
        <v>5.6325000000000003</v>
      </c>
      <c r="Q257" s="159">
        <v>4200</v>
      </c>
      <c r="R257" s="159">
        <v>1161</v>
      </c>
      <c r="S257" s="363">
        <f t="shared" si="24"/>
        <v>0</v>
      </c>
      <c r="T257" s="271">
        <v>0.3968066269347883</v>
      </c>
    </row>
    <row r="258" spans="1:20" x14ac:dyDescent="0.2">
      <c r="A258" s="147">
        <v>2022</v>
      </c>
      <c r="B258" s="147">
        <v>5</v>
      </c>
      <c r="C258" s="169"/>
      <c r="D258" s="166">
        <v>11.305110195556971</v>
      </c>
      <c r="E258" s="258">
        <f t="shared" si="30"/>
        <v>12.557991972095113</v>
      </c>
      <c r="F258" s="258">
        <f t="shared" si="30"/>
        <v>11.630014087143374</v>
      </c>
      <c r="G258" s="166">
        <v>30.14</v>
      </c>
      <c r="H258" s="148">
        <v>136.78675090000002</v>
      </c>
      <c r="I258" s="181">
        <f t="shared" si="21"/>
        <v>136.78675090000002</v>
      </c>
      <c r="J258" s="181">
        <f t="shared" si="22"/>
        <v>54.277889233998124</v>
      </c>
      <c r="K258" s="362">
        <v>24682</v>
      </c>
      <c r="L258" s="231"/>
      <c r="M258" s="157">
        <v>13141.726165600001</v>
      </c>
      <c r="N258" s="181">
        <f t="shared" si="23"/>
        <v>13141.726165600001</v>
      </c>
      <c r="O258" s="246">
        <f t="shared" si="31"/>
        <v>170.59</v>
      </c>
      <c r="P258" s="246">
        <f t="shared" si="31"/>
        <v>35.347500000000004</v>
      </c>
      <c r="Q258" s="159">
        <v>4200</v>
      </c>
      <c r="R258" s="159">
        <v>1161</v>
      </c>
      <c r="S258" s="363">
        <f t="shared" si="24"/>
        <v>0</v>
      </c>
      <c r="T258" s="271">
        <v>0.3968066269347883</v>
      </c>
    </row>
    <row r="259" spans="1:20" x14ac:dyDescent="0.2">
      <c r="A259" s="147">
        <v>2022</v>
      </c>
      <c r="B259" s="147">
        <v>6</v>
      </c>
      <c r="C259" s="169"/>
      <c r="D259" s="166">
        <v>11.305110195556971</v>
      </c>
      <c r="E259" s="258">
        <f t="shared" ref="E259:F274" si="32">E247*(1+0.02)</f>
        <v>12.557991972095113</v>
      </c>
      <c r="F259" s="258">
        <f t="shared" si="32"/>
        <v>11.630014087143374</v>
      </c>
      <c r="G259" s="166">
        <v>30.67</v>
      </c>
      <c r="H259" s="148">
        <v>136.78675090000002</v>
      </c>
      <c r="I259" s="181">
        <f t="shared" ref="I259:I322" si="33">H259</f>
        <v>136.78675090000002</v>
      </c>
      <c r="J259" s="181">
        <f t="shared" ref="J259:J322" si="34">H259*T259</f>
        <v>54.277889233998124</v>
      </c>
      <c r="K259" s="362">
        <v>24680</v>
      </c>
      <c r="L259" s="231"/>
      <c r="M259" s="157">
        <v>13141.726165600001</v>
      </c>
      <c r="N259" s="181">
        <f t="shared" ref="N259:N322" si="35">M259</f>
        <v>13141.726165600001</v>
      </c>
      <c r="O259" s="246">
        <f t="shared" si="31"/>
        <v>42.912500000000001</v>
      </c>
      <c r="P259" s="246">
        <f t="shared" si="31"/>
        <v>148.8475</v>
      </c>
      <c r="Q259" s="159">
        <v>4200</v>
      </c>
      <c r="R259" s="159">
        <v>1161</v>
      </c>
      <c r="S259" s="363">
        <f t="shared" ref="S259:S322" si="36">C259/K259*1000</f>
        <v>0</v>
      </c>
      <c r="T259" s="271">
        <v>0.3968066269347883</v>
      </c>
    </row>
    <row r="260" spans="1:20" x14ac:dyDescent="0.2">
      <c r="A260" s="147">
        <v>2022</v>
      </c>
      <c r="B260" s="147">
        <v>7</v>
      </c>
      <c r="C260" s="169"/>
      <c r="D260" s="166">
        <v>11.305110195556971</v>
      </c>
      <c r="E260" s="258">
        <f t="shared" si="32"/>
        <v>12.557991972095113</v>
      </c>
      <c r="F260" s="258">
        <f t="shared" si="32"/>
        <v>11.630014087143374</v>
      </c>
      <c r="G260" s="166">
        <v>30.71</v>
      </c>
      <c r="H260" s="148">
        <v>136.78675090000002</v>
      </c>
      <c r="I260" s="181">
        <f t="shared" si="33"/>
        <v>136.78675090000002</v>
      </c>
      <c r="J260" s="181">
        <f t="shared" si="34"/>
        <v>54.273116761774673</v>
      </c>
      <c r="K260" s="362">
        <v>24678</v>
      </c>
      <c r="L260" s="231"/>
      <c r="M260" s="157">
        <v>13141.726165600001</v>
      </c>
      <c r="N260" s="181">
        <f t="shared" si="35"/>
        <v>13141.726165600001</v>
      </c>
      <c r="O260" s="246">
        <f t="shared" si="31"/>
        <v>1.375</v>
      </c>
      <c r="P260" s="246">
        <f t="shared" si="31"/>
        <v>291.78750000000002</v>
      </c>
      <c r="Q260" s="159">
        <v>4200</v>
      </c>
      <c r="R260" s="159">
        <v>1161</v>
      </c>
      <c r="S260" s="363">
        <f t="shared" si="36"/>
        <v>0</v>
      </c>
      <c r="T260" s="271">
        <v>0.39677173706283764</v>
      </c>
    </row>
    <row r="261" spans="1:20" x14ac:dyDescent="0.2">
      <c r="A261" s="147">
        <v>2022</v>
      </c>
      <c r="B261" s="147">
        <v>8</v>
      </c>
      <c r="C261" s="169"/>
      <c r="D261" s="166">
        <v>11.305110195556971</v>
      </c>
      <c r="E261" s="258">
        <f t="shared" si="32"/>
        <v>12.557991972095113</v>
      </c>
      <c r="F261" s="258">
        <f t="shared" si="32"/>
        <v>11.630014087143374</v>
      </c>
      <c r="G261" s="166">
        <v>29.52</v>
      </c>
      <c r="H261" s="148">
        <v>136.78675090000002</v>
      </c>
      <c r="I261" s="181">
        <f t="shared" si="33"/>
        <v>136.78675090000002</v>
      </c>
      <c r="J261" s="181">
        <f t="shared" si="34"/>
        <v>54.273116761774673</v>
      </c>
      <c r="K261" s="362">
        <v>24676</v>
      </c>
      <c r="L261" s="231"/>
      <c r="M261" s="157">
        <v>13141.726165600001</v>
      </c>
      <c r="N261" s="181">
        <f t="shared" si="35"/>
        <v>13141.726165600001</v>
      </c>
      <c r="O261" s="246">
        <f t="shared" si="31"/>
        <v>0.35</v>
      </c>
      <c r="P261" s="246">
        <f t="shared" si="31"/>
        <v>311.80250000000001</v>
      </c>
      <c r="Q261" s="159">
        <v>4200</v>
      </c>
      <c r="R261" s="159">
        <v>1161</v>
      </c>
      <c r="S261" s="363">
        <f t="shared" si="36"/>
        <v>0</v>
      </c>
      <c r="T261" s="271">
        <v>0.39677173706283764</v>
      </c>
    </row>
    <row r="262" spans="1:20" x14ac:dyDescent="0.2">
      <c r="A262" s="147">
        <v>2022</v>
      </c>
      <c r="B262" s="147">
        <v>9</v>
      </c>
      <c r="C262" s="169"/>
      <c r="D262" s="166">
        <v>11.305110195556971</v>
      </c>
      <c r="E262" s="258">
        <f t="shared" si="32"/>
        <v>12.557991972095113</v>
      </c>
      <c r="F262" s="258">
        <f t="shared" si="32"/>
        <v>11.630014087143374</v>
      </c>
      <c r="G262" s="166">
        <v>30.52</v>
      </c>
      <c r="H262" s="148">
        <v>136.78675090000002</v>
      </c>
      <c r="I262" s="181">
        <f t="shared" si="33"/>
        <v>136.78675090000002</v>
      </c>
      <c r="J262" s="181">
        <f t="shared" si="34"/>
        <v>54.273116761774673</v>
      </c>
      <c r="K262" s="362">
        <v>24674</v>
      </c>
      <c r="L262" s="231"/>
      <c r="M262" s="157">
        <v>13141.726165600001</v>
      </c>
      <c r="N262" s="181">
        <f t="shared" si="35"/>
        <v>13141.726165600001</v>
      </c>
      <c r="O262" s="246">
        <f t="shared" si="31"/>
        <v>8.2974999999999994</v>
      </c>
      <c r="P262" s="246">
        <f t="shared" si="31"/>
        <v>230.68249999999998</v>
      </c>
      <c r="Q262" s="159">
        <v>4200</v>
      </c>
      <c r="R262" s="159">
        <v>1161</v>
      </c>
      <c r="S262" s="363">
        <f t="shared" si="36"/>
        <v>0</v>
      </c>
      <c r="T262" s="271">
        <v>0.39677173706283764</v>
      </c>
    </row>
    <row r="263" spans="1:20" x14ac:dyDescent="0.2">
      <c r="A263" s="147">
        <v>2022</v>
      </c>
      <c r="B263" s="147">
        <v>10</v>
      </c>
      <c r="C263" s="169"/>
      <c r="D263" s="166">
        <v>11.305110195556971</v>
      </c>
      <c r="E263" s="258">
        <f t="shared" si="32"/>
        <v>12.557991972095113</v>
      </c>
      <c r="F263" s="258">
        <f t="shared" si="32"/>
        <v>11.630014087143374</v>
      </c>
      <c r="G263" s="166">
        <v>29.62</v>
      </c>
      <c r="H263" s="148">
        <v>136.78675090000002</v>
      </c>
      <c r="I263" s="181">
        <f t="shared" si="33"/>
        <v>136.78675090000002</v>
      </c>
      <c r="J263" s="181">
        <f t="shared" si="34"/>
        <v>54.270913382670805</v>
      </c>
      <c r="K263" s="362">
        <v>24672</v>
      </c>
      <c r="L263" s="231"/>
      <c r="M263" s="157">
        <v>13141.726165600001</v>
      </c>
      <c r="N263" s="181">
        <f t="shared" si="35"/>
        <v>13141.726165600001</v>
      </c>
      <c r="O263" s="246">
        <f t="shared" si="31"/>
        <v>129.8125</v>
      </c>
      <c r="P263" s="246">
        <f t="shared" si="31"/>
        <v>57.779999999999994</v>
      </c>
      <c r="Q263" s="159">
        <v>4200</v>
      </c>
      <c r="R263" s="159">
        <v>1161</v>
      </c>
      <c r="S263" s="363">
        <f t="shared" si="36"/>
        <v>0</v>
      </c>
      <c r="T263" s="271">
        <v>0.39675562893036592</v>
      </c>
    </row>
    <row r="264" spans="1:20" x14ac:dyDescent="0.2">
      <c r="A264" s="147">
        <v>2022</v>
      </c>
      <c r="B264" s="147">
        <v>11</v>
      </c>
      <c r="C264" s="169"/>
      <c r="D264" s="166">
        <v>11.305110195556971</v>
      </c>
      <c r="E264" s="258">
        <f t="shared" si="32"/>
        <v>12.557991972095113</v>
      </c>
      <c r="F264" s="258">
        <f t="shared" si="32"/>
        <v>11.630014087143374</v>
      </c>
      <c r="G264" s="166">
        <v>29.95</v>
      </c>
      <c r="H264" s="148">
        <v>136.78675090000002</v>
      </c>
      <c r="I264" s="181">
        <f t="shared" si="33"/>
        <v>136.78675090000002</v>
      </c>
      <c r="J264" s="181">
        <f t="shared" si="34"/>
        <v>54.270913382670805</v>
      </c>
      <c r="K264" s="362">
        <v>24670</v>
      </c>
      <c r="L264" s="231"/>
      <c r="M264" s="157">
        <v>13141.726165600001</v>
      </c>
      <c r="N264" s="181">
        <f t="shared" si="35"/>
        <v>13141.726165600001</v>
      </c>
      <c r="O264" s="246">
        <f t="shared" si="31"/>
        <v>387.90500000000003</v>
      </c>
      <c r="P264" s="246">
        <f t="shared" si="31"/>
        <v>3.9299999999999997</v>
      </c>
      <c r="Q264" s="159">
        <v>4200</v>
      </c>
      <c r="R264" s="159">
        <v>1161</v>
      </c>
      <c r="S264" s="363">
        <f t="shared" si="36"/>
        <v>0</v>
      </c>
      <c r="T264" s="271">
        <v>0.39675562893036592</v>
      </c>
    </row>
    <row r="265" spans="1:20" x14ac:dyDescent="0.2">
      <c r="A265" s="147">
        <v>2022</v>
      </c>
      <c r="B265" s="147">
        <v>12</v>
      </c>
      <c r="C265" s="169"/>
      <c r="D265" s="166">
        <v>11.305110195556971</v>
      </c>
      <c r="E265" s="258">
        <f t="shared" si="32"/>
        <v>12.557991972095113</v>
      </c>
      <c r="F265" s="258">
        <f t="shared" si="32"/>
        <v>11.630014087143374</v>
      </c>
      <c r="G265" s="166">
        <v>31.24</v>
      </c>
      <c r="H265" s="148">
        <v>136.78675090000002</v>
      </c>
      <c r="I265" s="181">
        <f t="shared" si="33"/>
        <v>136.78675090000002</v>
      </c>
      <c r="J265" s="181">
        <f t="shared" si="34"/>
        <v>54.270913382670805</v>
      </c>
      <c r="K265" s="362">
        <v>24668</v>
      </c>
      <c r="L265" s="231"/>
      <c r="M265" s="157">
        <v>13141.726165600001</v>
      </c>
      <c r="N265" s="181">
        <f t="shared" si="35"/>
        <v>13141.726165600001</v>
      </c>
      <c r="O265" s="246">
        <f t="shared" si="31"/>
        <v>681.89</v>
      </c>
      <c r="P265" s="246">
        <f t="shared" si="31"/>
        <v>0.1</v>
      </c>
      <c r="Q265" s="159">
        <v>4200</v>
      </c>
      <c r="R265" s="159">
        <v>1161</v>
      </c>
      <c r="S265" s="363">
        <f t="shared" si="36"/>
        <v>0</v>
      </c>
      <c r="T265" s="271">
        <v>0.39675562893036592</v>
      </c>
    </row>
    <row r="266" spans="1:20" x14ac:dyDescent="0.2">
      <c r="A266" s="147">
        <v>2023</v>
      </c>
      <c r="B266" s="147">
        <v>1</v>
      </c>
      <c r="C266" s="169"/>
      <c r="D266" s="166">
        <v>11.587737950445893</v>
      </c>
      <c r="E266" s="258">
        <f t="shared" si="32"/>
        <v>12.809151811537015</v>
      </c>
      <c r="F266" s="258">
        <f t="shared" si="32"/>
        <v>11.862614368886241</v>
      </c>
      <c r="G266" s="166">
        <v>32.67</v>
      </c>
      <c r="H266" s="148">
        <v>136.95361055000001</v>
      </c>
      <c r="I266" s="181">
        <f t="shared" si="33"/>
        <v>136.95361055000001</v>
      </c>
      <c r="J266" s="181">
        <f t="shared" si="34"/>
        <v>54.338173287711165</v>
      </c>
      <c r="K266" s="362">
        <v>24666</v>
      </c>
      <c r="L266" s="231"/>
      <c r="M266" s="157">
        <v>13677.498799199999</v>
      </c>
      <c r="N266" s="181">
        <f t="shared" si="35"/>
        <v>13677.498799199999</v>
      </c>
      <c r="O266" s="246">
        <f t="shared" ref="O266:P281" si="37">O254</f>
        <v>918.70499999999993</v>
      </c>
      <c r="P266" s="246">
        <f t="shared" si="37"/>
        <v>0</v>
      </c>
      <c r="Q266" s="159">
        <v>4200</v>
      </c>
      <c r="R266" s="159">
        <v>1161</v>
      </c>
      <c r="S266" s="363">
        <f t="shared" si="36"/>
        <v>0</v>
      </c>
      <c r="T266" s="271">
        <v>0.39676334979042405</v>
      </c>
    </row>
    <row r="267" spans="1:20" x14ac:dyDescent="0.2">
      <c r="A267" s="147">
        <v>2023</v>
      </c>
      <c r="B267" s="147">
        <v>2</v>
      </c>
      <c r="C267" s="169"/>
      <c r="D267" s="166">
        <v>11.587737950445893</v>
      </c>
      <c r="E267" s="258">
        <f t="shared" si="32"/>
        <v>12.809151811537015</v>
      </c>
      <c r="F267" s="258">
        <f t="shared" si="32"/>
        <v>11.862614368886241</v>
      </c>
      <c r="G267" s="166">
        <v>29.86</v>
      </c>
      <c r="H267" s="148">
        <v>136.95361055000001</v>
      </c>
      <c r="I267" s="181">
        <f t="shared" si="33"/>
        <v>136.95361055000001</v>
      </c>
      <c r="J267" s="181">
        <f t="shared" si="34"/>
        <v>54.338173287711165</v>
      </c>
      <c r="K267" s="362">
        <v>24664</v>
      </c>
      <c r="L267" s="231"/>
      <c r="M267" s="157">
        <v>13677.498799199999</v>
      </c>
      <c r="N267" s="181">
        <f t="shared" si="35"/>
        <v>13677.498799199999</v>
      </c>
      <c r="O267" s="246">
        <f t="shared" si="37"/>
        <v>796.85749999999996</v>
      </c>
      <c r="P267" s="246">
        <f t="shared" si="37"/>
        <v>0</v>
      </c>
      <c r="Q267" s="159">
        <v>4200</v>
      </c>
      <c r="R267" s="159">
        <v>1161</v>
      </c>
      <c r="S267" s="363">
        <f t="shared" si="36"/>
        <v>0</v>
      </c>
      <c r="T267" s="271">
        <v>0.39676334979042405</v>
      </c>
    </row>
    <row r="268" spans="1:20" x14ac:dyDescent="0.2">
      <c r="A268" s="147">
        <v>2023</v>
      </c>
      <c r="B268" s="147">
        <v>3</v>
      </c>
      <c r="C268" s="169"/>
      <c r="D268" s="166">
        <v>11.587737950445893</v>
      </c>
      <c r="E268" s="258">
        <f t="shared" si="32"/>
        <v>12.809151811537015</v>
      </c>
      <c r="F268" s="258">
        <f t="shared" si="32"/>
        <v>11.862614368886241</v>
      </c>
      <c r="G268" s="166">
        <v>30.29</v>
      </c>
      <c r="H268" s="148">
        <v>136.95361055000001</v>
      </c>
      <c r="I268" s="181">
        <f t="shared" si="33"/>
        <v>136.95361055000001</v>
      </c>
      <c r="J268" s="181">
        <f t="shared" si="34"/>
        <v>54.338173287711165</v>
      </c>
      <c r="K268" s="362">
        <v>24662</v>
      </c>
      <c r="L268" s="231"/>
      <c r="M268" s="157">
        <v>13677.498799199999</v>
      </c>
      <c r="N268" s="181">
        <f t="shared" si="35"/>
        <v>13677.498799199999</v>
      </c>
      <c r="O268" s="246">
        <f t="shared" si="37"/>
        <v>645</v>
      </c>
      <c r="P268" s="246">
        <f t="shared" si="37"/>
        <v>0.32500000000000001</v>
      </c>
      <c r="Q268" s="159">
        <v>4200</v>
      </c>
      <c r="R268" s="159">
        <v>1161</v>
      </c>
      <c r="S268" s="363">
        <f t="shared" si="36"/>
        <v>0</v>
      </c>
      <c r="T268" s="271">
        <v>0.39676334979042405</v>
      </c>
    </row>
    <row r="269" spans="1:20" x14ac:dyDescent="0.2">
      <c r="A269" s="147">
        <v>2023</v>
      </c>
      <c r="B269" s="147">
        <v>4</v>
      </c>
      <c r="C269" s="169"/>
      <c r="D269" s="166">
        <v>11.587737950445893</v>
      </c>
      <c r="E269" s="258">
        <f t="shared" si="32"/>
        <v>12.809151811537015</v>
      </c>
      <c r="F269" s="258">
        <f t="shared" si="32"/>
        <v>11.862614368886241</v>
      </c>
      <c r="G269" s="166">
        <v>30.67</v>
      </c>
      <c r="H269" s="148">
        <v>136.95361055000001</v>
      </c>
      <c r="I269" s="181">
        <f t="shared" si="33"/>
        <v>136.95361055000001</v>
      </c>
      <c r="J269" s="181">
        <f t="shared" si="34"/>
        <v>54.341623956091446</v>
      </c>
      <c r="K269" s="362">
        <v>24660</v>
      </c>
      <c r="L269" s="231"/>
      <c r="M269" s="157">
        <v>13677.498799199999</v>
      </c>
      <c r="N269" s="181">
        <f t="shared" si="35"/>
        <v>13677.498799199999</v>
      </c>
      <c r="O269" s="246">
        <f t="shared" si="37"/>
        <v>393.33749999999998</v>
      </c>
      <c r="P269" s="246">
        <f t="shared" si="37"/>
        <v>5.6325000000000003</v>
      </c>
      <c r="Q269" s="159">
        <v>4200</v>
      </c>
      <c r="R269" s="159">
        <v>1161</v>
      </c>
      <c r="S269" s="363">
        <f t="shared" si="36"/>
        <v>0</v>
      </c>
      <c r="T269" s="271">
        <v>0.396788545682423</v>
      </c>
    </row>
    <row r="270" spans="1:20" x14ac:dyDescent="0.2">
      <c r="A270" s="147">
        <v>2023</v>
      </c>
      <c r="B270" s="147">
        <v>5</v>
      </c>
      <c r="C270" s="169"/>
      <c r="D270" s="166">
        <v>11.587737950445893</v>
      </c>
      <c r="E270" s="258">
        <f t="shared" si="32"/>
        <v>12.809151811537015</v>
      </c>
      <c r="F270" s="258">
        <f t="shared" si="32"/>
        <v>11.862614368886241</v>
      </c>
      <c r="G270" s="166">
        <v>29.71</v>
      </c>
      <c r="H270" s="148">
        <v>136.95361055000001</v>
      </c>
      <c r="I270" s="181">
        <f t="shared" si="33"/>
        <v>136.95361055000001</v>
      </c>
      <c r="J270" s="181">
        <f t="shared" si="34"/>
        <v>54.341623956091446</v>
      </c>
      <c r="K270" s="362">
        <v>24658</v>
      </c>
      <c r="L270" s="231"/>
      <c r="M270" s="157">
        <v>13677.498799199999</v>
      </c>
      <c r="N270" s="181">
        <f t="shared" si="35"/>
        <v>13677.498799199999</v>
      </c>
      <c r="O270" s="246">
        <f t="shared" si="37"/>
        <v>170.59</v>
      </c>
      <c r="P270" s="246">
        <f t="shared" si="37"/>
        <v>35.347500000000004</v>
      </c>
      <c r="Q270" s="159">
        <v>4200</v>
      </c>
      <c r="R270" s="159">
        <v>1161</v>
      </c>
      <c r="S270" s="363">
        <f t="shared" si="36"/>
        <v>0</v>
      </c>
      <c r="T270" s="271">
        <v>0.396788545682423</v>
      </c>
    </row>
    <row r="271" spans="1:20" x14ac:dyDescent="0.2">
      <c r="A271" s="147">
        <v>2023</v>
      </c>
      <c r="B271" s="147">
        <v>6</v>
      </c>
      <c r="C271" s="169"/>
      <c r="D271" s="166">
        <v>11.587737950445893</v>
      </c>
      <c r="E271" s="258">
        <f t="shared" si="32"/>
        <v>12.809151811537015</v>
      </c>
      <c r="F271" s="258">
        <f t="shared" si="32"/>
        <v>11.862614368886241</v>
      </c>
      <c r="G271" s="166">
        <v>30.62</v>
      </c>
      <c r="H271" s="148">
        <v>136.95361055000001</v>
      </c>
      <c r="I271" s="181">
        <f t="shared" si="33"/>
        <v>136.95361055000001</v>
      </c>
      <c r="J271" s="181">
        <f t="shared" si="34"/>
        <v>54.341623956091446</v>
      </c>
      <c r="K271" s="362">
        <v>24656</v>
      </c>
      <c r="L271" s="231"/>
      <c r="M271" s="157">
        <v>13677.498799199999</v>
      </c>
      <c r="N271" s="181">
        <f t="shared" si="35"/>
        <v>13677.498799199999</v>
      </c>
      <c r="O271" s="246">
        <f t="shared" si="37"/>
        <v>42.912500000000001</v>
      </c>
      <c r="P271" s="246">
        <f t="shared" si="37"/>
        <v>148.8475</v>
      </c>
      <c r="Q271" s="159">
        <v>4200</v>
      </c>
      <c r="R271" s="159">
        <v>1161</v>
      </c>
      <c r="S271" s="363">
        <f t="shared" si="36"/>
        <v>0</v>
      </c>
      <c r="T271" s="271">
        <v>0.396788545682423</v>
      </c>
    </row>
    <row r="272" spans="1:20" x14ac:dyDescent="0.2">
      <c r="A272" s="147">
        <v>2023</v>
      </c>
      <c r="B272" s="147">
        <v>7</v>
      </c>
      <c r="C272" s="169"/>
      <c r="D272" s="166">
        <v>11.587737950445893</v>
      </c>
      <c r="E272" s="258">
        <f t="shared" si="32"/>
        <v>12.809151811537015</v>
      </c>
      <c r="F272" s="258">
        <f t="shared" si="32"/>
        <v>11.862614368886241</v>
      </c>
      <c r="G272" s="166">
        <v>30.81</v>
      </c>
      <c r="H272" s="148">
        <v>136.95361055000001</v>
      </c>
      <c r="I272" s="181">
        <f t="shared" si="33"/>
        <v>136.95361055000001</v>
      </c>
      <c r="J272" s="181">
        <f t="shared" si="34"/>
        <v>54.344144614405423</v>
      </c>
      <c r="K272" s="362">
        <v>24654</v>
      </c>
      <c r="L272" s="231"/>
      <c r="M272" s="157">
        <v>13677.498799199999</v>
      </c>
      <c r="N272" s="181">
        <f t="shared" si="35"/>
        <v>13677.498799199999</v>
      </c>
      <c r="O272" s="246">
        <f t="shared" si="37"/>
        <v>1.375</v>
      </c>
      <c r="P272" s="246">
        <f t="shared" si="37"/>
        <v>291.78750000000002</v>
      </c>
      <c r="Q272" s="159">
        <v>4200</v>
      </c>
      <c r="R272" s="159">
        <v>1161</v>
      </c>
      <c r="S272" s="363">
        <f t="shared" si="36"/>
        <v>0</v>
      </c>
      <c r="T272" s="271">
        <v>0.39680695088038642</v>
      </c>
    </row>
    <row r="273" spans="1:20" x14ac:dyDescent="0.2">
      <c r="A273" s="147">
        <v>2023</v>
      </c>
      <c r="B273" s="147">
        <v>8</v>
      </c>
      <c r="C273" s="169"/>
      <c r="D273" s="166">
        <v>11.587737950445893</v>
      </c>
      <c r="E273" s="258">
        <f t="shared" si="32"/>
        <v>12.809151811537015</v>
      </c>
      <c r="F273" s="258">
        <f t="shared" si="32"/>
        <v>11.862614368886241</v>
      </c>
      <c r="G273" s="166">
        <v>29.43</v>
      </c>
      <c r="H273" s="148">
        <v>136.95361055000001</v>
      </c>
      <c r="I273" s="181">
        <f t="shared" si="33"/>
        <v>136.95361055000001</v>
      </c>
      <c r="J273" s="181">
        <f t="shared" si="34"/>
        <v>54.344144614405423</v>
      </c>
      <c r="K273" s="362">
        <v>24652</v>
      </c>
      <c r="L273" s="231"/>
      <c r="M273" s="157">
        <v>13677.498799199999</v>
      </c>
      <c r="N273" s="181">
        <f t="shared" si="35"/>
        <v>13677.498799199999</v>
      </c>
      <c r="O273" s="246">
        <f t="shared" si="37"/>
        <v>0.35</v>
      </c>
      <c r="P273" s="246">
        <f t="shared" si="37"/>
        <v>311.80250000000001</v>
      </c>
      <c r="Q273" s="159">
        <v>4200</v>
      </c>
      <c r="R273" s="159">
        <v>1161</v>
      </c>
      <c r="S273" s="363">
        <f t="shared" si="36"/>
        <v>0</v>
      </c>
      <c r="T273" s="271">
        <v>0.39680695088038642</v>
      </c>
    </row>
    <row r="274" spans="1:20" x14ac:dyDescent="0.2">
      <c r="A274" s="147">
        <v>2023</v>
      </c>
      <c r="B274" s="147">
        <v>9</v>
      </c>
      <c r="C274" s="169"/>
      <c r="D274" s="166">
        <v>11.587737950445893</v>
      </c>
      <c r="E274" s="258">
        <f t="shared" si="32"/>
        <v>12.809151811537015</v>
      </c>
      <c r="F274" s="258">
        <f t="shared" si="32"/>
        <v>11.862614368886241</v>
      </c>
      <c r="G274" s="166">
        <v>30.57</v>
      </c>
      <c r="H274" s="148">
        <v>136.95361055000001</v>
      </c>
      <c r="I274" s="181">
        <f t="shared" si="33"/>
        <v>136.95361055000001</v>
      </c>
      <c r="J274" s="181">
        <f t="shared" si="34"/>
        <v>54.344144614405423</v>
      </c>
      <c r="K274" s="362">
        <v>24650</v>
      </c>
      <c r="L274" s="231"/>
      <c r="M274" s="157">
        <v>13677.498799199999</v>
      </c>
      <c r="N274" s="181">
        <f t="shared" si="35"/>
        <v>13677.498799199999</v>
      </c>
      <c r="O274" s="246">
        <f t="shared" si="37"/>
        <v>8.2974999999999994</v>
      </c>
      <c r="P274" s="246">
        <f t="shared" si="37"/>
        <v>230.68249999999998</v>
      </c>
      <c r="Q274" s="159">
        <v>4200</v>
      </c>
      <c r="R274" s="159">
        <v>1161</v>
      </c>
      <c r="S274" s="363">
        <f t="shared" si="36"/>
        <v>0</v>
      </c>
      <c r="T274" s="271">
        <v>0.39680695088038642</v>
      </c>
    </row>
    <row r="275" spans="1:20" x14ac:dyDescent="0.2">
      <c r="A275" s="147">
        <v>2023</v>
      </c>
      <c r="B275" s="147">
        <v>10</v>
      </c>
      <c r="C275" s="169"/>
      <c r="D275" s="166">
        <v>11.587737950445893</v>
      </c>
      <c r="E275" s="258">
        <f t="shared" ref="E275:F290" si="38">E263*(1+0.02)</f>
        <v>12.809151811537015</v>
      </c>
      <c r="F275" s="258">
        <f t="shared" si="38"/>
        <v>11.862614368886241</v>
      </c>
      <c r="G275" s="166">
        <v>29.67</v>
      </c>
      <c r="H275" s="148">
        <v>136.95361055000001</v>
      </c>
      <c r="I275" s="181">
        <f t="shared" si="33"/>
        <v>136.95361055000001</v>
      </c>
      <c r="J275" s="181">
        <f t="shared" si="34"/>
        <v>54.39898502599479</v>
      </c>
      <c r="K275" s="362">
        <v>24648</v>
      </c>
      <c r="L275" s="231"/>
      <c r="M275" s="157">
        <v>13677.498799199999</v>
      </c>
      <c r="N275" s="181">
        <f t="shared" si="35"/>
        <v>13677.498799199999</v>
      </c>
      <c r="O275" s="246">
        <f t="shared" si="37"/>
        <v>129.8125</v>
      </c>
      <c r="P275" s="246">
        <f t="shared" si="37"/>
        <v>57.779999999999994</v>
      </c>
      <c r="Q275" s="159">
        <v>4200</v>
      </c>
      <c r="R275" s="159">
        <v>1161</v>
      </c>
      <c r="S275" s="363">
        <f t="shared" si="36"/>
        <v>0</v>
      </c>
      <c r="T275" s="271">
        <v>0.397207381444934</v>
      </c>
    </row>
    <row r="276" spans="1:20" x14ac:dyDescent="0.2">
      <c r="A276" s="147">
        <v>2023</v>
      </c>
      <c r="B276" s="147">
        <v>11</v>
      </c>
      <c r="C276" s="169"/>
      <c r="D276" s="166">
        <v>11.587737950445893</v>
      </c>
      <c r="E276" s="258">
        <f t="shared" si="38"/>
        <v>12.809151811537015</v>
      </c>
      <c r="F276" s="258">
        <f t="shared" si="38"/>
        <v>11.862614368886241</v>
      </c>
      <c r="G276" s="166">
        <v>30.05</v>
      </c>
      <c r="H276" s="148">
        <v>136.95361055000001</v>
      </c>
      <c r="I276" s="181">
        <f t="shared" si="33"/>
        <v>136.95361055000001</v>
      </c>
      <c r="J276" s="181">
        <f t="shared" si="34"/>
        <v>54.39898502599479</v>
      </c>
      <c r="K276" s="362">
        <v>24646</v>
      </c>
      <c r="L276" s="231"/>
      <c r="M276" s="157">
        <v>13677.498799199999</v>
      </c>
      <c r="N276" s="181">
        <f t="shared" si="35"/>
        <v>13677.498799199999</v>
      </c>
      <c r="O276" s="246">
        <f t="shared" si="37"/>
        <v>387.90500000000003</v>
      </c>
      <c r="P276" s="246">
        <f t="shared" si="37"/>
        <v>3.9299999999999997</v>
      </c>
      <c r="Q276" s="159">
        <v>4200</v>
      </c>
      <c r="R276" s="159">
        <v>1161</v>
      </c>
      <c r="S276" s="363">
        <f t="shared" si="36"/>
        <v>0</v>
      </c>
      <c r="T276" s="271">
        <v>0.397207381444934</v>
      </c>
    </row>
    <row r="277" spans="1:20" x14ac:dyDescent="0.2">
      <c r="A277" s="147">
        <v>2023</v>
      </c>
      <c r="B277" s="147">
        <v>12</v>
      </c>
      <c r="C277" s="169"/>
      <c r="D277" s="166">
        <v>11.587737950445893</v>
      </c>
      <c r="E277" s="258">
        <f t="shared" si="38"/>
        <v>12.809151811537015</v>
      </c>
      <c r="F277" s="258">
        <f t="shared" si="38"/>
        <v>11.862614368886241</v>
      </c>
      <c r="G277" s="166">
        <v>30.67</v>
      </c>
      <c r="H277" s="148">
        <v>136.95361055000001</v>
      </c>
      <c r="I277" s="181">
        <f t="shared" si="33"/>
        <v>136.95361055000001</v>
      </c>
      <c r="J277" s="181">
        <f t="shared" si="34"/>
        <v>54.39898502599479</v>
      </c>
      <c r="K277" s="362">
        <v>24644</v>
      </c>
      <c r="L277" s="231"/>
      <c r="M277" s="157">
        <v>13677.498799199999</v>
      </c>
      <c r="N277" s="181">
        <f t="shared" si="35"/>
        <v>13677.498799199999</v>
      </c>
      <c r="O277" s="246">
        <f t="shared" si="37"/>
        <v>681.89</v>
      </c>
      <c r="P277" s="246">
        <f t="shared" si="37"/>
        <v>0.1</v>
      </c>
      <c r="Q277" s="159">
        <v>4200</v>
      </c>
      <c r="R277" s="159">
        <v>1161</v>
      </c>
      <c r="S277" s="363">
        <f t="shared" si="36"/>
        <v>0</v>
      </c>
      <c r="T277" s="271">
        <v>0.397207381444934</v>
      </c>
    </row>
    <row r="278" spans="1:20" x14ac:dyDescent="0.2">
      <c r="A278" s="147">
        <v>2024</v>
      </c>
      <c r="B278" s="147">
        <v>1</v>
      </c>
      <c r="C278" s="169"/>
      <c r="D278" s="166">
        <v>11.87743139920704</v>
      </c>
      <c r="E278" s="258">
        <f t="shared" si="38"/>
        <v>13.065334847767756</v>
      </c>
      <c r="F278" s="258">
        <f t="shared" si="38"/>
        <v>12.099866656263966</v>
      </c>
      <c r="G278" s="166">
        <v>32.67</v>
      </c>
      <c r="H278" s="148">
        <v>137.09744203</v>
      </c>
      <c r="I278" s="181">
        <f t="shared" si="33"/>
        <v>137.09744203</v>
      </c>
      <c r="J278" s="181">
        <f t="shared" si="34"/>
        <v>54.435168447260175</v>
      </c>
      <c r="K278" s="362">
        <v>24642</v>
      </c>
      <c r="L278" s="231"/>
      <c r="M278" s="157">
        <v>14248.928282999999</v>
      </c>
      <c r="N278" s="181">
        <f t="shared" si="35"/>
        <v>14248.928282999999</v>
      </c>
      <c r="O278" s="246">
        <f t="shared" si="37"/>
        <v>918.70499999999993</v>
      </c>
      <c r="P278" s="246">
        <f t="shared" si="37"/>
        <v>0</v>
      </c>
      <c r="Q278" s="159">
        <v>4200</v>
      </c>
      <c r="R278" s="159">
        <v>1161</v>
      </c>
      <c r="S278" s="363">
        <f t="shared" si="36"/>
        <v>0</v>
      </c>
      <c r="T278" s="271">
        <v>0.39705458862863785</v>
      </c>
    </row>
    <row r="279" spans="1:20" x14ac:dyDescent="0.2">
      <c r="A279" s="147">
        <v>2024</v>
      </c>
      <c r="B279" s="147">
        <v>2</v>
      </c>
      <c r="C279" s="169"/>
      <c r="D279" s="166">
        <v>11.87743139920704</v>
      </c>
      <c r="E279" s="258">
        <f t="shared" si="38"/>
        <v>13.065334847767756</v>
      </c>
      <c r="F279" s="258">
        <f t="shared" si="38"/>
        <v>12.099866656263966</v>
      </c>
      <c r="G279" s="166">
        <v>29.86</v>
      </c>
      <c r="H279" s="148">
        <v>137.09744203</v>
      </c>
      <c r="I279" s="181">
        <f t="shared" si="33"/>
        <v>137.09744203</v>
      </c>
      <c r="J279" s="181">
        <f t="shared" si="34"/>
        <v>54.435168447260175</v>
      </c>
      <c r="K279" s="362">
        <v>24640</v>
      </c>
      <c r="L279" s="231"/>
      <c r="M279" s="157">
        <v>14248.928282999999</v>
      </c>
      <c r="N279" s="181">
        <f t="shared" si="35"/>
        <v>14248.928282999999</v>
      </c>
      <c r="O279" s="246">
        <f t="shared" si="37"/>
        <v>796.85749999999996</v>
      </c>
      <c r="P279" s="246">
        <f t="shared" si="37"/>
        <v>0</v>
      </c>
      <c r="Q279" s="159">
        <v>4200</v>
      </c>
      <c r="R279" s="159">
        <v>1161</v>
      </c>
      <c r="S279" s="363">
        <f t="shared" si="36"/>
        <v>0</v>
      </c>
      <c r="T279" s="271">
        <v>0.39705458862863785</v>
      </c>
    </row>
    <row r="280" spans="1:20" x14ac:dyDescent="0.2">
      <c r="A280" s="147">
        <v>2024</v>
      </c>
      <c r="B280" s="147">
        <v>3</v>
      </c>
      <c r="C280" s="169"/>
      <c r="D280" s="166">
        <v>11.87743139920704</v>
      </c>
      <c r="E280" s="258">
        <f t="shared" si="38"/>
        <v>13.065334847767756</v>
      </c>
      <c r="F280" s="258">
        <f t="shared" si="38"/>
        <v>12.099866656263966</v>
      </c>
      <c r="G280" s="166">
        <v>30.43</v>
      </c>
      <c r="H280" s="148">
        <v>137.09744203</v>
      </c>
      <c r="I280" s="181">
        <f t="shared" si="33"/>
        <v>137.09744203</v>
      </c>
      <c r="J280" s="181">
        <f t="shared" si="34"/>
        <v>54.435168447260175</v>
      </c>
      <c r="K280" s="362">
        <v>24638</v>
      </c>
      <c r="L280" s="231"/>
      <c r="M280" s="157">
        <v>14248.928282999999</v>
      </c>
      <c r="N280" s="181">
        <f t="shared" si="35"/>
        <v>14248.928282999999</v>
      </c>
      <c r="O280" s="246">
        <f t="shared" si="37"/>
        <v>645</v>
      </c>
      <c r="P280" s="246">
        <f t="shared" si="37"/>
        <v>0.32500000000000001</v>
      </c>
      <c r="Q280" s="159">
        <v>4200</v>
      </c>
      <c r="R280" s="159">
        <v>1161</v>
      </c>
      <c r="S280" s="363">
        <f t="shared" si="36"/>
        <v>0</v>
      </c>
      <c r="T280" s="271">
        <v>0.39705458862863785</v>
      </c>
    </row>
    <row r="281" spans="1:20" x14ac:dyDescent="0.2">
      <c r="A281" s="147">
        <v>2024</v>
      </c>
      <c r="B281" s="147">
        <v>4</v>
      </c>
      <c r="C281" s="169"/>
      <c r="D281" s="166">
        <v>11.87743139920704</v>
      </c>
      <c r="E281" s="258">
        <f t="shared" si="38"/>
        <v>13.065334847767756</v>
      </c>
      <c r="F281" s="258">
        <f t="shared" si="38"/>
        <v>12.099866656263966</v>
      </c>
      <c r="G281" s="166">
        <v>30.71</v>
      </c>
      <c r="H281" s="148">
        <v>137.09744203</v>
      </c>
      <c r="I281" s="181">
        <f t="shared" si="33"/>
        <v>137.09744203</v>
      </c>
      <c r="J281" s="181">
        <f t="shared" si="34"/>
        <v>54.419265902589082</v>
      </c>
      <c r="K281" s="362">
        <v>24636</v>
      </c>
      <c r="L281" s="231"/>
      <c r="M281" s="157">
        <v>14248.928282999999</v>
      </c>
      <c r="N281" s="181">
        <f t="shared" si="35"/>
        <v>14248.928282999999</v>
      </c>
      <c r="O281" s="246">
        <f t="shared" si="37"/>
        <v>393.33749999999998</v>
      </c>
      <c r="P281" s="246">
        <f t="shared" si="37"/>
        <v>5.6325000000000003</v>
      </c>
      <c r="Q281" s="159">
        <v>4200</v>
      </c>
      <c r="R281" s="159">
        <v>1161</v>
      </c>
      <c r="S281" s="363">
        <f t="shared" si="36"/>
        <v>0</v>
      </c>
      <c r="T281" s="271">
        <v>0.39693859416196053</v>
      </c>
    </row>
    <row r="282" spans="1:20" x14ac:dyDescent="0.2">
      <c r="A282" s="147">
        <v>2024</v>
      </c>
      <c r="B282" s="147">
        <v>5</v>
      </c>
      <c r="C282" s="169"/>
      <c r="D282" s="166">
        <v>11.87743139920704</v>
      </c>
      <c r="E282" s="258">
        <f t="shared" si="38"/>
        <v>13.065334847767756</v>
      </c>
      <c r="F282" s="258">
        <f t="shared" si="38"/>
        <v>12.099866656263966</v>
      </c>
      <c r="G282" s="166">
        <v>29.52</v>
      </c>
      <c r="H282" s="148">
        <v>137.09744203</v>
      </c>
      <c r="I282" s="181">
        <f t="shared" si="33"/>
        <v>137.09744203</v>
      </c>
      <c r="J282" s="181">
        <f t="shared" si="34"/>
        <v>54.419265902589082</v>
      </c>
      <c r="K282" s="362">
        <v>24634</v>
      </c>
      <c r="L282" s="231"/>
      <c r="M282" s="157">
        <v>14248.928282999999</v>
      </c>
      <c r="N282" s="181">
        <f t="shared" si="35"/>
        <v>14248.928282999999</v>
      </c>
      <c r="O282" s="246">
        <f t="shared" ref="O282:P297" si="39">O270</f>
        <v>170.59</v>
      </c>
      <c r="P282" s="246">
        <f t="shared" si="39"/>
        <v>35.347500000000004</v>
      </c>
      <c r="Q282" s="159">
        <v>4200</v>
      </c>
      <c r="R282" s="159">
        <v>1161</v>
      </c>
      <c r="S282" s="363">
        <f t="shared" si="36"/>
        <v>0</v>
      </c>
      <c r="T282" s="271">
        <v>0.39693859416196053</v>
      </c>
    </row>
    <row r="283" spans="1:20" x14ac:dyDescent="0.2">
      <c r="A283" s="147">
        <v>2024</v>
      </c>
      <c r="B283" s="147">
        <v>6</v>
      </c>
      <c r="C283" s="169"/>
      <c r="D283" s="166">
        <v>11.87743139920704</v>
      </c>
      <c r="E283" s="258">
        <f t="shared" si="38"/>
        <v>13.065334847767756</v>
      </c>
      <c r="F283" s="258">
        <f t="shared" si="38"/>
        <v>12.099866656263966</v>
      </c>
      <c r="G283" s="166">
        <v>30.62</v>
      </c>
      <c r="H283" s="148">
        <v>137.09744203</v>
      </c>
      <c r="I283" s="181">
        <f t="shared" si="33"/>
        <v>137.09744203</v>
      </c>
      <c r="J283" s="181">
        <f t="shared" si="34"/>
        <v>54.419265902589082</v>
      </c>
      <c r="K283" s="362">
        <v>24632</v>
      </c>
      <c r="L283" s="231"/>
      <c r="M283" s="157">
        <v>14248.928282999999</v>
      </c>
      <c r="N283" s="181">
        <f t="shared" si="35"/>
        <v>14248.928282999999</v>
      </c>
      <c r="O283" s="246">
        <f t="shared" si="39"/>
        <v>42.912500000000001</v>
      </c>
      <c r="P283" s="246">
        <f t="shared" si="39"/>
        <v>148.8475</v>
      </c>
      <c r="Q283" s="159">
        <v>4200</v>
      </c>
      <c r="R283" s="159">
        <v>1161</v>
      </c>
      <c r="S283" s="363">
        <f t="shared" si="36"/>
        <v>0</v>
      </c>
      <c r="T283" s="271">
        <v>0.39693859416196053</v>
      </c>
    </row>
    <row r="284" spans="1:20" x14ac:dyDescent="0.2">
      <c r="A284" s="147">
        <v>2024</v>
      </c>
      <c r="B284" s="147">
        <v>7</v>
      </c>
      <c r="C284" s="169"/>
      <c r="D284" s="166">
        <v>11.87743139920704</v>
      </c>
      <c r="E284" s="258">
        <f t="shared" si="38"/>
        <v>13.065334847767756</v>
      </c>
      <c r="F284" s="258">
        <f t="shared" si="38"/>
        <v>12.099866656263966</v>
      </c>
      <c r="G284" s="166">
        <v>30.71</v>
      </c>
      <c r="H284" s="148">
        <v>137.09744203</v>
      </c>
      <c r="I284" s="181">
        <f t="shared" si="33"/>
        <v>137.09744203</v>
      </c>
      <c r="J284" s="181">
        <f t="shared" si="34"/>
        <v>54.401759540991371</v>
      </c>
      <c r="K284" s="362">
        <v>24630</v>
      </c>
      <c r="L284" s="231"/>
      <c r="M284" s="157">
        <v>14248.928282999999</v>
      </c>
      <c r="N284" s="181">
        <f t="shared" si="35"/>
        <v>14248.928282999999</v>
      </c>
      <c r="O284" s="246">
        <f t="shared" si="39"/>
        <v>1.375</v>
      </c>
      <c r="P284" s="246">
        <f t="shared" si="39"/>
        <v>291.78750000000002</v>
      </c>
      <c r="Q284" s="159">
        <v>4200</v>
      </c>
      <c r="R284" s="159">
        <v>1161</v>
      </c>
      <c r="S284" s="363">
        <f t="shared" si="36"/>
        <v>0</v>
      </c>
      <c r="T284" s="271">
        <v>0.39681090132292218</v>
      </c>
    </row>
    <row r="285" spans="1:20" x14ac:dyDescent="0.2">
      <c r="A285" s="147">
        <v>2024</v>
      </c>
      <c r="B285" s="147">
        <v>8</v>
      </c>
      <c r="C285" s="169"/>
      <c r="D285" s="166">
        <v>11.87743139920704</v>
      </c>
      <c r="E285" s="258">
        <f t="shared" si="38"/>
        <v>13.065334847767756</v>
      </c>
      <c r="F285" s="258">
        <f t="shared" si="38"/>
        <v>12.099866656263966</v>
      </c>
      <c r="G285" s="166">
        <v>29.52</v>
      </c>
      <c r="H285" s="148">
        <v>137.09744203</v>
      </c>
      <c r="I285" s="181">
        <f t="shared" si="33"/>
        <v>137.09744203</v>
      </c>
      <c r="J285" s="181">
        <f t="shared" si="34"/>
        <v>54.401759540991371</v>
      </c>
      <c r="K285" s="362">
        <v>24628</v>
      </c>
      <c r="L285" s="231"/>
      <c r="M285" s="157">
        <v>14248.928282999999</v>
      </c>
      <c r="N285" s="181">
        <f t="shared" si="35"/>
        <v>14248.928282999999</v>
      </c>
      <c r="O285" s="246">
        <f t="shared" si="39"/>
        <v>0.35</v>
      </c>
      <c r="P285" s="246">
        <f t="shared" si="39"/>
        <v>311.80250000000001</v>
      </c>
      <c r="Q285" s="159">
        <v>4200</v>
      </c>
      <c r="R285" s="159">
        <v>1161</v>
      </c>
      <c r="S285" s="363">
        <f t="shared" si="36"/>
        <v>0</v>
      </c>
      <c r="T285" s="271">
        <v>0.39681090132292218</v>
      </c>
    </row>
    <row r="286" spans="1:20" x14ac:dyDescent="0.2">
      <c r="A286" s="147">
        <v>2024</v>
      </c>
      <c r="B286" s="147">
        <v>9</v>
      </c>
      <c r="C286" s="169"/>
      <c r="D286" s="166">
        <v>11.87743139920704</v>
      </c>
      <c r="E286" s="258">
        <f t="shared" si="38"/>
        <v>13.065334847767756</v>
      </c>
      <c r="F286" s="258">
        <f t="shared" si="38"/>
        <v>12.099866656263966</v>
      </c>
      <c r="G286" s="166">
        <v>30.57</v>
      </c>
      <c r="H286" s="148">
        <v>137.09744203</v>
      </c>
      <c r="I286" s="181">
        <f t="shared" si="33"/>
        <v>137.09744203</v>
      </c>
      <c r="J286" s="181">
        <f t="shared" si="34"/>
        <v>54.401759540991371</v>
      </c>
      <c r="K286" s="362">
        <v>24626</v>
      </c>
      <c r="L286" s="231"/>
      <c r="M286" s="157">
        <v>14248.928282999999</v>
      </c>
      <c r="N286" s="181">
        <f t="shared" si="35"/>
        <v>14248.928282999999</v>
      </c>
      <c r="O286" s="246">
        <f t="shared" si="39"/>
        <v>8.2974999999999994</v>
      </c>
      <c r="P286" s="246">
        <f t="shared" si="39"/>
        <v>230.68249999999998</v>
      </c>
      <c r="Q286" s="159">
        <v>4200</v>
      </c>
      <c r="R286" s="159">
        <v>1161</v>
      </c>
      <c r="S286" s="363">
        <f t="shared" si="36"/>
        <v>0</v>
      </c>
      <c r="T286" s="271">
        <v>0.39681090132292218</v>
      </c>
    </row>
    <row r="287" spans="1:20" x14ac:dyDescent="0.2">
      <c r="A287" s="147">
        <v>2024</v>
      </c>
      <c r="B287" s="147">
        <v>10</v>
      </c>
      <c r="C287" s="169"/>
      <c r="D287" s="166">
        <v>11.87743139920704</v>
      </c>
      <c r="E287" s="258">
        <f t="shared" si="38"/>
        <v>13.065334847767756</v>
      </c>
      <c r="F287" s="258">
        <f t="shared" si="38"/>
        <v>12.099866656263966</v>
      </c>
      <c r="G287" s="166">
        <v>29.67</v>
      </c>
      <c r="H287" s="148">
        <v>137.09744203</v>
      </c>
      <c r="I287" s="181">
        <f t="shared" si="33"/>
        <v>137.09744203</v>
      </c>
      <c r="J287" s="181">
        <f t="shared" si="34"/>
        <v>54.383892356421512</v>
      </c>
      <c r="K287" s="362">
        <v>24624</v>
      </c>
      <c r="L287" s="231"/>
      <c r="M287" s="157">
        <v>14248.928282999999</v>
      </c>
      <c r="N287" s="181">
        <f t="shared" si="35"/>
        <v>14248.928282999999</v>
      </c>
      <c r="O287" s="246">
        <f t="shared" si="39"/>
        <v>129.8125</v>
      </c>
      <c r="P287" s="246">
        <f t="shared" si="39"/>
        <v>57.779999999999994</v>
      </c>
      <c r="Q287" s="159">
        <v>4200</v>
      </c>
      <c r="R287" s="159">
        <v>1161</v>
      </c>
      <c r="S287" s="363">
        <f t="shared" si="36"/>
        <v>0</v>
      </c>
      <c r="T287" s="271">
        <v>0.39668057661149575</v>
      </c>
    </row>
    <row r="288" spans="1:20" x14ac:dyDescent="0.2">
      <c r="A288" s="147">
        <v>2024</v>
      </c>
      <c r="B288" s="147">
        <v>11</v>
      </c>
      <c r="C288" s="169"/>
      <c r="D288" s="166">
        <v>11.87743139920704</v>
      </c>
      <c r="E288" s="258">
        <f t="shared" si="38"/>
        <v>13.065334847767756</v>
      </c>
      <c r="F288" s="258">
        <f t="shared" si="38"/>
        <v>12.099866656263966</v>
      </c>
      <c r="G288" s="166">
        <v>29.38</v>
      </c>
      <c r="H288" s="148">
        <v>137.09744203</v>
      </c>
      <c r="I288" s="181">
        <f t="shared" si="33"/>
        <v>137.09744203</v>
      </c>
      <c r="J288" s="181">
        <f t="shared" si="34"/>
        <v>54.383892356421512</v>
      </c>
      <c r="K288" s="362">
        <v>24622</v>
      </c>
      <c r="L288" s="231"/>
      <c r="M288" s="157">
        <v>14248.928282999999</v>
      </c>
      <c r="N288" s="181">
        <f t="shared" si="35"/>
        <v>14248.928282999999</v>
      </c>
      <c r="O288" s="246">
        <f t="shared" si="39"/>
        <v>387.90500000000003</v>
      </c>
      <c r="P288" s="246">
        <f t="shared" si="39"/>
        <v>3.9299999999999997</v>
      </c>
      <c r="Q288" s="159">
        <v>4200</v>
      </c>
      <c r="R288" s="159">
        <v>1161</v>
      </c>
      <c r="S288" s="363">
        <f t="shared" si="36"/>
        <v>0</v>
      </c>
      <c r="T288" s="271">
        <v>0.39668057661149575</v>
      </c>
    </row>
    <row r="289" spans="1:20" x14ac:dyDescent="0.2">
      <c r="A289" s="147">
        <v>2024</v>
      </c>
      <c r="B289" s="147">
        <v>12</v>
      </c>
      <c r="C289" s="169"/>
      <c r="D289" s="166">
        <v>11.87743139920704</v>
      </c>
      <c r="E289" s="258">
        <f t="shared" si="38"/>
        <v>13.065334847767756</v>
      </c>
      <c r="F289" s="258">
        <f t="shared" si="38"/>
        <v>12.099866656263966</v>
      </c>
      <c r="G289" s="166">
        <v>32.43</v>
      </c>
      <c r="H289" s="148">
        <v>137.09744203</v>
      </c>
      <c r="I289" s="181">
        <f t="shared" si="33"/>
        <v>137.09744203</v>
      </c>
      <c r="J289" s="181">
        <f t="shared" si="34"/>
        <v>54.383892356421512</v>
      </c>
      <c r="K289" s="362">
        <v>24620</v>
      </c>
      <c r="L289" s="231"/>
      <c r="M289" s="157">
        <v>14248.928282999999</v>
      </c>
      <c r="N289" s="181">
        <f t="shared" si="35"/>
        <v>14248.928282999999</v>
      </c>
      <c r="O289" s="246">
        <f t="shared" si="39"/>
        <v>681.89</v>
      </c>
      <c r="P289" s="246">
        <f t="shared" si="39"/>
        <v>0.1</v>
      </c>
      <c r="Q289" s="159">
        <v>4200</v>
      </c>
      <c r="R289" s="159">
        <v>1161</v>
      </c>
      <c r="S289" s="363">
        <f t="shared" si="36"/>
        <v>0</v>
      </c>
      <c r="T289" s="271">
        <v>0.39668057661149575</v>
      </c>
    </row>
    <row r="290" spans="1:20" x14ac:dyDescent="0.2">
      <c r="A290" s="147">
        <v>2025</v>
      </c>
      <c r="B290" s="147">
        <v>1</v>
      </c>
      <c r="C290" s="169"/>
      <c r="D290" s="166">
        <v>12.174367184187215</v>
      </c>
      <c r="E290" s="258">
        <f t="shared" si="38"/>
        <v>13.326641544723111</v>
      </c>
      <c r="F290" s="258">
        <f t="shared" si="38"/>
        <v>12.341863989389246</v>
      </c>
      <c r="G290" s="166">
        <v>32.33</v>
      </c>
      <c r="H290" s="148">
        <v>137.24240601</v>
      </c>
      <c r="I290" s="181">
        <f t="shared" si="33"/>
        <v>137.24240601</v>
      </c>
      <c r="J290" s="181">
        <f t="shared" si="34"/>
        <v>54.459018846811361</v>
      </c>
      <c r="K290" s="362">
        <v>24618</v>
      </c>
      <c r="L290" s="231"/>
      <c r="M290" s="157">
        <v>14865.855373800001</v>
      </c>
      <c r="N290" s="181">
        <f t="shared" si="35"/>
        <v>14865.855373800001</v>
      </c>
      <c r="O290" s="246">
        <f t="shared" si="39"/>
        <v>918.70499999999993</v>
      </c>
      <c r="P290" s="246">
        <f t="shared" si="39"/>
        <v>0</v>
      </c>
      <c r="Q290" s="159">
        <v>4200</v>
      </c>
      <c r="R290" s="159">
        <v>1161</v>
      </c>
      <c r="S290" s="363">
        <f t="shared" si="36"/>
        <v>0</v>
      </c>
      <c r="T290" s="271">
        <v>0.39680897785224833</v>
      </c>
    </row>
    <row r="291" spans="1:20" x14ac:dyDescent="0.2">
      <c r="A291" s="147">
        <v>2025</v>
      </c>
      <c r="B291" s="147">
        <v>2</v>
      </c>
      <c r="C291" s="169"/>
      <c r="D291" s="166">
        <v>12.174367184187215</v>
      </c>
      <c r="E291" s="258">
        <f t="shared" ref="E291:F306" si="40">E279*(1+0.02)</f>
        <v>13.326641544723111</v>
      </c>
      <c r="F291" s="258">
        <f t="shared" si="40"/>
        <v>12.341863989389246</v>
      </c>
      <c r="G291" s="166">
        <v>30.05</v>
      </c>
      <c r="H291" s="148">
        <v>137.24240601</v>
      </c>
      <c r="I291" s="181">
        <f t="shared" si="33"/>
        <v>137.24240601</v>
      </c>
      <c r="J291" s="181">
        <f t="shared" si="34"/>
        <v>54.459018846811361</v>
      </c>
      <c r="K291" s="362">
        <v>24616</v>
      </c>
      <c r="L291" s="231"/>
      <c r="M291" s="157">
        <v>14865.855373800001</v>
      </c>
      <c r="N291" s="181">
        <f t="shared" si="35"/>
        <v>14865.855373800001</v>
      </c>
      <c r="O291" s="246">
        <f t="shared" si="39"/>
        <v>796.85749999999996</v>
      </c>
      <c r="P291" s="246">
        <f t="shared" si="39"/>
        <v>0</v>
      </c>
      <c r="Q291" s="159">
        <v>4200</v>
      </c>
      <c r="R291" s="159">
        <v>1161</v>
      </c>
      <c r="S291" s="363">
        <f t="shared" si="36"/>
        <v>0</v>
      </c>
      <c r="T291" s="271">
        <v>0.39680897785224833</v>
      </c>
    </row>
    <row r="292" spans="1:20" x14ac:dyDescent="0.2">
      <c r="A292" s="147">
        <v>2025</v>
      </c>
      <c r="B292" s="147">
        <v>3</v>
      </c>
      <c r="C292" s="169"/>
      <c r="D292" s="166">
        <v>12.174367184187215</v>
      </c>
      <c r="E292" s="258">
        <f t="shared" si="40"/>
        <v>13.326641544723111</v>
      </c>
      <c r="F292" s="258">
        <f t="shared" si="40"/>
        <v>12.341863989389246</v>
      </c>
      <c r="G292" s="166">
        <v>30.19</v>
      </c>
      <c r="H292" s="148">
        <v>137.24240601</v>
      </c>
      <c r="I292" s="181">
        <f t="shared" si="33"/>
        <v>137.24240601</v>
      </c>
      <c r="J292" s="181">
        <f t="shared" si="34"/>
        <v>54.459018846811361</v>
      </c>
      <c r="K292" s="362">
        <v>24614</v>
      </c>
      <c r="L292" s="231"/>
      <c r="M292" s="157">
        <v>14865.855373800001</v>
      </c>
      <c r="N292" s="181">
        <f t="shared" si="35"/>
        <v>14865.855373800001</v>
      </c>
      <c r="O292" s="246">
        <f t="shared" si="39"/>
        <v>645</v>
      </c>
      <c r="P292" s="246">
        <f t="shared" si="39"/>
        <v>0.32500000000000001</v>
      </c>
      <c r="Q292" s="159">
        <v>4200</v>
      </c>
      <c r="R292" s="159">
        <v>1161</v>
      </c>
      <c r="S292" s="363">
        <f t="shared" si="36"/>
        <v>0</v>
      </c>
      <c r="T292" s="271">
        <v>0.39680897785224833</v>
      </c>
    </row>
    <row r="293" spans="1:20" x14ac:dyDescent="0.2">
      <c r="A293" s="147">
        <v>2025</v>
      </c>
      <c r="B293" s="147">
        <v>4</v>
      </c>
      <c r="C293" s="169"/>
      <c r="D293" s="166">
        <v>12.174367184187215</v>
      </c>
      <c r="E293" s="258">
        <f t="shared" si="40"/>
        <v>13.326641544723111</v>
      </c>
      <c r="F293" s="258">
        <f t="shared" si="40"/>
        <v>12.341863989389246</v>
      </c>
      <c r="G293" s="166">
        <v>30</v>
      </c>
      <c r="H293" s="148">
        <v>137.24240601</v>
      </c>
      <c r="I293" s="181">
        <f t="shared" si="33"/>
        <v>137.24240601</v>
      </c>
      <c r="J293" s="181">
        <f t="shared" si="34"/>
        <v>54.478861451104613</v>
      </c>
      <c r="K293" s="362">
        <v>24612</v>
      </c>
      <c r="L293" s="231"/>
      <c r="M293" s="157">
        <v>14865.855373800001</v>
      </c>
      <c r="N293" s="181">
        <f t="shared" si="35"/>
        <v>14865.855373800001</v>
      </c>
      <c r="O293" s="246">
        <f t="shared" si="39"/>
        <v>393.33749999999998</v>
      </c>
      <c r="P293" s="246">
        <f t="shared" si="39"/>
        <v>5.6325000000000003</v>
      </c>
      <c r="Q293" s="159">
        <v>4200</v>
      </c>
      <c r="R293" s="159">
        <v>1161</v>
      </c>
      <c r="S293" s="363">
        <f t="shared" si="36"/>
        <v>0</v>
      </c>
      <c r="T293" s="271">
        <v>0.39695355856071979</v>
      </c>
    </row>
    <row r="294" spans="1:20" x14ac:dyDescent="0.2">
      <c r="A294" s="147">
        <v>2025</v>
      </c>
      <c r="B294" s="147">
        <v>5</v>
      </c>
      <c r="C294" s="169"/>
      <c r="D294" s="166">
        <v>12.174367184187215</v>
      </c>
      <c r="E294" s="258">
        <f t="shared" si="40"/>
        <v>13.326641544723111</v>
      </c>
      <c r="F294" s="258">
        <f t="shared" si="40"/>
        <v>12.341863989389246</v>
      </c>
      <c r="G294" s="166">
        <v>30.48</v>
      </c>
      <c r="H294" s="148">
        <v>137.24240601</v>
      </c>
      <c r="I294" s="181">
        <f t="shared" si="33"/>
        <v>137.24240601</v>
      </c>
      <c r="J294" s="181">
        <f t="shared" si="34"/>
        <v>54.478861451104613</v>
      </c>
      <c r="K294" s="362">
        <v>24610</v>
      </c>
      <c r="L294" s="231"/>
      <c r="M294" s="157">
        <v>14865.855373800001</v>
      </c>
      <c r="N294" s="181">
        <f t="shared" si="35"/>
        <v>14865.855373800001</v>
      </c>
      <c r="O294" s="246">
        <f t="shared" si="39"/>
        <v>170.59</v>
      </c>
      <c r="P294" s="246">
        <f t="shared" si="39"/>
        <v>35.347500000000004</v>
      </c>
      <c r="Q294" s="159">
        <v>4200</v>
      </c>
      <c r="R294" s="159">
        <v>1161</v>
      </c>
      <c r="S294" s="363">
        <f t="shared" si="36"/>
        <v>0</v>
      </c>
      <c r="T294" s="271">
        <v>0.39695355856071979</v>
      </c>
    </row>
    <row r="295" spans="1:20" x14ac:dyDescent="0.2">
      <c r="A295" s="147">
        <v>2025</v>
      </c>
      <c r="B295" s="147">
        <v>6</v>
      </c>
      <c r="C295" s="169"/>
      <c r="D295" s="166">
        <v>12.174367184187215</v>
      </c>
      <c r="E295" s="258">
        <f t="shared" si="40"/>
        <v>13.326641544723111</v>
      </c>
      <c r="F295" s="258">
        <f t="shared" si="40"/>
        <v>12.341863989389246</v>
      </c>
      <c r="G295" s="166">
        <v>30.52</v>
      </c>
      <c r="H295" s="148">
        <v>137.24240601</v>
      </c>
      <c r="I295" s="181">
        <f t="shared" si="33"/>
        <v>137.24240601</v>
      </c>
      <c r="J295" s="181">
        <f t="shared" si="34"/>
        <v>54.478861451104613</v>
      </c>
      <c r="K295" s="362">
        <v>24608</v>
      </c>
      <c r="L295" s="231"/>
      <c r="M295" s="157">
        <v>14865.855373800001</v>
      </c>
      <c r="N295" s="181">
        <f t="shared" si="35"/>
        <v>14865.855373800001</v>
      </c>
      <c r="O295" s="246">
        <f t="shared" si="39"/>
        <v>42.912500000000001</v>
      </c>
      <c r="P295" s="246">
        <f t="shared" si="39"/>
        <v>148.8475</v>
      </c>
      <c r="Q295" s="159">
        <v>4200</v>
      </c>
      <c r="R295" s="159">
        <v>1161</v>
      </c>
      <c r="S295" s="363">
        <f t="shared" si="36"/>
        <v>0</v>
      </c>
      <c r="T295" s="271">
        <v>0.39695355856071979</v>
      </c>
    </row>
    <row r="296" spans="1:20" x14ac:dyDescent="0.2">
      <c r="A296" s="147">
        <v>2025</v>
      </c>
      <c r="B296" s="147">
        <v>7</v>
      </c>
      <c r="C296" s="169"/>
      <c r="D296" s="166">
        <v>12.174367184187215</v>
      </c>
      <c r="E296" s="258">
        <f t="shared" si="40"/>
        <v>13.326641544723111</v>
      </c>
      <c r="F296" s="258">
        <f t="shared" si="40"/>
        <v>12.341863989389246</v>
      </c>
      <c r="G296" s="166">
        <v>30.67</v>
      </c>
      <c r="H296" s="148">
        <v>137.24240601</v>
      </c>
      <c r="I296" s="181">
        <f t="shared" si="33"/>
        <v>137.24240601</v>
      </c>
      <c r="J296" s="181">
        <f t="shared" si="34"/>
        <v>54.49705938922186</v>
      </c>
      <c r="K296" s="362">
        <v>24606</v>
      </c>
      <c r="L296" s="231"/>
      <c r="M296" s="157">
        <v>14865.855373800001</v>
      </c>
      <c r="N296" s="181">
        <f t="shared" si="35"/>
        <v>14865.855373800001</v>
      </c>
      <c r="O296" s="246">
        <f t="shared" si="39"/>
        <v>1.375</v>
      </c>
      <c r="P296" s="246">
        <f t="shared" si="39"/>
        <v>291.78750000000002</v>
      </c>
      <c r="Q296" s="159">
        <v>4200</v>
      </c>
      <c r="R296" s="159">
        <v>1161</v>
      </c>
      <c r="S296" s="363">
        <f t="shared" si="36"/>
        <v>0</v>
      </c>
      <c r="T296" s="271">
        <v>0.39708615561032207</v>
      </c>
    </row>
    <row r="297" spans="1:20" x14ac:dyDescent="0.2">
      <c r="A297" s="147">
        <v>2025</v>
      </c>
      <c r="B297" s="147">
        <v>8</v>
      </c>
      <c r="C297" s="169"/>
      <c r="D297" s="166">
        <v>12.174367184187215</v>
      </c>
      <c r="E297" s="258">
        <f t="shared" si="40"/>
        <v>13.326641544723111</v>
      </c>
      <c r="F297" s="258">
        <f t="shared" si="40"/>
        <v>12.341863989389246</v>
      </c>
      <c r="G297" s="166">
        <v>29.48</v>
      </c>
      <c r="H297" s="148">
        <v>137.24240601</v>
      </c>
      <c r="I297" s="181">
        <f t="shared" si="33"/>
        <v>137.24240601</v>
      </c>
      <c r="J297" s="181">
        <f t="shared" si="34"/>
        <v>54.49705938922186</v>
      </c>
      <c r="K297" s="362">
        <v>24604</v>
      </c>
      <c r="L297" s="231"/>
      <c r="M297" s="157">
        <v>14865.855373800001</v>
      </c>
      <c r="N297" s="181">
        <f t="shared" si="35"/>
        <v>14865.855373800001</v>
      </c>
      <c r="O297" s="246">
        <f t="shared" si="39"/>
        <v>0.35</v>
      </c>
      <c r="P297" s="246">
        <f t="shared" si="39"/>
        <v>311.80250000000001</v>
      </c>
      <c r="Q297" s="159">
        <v>4200</v>
      </c>
      <c r="R297" s="159">
        <v>1161</v>
      </c>
      <c r="S297" s="363">
        <f t="shared" si="36"/>
        <v>0</v>
      </c>
      <c r="T297" s="271">
        <v>0.39708615561032207</v>
      </c>
    </row>
    <row r="298" spans="1:20" x14ac:dyDescent="0.2">
      <c r="A298" s="147">
        <v>2025</v>
      </c>
      <c r="B298" s="147">
        <v>9</v>
      </c>
      <c r="C298" s="169"/>
      <c r="D298" s="166">
        <v>12.174367184187215</v>
      </c>
      <c r="E298" s="258">
        <f t="shared" si="40"/>
        <v>13.326641544723111</v>
      </c>
      <c r="F298" s="258">
        <f t="shared" si="40"/>
        <v>12.341863989389246</v>
      </c>
      <c r="G298" s="166">
        <v>30.86</v>
      </c>
      <c r="H298" s="148">
        <v>137.24240601</v>
      </c>
      <c r="I298" s="181">
        <f t="shared" si="33"/>
        <v>137.24240601</v>
      </c>
      <c r="J298" s="181">
        <f t="shared" si="34"/>
        <v>54.49705938922186</v>
      </c>
      <c r="K298" s="362">
        <v>24602</v>
      </c>
      <c r="L298" s="231"/>
      <c r="M298" s="157">
        <v>14865.855373800001</v>
      </c>
      <c r="N298" s="181">
        <f t="shared" si="35"/>
        <v>14865.855373800001</v>
      </c>
      <c r="O298" s="246">
        <f t="shared" ref="O298:P313" si="41">O286</f>
        <v>8.2974999999999994</v>
      </c>
      <c r="P298" s="246">
        <f t="shared" si="41"/>
        <v>230.68249999999998</v>
      </c>
      <c r="Q298" s="159">
        <v>4200</v>
      </c>
      <c r="R298" s="159">
        <v>1161</v>
      </c>
      <c r="S298" s="363">
        <f t="shared" si="36"/>
        <v>0</v>
      </c>
      <c r="T298" s="271">
        <v>0.39708615561032207</v>
      </c>
    </row>
    <row r="299" spans="1:20" x14ac:dyDescent="0.2">
      <c r="A299" s="147">
        <v>2025</v>
      </c>
      <c r="B299" s="147">
        <v>10</v>
      </c>
      <c r="C299" s="169"/>
      <c r="D299" s="166">
        <v>12.174367184187215</v>
      </c>
      <c r="E299" s="258">
        <f t="shared" si="40"/>
        <v>13.326641544723111</v>
      </c>
      <c r="F299" s="258">
        <f t="shared" si="40"/>
        <v>12.341863989389246</v>
      </c>
      <c r="G299" s="166">
        <v>29.38</v>
      </c>
      <c r="H299" s="148">
        <v>137.24240601</v>
      </c>
      <c r="I299" s="181">
        <f t="shared" si="33"/>
        <v>137.24240601</v>
      </c>
      <c r="J299" s="181">
        <f t="shared" si="34"/>
        <v>54.516315637170393</v>
      </c>
      <c r="K299" s="362">
        <v>24600</v>
      </c>
      <c r="L299" s="231"/>
      <c r="M299" s="157">
        <v>14865.855373800001</v>
      </c>
      <c r="N299" s="181">
        <f t="shared" si="35"/>
        <v>14865.855373800001</v>
      </c>
      <c r="O299" s="246">
        <f t="shared" si="41"/>
        <v>129.8125</v>
      </c>
      <c r="P299" s="246">
        <f t="shared" si="41"/>
        <v>57.779999999999994</v>
      </c>
      <c r="Q299" s="159">
        <v>4200</v>
      </c>
      <c r="R299" s="159">
        <v>1161</v>
      </c>
      <c r="S299" s="363">
        <f t="shared" si="36"/>
        <v>0</v>
      </c>
      <c r="T299" s="271">
        <v>0.39722646390502753</v>
      </c>
    </row>
    <row r="300" spans="1:20" x14ac:dyDescent="0.2">
      <c r="A300" s="147">
        <v>2025</v>
      </c>
      <c r="B300" s="147">
        <v>11</v>
      </c>
      <c r="C300" s="169"/>
      <c r="D300" s="166">
        <v>12.174367184187215</v>
      </c>
      <c r="E300" s="258">
        <f t="shared" si="40"/>
        <v>13.326641544723111</v>
      </c>
      <c r="F300" s="258">
        <f t="shared" si="40"/>
        <v>12.341863989389246</v>
      </c>
      <c r="G300" s="166">
        <v>29.57</v>
      </c>
      <c r="H300" s="148">
        <v>137.24240601</v>
      </c>
      <c r="I300" s="181">
        <f t="shared" si="33"/>
        <v>137.24240601</v>
      </c>
      <c r="J300" s="181">
        <f t="shared" si="34"/>
        <v>54.516315637170393</v>
      </c>
      <c r="K300" s="362">
        <v>24598</v>
      </c>
      <c r="L300" s="231"/>
      <c r="M300" s="157">
        <v>14865.855373800001</v>
      </c>
      <c r="N300" s="181">
        <f t="shared" si="35"/>
        <v>14865.855373800001</v>
      </c>
      <c r="O300" s="246">
        <f t="shared" si="41"/>
        <v>387.90500000000003</v>
      </c>
      <c r="P300" s="246">
        <f t="shared" si="41"/>
        <v>3.9299999999999997</v>
      </c>
      <c r="Q300" s="159">
        <v>4200</v>
      </c>
      <c r="R300" s="159">
        <v>1161</v>
      </c>
      <c r="S300" s="363">
        <f t="shared" si="36"/>
        <v>0</v>
      </c>
      <c r="T300" s="271">
        <v>0.39722646390502753</v>
      </c>
    </row>
    <row r="301" spans="1:20" x14ac:dyDescent="0.2">
      <c r="A301" s="147">
        <v>2025</v>
      </c>
      <c r="B301" s="147">
        <v>12</v>
      </c>
      <c r="C301" s="169"/>
      <c r="D301" s="166">
        <v>12.174367184187215</v>
      </c>
      <c r="E301" s="258">
        <f t="shared" si="40"/>
        <v>13.326641544723111</v>
      </c>
      <c r="F301" s="258">
        <f t="shared" si="40"/>
        <v>12.341863989389246</v>
      </c>
      <c r="G301" s="166">
        <v>31.81</v>
      </c>
      <c r="H301" s="148">
        <v>137.24240601</v>
      </c>
      <c r="I301" s="181">
        <f t="shared" si="33"/>
        <v>137.24240601</v>
      </c>
      <c r="J301" s="181">
        <f t="shared" si="34"/>
        <v>54.516315637170393</v>
      </c>
      <c r="K301" s="362">
        <v>24596</v>
      </c>
      <c r="L301" s="231"/>
      <c r="M301" s="157">
        <v>14865.855373800001</v>
      </c>
      <c r="N301" s="181">
        <f t="shared" si="35"/>
        <v>14865.855373800001</v>
      </c>
      <c r="O301" s="246">
        <f t="shared" si="41"/>
        <v>681.89</v>
      </c>
      <c r="P301" s="246">
        <f t="shared" si="41"/>
        <v>0.1</v>
      </c>
      <c r="Q301" s="159">
        <v>4200</v>
      </c>
      <c r="R301" s="159">
        <v>1161</v>
      </c>
      <c r="S301" s="363">
        <f t="shared" si="36"/>
        <v>0</v>
      </c>
      <c r="T301" s="271">
        <v>0.39722646390502753</v>
      </c>
    </row>
    <row r="302" spans="1:20" x14ac:dyDescent="0.2">
      <c r="A302" s="147">
        <v>2026</v>
      </c>
      <c r="B302" s="147">
        <v>1</v>
      </c>
      <c r="D302" s="166">
        <v>12.478726363791894</v>
      </c>
      <c r="E302" s="258">
        <f t="shared" si="40"/>
        <v>13.593174375617574</v>
      </c>
      <c r="F302" s="258">
        <f t="shared" si="40"/>
        <v>12.588701269177031</v>
      </c>
      <c r="G302" s="166">
        <v>32.380000000000003</v>
      </c>
      <c r="H302" s="148">
        <v>137.36643695999999</v>
      </c>
      <c r="I302" s="181">
        <f t="shared" si="33"/>
        <v>137.36643695999999</v>
      </c>
      <c r="J302" s="181">
        <f t="shared" si="34"/>
        <v>54.583447739513197</v>
      </c>
      <c r="K302" s="362">
        <v>24593</v>
      </c>
      <c r="L302" s="231"/>
      <c r="M302" s="157">
        <v>15481.4100086</v>
      </c>
      <c r="N302" s="181">
        <f t="shared" si="35"/>
        <v>15481.4100086</v>
      </c>
      <c r="O302" s="246">
        <f t="shared" si="41"/>
        <v>918.70499999999993</v>
      </c>
      <c r="P302" s="246">
        <f t="shared" si="41"/>
        <v>0</v>
      </c>
      <c r="Q302" s="159">
        <v>4200</v>
      </c>
      <c r="R302" s="159">
        <v>1161</v>
      </c>
      <c r="S302" s="363">
        <f t="shared" si="36"/>
        <v>0</v>
      </c>
      <c r="T302" s="271">
        <v>0.39735650823794361</v>
      </c>
    </row>
    <row r="303" spans="1:20" x14ac:dyDescent="0.2">
      <c r="A303" s="147">
        <v>2026</v>
      </c>
      <c r="B303" s="147">
        <v>2</v>
      </c>
      <c r="D303" s="166">
        <v>12.478726363791894</v>
      </c>
      <c r="E303" s="258">
        <f t="shared" si="40"/>
        <v>13.593174375617574</v>
      </c>
      <c r="F303" s="258">
        <f t="shared" si="40"/>
        <v>12.588701269177031</v>
      </c>
      <c r="G303" s="166">
        <v>30.19</v>
      </c>
      <c r="H303" s="148">
        <v>137.36643695999999</v>
      </c>
      <c r="I303" s="181">
        <f t="shared" si="33"/>
        <v>137.36643695999999</v>
      </c>
      <c r="J303" s="181">
        <f t="shared" si="34"/>
        <v>54.583447739513197</v>
      </c>
      <c r="K303" s="362">
        <v>24590</v>
      </c>
      <c r="L303" s="231"/>
      <c r="M303" s="157">
        <v>15481.4100086</v>
      </c>
      <c r="N303" s="181">
        <f t="shared" si="35"/>
        <v>15481.4100086</v>
      </c>
      <c r="O303" s="246">
        <f t="shared" si="41"/>
        <v>796.85749999999996</v>
      </c>
      <c r="P303" s="246">
        <f t="shared" si="41"/>
        <v>0</v>
      </c>
      <c r="Q303" s="159">
        <v>4200</v>
      </c>
      <c r="R303" s="159">
        <v>1161</v>
      </c>
      <c r="S303" s="363">
        <f t="shared" si="36"/>
        <v>0</v>
      </c>
      <c r="T303" s="271">
        <v>0.39735650823794361</v>
      </c>
    </row>
    <row r="304" spans="1:20" x14ac:dyDescent="0.2">
      <c r="A304" s="147">
        <v>2026</v>
      </c>
      <c r="B304" s="147">
        <v>3</v>
      </c>
      <c r="D304" s="166">
        <v>12.478726363791894</v>
      </c>
      <c r="E304" s="258">
        <f t="shared" si="40"/>
        <v>13.593174375617574</v>
      </c>
      <c r="F304" s="258">
        <f t="shared" si="40"/>
        <v>12.588701269177031</v>
      </c>
      <c r="G304" s="166">
        <v>30.05</v>
      </c>
      <c r="H304" s="148">
        <v>137.36643695999999</v>
      </c>
      <c r="I304" s="181">
        <f t="shared" si="33"/>
        <v>137.36643695999999</v>
      </c>
      <c r="J304" s="181">
        <f t="shared" si="34"/>
        <v>54.583447739513197</v>
      </c>
      <c r="K304" s="362">
        <v>24587</v>
      </c>
      <c r="L304" s="231"/>
      <c r="M304" s="157">
        <v>15481.4100086</v>
      </c>
      <c r="N304" s="181">
        <f t="shared" si="35"/>
        <v>15481.4100086</v>
      </c>
      <c r="O304" s="246">
        <f t="shared" si="41"/>
        <v>645</v>
      </c>
      <c r="P304" s="246">
        <f t="shared" si="41"/>
        <v>0.32500000000000001</v>
      </c>
      <c r="Q304" s="159">
        <v>4200</v>
      </c>
      <c r="R304" s="159">
        <v>1161</v>
      </c>
      <c r="S304" s="363">
        <f t="shared" si="36"/>
        <v>0</v>
      </c>
      <c r="T304" s="271">
        <v>0.39735650823794361</v>
      </c>
    </row>
    <row r="305" spans="1:20" x14ac:dyDescent="0.2">
      <c r="A305" s="147">
        <v>2026</v>
      </c>
      <c r="B305" s="147">
        <v>4</v>
      </c>
      <c r="D305" s="166">
        <v>12.478726363791894</v>
      </c>
      <c r="E305" s="258">
        <f t="shared" si="40"/>
        <v>13.593174375617574</v>
      </c>
      <c r="F305" s="258">
        <f t="shared" si="40"/>
        <v>12.588701269177031</v>
      </c>
      <c r="G305" s="166">
        <v>30.71</v>
      </c>
      <c r="H305" s="148">
        <v>137.36643695999999</v>
      </c>
      <c r="I305" s="181">
        <f t="shared" si="33"/>
        <v>137.36643695999999</v>
      </c>
      <c r="J305" s="181">
        <f t="shared" si="34"/>
        <v>54.603258894848793</v>
      </c>
      <c r="K305" s="362">
        <v>24584</v>
      </c>
      <c r="L305" s="231"/>
      <c r="M305" s="157">
        <v>15481.4100086</v>
      </c>
      <c r="N305" s="181">
        <f t="shared" si="35"/>
        <v>15481.4100086</v>
      </c>
      <c r="O305" s="246">
        <f t="shared" si="41"/>
        <v>393.33749999999998</v>
      </c>
      <c r="P305" s="246">
        <f t="shared" si="41"/>
        <v>5.6325000000000003</v>
      </c>
      <c r="Q305" s="159">
        <v>4200</v>
      </c>
      <c r="R305" s="159">
        <v>1161</v>
      </c>
      <c r="S305" s="363">
        <f t="shared" si="36"/>
        <v>0</v>
      </c>
      <c r="T305" s="271">
        <v>0.39750072945947362</v>
      </c>
    </row>
    <row r="306" spans="1:20" x14ac:dyDescent="0.2">
      <c r="A306" s="147">
        <v>2026</v>
      </c>
      <c r="B306" s="147">
        <v>5</v>
      </c>
      <c r="D306" s="166">
        <v>12.478726363791894</v>
      </c>
      <c r="E306" s="258">
        <f t="shared" si="40"/>
        <v>13.593174375617574</v>
      </c>
      <c r="F306" s="258">
        <f t="shared" si="40"/>
        <v>12.588701269177031</v>
      </c>
      <c r="G306" s="166">
        <v>29.9</v>
      </c>
      <c r="H306" s="148">
        <v>137.36643695999999</v>
      </c>
      <c r="I306" s="181">
        <f t="shared" si="33"/>
        <v>137.36643695999999</v>
      </c>
      <c r="J306" s="181">
        <f t="shared" si="34"/>
        <v>54.603258894848793</v>
      </c>
      <c r="K306" s="362">
        <v>24581</v>
      </c>
      <c r="L306" s="231"/>
      <c r="M306" s="157">
        <v>15481.4100086</v>
      </c>
      <c r="N306" s="181">
        <f t="shared" si="35"/>
        <v>15481.4100086</v>
      </c>
      <c r="O306" s="246">
        <f t="shared" si="41"/>
        <v>170.59</v>
      </c>
      <c r="P306" s="246">
        <f t="shared" si="41"/>
        <v>35.347500000000004</v>
      </c>
      <c r="Q306" s="159">
        <v>4200</v>
      </c>
      <c r="R306" s="159">
        <v>1161</v>
      </c>
      <c r="S306" s="363">
        <f t="shared" si="36"/>
        <v>0</v>
      </c>
      <c r="T306" s="271">
        <v>0.39750072945947362</v>
      </c>
    </row>
    <row r="307" spans="1:20" x14ac:dyDescent="0.2">
      <c r="A307" s="147">
        <v>2026</v>
      </c>
      <c r="B307" s="147">
        <v>6</v>
      </c>
      <c r="D307" s="166">
        <v>12.478726363791894</v>
      </c>
      <c r="E307" s="258">
        <f t="shared" ref="E307:F322" si="42">E295*(1+0.02)</f>
        <v>13.593174375617574</v>
      </c>
      <c r="F307" s="258">
        <f t="shared" si="42"/>
        <v>12.588701269177031</v>
      </c>
      <c r="G307" s="166">
        <v>30.38</v>
      </c>
      <c r="H307" s="148">
        <v>137.36643695999999</v>
      </c>
      <c r="I307" s="181">
        <f t="shared" si="33"/>
        <v>137.36643695999999</v>
      </c>
      <c r="J307" s="181">
        <f t="shared" si="34"/>
        <v>54.603258894848793</v>
      </c>
      <c r="K307" s="362">
        <v>24578</v>
      </c>
      <c r="L307" s="231"/>
      <c r="M307" s="157">
        <v>15481.4100086</v>
      </c>
      <c r="N307" s="181">
        <f t="shared" si="35"/>
        <v>15481.4100086</v>
      </c>
      <c r="O307" s="246">
        <f t="shared" si="41"/>
        <v>42.912500000000001</v>
      </c>
      <c r="P307" s="246">
        <f t="shared" si="41"/>
        <v>148.8475</v>
      </c>
      <c r="Q307" s="159">
        <v>4200</v>
      </c>
      <c r="R307" s="159">
        <v>1161</v>
      </c>
      <c r="S307" s="363">
        <f t="shared" si="36"/>
        <v>0</v>
      </c>
      <c r="T307" s="271">
        <v>0.39750072945947362</v>
      </c>
    </row>
    <row r="308" spans="1:20" x14ac:dyDescent="0.2">
      <c r="A308" s="147">
        <v>2026</v>
      </c>
      <c r="B308" s="147">
        <v>7</v>
      </c>
      <c r="D308" s="166">
        <v>12.478726363791894</v>
      </c>
      <c r="E308" s="258">
        <f t="shared" si="42"/>
        <v>13.593174375617574</v>
      </c>
      <c r="F308" s="258">
        <f t="shared" si="42"/>
        <v>12.588701269177031</v>
      </c>
      <c r="G308" s="166">
        <v>30.71</v>
      </c>
      <c r="H308" s="148">
        <v>137.36643695999999</v>
      </c>
      <c r="I308" s="181">
        <f t="shared" si="33"/>
        <v>137.36643695999999</v>
      </c>
      <c r="J308" s="181">
        <f t="shared" si="34"/>
        <v>54.621514441070985</v>
      </c>
      <c r="K308" s="362">
        <v>24575</v>
      </c>
      <c r="L308" s="231"/>
      <c r="M308" s="157">
        <v>15481.4100086</v>
      </c>
      <c r="N308" s="181">
        <f t="shared" si="35"/>
        <v>15481.4100086</v>
      </c>
      <c r="O308" s="246">
        <f t="shared" si="41"/>
        <v>1.375</v>
      </c>
      <c r="P308" s="246">
        <f t="shared" si="41"/>
        <v>291.78750000000002</v>
      </c>
      <c r="Q308" s="159">
        <v>4200</v>
      </c>
      <c r="R308" s="159">
        <v>1161</v>
      </c>
      <c r="S308" s="363">
        <f t="shared" si="36"/>
        <v>0</v>
      </c>
      <c r="T308" s="271">
        <v>0.39763362615990638</v>
      </c>
    </row>
    <row r="309" spans="1:20" x14ac:dyDescent="0.2">
      <c r="A309" s="147">
        <v>2026</v>
      </c>
      <c r="B309" s="147">
        <v>8</v>
      </c>
      <c r="D309" s="166">
        <v>12.478726363791894</v>
      </c>
      <c r="E309" s="258">
        <f t="shared" si="42"/>
        <v>13.593174375617574</v>
      </c>
      <c r="F309" s="258">
        <f t="shared" si="42"/>
        <v>12.588701269177031</v>
      </c>
      <c r="G309" s="166">
        <v>29.52</v>
      </c>
      <c r="H309" s="148">
        <v>137.36643695999999</v>
      </c>
      <c r="I309" s="181">
        <f t="shared" si="33"/>
        <v>137.36643695999999</v>
      </c>
      <c r="J309" s="181">
        <f t="shared" si="34"/>
        <v>54.621514441070985</v>
      </c>
      <c r="K309" s="362">
        <v>24572</v>
      </c>
      <c r="L309" s="231"/>
      <c r="M309" s="157">
        <v>15481.4100086</v>
      </c>
      <c r="N309" s="181">
        <f t="shared" si="35"/>
        <v>15481.4100086</v>
      </c>
      <c r="O309" s="246">
        <f t="shared" si="41"/>
        <v>0.35</v>
      </c>
      <c r="P309" s="246">
        <f t="shared" si="41"/>
        <v>311.80250000000001</v>
      </c>
      <c r="Q309" s="159">
        <v>4200</v>
      </c>
      <c r="R309" s="159">
        <v>1161</v>
      </c>
      <c r="S309" s="363">
        <f t="shared" si="36"/>
        <v>0</v>
      </c>
      <c r="T309" s="271">
        <v>0.39763362615990638</v>
      </c>
    </row>
    <row r="310" spans="1:20" x14ac:dyDescent="0.2">
      <c r="A310" s="147">
        <v>2026</v>
      </c>
      <c r="B310" s="147">
        <v>9</v>
      </c>
      <c r="D310" s="166">
        <v>12.478726363791894</v>
      </c>
      <c r="E310" s="258">
        <f t="shared" si="42"/>
        <v>13.593174375617574</v>
      </c>
      <c r="F310" s="258">
        <f t="shared" si="42"/>
        <v>12.588701269177031</v>
      </c>
      <c r="G310" s="166">
        <v>30.48</v>
      </c>
      <c r="H310" s="148">
        <v>137.36643695999999</v>
      </c>
      <c r="I310" s="181">
        <f t="shared" si="33"/>
        <v>137.36643695999999</v>
      </c>
      <c r="J310" s="181">
        <f t="shared" si="34"/>
        <v>54.621514441070985</v>
      </c>
      <c r="K310" s="362">
        <v>24569</v>
      </c>
      <c r="L310" s="231"/>
      <c r="M310" s="157">
        <v>15481.4100086</v>
      </c>
      <c r="N310" s="181">
        <f t="shared" si="35"/>
        <v>15481.4100086</v>
      </c>
      <c r="O310" s="246">
        <f t="shared" si="41"/>
        <v>8.2974999999999994</v>
      </c>
      <c r="P310" s="246">
        <f t="shared" si="41"/>
        <v>230.68249999999998</v>
      </c>
      <c r="Q310" s="159">
        <v>4200</v>
      </c>
      <c r="R310" s="159">
        <v>1161</v>
      </c>
      <c r="S310" s="363">
        <f t="shared" si="36"/>
        <v>0</v>
      </c>
      <c r="T310" s="271">
        <v>0.39763362615990638</v>
      </c>
    </row>
    <row r="311" spans="1:20" x14ac:dyDescent="0.2">
      <c r="A311" s="147">
        <v>2026</v>
      </c>
      <c r="B311" s="147">
        <v>10</v>
      </c>
      <c r="D311" s="166">
        <v>12.478726363791894</v>
      </c>
      <c r="E311" s="258">
        <f t="shared" si="42"/>
        <v>13.593174375617574</v>
      </c>
      <c r="F311" s="258">
        <f t="shared" si="42"/>
        <v>12.588701269177031</v>
      </c>
      <c r="G311" s="166">
        <v>29.67</v>
      </c>
      <c r="H311" s="148">
        <v>137.36643695999999</v>
      </c>
      <c r="I311" s="181">
        <f t="shared" si="33"/>
        <v>137.36643695999999</v>
      </c>
      <c r="J311" s="181">
        <f t="shared" si="34"/>
        <v>54.640297837117522</v>
      </c>
      <c r="K311" s="362">
        <v>24566</v>
      </c>
      <c r="L311" s="231"/>
      <c r="M311" s="157">
        <v>15481.4100086</v>
      </c>
      <c r="N311" s="181">
        <f t="shared" si="35"/>
        <v>15481.4100086</v>
      </c>
      <c r="O311" s="246">
        <f t="shared" si="41"/>
        <v>129.8125</v>
      </c>
      <c r="P311" s="246">
        <f t="shared" si="41"/>
        <v>57.779999999999994</v>
      </c>
      <c r="Q311" s="159">
        <v>4200</v>
      </c>
      <c r="R311" s="159">
        <v>1161</v>
      </c>
      <c r="S311" s="363">
        <f t="shared" si="36"/>
        <v>0</v>
      </c>
      <c r="T311" s="271">
        <v>0.39777036550076889</v>
      </c>
    </row>
    <row r="312" spans="1:20" x14ac:dyDescent="0.2">
      <c r="A312" s="147">
        <v>2026</v>
      </c>
      <c r="B312" s="147">
        <v>11</v>
      </c>
      <c r="D312" s="166">
        <v>12.478726363791894</v>
      </c>
      <c r="E312" s="258">
        <f t="shared" si="42"/>
        <v>13.593174375617574</v>
      </c>
      <c r="F312" s="258">
        <f t="shared" si="42"/>
        <v>12.588701269177031</v>
      </c>
      <c r="G312" s="166">
        <v>29.76</v>
      </c>
      <c r="H312" s="148">
        <v>137.36643695999999</v>
      </c>
      <c r="I312" s="181">
        <f t="shared" si="33"/>
        <v>137.36643695999999</v>
      </c>
      <c r="J312" s="181">
        <f t="shared" si="34"/>
        <v>54.640297837117522</v>
      </c>
      <c r="K312" s="362">
        <v>24563</v>
      </c>
      <c r="L312" s="231"/>
      <c r="M312" s="157">
        <v>15481.4100086</v>
      </c>
      <c r="N312" s="181">
        <f t="shared" si="35"/>
        <v>15481.4100086</v>
      </c>
      <c r="O312" s="246">
        <f t="shared" si="41"/>
        <v>387.90500000000003</v>
      </c>
      <c r="P312" s="246">
        <f t="shared" si="41"/>
        <v>3.9299999999999997</v>
      </c>
      <c r="Q312" s="159">
        <v>4200</v>
      </c>
      <c r="R312" s="159">
        <v>1161</v>
      </c>
      <c r="S312" s="363">
        <f t="shared" si="36"/>
        <v>0</v>
      </c>
      <c r="T312" s="271">
        <v>0.39777036550076889</v>
      </c>
    </row>
    <row r="313" spans="1:20" x14ac:dyDescent="0.2">
      <c r="A313" s="147">
        <v>2026</v>
      </c>
      <c r="B313" s="147">
        <v>12</v>
      </c>
      <c r="D313" s="166">
        <v>12.478726363791894</v>
      </c>
      <c r="E313" s="258">
        <f t="shared" si="42"/>
        <v>13.593174375617574</v>
      </c>
      <c r="F313" s="258">
        <f t="shared" si="42"/>
        <v>12.588701269177031</v>
      </c>
      <c r="G313" s="166">
        <v>31.57</v>
      </c>
      <c r="H313" s="148">
        <v>137.36643695999999</v>
      </c>
      <c r="I313" s="181">
        <f t="shared" si="33"/>
        <v>137.36643695999999</v>
      </c>
      <c r="J313" s="181">
        <f t="shared" si="34"/>
        <v>54.640297837117522</v>
      </c>
      <c r="K313" s="362">
        <v>24560</v>
      </c>
      <c r="L313" s="231"/>
      <c r="M313" s="157">
        <v>15481.4100086</v>
      </c>
      <c r="N313" s="181">
        <f t="shared" si="35"/>
        <v>15481.4100086</v>
      </c>
      <c r="O313" s="246">
        <f t="shared" si="41"/>
        <v>681.89</v>
      </c>
      <c r="P313" s="246">
        <f t="shared" si="41"/>
        <v>0.1</v>
      </c>
      <c r="Q313" s="159">
        <v>4200</v>
      </c>
      <c r="R313" s="159">
        <v>1161</v>
      </c>
      <c r="S313" s="363">
        <f t="shared" si="36"/>
        <v>0</v>
      </c>
      <c r="T313" s="271">
        <v>0.39777036550076889</v>
      </c>
    </row>
    <row r="314" spans="1:20" x14ac:dyDescent="0.2">
      <c r="A314" s="147">
        <v>2027</v>
      </c>
      <c r="B314" s="147">
        <v>1</v>
      </c>
      <c r="D314" s="166">
        <v>12.790694522886692</v>
      </c>
      <c r="E314" s="258">
        <f t="shared" si="42"/>
        <v>13.865037863129926</v>
      </c>
      <c r="F314" s="258">
        <f t="shared" si="42"/>
        <v>12.840475294560573</v>
      </c>
      <c r="G314" s="166">
        <v>32.520000000000003</v>
      </c>
      <c r="H314" s="148">
        <v>137.56695859000001</v>
      </c>
      <c r="I314" s="181">
        <f t="shared" si="33"/>
        <v>137.56695859000001</v>
      </c>
      <c r="J314" s="181">
        <f t="shared" si="34"/>
        <v>54.738176268558938</v>
      </c>
      <c r="K314" s="362">
        <v>24557</v>
      </c>
      <c r="L314" s="231"/>
      <c r="M314" s="157">
        <v>16114.499630799999</v>
      </c>
      <c r="N314" s="181">
        <f t="shared" si="35"/>
        <v>16114.499630799999</v>
      </c>
      <c r="O314" s="246">
        <f t="shared" ref="O314:P329" si="43">O302</f>
        <v>918.70499999999993</v>
      </c>
      <c r="P314" s="246">
        <f t="shared" si="43"/>
        <v>0</v>
      </c>
      <c r="Q314" s="159">
        <v>4200</v>
      </c>
      <c r="R314" s="159">
        <v>1161</v>
      </c>
      <c r="S314" s="363">
        <f t="shared" si="36"/>
        <v>0</v>
      </c>
      <c r="T314" s="271">
        <v>0.39790206041916487</v>
      </c>
    </row>
    <row r="315" spans="1:20" x14ac:dyDescent="0.2">
      <c r="A315" s="147">
        <v>2027</v>
      </c>
      <c r="B315" s="147">
        <v>2</v>
      </c>
      <c r="D315" s="166">
        <v>12.790694522886692</v>
      </c>
      <c r="E315" s="258">
        <f t="shared" si="42"/>
        <v>13.865037863129926</v>
      </c>
      <c r="F315" s="258">
        <f t="shared" si="42"/>
        <v>12.840475294560573</v>
      </c>
      <c r="G315" s="166">
        <v>30.14</v>
      </c>
      <c r="H315" s="148">
        <v>137.56695859000001</v>
      </c>
      <c r="I315" s="181">
        <f t="shared" si="33"/>
        <v>137.56695859000001</v>
      </c>
      <c r="J315" s="181">
        <f t="shared" si="34"/>
        <v>54.738176268558938</v>
      </c>
      <c r="K315" s="362">
        <v>24554</v>
      </c>
      <c r="L315" s="231"/>
      <c r="M315" s="157">
        <v>16114.499630799999</v>
      </c>
      <c r="N315" s="181">
        <f t="shared" si="35"/>
        <v>16114.499630799999</v>
      </c>
      <c r="O315" s="246">
        <f t="shared" si="43"/>
        <v>796.85749999999996</v>
      </c>
      <c r="P315" s="246">
        <f t="shared" si="43"/>
        <v>0</v>
      </c>
      <c r="Q315" s="159">
        <v>4200</v>
      </c>
      <c r="R315" s="159">
        <v>1161</v>
      </c>
      <c r="S315" s="363">
        <f t="shared" si="36"/>
        <v>0</v>
      </c>
      <c r="T315" s="271">
        <v>0.39790206041916487</v>
      </c>
    </row>
    <row r="316" spans="1:20" x14ac:dyDescent="0.2">
      <c r="A316" s="147">
        <v>2027</v>
      </c>
      <c r="B316" s="147">
        <v>3</v>
      </c>
      <c r="D316" s="166">
        <v>12.790694522886692</v>
      </c>
      <c r="E316" s="258">
        <f t="shared" si="42"/>
        <v>13.865037863129926</v>
      </c>
      <c r="F316" s="258">
        <f t="shared" si="42"/>
        <v>12.840475294560573</v>
      </c>
      <c r="G316" s="166">
        <v>30.33</v>
      </c>
      <c r="H316" s="148">
        <v>137.56695859000001</v>
      </c>
      <c r="I316" s="181">
        <f t="shared" si="33"/>
        <v>137.56695859000001</v>
      </c>
      <c r="J316" s="181">
        <f t="shared" si="34"/>
        <v>54.738176268558938</v>
      </c>
      <c r="K316" s="362">
        <v>24551</v>
      </c>
      <c r="L316" s="231"/>
      <c r="M316" s="157">
        <v>16114.499630799999</v>
      </c>
      <c r="N316" s="181">
        <f t="shared" si="35"/>
        <v>16114.499630799999</v>
      </c>
      <c r="O316" s="246">
        <f t="shared" si="43"/>
        <v>645</v>
      </c>
      <c r="P316" s="246">
        <f t="shared" si="43"/>
        <v>0.32500000000000001</v>
      </c>
      <c r="Q316" s="159">
        <v>4200</v>
      </c>
      <c r="R316" s="159">
        <v>1161</v>
      </c>
      <c r="S316" s="363">
        <f t="shared" si="36"/>
        <v>0</v>
      </c>
      <c r="T316" s="271">
        <v>0.39790206041916487</v>
      </c>
    </row>
    <row r="317" spans="1:20" x14ac:dyDescent="0.2">
      <c r="A317" s="147">
        <v>2027</v>
      </c>
      <c r="B317" s="147">
        <v>4</v>
      </c>
      <c r="D317" s="166">
        <v>12.790694522886692</v>
      </c>
      <c r="E317" s="258">
        <f t="shared" si="42"/>
        <v>13.865037863129926</v>
      </c>
      <c r="F317" s="258">
        <f t="shared" si="42"/>
        <v>12.840475294560573</v>
      </c>
      <c r="G317" s="166">
        <v>30.52</v>
      </c>
      <c r="H317" s="148">
        <v>137.56695859000001</v>
      </c>
      <c r="I317" s="181">
        <f t="shared" si="33"/>
        <v>137.56695859000001</v>
      </c>
      <c r="J317" s="181">
        <f t="shared" si="34"/>
        <v>54.758175010030314</v>
      </c>
      <c r="K317" s="362">
        <v>24548</v>
      </c>
      <c r="L317" s="231"/>
      <c r="M317" s="157">
        <v>16114.499630799999</v>
      </c>
      <c r="N317" s="181">
        <f t="shared" si="35"/>
        <v>16114.499630799999</v>
      </c>
      <c r="O317" s="246">
        <f t="shared" si="43"/>
        <v>393.33749999999998</v>
      </c>
      <c r="P317" s="246">
        <f t="shared" si="43"/>
        <v>5.6325000000000003</v>
      </c>
      <c r="Q317" s="159">
        <v>4200</v>
      </c>
      <c r="R317" s="159">
        <v>1161</v>
      </c>
      <c r="S317" s="363">
        <f t="shared" si="36"/>
        <v>0</v>
      </c>
      <c r="T317" s="271">
        <v>0.39804743501838807</v>
      </c>
    </row>
    <row r="318" spans="1:20" x14ac:dyDescent="0.2">
      <c r="A318" s="147">
        <v>2027</v>
      </c>
      <c r="B318" s="147">
        <v>5</v>
      </c>
      <c r="D318" s="166">
        <v>12.790694522886692</v>
      </c>
      <c r="E318" s="258">
        <f t="shared" si="42"/>
        <v>13.865037863129926</v>
      </c>
      <c r="F318" s="258">
        <f t="shared" si="42"/>
        <v>12.840475294560573</v>
      </c>
      <c r="G318" s="166">
        <v>29.48</v>
      </c>
      <c r="H318" s="148">
        <v>137.56695859000001</v>
      </c>
      <c r="I318" s="181">
        <f t="shared" si="33"/>
        <v>137.56695859000001</v>
      </c>
      <c r="J318" s="181">
        <f t="shared" si="34"/>
        <v>54.758175010030314</v>
      </c>
      <c r="K318" s="362">
        <v>24545</v>
      </c>
      <c r="L318" s="231"/>
      <c r="M318" s="157">
        <v>16114.499630799999</v>
      </c>
      <c r="N318" s="181">
        <f t="shared" si="35"/>
        <v>16114.499630799999</v>
      </c>
      <c r="O318" s="246">
        <f t="shared" si="43"/>
        <v>170.59</v>
      </c>
      <c r="P318" s="246">
        <f t="shared" si="43"/>
        <v>35.347500000000004</v>
      </c>
      <c r="Q318" s="159">
        <v>4200</v>
      </c>
      <c r="R318" s="159">
        <v>1161</v>
      </c>
      <c r="S318" s="363">
        <f t="shared" si="36"/>
        <v>0</v>
      </c>
      <c r="T318" s="271">
        <v>0.39804743501838807</v>
      </c>
    </row>
    <row r="319" spans="1:20" x14ac:dyDescent="0.2">
      <c r="A319" s="147">
        <v>2027</v>
      </c>
      <c r="B319" s="147">
        <v>6</v>
      </c>
      <c r="D319" s="166">
        <v>12.790694522886692</v>
      </c>
      <c r="E319" s="258">
        <f t="shared" si="42"/>
        <v>13.865037863129926</v>
      </c>
      <c r="F319" s="258">
        <f t="shared" si="42"/>
        <v>12.840475294560573</v>
      </c>
      <c r="G319" s="166">
        <v>30.67</v>
      </c>
      <c r="H319" s="148">
        <v>137.56695859000001</v>
      </c>
      <c r="I319" s="181">
        <f t="shared" si="33"/>
        <v>137.56695859000001</v>
      </c>
      <c r="J319" s="181">
        <f t="shared" si="34"/>
        <v>54.758175010030314</v>
      </c>
      <c r="K319" s="362">
        <v>24542</v>
      </c>
      <c r="L319" s="231"/>
      <c r="M319" s="157">
        <v>16114.499630799999</v>
      </c>
      <c r="N319" s="181">
        <f t="shared" si="35"/>
        <v>16114.499630799999</v>
      </c>
      <c r="O319" s="246">
        <f t="shared" si="43"/>
        <v>42.912500000000001</v>
      </c>
      <c r="P319" s="246">
        <f t="shared" si="43"/>
        <v>148.8475</v>
      </c>
      <c r="Q319" s="159">
        <v>4200</v>
      </c>
      <c r="R319" s="159">
        <v>1161</v>
      </c>
      <c r="S319" s="363">
        <f t="shared" si="36"/>
        <v>0</v>
      </c>
      <c r="T319" s="271">
        <v>0.39804743501838807</v>
      </c>
    </row>
    <row r="320" spans="1:20" x14ac:dyDescent="0.2">
      <c r="A320" s="147">
        <v>2027</v>
      </c>
      <c r="B320" s="147">
        <v>7</v>
      </c>
      <c r="D320" s="166">
        <v>12.790694522886692</v>
      </c>
      <c r="E320" s="258">
        <f t="shared" si="42"/>
        <v>13.865037863129926</v>
      </c>
      <c r="F320" s="258">
        <f t="shared" si="42"/>
        <v>12.840475294560573</v>
      </c>
      <c r="G320" s="166">
        <v>30.71</v>
      </c>
      <c r="H320" s="148">
        <v>137.56695859000001</v>
      </c>
      <c r="I320" s="181">
        <f t="shared" si="33"/>
        <v>137.56695859000001</v>
      </c>
      <c r="J320" s="181">
        <f t="shared" si="34"/>
        <v>54.846267641951044</v>
      </c>
      <c r="K320" s="362">
        <v>24539</v>
      </c>
      <c r="L320" s="231"/>
      <c r="M320" s="157">
        <v>16114.499630799999</v>
      </c>
      <c r="N320" s="181">
        <f t="shared" si="35"/>
        <v>16114.499630799999</v>
      </c>
      <c r="O320" s="246">
        <f t="shared" si="43"/>
        <v>1.375</v>
      </c>
      <c r="P320" s="246">
        <f t="shared" si="43"/>
        <v>291.78750000000002</v>
      </c>
      <c r="Q320" s="159">
        <v>4200</v>
      </c>
      <c r="R320" s="159">
        <v>1161</v>
      </c>
      <c r="S320" s="363">
        <f t="shared" si="36"/>
        <v>0</v>
      </c>
      <c r="T320" s="271">
        <v>0.39868779686707356</v>
      </c>
    </row>
    <row r="321" spans="1:20" x14ac:dyDescent="0.2">
      <c r="A321" s="147">
        <v>2027</v>
      </c>
      <c r="B321" s="147">
        <v>8</v>
      </c>
      <c r="D321" s="166">
        <v>12.790694522886692</v>
      </c>
      <c r="E321" s="258">
        <f t="shared" si="42"/>
        <v>13.865037863129926</v>
      </c>
      <c r="F321" s="258">
        <f t="shared" si="42"/>
        <v>12.840475294560573</v>
      </c>
      <c r="G321" s="166">
        <v>29.52</v>
      </c>
      <c r="H321" s="148">
        <v>137.56695859000001</v>
      </c>
      <c r="I321" s="181">
        <f t="shared" si="33"/>
        <v>137.56695859000001</v>
      </c>
      <c r="J321" s="181">
        <f t="shared" si="34"/>
        <v>54.846267641951044</v>
      </c>
      <c r="K321" s="362">
        <v>24536</v>
      </c>
      <c r="L321" s="231"/>
      <c r="M321" s="157">
        <v>16114.499630799999</v>
      </c>
      <c r="N321" s="181">
        <f t="shared" si="35"/>
        <v>16114.499630799999</v>
      </c>
      <c r="O321" s="246">
        <f t="shared" si="43"/>
        <v>0.35</v>
      </c>
      <c r="P321" s="246">
        <f t="shared" si="43"/>
        <v>311.80250000000001</v>
      </c>
      <c r="Q321" s="159">
        <v>4200</v>
      </c>
      <c r="R321" s="159">
        <v>1161</v>
      </c>
      <c r="S321" s="363">
        <f t="shared" si="36"/>
        <v>0</v>
      </c>
      <c r="T321" s="271">
        <v>0.39868779686707356</v>
      </c>
    </row>
    <row r="322" spans="1:20" x14ac:dyDescent="0.2">
      <c r="A322" s="147">
        <v>2027</v>
      </c>
      <c r="B322" s="147">
        <v>9</v>
      </c>
      <c r="D322" s="166">
        <v>12.790694522886692</v>
      </c>
      <c r="E322" s="258">
        <f t="shared" si="42"/>
        <v>13.865037863129926</v>
      </c>
      <c r="F322" s="258">
        <f t="shared" si="42"/>
        <v>12.840475294560573</v>
      </c>
      <c r="G322" s="166">
        <v>30.52</v>
      </c>
      <c r="H322" s="148">
        <v>137.56695859000001</v>
      </c>
      <c r="I322" s="181">
        <f t="shared" si="33"/>
        <v>137.56695859000001</v>
      </c>
      <c r="J322" s="181">
        <f t="shared" si="34"/>
        <v>54.846267641951044</v>
      </c>
      <c r="K322" s="362">
        <v>24533</v>
      </c>
      <c r="L322" s="231"/>
      <c r="M322" s="157">
        <v>16114.499630799999</v>
      </c>
      <c r="N322" s="181">
        <f t="shared" si="35"/>
        <v>16114.499630799999</v>
      </c>
      <c r="O322" s="246">
        <f t="shared" si="43"/>
        <v>8.2974999999999994</v>
      </c>
      <c r="P322" s="246">
        <f t="shared" si="43"/>
        <v>230.68249999999998</v>
      </c>
      <c r="Q322" s="159">
        <v>4200</v>
      </c>
      <c r="R322" s="159">
        <v>1161</v>
      </c>
      <c r="S322" s="363">
        <f t="shared" si="36"/>
        <v>0</v>
      </c>
      <c r="T322" s="271">
        <v>0.39868779686707356</v>
      </c>
    </row>
    <row r="323" spans="1:20" x14ac:dyDescent="0.2">
      <c r="A323" s="147">
        <v>2027</v>
      </c>
      <c r="B323" s="147">
        <v>10</v>
      </c>
      <c r="D323" s="166">
        <v>12.790694522886692</v>
      </c>
      <c r="E323" s="258">
        <f t="shared" ref="E323:F338" si="44">E311*(1+0.02)</f>
        <v>13.865037863129926</v>
      </c>
      <c r="F323" s="258">
        <f t="shared" si="44"/>
        <v>12.840475294560573</v>
      </c>
      <c r="G323" s="166">
        <v>29.62</v>
      </c>
      <c r="H323" s="148">
        <v>137.56695859000001</v>
      </c>
      <c r="I323" s="181">
        <f t="shared" ref="I323:I386" si="45">H323</f>
        <v>137.56695859000001</v>
      </c>
      <c r="J323" s="181">
        <f t="shared" ref="J323:J386" si="46">H323*T323</f>
        <v>54.831304809608277</v>
      </c>
      <c r="K323" s="362">
        <v>24530</v>
      </c>
      <c r="L323" s="231"/>
      <c r="M323" s="157">
        <v>16114.499630799999</v>
      </c>
      <c r="N323" s="181">
        <f t="shared" ref="N323:N386" si="47">M323</f>
        <v>16114.499630799999</v>
      </c>
      <c r="O323" s="246">
        <f t="shared" si="43"/>
        <v>129.8125</v>
      </c>
      <c r="P323" s="246">
        <f t="shared" si="43"/>
        <v>57.779999999999994</v>
      </c>
      <c r="Q323" s="159">
        <v>4200</v>
      </c>
      <c r="R323" s="159">
        <v>1161</v>
      </c>
      <c r="S323" s="363">
        <f t="shared" ref="S323:S386" si="48">C323/K323*1000</f>
        <v>0</v>
      </c>
      <c r="T323" s="271">
        <v>0.39857902923496097</v>
      </c>
    </row>
    <row r="324" spans="1:20" x14ac:dyDescent="0.2">
      <c r="A324" s="147">
        <v>2027</v>
      </c>
      <c r="B324" s="147">
        <v>11</v>
      </c>
      <c r="D324" s="166">
        <v>12.790694522886692</v>
      </c>
      <c r="E324" s="258">
        <f t="shared" si="44"/>
        <v>13.865037863129926</v>
      </c>
      <c r="F324" s="258">
        <f t="shared" si="44"/>
        <v>12.840475294560573</v>
      </c>
      <c r="G324" s="166">
        <v>29.1</v>
      </c>
      <c r="H324" s="148">
        <v>137.56695859000001</v>
      </c>
      <c r="I324" s="181">
        <f t="shared" si="45"/>
        <v>137.56695859000001</v>
      </c>
      <c r="J324" s="181">
        <f t="shared" si="46"/>
        <v>54.831304809608277</v>
      </c>
      <c r="K324" s="362">
        <v>24527</v>
      </c>
      <c r="L324" s="231"/>
      <c r="M324" s="157">
        <v>16114.499630799999</v>
      </c>
      <c r="N324" s="181">
        <f t="shared" si="47"/>
        <v>16114.499630799999</v>
      </c>
      <c r="O324" s="246">
        <f t="shared" si="43"/>
        <v>387.90500000000003</v>
      </c>
      <c r="P324" s="246">
        <f t="shared" si="43"/>
        <v>3.9299999999999997</v>
      </c>
      <c r="Q324" s="159">
        <v>4200</v>
      </c>
      <c r="R324" s="159">
        <v>1161</v>
      </c>
      <c r="S324" s="363">
        <f t="shared" si="48"/>
        <v>0</v>
      </c>
      <c r="T324" s="271">
        <v>0.39857902923496097</v>
      </c>
    </row>
    <row r="325" spans="1:20" x14ac:dyDescent="0.2">
      <c r="A325" s="147">
        <v>2027</v>
      </c>
      <c r="B325" s="147">
        <v>12</v>
      </c>
      <c r="D325" s="166">
        <v>12.790694522886692</v>
      </c>
      <c r="E325" s="258">
        <f t="shared" si="44"/>
        <v>13.865037863129926</v>
      </c>
      <c r="F325" s="258">
        <f t="shared" si="44"/>
        <v>12.840475294560573</v>
      </c>
      <c r="G325" s="166">
        <v>31.67</v>
      </c>
      <c r="H325" s="148">
        <v>137.56695859000001</v>
      </c>
      <c r="I325" s="181">
        <f t="shared" si="45"/>
        <v>137.56695859000001</v>
      </c>
      <c r="J325" s="181">
        <f t="shared" si="46"/>
        <v>54.831304809608277</v>
      </c>
      <c r="K325" s="362">
        <v>24524</v>
      </c>
      <c r="L325" s="231"/>
      <c r="M325" s="157">
        <v>16114.499630799999</v>
      </c>
      <c r="N325" s="181">
        <f t="shared" si="47"/>
        <v>16114.499630799999</v>
      </c>
      <c r="O325" s="246">
        <f t="shared" si="43"/>
        <v>681.89</v>
      </c>
      <c r="P325" s="246">
        <f t="shared" si="43"/>
        <v>0.1</v>
      </c>
      <c r="Q325" s="159">
        <v>4200</v>
      </c>
      <c r="R325" s="159">
        <v>1161</v>
      </c>
      <c r="S325" s="363">
        <f t="shared" si="48"/>
        <v>0</v>
      </c>
      <c r="T325" s="271">
        <v>0.39857902923496097</v>
      </c>
    </row>
    <row r="326" spans="1:20" x14ac:dyDescent="0.2">
      <c r="A326" s="147">
        <v>2028</v>
      </c>
      <c r="B326" s="147">
        <v>1</v>
      </c>
      <c r="D326" s="166">
        <v>13.110461885958857</v>
      </c>
      <c r="E326" s="258">
        <f t="shared" si="44"/>
        <v>14.142338620392525</v>
      </c>
      <c r="F326" s="258">
        <f t="shared" si="44"/>
        <v>13.097284800451785</v>
      </c>
      <c r="G326" s="166">
        <v>32.71</v>
      </c>
      <c r="H326" s="148">
        <v>137.83970545</v>
      </c>
      <c r="I326" s="181">
        <f t="shared" si="45"/>
        <v>137.83970545</v>
      </c>
      <c r="J326" s="181">
        <f t="shared" si="46"/>
        <v>54.926972042369108</v>
      </c>
      <c r="K326" s="362">
        <v>24521</v>
      </c>
      <c r="L326" s="231"/>
      <c r="M326" s="157">
        <v>16800.423866600002</v>
      </c>
      <c r="N326" s="181">
        <f t="shared" si="47"/>
        <v>16800.423866600002</v>
      </c>
      <c r="O326" s="246">
        <f t="shared" si="43"/>
        <v>918.70499999999993</v>
      </c>
      <c r="P326" s="246">
        <f t="shared" si="43"/>
        <v>0</v>
      </c>
      <c r="Q326" s="159">
        <v>4200</v>
      </c>
      <c r="R326" s="159">
        <v>1161</v>
      </c>
      <c r="S326" s="363">
        <f t="shared" si="48"/>
        <v>0</v>
      </c>
      <c r="T326" s="271">
        <v>0.39848439796828594</v>
      </c>
    </row>
    <row r="327" spans="1:20" x14ac:dyDescent="0.2">
      <c r="A327" s="147">
        <v>2028</v>
      </c>
      <c r="B327" s="147">
        <v>2</v>
      </c>
      <c r="D327" s="166">
        <v>13.110461885958857</v>
      </c>
      <c r="E327" s="258">
        <f t="shared" si="44"/>
        <v>14.142338620392525</v>
      </c>
      <c r="F327" s="258">
        <f t="shared" si="44"/>
        <v>13.097284800451785</v>
      </c>
      <c r="G327" s="166">
        <v>29.81</v>
      </c>
      <c r="H327" s="148">
        <v>137.83970545</v>
      </c>
      <c r="I327" s="181">
        <f t="shared" si="45"/>
        <v>137.83970545</v>
      </c>
      <c r="J327" s="181">
        <f t="shared" si="46"/>
        <v>54.926972042369108</v>
      </c>
      <c r="K327" s="362">
        <v>24518</v>
      </c>
      <c r="L327" s="231"/>
      <c r="M327" s="157">
        <v>16800.423866600002</v>
      </c>
      <c r="N327" s="181">
        <f t="shared" si="47"/>
        <v>16800.423866600002</v>
      </c>
      <c r="O327" s="246">
        <f t="shared" si="43"/>
        <v>796.85749999999996</v>
      </c>
      <c r="P327" s="246">
        <f t="shared" si="43"/>
        <v>0</v>
      </c>
      <c r="Q327" s="159">
        <v>4200</v>
      </c>
      <c r="R327" s="159">
        <v>1161</v>
      </c>
      <c r="S327" s="363">
        <f t="shared" si="48"/>
        <v>0</v>
      </c>
      <c r="T327" s="271">
        <v>0.39848439796828594</v>
      </c>
    </row>
    <row r="328" spans="1:20" x14ac:dyDescent="0.2">
      <c r="A328" s="147">
        <v>2028</v>
      </c>
      <c r="B328" s="147">
        <v>3</v>
      </c>
      <c r="D328" s="166">
        <v>13.110461885958857</v>
      </c>
      <c r="E328" s="258">
        <f t="shared" si="44"/>
        <v>14.142338620392525</v>
      </c>
      <c r="F328" s="258">
        <f t="shared" si="44"/>
        <v>13.097284800451785</v>
      </c>
      <c r="G328" s="166">
        <v>30.33</v>
      </c>
      <c r="H328" s="148">
        <v>137.83970545</v>
      </c>
      <c r="I328" s="181">
        <f t="shared" si="45"/>
        <v>137.83970545</v>
      </c>
      <c r="J328" s="181">
        <f t="shared" si="46"/>
        <v>54.926972042369108</v>
      </c>
      <c r="K328" s="362">
        <v>24515</v>
      </c>
      <c r="L328" s="231"/>
      <c r="M328" s="157">
        <v>16800.423866600002</v>
      </c>
      <c r="N328" s="181">
        <f t="shared" si="47"/>
        <v>16800.423866600002</v>
      </c>
      <c r="O328" s="246">
        <f t="shared" si="43"/>
        <v>645</v>
      </c>
      <c r="P328" s="246">
        <f t="shared" si="43"/>
        <v>0.32500000000000001</v>
      </c>
      <c r="Q328" s="159">
        <v>4200</v>
      </c>
      <c r="R328" s="159">
        <v>1161</v>
      </c>
      <c r="S328" s="363">
        <f t="shared" si="48"/>
        <v>0</v>
      </c>
      <c r="T328" s="271">
        <v>0.39848439796828594</v>
      </c>
    </row>
    <row r="329" spans="1:20" x14ac:dyDescent="0.2">
      <c r="A329" s="147">
        <v>2028</v>
      </c>
      <c r="B329" s="147">
        <v>4</v>
      </c>
      <c r="D329" s="166">
        <v>13.110461885958857</v>
      </c>
      <c r="E329" s="258">
        <f t="shared" si="44"/>
        <v>14.142338620392525</v>
      </c>
      <c r="F329" s="258">
        <f t="shared" si="44"/>
        <v>13.097284800451785</v>
      </c>
      <c r="G329" s="166">
        <v>30.19</v>
      </c>
      <c r="H329" s="148">
        <v>137.83970545</v>
      </c>
      <c r="I329" s="181">
        <f t="shared" si="45"/>
        <v>137.83970545</v>
      </c>
      <c r="J329" s="181">
        <f t="shared" si="46"/>
        <v>54.915219970141337</v>
      </c>
      <c r="K329" s="362">
        <v>24512</v>
      </c>
      <c r="L329" s="231"/>
      <c r="M329" s="157">
        <v>16800.423866600002</v>
      </c>
      <c r="N329" s="181">
        <f t="shared" si="47"/>
        <v>16800.423866600002</v>
      </c>
      <c r="O329" s="246">
        <f t="shared" si="43"/>
        <v>393.33749999999998</v>
      </c>
      <c r="P329" s="246">
        <f t="shared" si="43"/>
        <v>5.6325000000000003</v>
      </c>
      <c r="Q329" s="159">
        <v>4200</v>
      </c>
      <c r="R329" s="159">
        <v>1161</v>
      </c>
      <c r="S329" s="363">
        <f t="shared" si="48"/>
        <v>0</v>
      </c>
      <c r="T329" s="271">
        <v>0.39839913899164053</v>
      </c>
    </row>
    <row r="330" spans="1:20" x14ac:dyDescent="0.2">
      <c r="A330" s="147">
        <v>2028</v>
      </c>
      <c r="B330" s="147">
        <v>5</v>
      </c>
      <c r="D330" s="166">
        <v>13.110461885958857</v>
      </c>
      <c r="E330" s="258">
        <f t="shared" si="44"/>
        <v>14.142338620392525</v>
      </c>
      <c r="F330" s="258">
        <f t="shared" si="44"/>
        <v>13.097284800451785</v>
      </c>
      <c r="G330" s="166">
        <v>30.14</v>
      </c>
      <c r="H330" s="148">
        <v>137.83970545</v>
      </c>
      <c r="I330" s="181">
        <f t="shared" si="45"/>
        <v>137.83970545</v>
      </c>
      <c r="J330" s="181">
        <f t="shared" si="46"/>
        <v>54.915219970141337</v>
      </c>
      <c r="K330" s="362">
        <v>24509</v>
      </c>
      <c r="L330" s="231"/>
      <c r="M330" s="157">
        <v>16800.423866600002</v>
      </c>
      <c r="N330" s="181">
        <f t="shared" si="47"/>
        <v>16800.423866600002</v>
      </c>
      <c r="O330" s="246">
        <f t="shared" ref="O330:P345" si="49">O318</f>
        <v>170.59</v>
      </c>
      <c r="P330" s="246">
        <f t="shared" si="49"/>
        <v>35.347500000000004</v>
      </c>
      <c r="Q330" s="159">
        <v>4200</v>
      </c>
      <c r="R330" s="159">
        <v>1161</v>
      </c>
      <c r="S330" s="363">
        <f t="shared" si="48"/>
        <v>0</v>
      </c>
      <c r="T330" s="271">
        <v>0.39839913899164053</v>
      </c>
    </row>
    <row r="331" spans="1:20" x14ac:dyDescent="0.2">
      <c r="A331" s="147">
        <v>2028</v>
      </c>
      <c r="B331" s="147">
        <v>6</v>
      </c>
      <c r="D331" s="166">
        <v>13.110461885958857</v>
      </c>
      <c r="E331" s="258">
        <f t="shared" si="44"/>
        <v>14.142338620392525</v>
      </c>
      <c r="F331" s="258">
        <f t="shared" si="44"/>
        <v>13.097284800451785</v>
      </c>
      <c r="G331" s="166">
        <v>30.67</v>
      </c>
      <c r="H331" s="148">
        <v>137.83970545</v>
      </c>
      <c r="I331" s="181">
        <f t="shared" si="45"/>
        <v>137.83970545</v>
      </c>
      <c r="J331" s="181">
        <f t="shared" si="46"/>
        <v>54.915219970141337</v>
      </c>
      <c r="K331" s="362">
        <v>24506</v>
      </c>
      <c r="L331" s="231"/>
      <c r="M331" s="157">
        <v>16800.423866600002</v>
      </c>
      <c r="N331" s="181">
        <f t="shared" si="47"/>
        <v>16800.423866600002</v>
      </c>
      <c r="O331" s="246">
        <f t="shared" si="49"/>
        <v>42.912500000000001</v>
      </c>
      <c r="P331" s="246">
        <f t="shared" si="49"/>
        <v>148.8475</v>
      </c>
      <c r="Q331" s="159">
        <v>4200</v>
      </c>
      <c r="R331" s="159">
        <v>1161</v>
      </c>
      <c r="S331" s="363">
        <f t="shared" si="48"/>
        <v>0</v>
      </c>
      <c r="T331" s="271">
        <v>0.39839913899164053</v>
      </c>
    </row>
    <row r="332" spans="1:20" x14ac:dyDescent="0.2">
      <c r="A332" s="147">
        <v>2028</v>
      </c>
      <c r="B332" s="147">
        <v>7</v>
      </c>
      <c r="D332" s="166">
        <v>13.110461885958857</v>
      </c>
      <c r="E332" s="258">
        <f t="shared" si="44"/>
        <v>14.142338620392525</v>
      </c>
      <c r="F332" s="258">
        <f t="shared" si="44"/>
        <v>13.097284800451785</v>
      </c>
      <c r="G332" s="166">
        <v>30.67</v>
      </c>
      <c r="H332" s="148">
        <v>137.83970545</v>
      </c>
      <c r="I332" s="181">
        <f t="shared" si="45"/>
        <v>137.83970545</v>
      </c>
      <c r="J332" s="181">
        <f t="shared" si="46"/>
        <v>54.900439903986928</v>
      </c>
      <c r="K332" s="362">
        <v>24503</v>
      </c>
      <c r="L332" s="231"/>
      <c r="M332" s="157">
        <v>16800.423866600002</v>
      </c>
      <c r="N332" s="181">
        <f t="shared" si="47"/>
        <v>16800.423866600002</v>
      </c>
      <c r="O332" s="246">
        <f t="shared" si="49"/>
        <v>1.375</v>
      </c>
      <c r="P332" s="246">
        <f t="shared" si="49"/>
        <v>291.78750000000002</v>
      </c>
      <c r="Q332" s="159">
        <v>4200</v>
      </c>
      <c r="R332" s="159">
        <v>1161</v>
      </c>
      <c r="S332" s="363">
        <f t="shared" si="48"/>
        <v>0</v>
      </c>
      <c r="T332" s="271">
        <v>0.39829191251356472</v>
      </c>
    </row>
    <row r="333" spans="1:20" x14ac:dyDescent="0.2">
      <c r="A333" s="147">
        <v>2028</v>
      </c>
      <c r="B333" s="147">
        <v>8</v>
      </c>
      <c r="D333" s="166">
        <v>13.110461885958857</v>
      </c>
      <c r="E333" s="258">
        <f t="shared" si="44"/>
        <v>14.142338620392525</v>
      </c>
      <c r="F333" s="258">
        <f t="shared" si="44"/>
        <v>13.097284800451785</v>
      </c>
      <c r="G333" s="166">
        <v>29.57</v>
      </c>
      <c r="H333" s="148">
        <v>137.83970545</v>
      </c>
      <c r="I333" s="181">
        <f t="shared" si="45"/>
        <v>137.83970545</v>
      </c>
      <c r="J333" s="181">
        <f t="shared" si="46"/>
        <v>54.900439903986928</v>
      </c>
      <c r="K333" s="362">
        <v>24500</v>
      </c>
      <c r="L333" s="231"/>
      <c r="M333" s="157">
        <v>16800.423866600002</v>
      </c>
      <c r="N333" s="181">
        <f t="shared" si="47"/>
        <v>16800.423866600002</v>
      </c>
      <c r="O333" s="246">
        <f t="shared" si="49"/>
        <v>0.35</v>
      </c>
      <c r="P333" s="246">
        <f t="shared" si="49"/>
        <v>311.80250000000001</v>
      </c>
      <c r="Q333" s="159">
        <v>4200</v>
      </c>
      <c r="R333" s="159">
        <v>1161</v>
      </c>
      <c r="S333" s="363">
        <f t="shared" si="48"/>
        <v>0</v>
      </c>
      <c r="T333" s="271">
        <v>0.39829191251356472</v>
      </c>
    </row>
    <row r="334" spans="1:20" x14ac:dyDescent="0.2">
      <c r="A334" s="147">
        <v>2028</v>
      </c>
      <c r="B334" s="147">
        <v>9</v>
      </c>
      <c r="D334" s="166">
        <v>13.110461885958857</v>
      </c>
      <c r="E334" s="258">
        <f t="shared" si="44"/>
        <v>14.142338620392525</v>
      </c>
      <c r="F334" s="258">
        <f t="shared" si="44"/>
        <v>13.097284800451785</v>
      </c>
      <c r="G334" s="166">
        <v>30.52</v>
      </c>
      <c r="H334" s="148">
        <v>137.83970545</v>
      </c>
      <c r="I334" s="181">
        <f t="shared" si="45"/>
        <v>137.83970545</v>
      </c>
      <c r="J334" s="181">
        <f t="shared" si="46"/>
        <v>54.900439903986928</v>
      </c>
      <c r="K334" s="362">
        <v>24497</v>
      </c>
      <c r="L334" s="231"/>
      <c r="M334" s="157">
        <v>16800.423866600002</v>
      </c>
      <c r="N334" s="181">
        <f t="shared" si="47"/>
        <v>16800.423866600002</v>
      </c>
      <c r="O334" s="246">
        <f t="shared" si="49"/>
        <v>8.2974999999999994</v>
      </c>
      <c r="P334" s="246">
        <f t="shared" si="49"/>
        <v>230.68249999999998</v>
      </c>
      <c r="Q334" s="159">
        <v>4200</v>
      </c>
      <c r="R334" s="159">
        <v>1161</v>
      </c>
      <c r="S334" s="363">
        <f t="shared" si="48"/>
        <v>0</v>
      </c>
      <c r="T334" s="271">
        <v>0.39829191251356472</v>
      </c>
    </row>
    <row r="335" spans="1:20" x14ac:dyDescent="0.2">
      <c r="A335" s="147">
        <v>2028</v>
      </c>
      <c r="B335" s="147">
        <v>10</v>
      </c>
      <c r="D335" s="166">
        <v>13.110461885958857</v>
      </c>
      <c r="E335" s="258">
        <f t="shared" si="44"/>
        <v>14.142338620392525</v>
      </c>
      <c r="F335" s="258">
        <f t="shared" si="44"/>
        <v>13.097284800451785</v>
      </c>
      <c r="G335" s="166">
        <v>29.62</v>
      </c>
      <c r="H335" s="148">
        <v>137.83970545</v>
      </c>
      <c r="I335" s="181">
        <f t="shared" si="45"/>
        <v>137.83970545</v>
      </c>
      <c r="J335" s="181">
        <f t="shared" si="46"/>
        <v>54.913832305069029</v>
      </c>
      <c r="K335" s="362">
        <v>24494</v>
      </c>
      <c r="L335" s="231"/>
      <c r="M335" s="157">
        <v>16800.423866600002</v>
      </c>
      <c r="N335" s="181">
        <f t="shared" si="47"/>
        <v>16800.423866600002</v>
      </c>
      <c r="O335" s="246">
        <f t="shared" si="49"/>
        <v>129.8125</v>
      </c>
      <c r="P335" s="246">
        <f t="shared" si="49"/>
        <v>57.779999999999994</v>
      </c>
      <c r="Q335" s="159">
        <v>4200</v>
      </c>
      <c r="R335" s="159">
        <v>1161</v>
      </c>
      <c r="S335" s="363">
        <f t="shared" si="48"/>
        <v>0</v>
      </c>
      <c r="T335" s="271">
        <v>0.39838907175399096</v>
      </c>
    </row>
    <row r="336" spans="1:20" x14ac:dyDescent="0.2">
      <c r="A336" s="147">
        <v>2028</v>
      </c>
      <c r="B336" s="147">
        <v>11</v>
      </c>
      <c r="D336" s="166">
        <v>13.110461885958857</v>
      </c>
      <c r="E336" s="258">
        <f t="shared" si="44"/>
        <v>14.142338620392525</v>
      </c>
      <c r="F336" s="258">
        <f t="shared" si="44"/>
        <v>13.097284800451785</v>
      </c>
      <c r="G336" s="166">
        <v>29.95</v>
      </c>
      <c r="H336" s="148">
        <v>137.83970545</v>
      </c>
      <c r="I336" s="181">
        <f t="shared" si="45"/>
        <v>137.83970545</v>
      </c>
      <c r="J336" s="181">
        <f t="shared" si="46"/>
        <v>54.913832305069029</v>
      </c>
      <c r="K336" s="362">
        <v>24491</v>
      </c>
      <c r="L336" s="231"/>
      <c r="M336" s="157">
        <v>16800.423866600002</v>
      </c>
      <c r="N336" s="181">
        <f t="shared" si="47"/>
        <v>16800.423866600002</v>
      </c>
      <c r="O336" s="246">
        <f t="shared" si="49"/>
        <v>387.90500000000003</v>
      </c>
      <c r="P336" s="246">
        <f t="shared" si="49"/>
        <v>3.9299999999999997</v>
      </c>
      <c r="Q336" s="159">
        <v>4200</v>
      </c>
      <c r="R336" s="159">
        <v>1161</v>
      </c>
      <c r="S336" s="363">
        <f t="shared" si="48"/>
        <v>0</v>
      </c>
      <c r="T336" s="271">
        <v>0.39838907175399096</v>
      </c>
    </row>
    <row r="337" spans="1:20" x14ac:dyDescent="0.2">
      <c r="A337" s="147">
        <v>2028</v>
      </c>
      <c r="B337" s="147">
        <v>12</v>
      </c>
      <c r="D337" s="166">
        <v>13.110461885958857</v>
      </c>
      <c r="E337" s="258">
        <f t="shared" si="44"/>
        <v>14.142338620392525</v>
      </c>
      <c r="F337" s="258">
        <f t="shared" si="44"/>
        <v>13.097284800451785</v>
      </c>
      <c r="G337" s="166">
        <v>31.24</v>
      </c>
      <c r="H337" s="148">
        <v>137.83970545</v>
      </c>
      <c r="I337" s="181">
        <f t="shared" si="45"/>
        <v>137.83970545</v>
      </c>
      <c r="J337" s="181">
        <f t="shared" si="46"/>
        <v>54.913832305069029</v>
      </c>
      <c r="K337" s="362">
        <v>24488</v>
      </c>
      <c r="L337" s="231"/>
      <c r="M337" s="157">
        <v>16800.423866600002</v>
      </c>
      <c r="N337" s="181">
        <f t="shared" si="47"/>
        <v>16800.423866600002</v>
      </c>
      <c r="O337" s="246">
        <f t="shared" si="49"/>
        <v>681.89</v>
      </c>
      <c r="P337" s="246">
        <f t="shared" si="49"/>
        <v>0.1</v>
      </c>
      <c r="Q337" s="159">
        <v>4200</v>
      </c>
      <c r="R337" s="159">
        <v>1161</v>
      </c>
      <c r="S337" s="363">
        <f t="shared" si="48"/>
        <v>0</v>
      </c>
      <c r="T337" s="271">
        <v>0.39838907175399096</v>
      </c>
    </row>
    <row r="338" spans="1:20" x14ac:dyDescent="0.2">
      <c r="A338" s="147">
        <v>2029</v>
      </c>
      <c r="B338" s="147">
        <v>1</v>
      </c>
      <c r="D338" s="166">
        <v>13.438223433107826</v>
      </c>
      <c r="E338" s="258">
        <f t="shared" si="44"/>
        <v>14.425185392800376</v>
      </c>
      <c r="F338" s="258">
        <f t="shared" si="44"/>
        <v>13.359230496460821</v>
      </c>
      <c r="G338" s="166">
        <v>32.67</v>
      </c>
      <c r="H338" s="148">
        <v>138.06985766</v>
      </c>
      <c r="I338" s="181">
        <f t="shared" si="45"/>
        <v>138.06985766</v>
      </c>
      <c r="J338" s="181">
        <f t="shared" si="46"/>
        <v>55.018816277042809</v>
      </c>
      <c r="K338" s="362">
        <v>24485</v>
      </c>
      <c r="L338" s="231"/>
      <c r="M338" s="157">
        <v>17493.070144999998</v>
      </c>
      <c r="N338" s="181">
        <f t="shared" si="47"/>
        <v>17493.070144999998</v>
      </c>
      <c r="O338" s="246">
        <f t="shared" si="49"/>
        <v>918.70499999999993</v>
      </c>
      <c r="P338" s="246">
        <f t="shared" si="49"/>
        <v>0</v>
      </c>
      <c r="Q338" s="159">
        <v>4200</v>
      </c>
      <c r="R338" s="159">
        <v>1161</v>
      </c>
      <c r="S338" s="363">
        <f t="shared" si="48"/>
        <v>0</v>
      </c>
      <c r="T338" s="271">
        <v>0.39848535523609963</v>
      </c>
    </row>
    <row r="339" spans="1:20" x14ac:dyDescent="0.2">
      <c r="A339" s="147">
        <v>2029</v>
      </c>
      <c r="B339" s="147">
        <v>2</v>
      </c>
      <c r="D339" s="166">
        <v>13.438223433107826</v>
      </c>
      <c r="E339" s="258">
        <f t="shared" ref="E339:F354" si="50">E327*(1+0.02)</f>
        <v>14.425185392800376</v>
      </c>
      <c r="F339" s="258">
        <f t="shared" si="50"/>
        <v>13.359230496460821</v>
      </c>
      <c r="G339" s="166">
        <v>29.86</v>
      </c>
      <c r="H339" s="148">
        <v>138.06985766</v>
      </c>
      <c r="I339" s="181">
        <f t="shared" si="45"/>
        <v>138.06985766</v>
      </c>
      <c r="J339" s="181">
        <f t="shared" si="46"/>
        <v>55.018816277042809</v>
      </c>
      <c r="K339" s="362">
        <v>24482</v>
      </c>
      <c r="L339" s="231"/>
      <c r="M339" s="157">
        <v>17493.070144999998</v>
      </c>
      <c r="N339" s="181">
        <f t="shared" si="47"/>
        <v>17493.070144999998</v>
      </c>
      <c r="O339" s="246">
        <f t="shared" si="49"/>
        <v>796.85749999999996</v>
      </c>
      <c r="P339" s="246">
        <f t="shared" si="49"/>
        <v>0</v>
      </c>
      <c r="Q339" s="159">
        <v>4200</v>
      </c>
      <c r="R339" s="159">
        <v>1161</v>
      </c>
      <c r="S339" s="363">
        <f t="shared" si="48"/>
        <v>0</v>
      </c>
      <c r="T339" s="271">
        <v>0.39848535523609963</v>
      </c>
    </row>
    <row r="340" spans="1:20" x14ac:dyDescent="0.2">
      <c r="A340" s="147">
        <v>2029</v>
      </c>
      <c r="B340" s="147">
        <v>3</v>
      </c>
      <c r="D340" s="166">
        <v>13.438223433107826</v>
      </c>
      <c r="E340" s="258">
        <f t="shared" si="50"/>
        <v>14.425185392800376</v>
      </c>
      <c r="F340" s="258">
        <f t="shared" si="50"/>
        <v>13.359230496460821</v>
      </c>
      <c r="G340" s="166">
        <v>30.43</v>
      </c>
      <c r="H340" s="148">
        <v>138.06985766</v>
      </c>
      <c r="I340" s="181">
        <f t="shared" si="45"/>
        <v>138.06985766</v>
      </c>
      <c r="J340" s="181">
        <f t="shared" si="46"/>
        <v>55.018816277042809</v>
      </c>
      <c r="K340" s="362">
        <v>24479</v>
      </c>
      <c r="L340" s="231"/>
      <c r="M340" s="157">
        <v>17493.070144999998</v>
      </c>
      <c r="N340" s="181">
        <f t="shared" si="47"/>
        <v>17493.070144999998</v>
      </c>
      <c r="O340" s="246">
        <f t="shared" si="49"/>
        <v>645</v>
      </c>
      <c r="P340" s="246">
        <f t="shared" si="49"/>
        <v>0.32500000000000001</v>
      </c>
      <c r="Q340" s="159">
        <v>4200</v>
      </c>
      <c r="R340" s="159">
        <v>1161</v>
      </c>
      <c r="S340" s="363">
        <f t="shared" si="48"/>
        <v>0</v>
      </c>
      <c r="T340" s="271">
        <v>0.39848535523609963</v>
      </c>
    </row>
    <row r="341" spans="1:20" x14ac:dyDescent="0.2">
      <c r="A341" s="147">
        <v>2029</v>
      </c>
      <c r="B341" s="147">
        <v>4</v>
      </c>
      <c r="D341" s="166">
        <v>13.438223433107826</v>
      </c>
      <c r="E341" s="258">
        <f t="shared" si="50"/>
        <v>14.425185392800376</v>
      </c>
      <c r="F341" s="258">
        <f t="shared" si="50"/>
        <v>13.359230496460821</v>
      </c>
      <c r="G341" s="166">
        <v>30.71</v>
      </c>
      <c r="H341" s="148">
        <v>138.06985766</v>
      </c>
      <c r="I341" s="181">
        <f t="shared" si="45"/>
        <v>138.06985766</v>
      </c>
      <c r="J341" s="181">
        <f t="shared" si="46"/>
        <v>55.032353524281739</v>
      </c>
      <c r="K341" s="362">
        <v>24476</v>
      </c>
      <c r="L341" s="231"/>
      <c r="M341" s="157">
        <v>17493.070144999998</v>
      </c>
      <c r="N341" s="181">
        <f t="shared" si="47"/>
        <v>17493.070144999998</v>
      </c>
      <c r="O341" s="246">
        <f t="shared" si="49"/>
        <v>393.33749999999998</v>
      </c>
      <c r="P341" s="246">
        <f t="shared" si="49"/>
        <v>5.6325000000000003</v>
      </c>
      <c r="Q341" s="159">
        <v>4200</v>
      </c>
      <c r="R341" s="159">
        <v>1161</v>
      </c>
      <c r="S341" s="363">
        <f t="shared" si="48"/>
        <v>0</v>
      </c>
      <c r="T341" s="271">
        <v>0.39858340159805261</v>
      </c>
    </row>
    <row r="342" spans="1:20" x14ac:dyDescent="0.2">
      <c r="A342" s="147">
        <v>2029</v>
      </c>
      <c r="B342" s="147">
        <v>5</v>
      </c>
      <c r="D342" s="166">
        <v>13.438223433107826</v>
      </c>
      <c r="E342" s="258">
        <f t="shared" si="50"/>
        <v>14.425185392800376</v>
      </c>
      <c r="F342" s="258">
        <f t="shared" si="50"/>
        <v>13.359230496460821</v>
      </c>
      <c r="G342" s="166">
        <v>29.52</v>
      </c>
      <c r="H342" s="148">
        <v>138.06985766</v>
      </c>
      <c r="I342" s="181">
        <f t="shared" si="45"/>
        <v>138.06985766</v>
      </c>
      <c r="J342" s="181">
        <f t="shared" si="46"/>
        <v>55.032353524281739</v>
      </c>
      <c r="K342" s="362">
        <v>24473</v>
      </c>
      <c r="L342" s="231"/>
      <c r="M342" s="157">
        <v>17493.070144999998</v>
      </c>
      <c r="N342" s="181">
        <f t="shared" si="47"/>
        <v>17493.070144999998</v>
      </c>
      <c r="O342" s="246">
        <f t="shared" si="49"/>
        <v>170.59</v>
      </c>
      <c r="P342" s="246">
        <f t="shared" si="49"/>
        <v>35.347500000000004</v>
      </c>
      <c r="Q342" s="159">
        <v>4200</v>
      </c>
      <c r="R342" s="159">
        <v>1161</v>
      </c>
      <c r="S342" s="363">
        <f t="shared" si="48"/>
        <v>0</v>
      </c>
      <c r="T342" s="271">
        <v>0.39858340159805261</v>
      </c>
    </row>
    <row r="343" spans="1:20" x14ac:dyDescent="0.2">
      <c r="A343" s="147">
        <v>2029</v>
      </c>
      <c r="B343" s="147">
        <v>6</v>
      </c>
      <c r="D343" s="166">
        <v>13.438223433107826</v>
      </c>
      <c r="E343" s="258">
        <f t="shared" si="50"/>
        <v>14.425185392800376</v>
      </c>
      <c r="F343" s="258">
        <f t="shared" si="50"/>
        <v>13.359230496460821</v>
      </c>
      <c r="G343" s="166">
        <v>30.62</v>
      </c>
      <c r="H343" s="148">
        <v>138.06985766</v>
      </c>
      <c r="I343" s="181">
        <f t="shared" si="45"/>
        <v>138.06985766</v>
      </c>
      <c r="J343" s="181">
        <f t="shared" si="46"/>
        <v>55.032353524281739</v>
      </c>
      <c r="K343" s="362">
        <v>24470</v>
      </c>
      <c r="L343" s="231"/>
      <c r="M343" s="157">
        <v>17493.070144999998</v>
      </c>
      <c r="N343" s="181">
        <f t="shared" si="47"/>
        <v>17493.070144999998</v>
      </c>
      <c r="O343" s="246">
        <f t="shared" si="49"/>
        <v>42.912500000000001</v>
      </c>
      <c r="P343" s="246">
        <f t="shared" si="49"/>
        <v>148.8475</v>
      </c>
      <c r="Q343" s="159">
        <v>4200</v>
      </c>
      <c r="R343" s="159">
        <v>1161</v>
      </c>
      <c r="S343" s="363">
        <f t="shared" si="48"/>
        <v>0</v>
      </c>
      <c r="T343" s="271">
        <v>0.39858340159805261</v>
      </c>
    </row>
    <row r="344" spans="1:20" x14ac:dyDescent="0.2">
      <c r="A344" s="147">
        <v>2029</v>
      </c>
      <c r="B344" s="147">
        <v>7</v>
      </c>
      <c r="D344" s="166">
        <v>13.438223433107826</v>
      </c>
      <c r="E344" s="258">
        <f t="shared" si="50"/>
        <v>14.425185392800376</v>
      </c>
      <c r="F344" s="258">
        <f t="shared" si="50"/>
        <v>13.359230496460821</v>
      </c>
      <c r="G344" s="166">
        <v>30.76</v>
      </c>
      <c r="H344" s="148">
        <v>138.06985766</v>
      </c>
      <c r="I344" s="181">
        <f t="shared" si="45"/>
        <v>138.06985766</v>
      </c>
      <c r="J344" s="181">
        <f t="shared" si="46"/>
        <v>55.045072408459021</v>
      </c>
      <c r="K344" s="362">
        <v>24467</v>
      </c>
      <c r="L344" s="231"/>
      <c r="M344" s="157">
        <v>17493.070144999998</v>
      </c>
      <c r="N344" s="181">
        <f t="shared" si="47"/>
        <v>17493.070144999998</v>
      </c>
      <c r="O344" s="246">
        <f t="shared" si="49"/>
        <v>1.375</v>
      </c>
      <c r="P344" s="246">
        <f t="shared" si="49"/>
        <v>291.78750000000002</v>
      </c>
      <c r="Q344" s="159">
        <v>4200</v>
      </c>
      <c r="R344" s="159">
        <v>1161</v>
      </c>
      <c r="S344" s="363">
        <f t="shared" si="48"/>
        <v>0</v>
      </c>
      <c r="T344" s="271">
        <v>0.39867552079331248</v>
      </c>
    </row>
    <row r="345" spans="1:20" x14ac:dyDescent="0.2">
      <c r="A345" s="147">
        <v>2029</v>
      </c>
      <c r="B345" s="147">
        <v>8</v>
      </c>
      <c r="D345" s="166">
        <v>13.438223433107826</v>
      </c>
      <c r="E345" s="258">
        <f t="shared" si="50"/>
        <v>14.425185392800376</v>
      </c>
      <c r="F345" s="258">
        <f t="shared" si="50"/>
        <v>13.359230496460821</v>
      </c>
      <c r="G345" s="166">
        <v>29.48</v>
      </c>
      <c r="H345" s="148">
        <v>138.06985766</v>
      </c>
      <c r="I345" s="181">
        <f t="shared" si="45"/>
        <v>138.06985766</v>
      </c>
      <c r="J345" s="181">
        <f t="shared" si="46"/>
        <v>55.045072408459021</v>
      </c>
      <c r="K345" s="362">
        <v>24464</v>
      </c>
      <c r="L345" s="231"/>
      <c r="M345" s="157">
        <v>17493.070144999998</v>
      </c>
      <c r="N345" s="181">
        <f t="shared" si="47"/>
        <v>17493.070144999998</v>
      </c>
      <c r="O345" s="246">
        <f t="shared" si="49"/>
        <v>0.35</v>
      </c>
      <c r="P345" s="246">
        <f t="shared" si="49"/>
        <v>311.80250000000001</v>
      </c>
      <c r="Q345" s="159">
        <v>4200</v>
      </c>
      <c r="R345" s="159">
        <v>1161</v>
      </c>
      <c r="S345" s="363">
        <f t="shared" si="48"/>
        <v>0</v>
      </c>
      <c r="T345" s="271">
        <v>0.39867552079331248</v>
      </c>
    </row>
    <row r="346" spans="1:20" x14ac:dyDescent="0.2">
      <c r="A346" s="147">
        <v>2029</v>
      </c>
      <c r="B346" s="147">
        <v>9</v>
      </c>
      <c r="D346" s="166">
        <v>13.438223433107826</v>
      </c>
      <c r="E346" s="258">
        <f t="shared" si="50"/>
        <v>14.425185392800376</v>
      </c>
      <c r="F346" s="258">
        <f t="shared" si="50"/>
        <v>13.359230496460821</v>
      </c>
      <c r="G346" s="166">
        <v>30.57</v>
      </c>
      <c r="H346" s="148">
        <v>138.06985766</v>
      </c>
      <c r="I346" s="181">
        <f t="shared" si="45"/>
        <v>138.06985766</v>
      </c>
      <c r="J346" s="181">
        <f t="shared" si="46"/>
        <v>55.045072408459021</v>
      </c>
      <c r="K346" s="362">
        <v>24461</v>
      </c>
      <c r="L346" s="231"/>
      <c r="M346" s="157">
        <v>17493.070144999998</v>
      </c>
      <c r="N346" s="181">
        <f t="shared" si="47"/>
        <v>17493.070144999998</v>
      </c>
      <c r="O346" s="246">
        <f t="shared" ref="O346:P361" si="51">O334</f>
        <v>8.2974999999999994</v>
      </c>
      <c r="P346" s="246">
        <f t="shared" si="51"/>
        <v>230.68249999999998</v>
      </c>
      <c r="Q346" s="159">
        <v>4200</v>
      </c>
      <c r="R346" s="159">
        <v>1161</v>
      </c>
      <c r="S346" s="363">
        <f t="shared" si="48"/>
        <v>0</v>
      </c>
      <c r="T346" s="271">
        <v>0.39867552079331248</v>
      </c>
    </row>
    <row r="347" spans="1:20" x14ac:dyDescent="0.2">
      <c r="A347" s="147">
        <v>2029</v>
      </c>
      <c r="B347" s="147">
        <v>10</v>
      </c>
      <c r="D347" s="166">
        <v>13.438223433107826</v>
      </c>
      <c r="E347" s="258">
        <f t="shared" si="50"/>
        <v>14.425185392800376</v>
      </c>
      <c r="F347" s="258">
        <f t="shared" si="50"/>
        <v>13.359230496460821</v>
      </c>
      <c r="G347" s="166">
        <v>29.67</v>
      </c>
      <c r="H347" s="148">
        <v>138.06985766</v>
      </c>
      <c r="I347" s="181">
        <f t="shared" si="45"/>
        <v>138.06985766</v>
      </c>
      <c r="J347" s="181">
        <f t="shared" si="46"/>
        <v>55.058459509184331</v>
      </c>
      <c r="K347" s="362">
        <v>24458</v>
      </c>
      <c r="L347" s="231"/>
      <c r="M347" s="157">
        <v>17493.070144999998</v>
      </c>
      <c r="N347" s="181">
        <f t="shared" si="47"/>
        <v>17493.070144999998</v>
      </c>
      <c r="O347" s="246">
        <f t="shared" si="51"/>
        <v>129.8125</v>
      </c>
      <c r="P347" s="246">
        <f t="shared" si="51"/>
        <v>57.779999999999994</v>
      </c>
      <c r="Q347" s="159">
        <v>4200</v>
      </c>
      <c r="R347" s="159">
        <v>1161</v>
      </c>
      <c r="S347" s="363">
        <f t="shared" si="48"/>
        <v>0</v>
      </c>
      <c r="T347" s="271">
        <v>0.3987724796875432</v>
      </c>
    </row>
    <row r="348" spans="1:20" x14ac:dyDescent="0.2">
      <c r="A348" s="147">
        <v>2029</v>
      </c>
      <c r="B348" s="147">
        <v>11</v>
      </c>
      <c r="D348" s="166">
        <v>13.438223433107826</v>
      </c>
      <c r="E348" s="258">
        <f t="shared" si="50"/>
        <v>14.425185392800376</v>
      </c>
      <c r="F348" s="258">
        <f t="shared" si="50"/>
        <v>13.359230496460821</v>
      </c>
      <c r="G348" s="166">
        <v>29.95</v>
      </c>
      <c r="H348" s="148">
        <v>138.06985766</v>
      </c>
      <c r="I348" s="181">
        <f t="shared" si="45"/>
        <v>138.06985766</v>
      </c>
      <c r="J348" s="181">
        <f t="shared" si="46"/>
        <v>55.058459509184331</v>
      </c>
      <c r="K348" s="362">
        <v>24455</v>
      </c>
      <c r="L348" s="231"/>
      <c r="M348" s="157">
        <v>17493.070144999998</v>
      </c>
      <c r="N348" s="181">
        <f t="shared" si="47"/>
        <v>17493.070144999998</v>
      </c>
      <c r="O348" s="246">
        <f t="shared" si="51"/>
        <v>387.90500000000003</v>
      </c>
      <c r="P348" s="246">
        <f t="shared" si="51"/>
        <v>3.9299999999999997</v>
      </c>
      <c r="Q348" s="159">
        <v>4200</v>
      </c>
      <c r="R348" s="159">
        <v>1161</v>
      </c>
      <c r="S348" s="363">
        <f t="shared" si="48"/>
        <v>0</v>
      </c>
      <c r="T348" s="271">
        <v>0.3987724796875432</v>
      </c>
    </row>
    <row r="349" spans="1:20" x14ac:dyDescent="0.2">
      <c r="A349" s="147">
        <v>2029</v>
      </c>
      <c r="B349" s="147">
        <v>12</v>
      </c>
      <c r="D349" s="166">
        <v>13.438223433107826</v>
      </c>
      <c r="E349" s="258">
        <f t="shared" si="50"/>
        <v>14.425185392800376</v>
      </c>
      <c r="F349" s="258">
        <f t="shared" si="50"/>
        <v>13.359230496460821</v>
      </c>
      <c r="G349" s="166">
        <v>31.1</v>
      </c>
      <c r="H349" s="148">
        <v>138.06985766</v>
      </c>
      <c r="I349" s="181">
        <f t="shared" si="45"/>
        <v>138.06985766</v>
      </c>
      <c r="J349" s="181">
        <f t="shared" si="46"/>
        <v>55.058459509184331</v>
      </c>
      <c r="K349" s="362">
        <v>24452</v>
      </c>
      <c r="L349" s="231"/>
      <c r="M349" s="157">
        <v>17493.070144999998</v>
      </c>
      <c r="N349" s="181">
        <f t="shared" si="47"/>
        <v>17493.070144999998</v>
      </c>
      <c r="O349" s="246">
        <f t="shared" si="51"/>
        <v>681.89</v>
      </c>
      <c r="P349" s="246">
        <f t="shared" si="51"/>
        <v>0.1</v>
      </c>
      <c r="Q349" s="159">
        <v>4200</v>
      </c>
      <c r="R349" s="159">
        <v>1161</v>
      </c>
      <c r="S349" s="363">
        <f t="shared" si="48"/>
        <v>0</v>
      </c>
      <c r="T349" s="271">
        <v>0.3987724796875432</v>
      </c>
    </row>
    <row r="350" spans="1:20" x14ac:dyDescent="0.2">
      <c r="A350" s="147">
        <v>2030</v>
      </c>
      <c r="B350" s="147">
        <v>1</v>
      </c>
      <c r="D350" s="166">
        <v>13.77417901893552</v>
      </c>
      <c r="E350" s="258">
        <f t="shared" si="50"/>
        <v>14.713689100656383</v>
      </c>
      <c r="F350" s="258">
        <f t="shared" si="50"/>
        <v>13.626415106390038</v>
      </c>
      <c r="G350" s="166">
        <v>32.71</v>
      </c>
      <c r="H350" s="148">
        <v>138.31084708999998</v>
      </c>
      <c r="I350" s="181">
        <f t="shared" si="45"/>
        <v>138.31084708999998</v>
      </c>
      <c r="J350" s="181">
        <f t="shared" si="46"/>
        <v>55.16956846813266</v>
      </c>
      <c r="K350" s="362">
        <v>24449</v>
      </c>
      <c r="L350" s="231"/>
      <c r="M350" s="157">
        <v>18224.57157</v>
      </c>
      <c r="N350" s="181">
        <f t="shared" si="47"/>
        <v>18224.57157</v>
      </c>
      <c r="O350" s="246">
        <f t="shared" si="51"/>
        <v>918.70499999999993</v>
      </c>
      <c r="P350" s="246">
        <f t="shared" si="51"/>
        <v>0</v>
      </c>
      <c r="Q350" s="159">
        <v>4200</v>
      </c>
      <c r="R350" s="159">
        <v>1161</v>
      </c>
      <c r="S350" s="363">
        <f t="shared" si="48"/>
        <v>0</v>
      </c>
      <c r="T350" s="271">
        <v>0.39888099616824252</v>
      </c>
    </row>
    <row r="351" spans="1:20" x14ac:dyDescent="0.2">
      <c r="A351" s="147">
        <v>2030</v>
      </c>
      <c r="B351" s="147">
        <v>2</v>
      </c>
      <c r="D351" s="166">
        <v>13.77417901893552</v>
      </c>
      <c r="E351" s="258">
        <f t="shared" si="50"/>
        <v>14.713689100656383</v>
      </c>
      <c r="F351" s="258">
        <f t="shared" si="50"/>
        <v>13.626415106390038</v>
      </c>
      <c r="G351" s="166">
        <v>29.9</v>
      </c>
      <c r="H351" s="148">
        <v>138.31084708999998</v>
      </c>
      <c r="I351" s="181">
        <f t="shared" si="45"/>
        <v>138.31084708999998</v>
      </c>
      <c r="J351" s="181">
        <f t="shared" si="46"/>
        <v>55.16956846813266</v>
      </c>
      <c r="K351" s="362">
        <v>24446</v>
      </c>
      <c r="L351" s="231"/>
      <c r="M351" s="157">
        <v>18224.57157</v>
      </c>
      <c r="N351" s="181">
        <f t="shared" si="47"/>
        <v>18224.57157</v>
      </c>
      <c r="O351" s="246">
        <f t="shared" si="51"/>
        <v>796.85749999999996</v>
      </c>
      <c r="P351" s="246">
        <f t="shared" si="51"/>
        <v>0</v>
      </c>
      <c r="Q351" s="159">
        <v>4200</v>
      </c>
      <c r="R351" s="159">
        <v>1161</v>
      </c>
      <c r="S351" s="363">
        <f t="shared" si="48"/>
        <v>0</v>
      </c>
      <c r="T351" s="271">
        <v>0.39888099616824252</v>
      </c>
    </row>
    <row r="352" spans="1:20" x14ac:dyDescent="0.2">
      <c r="A352" s="147">
        <v>2030</v>
      </c>
      <c r="B352" s="147">
        <v>3</v>
      </c>
      <c r="D352" s="166">
        <v>13.77417901893552</v>
      </c>
      <c r="E352" s="258">
        <f t="shared" si="50"/>
        <v>14.713689100656383</v>
      </c>
      <c r="F352" s="258">
        <f t="shared" si="50"/>
        <v>13.626415106390038</v>
      </c>
      <c r="G352" s="166">
        <v>30.33</v>
      </c>
      <c r="H352" s="148">
        <v>138.31084708999998</v>
      </c>
      <c r="I352" s="181">
        <f t="shared" si="45"/>
        <v>138.31084708999998</v>
      </c>
      <c r="J352" s="181">
        <f t="shared" si="46"/>
        <v>55.16956846813266</v>
      </c>
      <c r="K352" s="362">
        <v>24443</v>
      </c>
      <c r="L352" s="231"/>
      <c r="M352" s="157">
        <v>18224.57157</v>
      </c>
      <c r="N352" s="181">
        <f t="shared" si="47"/>
        <v>18224.57157</v>
      </c>
      <c r="O352" s="246">
        <f t="shared" si="51"/>
        <v>645</v>
      </c>
      <c r="P352" s="246">
        <f t="shared" si="51"/>
        <v>0.32500000000000001</v>
      </c>
      <c r="Q352" s="159">
        <v>4200</v>
      </c>
      <c r="R352" s="159">
        <v>1161</v>
      </c>
      <c r="S352" s="363">
        <f t="shared" si="48"/>
        <v>0</v>
      </c>
      <c r="T352" s="271">
        <v>0.39888099616824252</v>
      </c>
    </row>
    <row r="353" spans="1:20" x14ac:dyDescent="0.2">
      <c r="A353" s="147">
        <v>2030</v>
      </c>
      <c r="B353" s="147">
        <v>4</v>
      </c>
      <c r="D353" s="166">
        <v>13.77417901893552</v>
      </c>
      <c r="E353" s="258">
        <f t="shared" si="50"/>
        <v>14.713689100656383</v>
      </c>
      <c r="F353" s="258">
        <f t="shared" si="50"/>
        <v>13.626415106390038</v>
      </c>
      <c r="G353" s="166">
        <v>29.95</v>
      </c>
      <c r="H353" s="148">
        <v>138.31084708999998</v>
      </c>
      <c r="I353" s="181">
        <f t="shared" si="45"/>
        <v>138.31084708999998</v>
      </c>
      <c r="J353" s="181">
        <f t="shared" si="46"/>
        <v>55.186642518658857</v>
      </c>
      <c r="K353" s="362">
        <v>24440</v>
      </c>
      <c r="L353" s="231"/>
      <c r="M353" s="157">
        <v>18224.57157</v>
      </c>
      <c r="N353" s="181">
        <f t="shared" si="47"/>
        <v>18224.57157</v>
      </c>
      <c r="O353" s="246">
        <f t="shared" si="51"/>
        <v>393.33749999999998</v>
      </c>
      <c r="P353" s="246">
        <f t="shared" si="51"/>
        <v>5.6325000000000003</v>
      </c>
      <c r="Q353" s="159">
        <v>4200</v>
      </c>
      <c r="R353" s="159">
        <v>1161</v>
      </c>
      <c r="S353" s="363">
        <f t="shared" si="48"/>
        <v>0</v>
      </c>
      <c r="T353" s="271">
        <v>0.39900444310595873</v>
      </c>
    </row>
    <row r="354" spans="1:20" x14ac:dyDescent="0.2">
      <c r="A354" s="147">
        <v>2030</v>
      </c>
      <c r="B354" s="147">
        <v>5</v>
      </c>
      <c r="D354" s="166">
        <v>13.77417901893552</v>
      </c>
      <c r="E354" s="258">
        <f t="shared" si="50"/>
        <v>14.713689100656383</v>
      </c>
      <c r="F354" s="258">
        <f t="shared" si="50"/>
        <v>13.626415106390038</v>
      </c>
      <c r="G354" s="166">
        <v>30.38</v>
      </c>
      <c r="H354" s="148">
        <v>138.31084708999998</v>
      </c>
      <c r="I354" s="181">
        <f t="shared" si="45"/>
        <v>138.31084708999998</v>
      </c>
      <c r="J354" s="181">
        <f t="shared" si="46"/>
        <v>55.186642518658857</v>
      </c>
      <c r="K354" s="362">
        <v>24437</v>
      </c>
      <c r="L354" s="231"/>
      <c r="M354" s="157">
        <v>18224.57157</v>
      </c>
      <c r="N354" s="181">
        <f t="shared" si="47"/>
        <v>18224.57157</v>
      </c>
      <c r="O354" s="246">
        <f t="shared" si="51"/>
        <v>170.59</v>
      </c>
      <c r="P354" s="246">
        <f t="shared" si="51"/>
        <v>35.347500000000004</v>
      </c>
      <c r="Q354" s="159">
        <v>4200</v>
      </c>
      <c r="R354" s="159">
        <v>1161</v>
      </c>
      <c r="S354" s="363">
        <f t="shared" si="48"/>
        <v>0</v>
      </c>
      <c r="T354" s="271">
        <v>0.39900444310595873</v>
      </c>
    </row>
    <row r="355" spans="1:20" x14ac:dyDescent="0.2">
      <c r="A355" s="147">
        <v>2030</v>
      </c>
      <c r="B355" s="147">
        <v>6</v>
      </c>
      <c r="D355" s="166">
        <v>13.77417901893552</v>
      </c>
      <c r="E355" s="258">
        <f t="shared" ref="E355:F370" si="52">E343*(1+0.02)</f>
        <v>14.713689100656383</v>
      </c>
      <c r="F355" s="258">
        <f t="shared" si="52"/>
        <v>13.626415106390038</v>
      </c>
      <c r="G355" s="166">
        <v>30.67</v>
      </c>
      <c r="H355" s="148">
        <v>138.31084708999998</v>
      </c>
      <c r="I355" s="181">
        <f t="shared" si="45"/>
        <v>138.31084708999998</v>
      </c>
      <c r="J355" s="181">
        <f t="shared" si="46"/>
        <v>55.186642518658857</v>
      </c>
      <c r="K355" s="362">
        <v>24434</v>
      </c>
      <c r="L355" s="231"/>
      <c r="M355" s="157">
        <v>18224.57157</v>
      </c>
      <c r="N355" s="181">
        <f t="shared" si="47"/>
        <v>18224.57157</v>
      </c>
      <c r="O355" s="246">
        <f t="shared" si="51"/>
        <v>42.912500000000001</v>
      </c>
      <c r="P355" s="246">
        <f t="shared" si="51"/>
        <v>148.8475</v>
      </c>
      <c r="Q355" s="159">
        <v>4200</v>
      </c>
      <c r="R355" s="159">
        <v>1161</v>
      </c>
      <c r="S355" s="363">
        <f t="shared" si="48"/>
        <v>0</v>
      </c>
      <c r="T355" s="271">
        <v>0.39900444310595873</v>
      </c>
    </row>
    <row r="356" spans="1:20" x14ac:dyDescent="0.2">
      <c r="A356" s="147">
        <v>2030</v>
      </c>
      <c r="B356" s="147">
        <v>7</v>
      </c>
      <c r="D356" s="166">
        <v>13.77417901893552</v>
      </c>
      <c r="E356" s="258">
        <f t="shared" si="52"/>
        <v>14.713689100656383</v>
      </c>
      <c r="F356" s="258">
        <f t="shared" si="52"/>
        <v>13.626415106390038</v>
      </c>
      <c r="G356" s="166">
        <v>30.67</v>
      </c>
      <c r="H356" s="148">
        <v>138.31084708999998</v>
      </c>
      <c r="I356" s="181">
        <f t="shared" si="45"/>
        <v>138.31084708999998</v>
      </c>
      <c r="J356" s="181">
        <f t="shared" si="46"/>
        <v>55.20332618639673</v>
      </c>
      <c r="K356" s="362">
        <v>24431</v>
      </c>
      <c r="L356" s="231"/>
      <c r="M356" s="157">
        <v>18224.57157</v>
      </c>
      <c r="N356" s="181">
        <f t="shared" si="47"/>
        <v>18224.57157</v>
      </c>
      <c r="O356" s="246">
        <f t="shared" si="51"/>
        <v>1.375</v>
      </c>
      <c r="P356" s="246">
        <f t="shared" si="51"/>
        <v>291.78750000000002</v>
      </c>
      <c r="Q356" s="159">
        <v>4200</v>
      </c>
      <c r="R356" s="159">
        <v>1161</v>
      </c>
      <c r="S356" s="363">
        <f t="shared" si="48"/>
        <v>0</v>
      </c>
      <c r="T356" s="271">
        <v>0.39912506754062088</v>
      </c>
    </row>
    <row r="357" spans="1:20" x14ac:dyDescent="0.2">
      <c r="A357" s="147">
        <v>2030</v>
      </c>
      <c r="B357" s="147">
        <v>8</v>
      </c>
      <c r="D357" s="166">
        <v>13.77417901893552</v>
      </c>
      <c r="E357" s="258">
        <f t="shared" si="52"/>
        <v>14.713689100656383</v>
      </c>
      <c r="F357" s="258">
        <f t="shared" si="52"/>
        <v>13.626415106390038</v>
      </c>
      <c r="G357" s="166">
        <v>29.48</v>
      </c>
      <c r="H357" s="148">
        <v>138.31084708999998</v>
      </c>
      <c r="I357" s="181">
        <f t="shared" si="45"/>
        <v>138.31084708999998</v>
      </c>
      <c r="J357" s="181">
        <f t="shared" si="46"/>
        <v>55.20332618639673</v>
      </c>
      <c r="K357" s="362">
        <v>24428</v>
      </c>
      <c r="L357" s="231"/>
      <c r="M357" s="157">
        <v>18224.57157</v>
      </c>
      <c r="N357" s="181">
        <f t="shared" si="47"/>
        <v>18224.57157</v>
      </c>
      <c r="O357" s="246">
        <f t="shared" si="51"/>
        <v>0.35</v>
      </c>
      <c r="P357" s="246">
        <f t="shared" si="51"/>
        <v>311.80250000000001</v>
      </c>
      <c r="Q357" s="159">
        <v>4200</v>
      </c>
      <c r="R357" s="159">
        <v>1161</v>
      </c>
      <c r="S357" s="363">
        <f t="shared" si="48"/>
        <v>0</v>
      </c>
      <c r="T357" s="271">
        <v>0.39912506754062088</v>
      </c>
    </row>
    <row r="358" spans="1:20" x14ac:dyDescent="0.2">
      <c r="A358" s="147">
        <v>2030</v>
      </c>
      <c r="B358" s="147">
        <v>9</v>
      </c>
      <c r="D358" s="166">
        <v>13.77417901893552</v>
      </c>
      <c r="E358" s="258">
        <f t="shared" si="52"/>
        <v>14.713689100656383</v>
      </c>
      <c r="F358" s="258">
        <f t="shared" si="52"/>
        <v>13.626415106390038</v>
      </c>
      <c r="G358" s="166">
        <v>30.71</v>
      </c>
      <c r="H358" s="148">
        <v>138.31084708999998</v>
      </c>
      <c r="I358" s="181">
        <f t="shared" si="45"/>
        <v>138.31084708999998</v>
      </c>
      <c r="J358" s="181">
        <f t="shared" si="46"/>
        <v>55.20332618639673</v>
      </c>
      <c r="K358" s="362">
        <v>24425</v>
      </c>
      <c r="L358" s="231"/>
      <c r="M358" s="157">
        <v>18224.57157</v>
      </c>
      <c r="N358" s="181">
        <f t="shared" si="47"/>
        <v>18224.57157</v>
      </c>
      <c r="O358" s="246">
        <f t="shared" si="51"/>
        <v>8.2974999999999994</v>
      </c>
      <c r="P358" s="246">
        <f t="shared" si="51"/>
        <v>230.68249999999998</v>
      </c>
      <c r="Q358" s="159">
        <v>4200</v>
      </c>
      <c r="R358" s="159">
        <v>1161</v>
      </c>
      <c r="S358" s="363">
        <f t="shared" si="48"/>
        <v>0</v>
      </c>
      <c r="T358" s="271">
        <v>0.39912506754062088</v>
      </c>
    </row>
    <row r="359" spans="1:20" x14ac:dyDescent="0.2">
      <c r="A359" s="147">
        <v>2030</v>
      </c>
      <c r="B359" s="147">
        <v>10</v>
      </c>
      <c r="D359" s="166">
        <v>13.77417901893552</v>
      </c>
      <c r="E359" s="258">
        <f t="shared" si="52"/>
        <v>14.713689100656383</v>
      </c>
      <c r="F359" s="258">
        <f t="shared" si="52"/>
        <v>13.626415106390038</v>
      </c>
      <c r="G359" s="166">
        <v>29.52</v>
      </c>
      <c r="H359" s="148">
        <v>138.31084708999998</v>
      </c>
      <c r="I359" s="181">
        <f t="shared" si="45"/>
        <v>138.31084708999998</v>
      </c>
      <c r="J359" s="181">
        <f t="shared" si="46"/>
        <v>55.219310327328792</v>
      </c>
      <c r="K359" s="362">
        <v>24422</v>
      </c>
      <c r="L359" s="231"/>
      <c r="M359" s="157">
        <v>18224.57157</v>
      </c>
      <c r="N359" s="181">
        <f t="shared" si="47"/>
        <v>18224.57157</v>
      </c>
      <c r="O359" s="246">
        <f t="shared" si="51"/>
        <v>129.8125</v>
      </c>
      <c r="P359" s="246">
        <f t="shared" si="51"/>
        <v>57.779999999999994</v>
      </c>
      <c r="Q359" s="159">
        <v>4200</v>
      </c>
      <c r="R359" s="159">
        <v>1161</v>
      </c>
      <c r="S359" s="363">
        <f t="shared" si="48"/>
        <v>0</v>
      </c>
      <c r="T359" s="271">
        <v>0.39924063433287443</v>
      </c>
    </row>
    <row r="360" spans="1:20" x14ac:dyDescent="0.2">
      <c r="A360" s="147">
        <v>2030</v>
      </c>
      <c r="B360" s="147">
        <v>11</v>
      </c>
      <c r="D360" s="166">
        <v>13.77417901893552</v>
      </c>
      <c r="E360" s="258">
        <f t="shared" si="52"/>
        <v>14.713689100656383</v>
      </c>
      <c r="F360" s="258">
        <f t="shared" si="52"/>
        <v>13.626415106390038</v>
      </c>
      <c r="G360" s="166">
        <v>29.38</v>
      </c>
      <c r="H360" s="148">
        <v>138.31084708999998</v>
      </c>
      <c r="I360" s="181">
        <f t="shared" si="45"/>
        <v>138.31084708999998</v>
      </c>
      <c r="J360" s="181">
        <f t="shared" si="46"/>
        <v>55.219310327328792</v>
      </c>
      <c r="K360" s="362">
        <v>24419</v>
      </c>
      <c r="L360" s="231"/>
      <c r="M360" s="157">
        <v>18224.57157</v>
      </c>
      <c r="N360" s="181">
        <f t="shared" si="47"/>
        <v>18224.57157</v>
      </c>
      <c r="O360" s="246">
        <f t="shared" si="51"/>
        <v>387.90500000000003</v>
      </c>
      <c r="P360" s="246">
        <f t="shared" si="51"/>
        <v>3.9299999999999997</v>
      </c>
      <c r="Q360" s="159">
        <v>4200</v>
      </c>
      <c r="R360" s="159">
        <v>1161</v>
      </c>
      <c r="S360" s="363">
        <f t="shared" si="48"/>
        <v>0</v>
      </c>
      <c r="T360" s="271">
        <v>0.39924063433287443</v>
      </c>
    </row>
    <row r="361" spans="1:20" x14ac:dyDescent="0.2">
      <c r="A361" s="147">
        <v>2030</v>
      </c>
      <c r="B361" s="147">
        <v>12</v>
      </c>
      <c r="D361" s="166">
        <v>13.77417901893552</v>
      </c>
      <c r="E361" s="258">
        <f t="shared" si="52"/>
        <v>14.713689100656383</v>
      </c>
      <c r="F361" s="258">
        <f t="shared" si="52"/>
        <v>13.626415106390038</v>
      </c>
      <c r="G361" s="166">
        <v>32.049999999999997</v>
      </c>
      <c r="H361" s="148">
        <v>138.31084708999998</v>
      </c>
      <c r="I361" s="181">
        <f t="shared" si="45"/>
        <v>138.31084708999998</v>
      </c>
      <c r="J361" s="181">
        <f t="shared" si="46"/>
        <v>55.219310327328792</v>
      </c>
      <c r="K361" s="362">
        <v>24416</v>
      </c>
      <c r="L361" s="231"/>
      <c r="M361" s="157">
        <v>18224.57157</v>
      </c>
      <c r="N361" s="181">
        <f t="shared" si="47"/>
        <v>18224.57157</v>
      </c>
      <c r="O361" s="246">
        <f t="shared" si="51"/>
        <v>681.89</v>
      </c>
      <c r="P361" s="246">
        <f t="shared" si="51"/>
        <v>0.1</v>
      </c>
      <c r="Q361" s="159">
        <v>4200</v>
      </c>
      <c r="R361" s="159">
        <v>1161</v>
      </c>
      <c r="S361" s="363">
        <f t="shared" si="48"/>
        <v>0</v>
      </c>
      <c r="T361" s="271">
        <v>0.39924063433287443</v>
      </c>
    </row>
    <row r="362" spans="1:20" x14ac:dyDescent="0.2">
      <c r="A362" s="147">
        <v>2031</v>
      </c>
      <c r="B362" s="147">
        <v>1</v>
      </c>
      <c r="D362" s="166">
        <v>14.118533494408908</v>
      </c>
      <c r="E362" s="258">
        <f t="shared" si="52"/>
        <v>15.007962882669512</v>
      </c>
      <c r="F362" s="258">
        <f t="shared" si="52"/>
        <v>13.898943408517839</v>
      </c>
      <c r="G362" s="166">
        <v>32.33</v>
      </c>
      <c r="H362" s="148">
        <v>138.52437333</v>
      </c>
      <c r="I362" s="181">
        <f t="shared" si="45"/>
        <v>138.52437333</v>
      </c>
      <c r="J362" s="181">
        <f t="shared" si="46"/>
        <v>55.319681793916921</v>
      </c>
      <c r="K362" s="362">
        <v>24413</v>
      </c>
      <c r="L362" s="231"/>
      <c r="M362" s="157">
        <v>18965.416546</v>
      </c>
      <c r="N362" s="181">
        <f t="shared" si="47"/>
        <v>18965.416546</v>
      </c>
      <c r="O362" s="246">
        <f t="shared" ref="O362:P377" si="53">O350</f>
        <v>918.70499999999993</v>
      </c>
      <c r="P362" s="246">
        <f t="shared" si="53"/>
        <v>0</v>
      </c>
      <c r="Q362" s="159">
        <v>4200</v>
      </c>
      <c r="R362" s="159">
        <v>1161</v>
      </c>
      <c r="S362" s="363">
        <f t="shared" si="48"/>
        <v>0</v>
      </c>
      <c r="T362" s="271">
        <v>0.3993498072872092</v>
      </c>
    </row>
    <row r="363" spans="1:20" x14ac:dyDescent="0.2">
      <c r="A363" s="147">
        <v>2031</v>
      </c>
      <c r="B363" s="147">
        <v>2</v>
      </c>
      <c r="D363" s="166">
        <v>14.118533494408908</v>
      </c>
      <c r="E363" s="258">
        <f t="shared" si="52"/>
        <v>15.007962882669512</v>
      </c>
      <c r="F363" s="258">
        <f t="shared" si="52"/>
        <v>13.898943408517839</v>
      </c>
      <c r="G363" s="166">
        <v>30.05</v>
      </c>
      <c r="H363" s="148">
        <v>138.52437333</v>
      </c>
      <c r="I363" s="181">
        <f t="shared" si="45"/>
        <v>138.52437333</v>
      </c>
      <c r="J363" s="181">
        <f t="shared" si="46"/>
        <v>55.319681793916921</v>
      </c>
      <c r="K363" s="362">
        <v>24410</v>
      </c>
      <c r="L363" s="231"/>
      <c r="M363" s="157">
        <v>18965.416546</v>
      </c>
      <c r="N363" s="181">
        <f t="shared" si="47"/>
        <v>18965.416546</v>
      </c>
      <c r="O363" s="246">
        <f t="shared" si="53"/>
        <v>796.85749999999996</v>
      </c>
      <c r="P363" s="246">
        <f t="shared" si="53"/>
        <v>0</v>
      </c>
      <c r="Q363" s="159">
        <v>4200</v>
      </c>
      <c r="R363" s="159">
        <v>1161</v>
      </c>
      <c r="S363" s="363">
        <f t="shared" si="48"/>
        <v>0</v>
      </c>
      <c r="T363" s="271">
        <v>0.3993498072872092</v>
      </c>
    </row>
    <row r="364" spans="1:20" x14ac:dyDescent="0.2">
      <c r="A364" s="147">
        <v>2031</v>
      </c>
      <c r="B364" s="147">
        <v>3</v>
      </c>
      <c r="D364" s="166">
        <v>14.118533494408908</v>
      </c>
      <c r="E364" s="258">
        <f t="shared" si="52"/>
        <v>15.007962882669512</v>
      </c>
      <c r="F364" s="258">
        <f t="shared" si="52"/>
        <v>13.898943408517839</v>
      </c>
      <c r="G364" s="166">
        <v>30.19</v>
      </c>
      <c r="H364" s="148">
        <v>138.52437333</v>
      </c>
      <c r="I364" s="181">
        <f t="shared" si="45"/>
        <v>138.52437333</v>
      </c>
      <c r="J364" s="181">
        <f t="shared" si="46"/>
        <v>55.319681793916921</v>
      </c>
      <c r="K364" s="362">
        <v>24407</v>
      </c>
      <c r="L364" s="231"/>
      <c r="M364" s="157">
        <v>18965.416546</v>
      </c>
      <c r="N364" s="181">
        <f t="shared" si="47"/>
        <v>18965.416546</v>
      </c>
      <c r="O364" s="246">
        <f t="shared" si="53"/>
        <v>645</v>
      </c>
      <c r="P364" s="246">
        <f t="shared" si="53"/>
        <v>0.32500000000000001</v>
      </c>
      <c r="Q364" s="159">
        <v>4200</v>
      </c>
      <c r="R364" s="159">
        <v>1161</v>
      </c>
      <c r="S364" s="363">
        <f t="shared" si="48"/>
        <v>0</v>
      </c>
      <c r="T364" s="271">
        <v>0.3993498072872092</v>
      </c>
    </row>
    <row r="365" spans="1:20" x14ac:dyDescent="0.2">
      <c r="A365" s="147">
        <v>2031</v>
      </c>
      <c r="B365" s="147">
        <v>4</v>
      </c>
      <c r="D365" s="166">
        <v>14.118533494408908</v>
      </c>
      <c r="E365" s="258">
        <f t="shared" si="52"/>
        <v>15.007962882669512</v>
      </c>
      <c r="F365" s="258">
        <f t="shared" si="52"/>
        <v>13.898943408517839</v>
      </c>
      <c r="G365" s="166">
        <v>30.33</v>
      </c>
      <c r="H365" s="148">
        <v>138.52437333</v>
      </c>
      <c r="I365" s="181">
        <f t="shared" si="45"/>
        <v>138.52437333</v>
      </c>
      <c r="J365" s="181">
        <f t="shared" si="46"/>
        <v>55.334705201336135</v>
      </c>
      <c r="K365" s="362">
        <v>24404</v>
      </c>
      <c r="L365" s="231"/>
      <c r="M365" s="157">
        <v>18965.416546</v>
      </c>
      <c r="N365" s="181">
        <f t="shared" si="47"/>
        <v>18965.416546</v>
      </c>
      <c r="O365" s="246">
        <f t="shared" si="53"/>
        <v>393.33749999999998</v>
      </c>
      <c r="P365" s="246">
        <f t="shared" si="53"/>
        <v>5.6325000000000003</v>
      </c>
      <c r="Q365" s="159">
        <v>4200</v>
      </c>
      <c r="R365" s="159">
        <v>1161</v>
      </c>
      <c r="S365" s="363">
        <f t="shared" si="48"/>
        <v>0</v>
      </c>
      <c r="T365" s="271">
        <v>0.39945826045727639</v>
      </c>
    </row>
    <row r="366" spans="1:20" x14ac:dyDescent="0.2">
      <c r="A366" s="147">
        <v>2031</v>
      </c>
      <c r="B366" s="147">
        <v>5</v>
      </c>
      <c r="D366" s="166">
        <v>14.118533494408908</v>
      </c>
      <c r="E366" s="258">
        <f t="shared" si="52"/>
        <v>15.007962882669512</v>
      </c>
      <c r="F366" s="258">
        <f t="shared" si="52"/>
        <v>13.898943408517839</v>
      </c>
      <c r="G366" s="166">
        <v>30.14</v>
      </c>
      <c r="H366" s="148">
        <v>138.52437333</v>
      </c>
      <c r="I366" s="181">
        <f t="shared" si="45"/>
        <v>138.52437333</v>
      </c>
      <c r="J366" s="181">
        <f t="shared" si="46"/>
        <v>55.334705201336135</v>
      </c>
      <c r="K366" s="362">
        <v>24401</v>
      </c>
      <c r="L366" s="231"/>
      <c r="M366" s="157">
        <v>18965.416546</v>
      </c>
      <c r="N366" s="181">
        <f t="shared" si="47"/>
        <v>18965.416546</v>
      </c>
      <c r="O366" s="246">
        <f t="shared" si="53"/>
        <v>170.59</v>
      </c>
      <c r="P366" s="246">
        <f t="shared" si="53"/>
        <v>35.347500000000004</v>
      </c>
      <c r="Q366" s="159">
        <v>4200</v>
      </c>
      <c r="R366" s="159">
        <v>1161</v>
      </c>
      <c r="S366" s="363">
        <f t="shared" si="48"/>
        <v>0</v>
      </c>
      <c r="T366" s="271">
        <v>0.39945826045727639</v>
      </c>
    </row>
    <row r="367" spans="1:20" x14ac:dyDescent="0.2">
      <c r="A367" s="147">
        <v>2031</v>
      </c>
      <c r="B367" s="147">
        <v>6</v>
      </c>
      <c r="D367" s="166">
        <v>14.118533494408908</v>
      </c>
      <c r="E367" s="258">
        <f t="shared" si="52"/>
        <v>15.007962882669512</v>
      </c>
      <c r="F367" s="258">
        <f t="shared" si="52"/>
        <v>13.898943408517839</v>
      </c>
      <c r="G367" s="166">
        <v>30.52</v>
      </c>
      <c r="H367" s="148">
        <v>138.52437333</v>
      </c>
      <c r="I367" s="181">
        <f t="shared" si="45"/>
        <v>138.52437333</v>
      </c>
      <c r="J367" s="181">
        <f t="shared" si="46"/>
        <v>55.334705201336135</v>
      </c>
      <c r="K367" s="362">
        <v>24398</v>
      </c>
      <c r="L367" s="231"/>
      <c r="M367" s="157">
        <v>18965.416546</v>
      </c>
      <c r="N367" s="181">
        <f t="shared" si="47"/>
        <v>18965.416546</v>
      </c>
      <c r="O367" s="246">
        <f t="shared" si="53"/>
        <v>42.912500000000001</v>
      </c>
      <c r="P367" s="246">
        <f t="shared" si="53"/>
        <v>148.8475</v>
      </c>
      <c r="Q367" s="159">
        <v>4200</v>
      </c>
      <c r="R367" s="159">
        <v>1161</v>
      </c>
      <c r="S367" s="363">
        <f t="shared" si="48"/>
        <v>0</v>
      </c>
      <c r="T367" s="271">
        <v>0.39945826045727639</v>
      </c>
    </row>
    <row r="368" spans="1:20" x14ac:dyDescent="0.2">
      <c r="A368" s="147">
        <v>2031</v>
      </c>
      <c r="B368" s="147">
        <v>7</v>
      </c>
      <c r="D368" s="166">
        <v>14.118533494408908</v>
      </c>
      <c r="E368" s="258">
        <f t="shared" si="52"/>
        <v>15.007962882669512</v>
      </c>
      <c r="F368" s="258">
        <f t="shared" si="52"/>
        <v>13.898943408517839</v>
      </c>
      <c r="G368" s="166">
        <v>30.67</v>
      </c>
      <c r="H368" s="148">
        <v>138.52437333</v>
      </c>
      <c r="I368" s="181">
        <f t="shared" si="45"/>
        <v>138.52437333</v>
      </c>
      <c r="J368" s="181">
        <f t="shared" si="46"/>
        <v>55.349275385173193</v>
      </c>
      <c r="K368" s="362">
        <v>24395</v>
      </c>
      <c r="L368" s="231"/>
      <c r="M368" s="157">
        <v>18965.416546</v>
      </c>
      <c r="N368" s="181">
        <f t="shared" si="47"/>
        <v>18965.416546</v>
      </c>
      <c r="O368" s="246">
        <f t="shared" si="53"/>
        <v>1.375</v>
      </c>
      <c r="P368" s="246">
        <f t="shared" si="53"/>
        <v>291.78750000000002</v>
      </c>
      <c r="Q368" s="159">
        <v>4200</v>
      </c>
      <c r="R368" s="159">
        <v>1161</v>
      </c>
      <c r="S368" s="363">
        <f t="shared" si="48"/>
        <v>0</v>
      </c>
      <c r="T368" s="271">
        <v>0.39956344183068243</v>
      </c>
    </row>
    <row r="369" spans="1:20" x14ac:dyDescent="0.2">
      <c r="A369" s="147">
        <v>2031</v>
      </c>
      <c r="B369" s="147">
        <v>8</v>
      </c>
      <c r="D369" s="166">
        <v>14.118533494408908</v>
      </c>
      <c r="E369" s="258">
        <f t="shared" si="52"/>
        <v>15.007962882669512</v>
      </c>
      <c r="F369" s="258">
        <f t="shared" si="52"/>
        <v>13.898943408517839</v>
      </c>
      <c r="G369" s="166">
        <v>29.48</v>
      </c>
      <c r="H369" s="148">
        <v>138.52437333</v>
      </c>
      <c r="I369" s="181">
        <f t="shared" si="45"/>
        <v>138.52437333</v>
      </c>
      <c r="J369" s="181">
        <f t="shared" si="46"/>
        <v>55.349275385173193</v>
      </c>
      <c r="K369" s="362">
        <v>24392</v>
      </c>
      <c r="L369" s="231"/>
      <c r="M369" s="157">
        <v>18965.416546</v>
      </c>
      <c r="N369" s="181">
        <f t="shared" si="47"/>
        <v>18965.416546</v>
      </c>
      <c r="O369" s="246">
        <f t="shared" si="53"/>
        <v>0.35</v>
      </c>
      <c r="P369" s="246">
        <f t="shared" si="53"/>
        <v>311.80250000000001</v>
      </c>
      <c r="Q369" s="159">
        <v>4200</v>
      </c>
      <c r="R369" s="159">
        <v>1161</v>
      </c>
      <c r="S369" s="363">
        <f t="shared" si="48"/>
        <v>0</v>
      </c>
      <c r="T369" s="271">
        <v>0.39956344183068243</v>
      </c>
    </row>
    <row r="370" spans="1:20" x14ac:dyDescent="0.2">
      <c r="A370" s="147">
        <v>2031</v>
      </c>
      <c r="B370" s="147">
        <v>9</v>
      </c>
      <c r="D370" s="166">
        <v>14.118533494408908</v>
      </c>
      <c r="E370" s="258">
        <f t="shared" si="52"/>
        <v>15.007962882669512</v>
      </c>
      <c r="F370" s="258">
        <f t="shared" si="52"/>
        <v>13.898943408517839</v>
      </c>
      <c r="G370" s="166">
        <v>30.86</v>
      </c>
      <c r="H370" s="148">
        <v>138.52437333</v>
      </c>
      <c r="I370" s="181">
        <f t="shared" si="45"/>
        <v>138.52437333</v>
      </c>
      <c r="J370" s="181">
        <f t="shared" si="46"/>
        <v>55.349275385173193</v>
      </c>
      <c r="K370" s="362">
        <v>24389</v>
      </c>
      <c r="L370" s="231"/>
      <c r="M370" s="157">
        <v>18965.416546</v>
      </c>
      <c r="N370" s="181">
        <f t="shared" si="47"/>
        <v>18965.416546</v>
      </c>
      <c r="O370" s="246">
        <f t="shared" si="53"/>
        <v>8.2974999999999994</v>
      </c>
      <c r="P370" s="246">
        <f t="shared" si="53"/>
        <v>230.68249999999998</v>
      </c>
      <c r="Q370" s="159">
        <v>4200</v>
      </c>
      <c r="R370" s="159">
        <v>1161</v>
      </c>
      <c r="S370" s="363">
        <f t="shared" si="48"/>
        <v>0</v>
      </c>
      <c r="T370" s="271">
        <v>0.39956344183068243</v>
      </c>
    </row>
    <row r="371" spans="1:20" x14ac:dyDescent="0.2">
      <c r="A371" s="147">
        <v>2031</v>
      </c>
      <c r="B371" s="147">
        <v>10</v>
      </c>
      <c r="D371" s="166">
        <v>14.118533494408908</v>
      </c>
      <c r="E371" s="258">
        <f t="shared" ref="E371:F386" si="54">E359*(1+0.02)</f>
        <v>15.007962882669512</v>
      </c>
      <c r="F371" s="258">
        <f t="shared" si="54"/>
        <v>13.898943408517839</v>
      </c>
      <c r="G371" s="166">
        <v>29.38</v>
      </c>
      <c r="H371" s="148">
        <v>138.52437333</v>
      </c>
      <c r="I371" s="181">
        <f t="shared" si="45"/>
        <v>138.52437333</v>
      </c>
      <c r="J371" s="181">
        <f t="shared" si="46"/>
        <v>55.364295457438786</v>
      </c>
      <c r="K371" s="362">
        <v>24386</v>
      </c>
      <c r="L371" s="231"/>
      <c r="M371" s="157">
        <v>18965.416546</v>
      </c>
      <c r="N371" s="181">
        <f t="shared" si="47"/>
        <v>18965.416546</v>
      </c>
      <c r="O371" s="246">
        <f t="shared" si="53"/>
        <v>129.8125</v>
      </c>
      <c r="P371" s="246">
        <f t="shared" si="53"/>
        <v>57.779999999999994</v>
      </c>
      <c r="Q371" s="159">
        <v>4200</v>
      </c>
      <c r="R371" s="159">
        <v>1161</v>
      </c>
      <c r="S371" s="363">
        <f t="shared" si="48"/>
        <v>0</v>
      </c>
      <c r="T371" s="271">
        <v>0.39967187092445505</v>
      </c>
    </row>
    <row r="372" spans="1:20" x14ac:dyDescent="0.2">
      <c r="A372" s="147">
        <v>2031</v>
      </c>
      <c r="B372" s="147">
        <v>11</v>
      </c>
      <c r="D372" s="166">
        <v>14.118533494408908</v>
      </c>
      <c r="E372" s="258">
        <f t="shared" si="54"/>
        <v>15.007962882669512</v>
      </c>
      <c r="F372" s="258">
        <f t="shared" si="54"/>
        <v>13.898943408517839</v>
      </c>
      <c r="G372" s="166">
        <v>29.57</v>
      </c>
      <c r="H372" s="148">
        <v>138.52437333</v>
      </c>
      <c r="I372" s="181">
        <f t="shared" si="45"/>
        <v>138.52437333</v>
      </c>
      <c r="J372" s="181">
        <f t="shared" si="46"/>
        <v>55.364295457438786</v>
      </c>
      <c r="K372" s="362">
        <v>24383</v>
      </c>
      <c r="L372" s="231"/>
      <c r="M372" s="157">
        <v>18965.416546</v>
      </c>
      <c r="N372" s="181">
        <f t="shared" si="47"/>
        <v>18965.416546</v>
      </c>
      <c r="O372" s="246">
        <f t="shared" si="53"/>
        <v>387.90500000000003</v>
      </c>
      <c r="P372" s="246">
        <f t="shared" si="53"/>
        <v>3.9299999999999997</v>
      </c>
      <c r="Q372" s="159">
        <v>4200</v>
      </c>
      <c r="R372" s="159">
        <v>1161</v>
      </c>
      <c r="S372" s="363">
        <f t="shared" si="48"/>
        <v>0</v>
      </c>
      <c r="T372" s="271">
        <v>0.39967187092445505</v>
      </c>
    </row>
    <row r="373" spans="1:20" x14ac:dyDescent="0.2">
      <c r="A373" s="147">
        <v>2031</v>
      </c>
      <c r="B373" s="147">
        <v>12</v>
      </c>
      <c r="D373" s="166">
        <v>14.118533494408908</v>
      </c>
      <c r="E373" s="258">
        <f t="shared" si="54"/>
        <v>15.007962882669512</v>
      </c>
      <c r="F373" s="258">
        <f t="shared" si="54"/>
        <v>13.898943408517839</v>
      </c>
      <c r="G373" s="166">
        <v>31.81</v>
      </c>
      <c r="H373" s="148">
        <v>138.52437333</v>
      </c>
      <c r="I373" s="181">
        <f t="shared" si="45"/>
        <v>138.52437333</v>
      </c>
      <c r="J373" s="181">
        <f t="shared" si="46"/>
        <v>55.364295457438786</v>
      </c>
      <c r="K373" s="362">
        <v>24380</v>
      </c>
      <c r="L373" s="231"/>
      <c r="M373" s="157">
        <v>18965.416546</v>
      </c>
      <c r="N373" s="181">
        <f t="shared" si="47"/>
        <v>18965.416546</v>
      </c>
      <c r="O373" s="246">
        <f t="shared" si="53"/>
        <v>681.89</v>
      </c>
      <c r="P373" s="246">
        <f t="shared" si="53"/>
        <v>0.1</v>
      </c>
      <c r="Q373" s="159">
        <v>4200</v>
      </c>
      <c r="R373" s="159">
        <v>1161</v>
      </c>
      <c r="S373" s="363">
        <f t="shared" si="48"/>
        <v>0</v>
      </c>
      <c r="T373" s="271">
        <v>0.39967187092445505</v>
      </c>
    </row>
    <row r="374" spans="1:20" x14ac:dyDescent="0.2">
      <c r="A374" s="147">
        <v>2032</v>
      </c>
      <c r="B374" s="147">
        <v>1</v>
      </c>
      <c r="D374" s="166">
        <v>14.471496831769128</v>
      </c>
      <c r="E374" s="258">
        <f t="shared" si="54"/>
        <v>15.308122140322903</v>
      </c>
      <c r="F374" s="258">
        <f t="shared" si="54"/>
        <v>14.176922276688197</v>
      </c>
      <c r="G374" s="166">
        <v>32.380000000000003</v>
      </c>
      <c r="H374" s="148">
        <v>138.70386191</v>
      </c>
      <c r="I374" s="181">
        <f t="shared" si="45"/>
        <v>138.70386191</v>
      </c>
      <c r="J374" s="181">
        <f t="shared" si="46"/>
        <v>55.450862655425766</v>
      </c>
      <c r="K374" s="362">
        <v>24377</v>
      </c>
      <c r="L374" s="231"/>
      <c r="M374" s="157">
        <v>19721.552056</v>
      </c>
      <c r="N374" s="181">
        <f t="shared" si="47"/>
        <v>19721.552056</v>
      </c>
      <c r="O374" s="246">
        <f t="shared" si="53"/>
        <v>918.70499999999993</v>
      </c>
      <c r="P374" s="246">
        <f t="shared" si="53"/>
        <v>0</v>
      </c>
      <c r="Q374" s="159">
        <v>4200</v>
      </c>
      <c r="R374" s="159">
        <v>1161</v>
      </c>
      <c r="S374" s="363">
        <f t="shared" si="48"/>
        <v>0</v>
      </c>
      <c r="T374" s="271">
        <v>0.39977879412907663</v>
      </c>
    </row>
    <row r="375" spans="1:20" x14ac:dyDescent="0.2">
      <c r="A375" s="147">
        <v>2032</v>
      </c>
      <c r="B375" s="147">
        <v>2</v>
      </c>
      <c r="D375" s="166">
        <v>14.471496831769128</v>
      </c>
      <c r="E375" s="258">
        <f t="shared" si="54"/>
        <v>15.308122140322903</v>
      </c>
      <c r="F375" s="258">
        <f t="shared" si="54"/>
        <v>14.176922276688197</v>
      </c>
      <c r="G375" s="166">
        <v>30.19</v>
      </c>
      <c r="H375" s="148">
        <v>138.70386191</v>
      </c>
      <c r="I375" s="181">
        <f t="shared" si="45"/>
        <v>138.70386191</v>
      </c>
      <c r="J375" s="181">
        <f t="shared" si="46"/>
        <v>55.450862655425766</v>
      </c>
      <c r="K375" s="362">
        <v>24374</v>
      </c>
      <c r="L375" s="231"/>
      <c r="M375" s="157">
        <v>19721.552056</v>
      </c>
      <c r="N375" s="181">
        <f t="shared" si="47"/>
        <v>19721.552056</v>
      </c>
      <c r="O375" s="246">
        <f t="shared" si="53"/>
        <v>796.85749999999996</v>
      </c>
      <c r="P375" s="246">
        <f t="shared" si="53"/>
        <v>0</v>
      </c>
      <c r="Q375" s="159">
        <v>4200</v>
      </c>
      <c r="R375" s="159">
        <v>1161</v>
      </c>
      <c r="S375" s="363">
        <f t="shared" si="48"/>
        <v>0</v>
      </c>
      <c r="T375" s="271">
        <v>0.39977879412907663</v>
      </c>
    </row>
    <row r="376" spans="1:20" x14ac:dyDescent="0.2">
      <c r="A376" s="147">
        <v>2032</v>
      </c>
      <c r="B376" s="147">
        <v>3</v>
      </c>
      <c r="D376" s="166">
        <v>14.471496831769128</v>
      </c>
      <c r="E376" s="258">
        <f t="shared" si="54"/>
        <v>15.308122140322903</v>
      </c>
      <c r="F376" s="258">
        <f t="shared" si="54"/>
        <v>14.176922276688197</v>
      </c>
      <c r="G376" s="166">
        <v>30.33</v>
      </c>
      <c r="H376" s="148">
        <v>138.70386191</v>
      </c>
      <c r="I376" s="181">
        <f t="shared" si="45"/>
        <v>138.70386191</v>
      </c>
      <c r="J376" s="181">
        <f t="shared" si="46"/>
        <v>55.450862655425766</v>
      </c>
      <c r="K376" s="362">
        <v>24371</v>
      </c>
      <c r="L376" s="231"/>
      <c r="M376" s="157">
        <v>19721.552056</v>
      </c>
      <c r="N376" s="181">
        <f t="shared" si="47"/>
        <v>19721.552056</v>
      </c>
      <c r="O376" s="246">
        <f t="shared" si="53"/>
        <v>645</v>
      </c>
      <c r="P376" s="246">
        <f t="shared" si="53"/>
        <v>0.32500000000000001</v>
      </c>
      <c r="Q376" s="159">
        <v>4200</v>
      </c>
      <c r="R376" s="159">
        <v>1161</v>
      </c>
      <c r="S376" s="363">
        <f t="shared" si="48"/>
        <v>0</v>
      </c>
      <c r="T376" s="271">
        <v>0.39977879412907663</v>
      </c>
    </row>
    <row r="377" spans="1:20" x14ac:dyDescent="0.2">
      <c r="A377" s="147">
        <v>2032</v>
      </c>
      <c r="B377" s="147">
        <v>4</v>
      </c>
      <c r="D377" s="166">
        <v>14.471496831769128</v>
      </c>
      <c r="E377" s="258">
        <f t="shared" si="54"/>
        <v>15.308122140322903</v>
      </c>
      <c r="F377" s="258">
        <f t="shared" si="54"/>
        <v>14.176922276688197</v>
      </c>
      <c r="G377" s="166">
        <v>30.48</v>
      </c>
      <c r="H377" s="148">
        <v>138.70386191</v>
      </c>
      <c r="I377" s="181">
        <f t="shared" si="45"/>
        <v>138.70386191</v>
      </c>
      <c r="J377" s="181">
        <f t="shared" si="46"/>
        <v>55.467252160841653</v>
      </c>
      <c r="K377" s="362">
        <v>24368</v>
      </c>
      <c r="L377" s="231"/>
      <c r="M377" s="157">
        <v>19721.552056</v>
      </c>
      <c r="N377" s="181">
        <f t="shared" si="47"/>
        <v>19721.552056</v>
      </c>
      <c r="O377" s="246">
        <f t="shared" si="53"/>
        <v>393.33749999999998</v>
      </c>
      <c r="P377" s="246">
        <f t="shared" si="53"/>
        <v>5.6325000000000003</v>
      </c>
      <c r="Q377" s="159">
        <v>4200</v>
      </c>
      <c r="R377" s="159">
        <v>1161</v>
      </c>
      <c r="S377" s="363">
        <f t="shared" si="48"/>
        <v>0</v>
      </c>
      <c r="T377" s="271">
        <v>0.39989695598261266</v>
      </c>
    </row>
    <row r="378" spans="1:20" x14ac:dyDescent="0.2">
      <c r="A378" s="147">
        <v>2032</v>
      </c>
      <c r="B378" s="147">
        <v>5</v>
      </c>
      <c r="D378" s="166">
        <v>14.471496831769128</v>
      </c>
      <c r="E378" s="258">
        <f t="shared" si="54"/>
        <v>15.308122140322903</v>
      </c>
      <c r="F378" s="258">
        <f t="shared" si="54"/>
        <v>14.176922276688197</v>
      </c>
      <c r="G378" s="166">
        <v>29.52</v>
      </c>
      <c r="H378" s="148">
        <v>138.70386191</v>
      </c>
      <c r="I378" s="181">
        <f t="shared" si="45"/>
        <v>138.70386191</v>
      </c>
      <c r="J378" s="181">
        <f t="shared" si="46"/>
        <v>55.467252160841653</v>
      </c>
      <c r="K378" s="362">
        <v>24365</v>
      </c>
      <c r="L378" s="231"/>
      <c r="M378" s="157">
        <v>19721.552056</v>
      </c>
      <c r="N378" s="181">
        <f t="shared" si="47"/>
        <v>19721.552056</v>
      </c>
      <c r="O378" s="246">
        <f t="shared" ref="O378:P393" si="55">O366</f>
        <v>170.59</v>
      </c>
      <c r="P378" s="246">
        <f t="shared" si="55"/>
        <v>35.347500000000004</v>
      </c>
      <c r="Q378" s="159">
        <v>4200</v>
      </c>
      <c r="R378" s="159">
        <v>1161</v>
      </c>
      <c r="S378" s="363">
        <f t="shared" si="48"/>
        <v>0</v>
      </c>
      <c r="T378" s="271">
        <v>0.39989695598261266</v>
      </c>
    </row>
    <row r="379" spans="1:20" x14ac:dyDescent="0.2">
      <c r="A379" s="147">
        <v>2032</v>
      </c>
      <c r="B379" s="147">
        <v>6</v>
      </c>
      <c r="D379" s="166">
        <v>14.471496831769128</v>
      </c>
      <c r="E379" s="258">
        <f t="shared" si="54"/>
        <v>15.308122140322903</v>
      </c>
      <c r="F379" s="258">
        <f t="shared" si="54"/>
        <v>14.176922276688197</v>
      </c>
      <c r="G379" s="166">
        <v>30.71</v>
      </c>
      <c r="H379" s="148">
        <v>138.70386191</v>
      </c>
      <c r="I379" s="181">
        <f t="shared" si="45"/>
        <v>138.70386191</v>
      </c>
      <c r="J379" s="181">
        <f t="shared" si="46"/>
        <v>55.467252160841653</v>
      </c>
      <c r="K379" s="362">
        <v>24362</v>
      </c>
      <c r="L379" s="231"/>
      <c r="M379" s="157">
        <v>19721.552056</v>
      </c>
      <c r="N379" s="181">
        <f t="shared" si="47"/>
        <v>19721.552056</v>
      </c>
      <c r="O379" s="246">
        <f t="shared" si="55"/>
        <v>42.912500000000001</v>
      </c>
      <c r="P379" s="246">
        <f t="shared" si="55"/>
        <v>148.8475</v>
      </c>
      <c r="Q379" s="159">
        <v>4200</v>
      </c>
      <c r="R379" s="159">
        <v>1161</v>
      </c>
      <c r="S379" s="363">
        <f t="shared" si="48"/>
        <v>0</v>
      </c>
      <c r="T379" s="271">
        <v>0.39989695598261266</v>
      </c>
    </row>
    <row r="380" spans="1:20" x14ac:dyDescent="0.2">
      <c r="A380" s="147">
        <v>2032</v>
      </c>
      <c r="B380" s="147">
        <v>7</v>
      </c>
      <c r="D380" s="166">
        <v>14.471496831769128</v>
      </c>
      <c r="E380" s="258">
        <f t="shared" si="54"/>
        <v>15.308122140322903</v>
      </c>
      <c r="F380" s="258">
        <f t="shared" si="54"/>
        <v>14.176922276688197</v>
      </c>
      <c r="G380" s="166">
        <v>30.57</v>
      </c>
      <c r="H380" s="148">
        <v>138.70386191</v>
      </c>
      <c r="I380" s="181">
        <f t="shared" si="45"/>
        <v>138.70386191</v>
      </c>
      <c r="J380" s="181">
        <f t="shared" si="46"/>
        <v>55.534263354084345</v>
      </c>
      <c r="K380" s="362">
        <v>24359</v>
      </c>
      <c r="L380" s="231"/>
      <c r="M380" s="157">
        <v>19721.552056</v>
      </c>
      <c r="N380" s="181">
        <f t="shared" si="47"/>
        <v>19721.552056</v>
      </c>
      <c r="O380" s="246">
        <f t="shared" si="55"/>
        <v>1.375</v>
      </c>
      <c r="P380" s="246">
        <f t="shared" si="55"/>
        <v>291.78750000000002</v>
      </c>
      <c r="Q380" s="159">
        <v>4200</v>
      </c>
      <c r="R380" s="159">
        <v>1161</v>
      </c>
      <c r="S380" s="363">
        <f t="shared" si="48"/>
        <v>0</v>
      </c>
      <c r="T380" s="271">
        <v>0.4003800801892492</v>
      </c>
    </row>
    <row r="381" spans="1:20" x14ac:dyDescent="0.2">
      <c r="A381" s="147">
        <v>2032</v>
      </c>
      <c r="B381" s="147">
        <v>8</v>
      </c>
      <c r="D381" s="166">
        <v>14.471496831769128</v>
      </c>
      <c r="E381" s="258">
        <f t="shared" si="54"/>
        <v>15.308122140322903</v>
      </c>
      <c r="F381" s="258">
        <f t="shared" si="54"/>
        <v>14.176922276688197</v>
      </c>
      <c r="G381" s="166">
        <v>29.67</v>
      </c>
      <c r="H381" s="148">
        <v>138.70386191</v>
      </c>
      <c r="I381" s="181">
        <f t="shared" si="45"/>
        <v>138.70386191</v>
      </c>
      <c r="J381" s="181">
        <f t="shared" si="46"/>
        <v>55.534263354084345</v>
      </c>
      <c r="K381" s="362">
        <v>24356</v>
      </c>
      <c r="L381" s="231"/>
      <c r="M381" s="157">
        <v>19721.552056</v>
      </c>
      <c r="N381" s="181">
        <f t="shared" si="47"/>
        <v>19721.552056</v>
      </c>
      <c r="O381" s="246">
        <f t="shared" si="55"/>
        <v>0.35</v>
      </c>
      <c r="P381" s="246">
        <f t="shared" si="55"/>
        <v>311.80250000000001</v>
      </c>
      <c r="Q381" s="159">
        <v>4200</v>
      </c>
      <c r="R381" s="159">
        <v>1161</v>
      </c>
      <c r="S381" s="363">
        <f t="shared" si="48"/>
        <v>0</v>
      </c>
      <c r="T381" s="271">
        <v>0.4003800801892492</v>
      </c>
    </row>
    <row r="382" spans="1:20" x14ac:dyDescent="0.2">
      <c r="A382" s="147">
        <v>2032</v>
      </c>
      <c r="B382" s="147">
        <v>9</v>
      </c>
      <c r="D382" s="166">
        <v>14.471496831769128</v>
      </c>
      <c r="E382" s="258">
        <f t="shared" si="54"/>
        <v>15.308122140322903</v>
      </c>
      <c r="F382" s="258">
        <f t="shared" si="54"/>
        <v>14.176922276688197</v>
      </c>
      <c r="G382" s="166">
        <v>30.48</v>
      </c>
      <c r="H382" s="148">
        <v>138.70386191</v>
      </c>
      <c r="I382" s="181">
        <f t="shared" si="45"/>
        <v>138.70386191</v>
      </c>
      <c r="J382" s="181">
        <f t="shared" si="46"/>
        <v>55.534263354084345</v>
      </c>
      <c r="K382" s="362">
        <v>24353</v>
      </c>
      <c r="L382" s="231"/>
      <c r="M382" s="157">
        <v>19721.552056</v>
      </c>
      <c r="N382" s="181">
        <f t="shared" si="47"/>
        <v>19721.552056</v>
      </c>
      <c r="O382" s="246">
        <f t="shared" si="55"/>
        <v>8.2974999999999994</v>
      </c>
      <c r="P382" s="246">
        <f t="shared" si="55"/>
        <v>230.68249999999998</v>
      </c>
      <c r="Q382" s="159">
        <v>4200</v>
      </c>
      <c r="R382" s="159">
        <v>1161</v>
      </c>
      <c r="S382" s="363">
        <f t="shared" si="48"/>
        <v>0</v>
      </c>
      <c r="T382" s="271">
        <v>0.4003800801892492</v>
      </c>
    </row>
    <row r="383" spans="1:20" x14ac:dyDescent="0.2">
      <c r="A383" s="147">
        <v>2032</v>
      </c>
      <c r="B383" s="147">
        <v>10</v>
      </c>
      <c r="D383" s="166">
        <v>14.471496831769128</v>
      </c>
      <c r="E383" s="258">
        <f t="shared" si="54"/>
        <v>15.308122140322903</v>
      </c>
      <c r="F383" s="258">
        <f t="shared" si="54"/>
        <v>14.176922276688197</v>
      </c>
      <c r="G383" s="166">
        <v>29.67</v>
      </c>
      <c r="H383" s="148">
        <v>138.70386191</v>
      </c>
      <c r="I383" s="181">
        <f t="shared" si="45"/>
        <v>138.70386191</v>
      </c>
      <c r="J383" s="181">
        <f t="shared" si="46"/>
        <v>55.525056998178378</v>
      </c>
      <c r="K383" s="362">
        <v>24350</v>
      </c>
      <c r="L383" s="231"/>
      <c r="M383" s="157">
        <v>19721.552056</v>
      </c>
      <c r="N383" s="181">
        <f t="shared" si="47"/>
        <v>19721.552056</v>
      </c>
      <c r="O383" s="246">
        <f t="shared" si="55"/>
        <v>129.8125</v>
      </c>
      <c r="P383" s="246">
        <f t="shared" si="55"/>
        <v>57.779999999999994</v>
      </c>
      <c r="Q383" s="159">
        <v>4200</v>
      </c>
      <c r="R383" s="159">
        <v>1161</v>
      </c>
      <c r="S383" s="363">
        <f t="shared" si="48"/>
        <v>0</v>
      </c>
      <c r="T383" s="271">
        <v>0.40031370600341765</v>
      </c>
    </row>
    <row r="384" spans="1:20" x14ac:dyDescent="0.2">
      <c r="A384" s="147">
        <v>2032</v>
      </c>
      <c r="B384" s="147">
        <v>11</v>
      </c>
      <c r="D384" s="166">
        <v>14.471496831769128</v>
      </c>
      <c r="E384" s="258">
        <f t="shared" si="54"/>
        <v>15.308122140322903</v>
      </c>
      <c r="F384" s="258">
        <f t="shared" si="54"/>
        <v>14.176922276688197</v>
      </c>
      <c r="G384" s="166">
        <v>29.76</v>
      </c>
      <c r="H384" s="148">
        <v>138.70386191</v>
      </c>
      <c r="I384" s="181">
        <f t="shared" si="45"/>
        <v>138.70386191</v>
      </c>
      <c r="J384" s="181">
        <f t="shared" si="46"/>
        <v>55.525056998178378</v>
      </c>
      <c r="K384" s="362">
        <v>24347</v>
      </c>
      <c r="L384" s="231"/>
      <c r="M384" s="157">
        <v>19721.552056</v>
      </c>
      <c r="N384" s="181">
        <f t="shared" si="47"/>
        <v>19721.552056</v>
      </c>
      <c r="O384" s="246">
        <f t="shared" si="55"/>
        <v>387.90500000000003</v>
      </c>
      <c r="P384" s="246">
        <f t="shared" si="55"/>
        <v>3.9299999999999997</v>
      </c>
      <c r="Q384" s="159">
        <v>4200</v>
      </c>
      <c r="R384" s="159">
        <v>1161</v>
      </c>
      <c r="S384" s="363">
        <f t="shared" si="48"/>
        <v>0</v>
      </c>
      <c r="T384" s="271">
        <v>0.40031370600341765</v>
      </c>
    </row>
    <row r="385" spans="1:20" x14ac:dyDescent="0.2">
      <c r="A385" s="147">
        <v>2032</v>
      </c>
      <c r="B385" s="147">
        <v>12</v>
      </c>
      <c r="D385" s="166">
        <v>14.471496831769128</v>
      </c>
      <c r="E385" s="258">
        <f t="shared" si="54"/>
        <v>15.308122140322903</v>
      </c>
      <c r="F385" s="258">
        <f t="shared" si="54"/>
        <v>14.176922276688197</v>
      </c>
      <c r="G385" s="166">
        <v>31.38</v>
      </c>
      <c r="H385" s="148">
        <v>138.70386191</v>
      </c>
      <c r="I385" s="181">
        <f t="shared" si="45"/>
        <v>138.70386191</v>
      </c>
      <c r="J385" s="181">
        <f t="shared" si="46"/>
        <v>55.525056998178378</v>
      </c>
      <c r="K385" s="362">
        <v>24344</v>
      </c>
      <c r="L385" s="231"/>
      <c r="M385" s="157">
        <v>19721.552056</v>
      </c>
      <c r="N385" s="181">
        <f t="shared" si="47"/>
        <v>19721.552056</v>
      </c>
      <c r="O385" s="246">
        <f t="shared" si="55"/>
        <v>681.89</v>
      </c>
      <c r="P385" s="246">
        <f t="shared" si="55"/>
        <v>0.1</v>
      </c>
      <c r="Q385" s="159">
        <v>4200</v>
      </c>
      <c r="R385" s="159">
        <v>1161</v>
      </c>
      <c r="S385" s="363">
        <f t="shared" si="48"/>
        <v>0</v>
      </c>
      <c r="T385" s="271">
        <v>0.40031370600341765</v>
      </c>
    </row>
    <row r="386" spans="1:20" x14ac:dyDescent="0.2">
      <c r="A386" s="147">
        <v>2033</v>
      </c>
      <c r="B386" s="147">
        <v>1</v>
      </c>
      <c r="D386" s="166">
        <v>14.833284252563356</v>
      </c>
      <c r="E386" s="258">
        <f t="shared" si="54"/>
        <v>15.614284583129361</v>
      </c>
      <c r="F386" s="258">
        <f t="shared" si="54"/>
        <v>14.460460722221962</v>
      </c>
      <c r="G386" s="166">
        <v>32.71</v>
      </c>
      <c r="H386" s="148">
        <v>138.88708321999999</v>
      </c>
      <c r="I386" s="181">
        <f t="shared" si="45"/>
        <v>138.88708321999999</v>
      </c>
      <c r="J386" s="181">
        <f t="shared" si="46"/>
        <v>55.617196333930664</v>
      </c>
      <c r="K386" s="362">
        <v>24341</v>
      </c>
      <c r="L386" s="231"/>
      <c r="M386" s="157">
        <v>20503.533918000001</v>
      </c>
      <c r="N386" s="181">
        <f t="shared" si="47"/>
        <v>20503.533918000001</v>
      </c>
      <c r="O386" s="246">
        <f t="shared" si="55"/>
        <v>918.70499999999993</v>
      </c>
      <c r="P386" s="246">
        <f t="shared" si="55"/>
        <v>0</v>
      </c>
      <c r="Q386" s="159">
        <v>4200</v>
      </c>
      <c r="R386" s="159">
        <v>1161</v>
      </c>
      <c r="S386" s="363">
        <f t="shared" si="48"/>
        <v>0</v>
      </c>
      <c r="T386" s="271">
        <v>0.4004490197683242</v>
      </c>
    </row>
    <row r="387" spans="1:20" x14ac:dyDescent="0.2">
      <c r="A387" s="147">
        <v>2033</v>
      </c>
      <c r="B387" s="147">
        <v>2</v>
      </c>
      <c r="D387" s="166">
        <v>14.833284252563356</v>
      </c>
      <c r="E387" s="258">
        <f t="shared" ref="E387:F402" si="56">E375*(1+0.02)</f>
        <v>15.614284583129361</v>
      </c>
      <c r="F387" s="258">
        <f t="shared" si="56"/>
        <v>14.460460722221962</v>
      </c>
      <c r="G387" s="166">
        <v>29.81</v>
      </c>
      <c r="H387" s="148">
        <v>138.88708321999999</v>
      </c>
      <c r="I387" s="181">
        <f t="shared" ref="I387:I450" si="57">H387</f>
        <v>138.88708321999999</v>
      </c>
      <c r="J387" s="181">
        <f t="shared" ref="J387:J450" si="58">H387*T387</f>
        <v>55.617196333930664</v>
      </c>
      <c r="K387" s="362">
        <v>24338</v>
      </c>
      <c r="L387" s="231"/>
      <c r="M387" s="157">
        <v>20503.533918000001</v>
      </c>
      <c r="N387" s="181">
        <f t="shared" ref="N387:N450" si="59">M387</f>
        <v>20503.533918000001</v>
      </c>
      <c r="O387" s="246">
        <f t="shared" si="55"/>
        <v>796.85749999999996</v>
      </c>
      <c r="P387" s="246">
        <f t="shared" si="55"/>
        <v>0</v>
      </c>
      <c r="Q387" s="159">
        <v>4200</v>
      </c>
      <c r="R387" s="159">
        <v>1161</v>
      </c>
      <c r="S387" s="363">
        <f t="shared" ref="S387:S450" si="60">C387/K387*1000</f>
        <v>0</v>
      </c>
      <c r="T387" s="271">
        <v>0.4004490197683242</v>
      </c>
    </row>
    <row r="388" spans="1:20" x14ac:dyDescent="0.2">
      <c r="A388" s="147">
        <v>2033</v>
      </c>
      <c r="B388" s="147">
        <v>3</v>
      </c>
      <c r="D388" s="166">
        <v>14.833284252563356</v>
      </c>
      <c r="E388" s="258">
        <f t="shared" si="56"/>
        <v>15.614284583129361</v>
      </c>
      <c r="F388" s="258">
        <f t="shared" si="56"/>
        <v>14.460460722221962</v>
      </c>
      <c r="G388" s="166">
        <v>30.33</v>
      </c>
      <c r="H388" s="148">
        <v>138.88708321999999</v>
      </c>
      <c r="I388" s="181">
        <f t="shared" si="57"/>
        <v>138.88708321999999</v>
      </c>
      <c r="J388" s="181">
        <f t="shared" si="58"/>
        <v>55.617196333930664</v>
      </c>
      <c r="K388" s="362">
        <v>24335</v>
      </c>
      <c r="L388" s="231"/>
      <c r="M388" s="157">
        <v>20503.533918000001</v>
      </c>
      <c r="N388" s="181">
        <f t="shared" si="59"/>
        <v>20503.533918000001</v>
      </c>
      <c r="O388" s="246">
        <f t="shared" si="55"/>
        <v>645</v>
      </c>
      <c r="P388" s="246">
        <f t="shared" si="55"/>
        <v>0.32500000000000001</v>
      </c>
      <c r="Q388" s="159">
        <v>4200</v>
      </c>
      <c r="R388" s="159">
        <v>1161</v>
      </c>
      <c r="S388" s="363">
        <f t="shared" si="60"/>
        <v>0</v>
      </c>
      <c r="T388" s="271">
        <v>0.4004490197683242</v>
      </c>
    </row>
    <row r="389" spans="1:20" x14ac:dyDescent="0.2">
      <c r="A389" s="147">
        <v>2033</v>
      </c>
      <c r="B389" s="147">
        <v>4</v>
      </c>
      <c r="D389" s="166">
        <v>14.833284252563356</v>
      </c>
      <c r="E389" s="258">
        <f t="shared" si="56"/>
        <v>15.614284583129361</v>
      </c>
      <c r="F389" s="258">
        <f t="shared" si="56"/>
        <v>14.460460722221962</v>
      </c>
      <c r="G389" s="166">
        <v>30.19</v>
      </c>
      <c r="H389" s="148">
        <v>138.88708321999999</v>
      </c>
      <c r="I389" s="181">
        <f t="shared" si="57"/>
        <v>138.88708321999999</v>
      </c>
      <c r="J389" s="181">
        <f t="shared" si="58"/>
        <v>55.636026077689401</v>
      </c>
      <c r="K389" s="362">
        <v>24332</v>
      </c>
      <c r="L389" s="231"/>
      <c r="M389" s="157">
        <v>20503.533918000001</v>
      </c>
      <c r="N389" s="181">
        <f t="shared" si="59"/>
        <v>20503.533918000001</v>
      </c>
      <c r="O389" s="246">
        <f t="shared" si="55"/>
        <v>393.33749999999998</v>
      </c>
      <c r="P389" s="246">
        <f t="shared" si="55"/>
        <v>5.6325000000000003</v>
      </c>
      <c r="Q389" s="159">
        <v>4200</v>
      </c>
      <c r="R389" s="159">
        <v>1161</v>
      </c>
      <c r="S389" s="363">
        <f t="shared" si="60"/>
        <v>0</v>
      </c>
      <c r="T389" s="271">
        <v>0.40058459568598465</v>
      </c>
    </row>
    <row r="390" spans="1:20" x14ac:dyDescent="0.2">
      <c r="A390" s="147">
        <v>2033</v>
      </c>
      <c r="B390" s="147">
        <v>5</v>
      </c>
      <c r="D390" s="166">
        <v>14.833284252563356</v>
      </c>
      <c r="E390" s="258">
        <f t="shared" si="56"/>
        <v>15.614284583129361</v>
      </c>
      <c r="F390" s="258">
        <f t="shared" si="56"/>
        <v>14.460460722221962</v>
      </c>
      <c r="G390" s="166">
        <v>30.14</v>
      </c>
      <c r="H390" s="148">
        <v>138.88708321999999</v>
      </c>
      <c r="I390" s="181">
        <f t="shared" si="57"/>
        <v>138.88708321999999</v>
      </c>
      <c r="J390" s="181">
        <f t="shared" si="58"/>
        <v>55.636026077689401</v>
      </c>
      <c r="K390" s="362">
        <v>24329</v>
      </c>
      <c r="L390" s="231"/>
      <c r="M390" s="157">
        <v>20503.533918000001</v>
      </c>
      <c r="N390" s="181">
        <f t="shared" si="59"/>
        <v>20503.533918000001</v>
      </c>
      <c r="O390" s="246">
        <f t="shared" si="55"/>
        <v>170.59</v>
      </c>
      <c r="P390" s="246">
        <f t="shared" si="55"/>
        <v>35.347500000000004</v>
      </c>
      <c r="Q390" s="159">
        <v>4200</v>
      </c>
      <c r="R390" s="159">
        <v>1161</v>
      </c>
      <c r="S390" s="363">
        <f t="shared" si="60"/>
        <v>0</v>
      </c>
      <c r="T390" s="271">
        <v>0.40058459568598465</v>
      </c>
    </row>
    <row r="391" spans="1:20" x14ac:dyDescent="0.2">
      <c r="A391" s="147">
        <v>2033</v>
      </c>
      <c r="B391" s="147">
        <v>6</v>
      </c>
      <c r="D391" s="166">
        <v>14.833284252563356</v>
      </c>
      <c r="E391" s="258">
        <f t="shared" si="56"/>
        <v>15.614284583129361</v>
      </c>
      <c r="F391" s="258">
        <f t="shared" si="56"/>
        <v>14.460460722221962</v>
      </c>
      <c r="G391" s="166">
        <v>30.67</v>
      </c>
      <c r="H391" s="148">
        <v>138.88708321999999</v>
      </c>
      <c r="I391" s="181">
        <f t="shared" si="57"/>
        <v>138.88708321999999</v>
      </c>
      <c r="J391" s="181">
        <f t="shared" si="58"/>
        <v>55.636026077689401</v>
      </c>
      <c r="K391" s="362">
        <v>24326</v>
      </c>
      <c r="L391" s="231"/>
      <c r="M391" s="157">
        <v>20503.533918000001</v>
      </c>
      <c r="N391" s="181">
        <f t="shared" si="59"/>
        <v>20503.533918000001</v>
      </c>
      <c r="O391" s="246">
        <f t="shared" si="55"/>
        <v>42.912500000000001</v>
      </c>
      <c r="P391" s="246">
        <f t="shared" si="55"/>
        <v>148.8475</v>
      </c>
      <c r="Q391" s="159">
        <v>4200</v>
      </c>
      <c r="R391" s="159">
        <v>1161</v>
      </c>
      <c r="S391" s="363">
        <f t="shared" si="60"/>
        <v>0</v>
      </c>
      <c r="T391" s="271">
        <v>0.40058459568598465</v>
      </c>
    </row>
    <row r="392" spans="1:20" x14ac:dyDescent="0.2">
      <c r="A392" s="147">
        <v>2033</v>
      </c>
      <c r="B392" s="147">
        <v>7</v>
      </c>
      <c r="D392" s="166">
        <v>14.833284252563356</v>
      </c>
      <c r="E392" s="258">
        <f t="shared" si="56"/>
        <v>15.614284583129361</v>
      </c>
      <c r="F392" s="258">
        <f t="shared" si="56"/>
        <v>14.460460722221962</v>
      </c>
      <c r="G392" s="166">
        <v>30.71</v>
      </c>
      <c r="H392" s="148">
        <v>138.88708321999999</v>
      </c>
      <c r="I392" s="181">
        <f t="shared" si="57"/>
        <v>138.88708321999999</v>
      </c>
      <c r="J392" s="181">
        <f t="shared" si="58"/>
        <v>55.654359881627613</v>
      </c>
      <c r="K392" s="362">
        <v>24323</v>
      </c>
      <c r="L392" s="231"/>
      <c r="M392" s="157">
        <v>20503.533918000001</v>
      </c>
      <c r="N392" s="181">
        <f t="shared" si="59"/>
        <v>20503.533918000001</v>
      </c>
      <c r="O392" s="246">
        <f t="shared" si="55"/>
        <v>1.375</v>
      </c>
      <c r="P392" s="246">
        <f t="shared" si="55"/>
        <v>291.78750000000002</v>
      </c>
      <c r="Q392" s="159">
        <v>4200</v>
      </c>
      <c r="R392" s="159">
        <v>1161</v>
      </c>
      <c r="S392" s="363">
        <f t="shared" si="60"/>
        <v>0</v>
      </c>
      <c r="T392" s="271">
        <v>0.40071660079051385</v>
      </c>
    </row>
    <row r="393" spans="1:20" x14ac:dyDescent="0.2">
      <c r="A393" s="147">
        <v>2033</v>
      </c>
      <c r="B393" s="147">
        <v>8</v>
      </c>
      <c r="D393" s="166">
        <v>14.833284252563356</v>
      </c>
      <c r="E393" s="258">
        <f t="shared" si="56"/>
        <v>15.614284583129361</v>
      </c>
      <c r="F393" s="258">
        <f t="shared" si="56"/>
        <v>14.460460722221962</v>
      </c>
      <c r="G393" s="166">
        <v>29.52</v>
      </c>
      <c r="H393" s="148">
        <v>138.88708321999999</v>
      </c>
      <c r="I393" s="181">
        <f t="shared" si="57"/>
        <v>138.88708321999999</v>
      </c>
      <c r="J393" s="181">
        <f t="shared" si="58"/>
        <v>55.654359881627613</v>
      </c>
      <c r="K393" s="362">
        <v>24320</v>
      </c>
      <c r="L393" s="231"/>
      <c r="M393" s="157">
        <v>20503.533918000001</v>
      </c>
      <c r="N393" s="181">
        <f t="shared" si="59"/>
        <v>20503.533918000001</v>
      </c>
      <c r="O393" s="246">
        <f t="shared" si="55"/>
        <v>0.35</v>
      </c>
      <c r="P393" s="246">
        <f t="shared" si="55"/>
        <v>311.80250000000001</v>
      </c>
      <c r="Q393" s="159">
        <v>4200</v>
      </c>
      <c r="R393" s="159">
        <v>1161</v>
      </c>
      <c r="S393" s="363">
        <f t="shared" si="60"/>
        <v>0</v>
      </c>
      <c r="T393" s="271">
        <v>0.40071660079051385</v>
      </c>
    </row>
    <row r="394" spans="1:20" x14ac:dyDescent="0.2">
      <c r="A394" s="147">
        <v>2033</v>
      </c>
      <c r="B394" s="147">
        <v>9</v>
      </c>
      <c r="D394" s="166">
        <v>14.833284252563356</v>
      </c>
      <c r="E394" s="258">
        <f t="shared" si="56"/>
        <v>15.614284583129361</v>
      </c>
      <c r="F394" s="258">
        <f t="shared" si="56"/>
        <v>14.460460722221962</v>
      </c>
      <c r="G394" s="166">
        <v>30.52</v>
      </c>
      <c r="H394" s="148">
        <v>138.88708321999999</v>
      </c>
      <c r="I394" s="181">
        <f t="shared" si="57"/>
        <v>138.88708321999999</v>
      </c>
      <c r="J394" s="181">
        <f t="shared" si="58"/>
        <v>55.654359881627613</v>
      </c>
      <c r="K394" s="362">
        <v>24317</v>
      </c>
      <c r="L394" s="231"/>
      <c r="M394" s="157">
        <v>20503.533918000001</v>
      </c>
      <c r="N394" s="181">
        <f t="shared" si="59"/>
        <v>20503.533918000001</v>
      </c>
      <c r="O394" s="246">
        <f t="shared" ref="O394:P409" si="61">O382</f>
        <v>8.2974999999999994</v>
      </c>
      <c r="P394" s="246">
        <f t="shared" si="61"/>
        <v>230.68249999999998</v>
      </c>
      <c r="Q394" s="159">
        <v>4200</v>
      </c>
      <c r="R394" s="159">
        <v>1161</v>
      </c>
      <c r="S394" s="363">
        <f t="shared" si="60"/>
        <v>0</v>
      </c>
      <c r="T394" s="271">
        <v>0.40071660079051385</v>
      </c>
    </row>
    <row r="395" spans="1:20" x14ac:dyDescent="0.2">
      <c r="A395" s="147">
        <v>2033</v>
      </c>
      <c r="B395" s="147">
        <v>10</v>
      </c>
      <c r="D395" s="166">
        <v>14.833284252563356</v>
      </c>
      <c r="E395" s="258">
        <f t="shared" si="56"/>
        <v>15.614284583129361</v>
      </c>
      <c r="F395" s="258">
        <f t="shared" si="56"/>
        <v>14.460460722221962</v>
      </c>
      <c r="G395" s="166">
        <v>29.62</v>
      </c>
      <c r="H395" s="148">
        <v>138.88708321999999</v>
      </c>
      <c r="I395" s="181">
        <f t="shared" si="57"/>
        <v>138.88708321999999</v>
      </c>
      <c r="J395" s="181">
        <f t="shared" si="58"/>
        <v>55.674332904334314</v>
      </c>
      <c r="K395" s="362">
        <v>24314</v>
      </c>
      <c r="L395" s="231"/>
      <c r="M395" s="157">
        <v>20503.533918000001</v>
      </c>
      <c r="N395" s="181">
        <f t="shared" si="59"/>
        <v>20503.533918000001</v>
      </c>
      <c r="O395" s="246">
        <f t="shared" si="61"/>
        <v>129.8125</v>
      </c>
      <c r="P395" s="246">
        <f t="shared" si="61"/>
        <v>57.779999999999994</v>
      </c>
      <c r="Q395" s="159">
        <v>4200</v>
      </c>
      <c r="R395" s="159">
        <v>1161</v>
      </c>
      <c r="S395" s="363">
        <f t="shared" si="60"/>
        <v>0</v>
      </c>
      <c r="T395" s="271">
        <v>0.4008604084236187</v>
      </c>
    </row>
    <row r="396" spans="1:20" x14ac:dyDescent="0.2">
      <c r="A396" s="147">
        <v>2033</v>
      </c>
      <c r="B396" s="147">
        <v>11</v>
      </c>
      <c r="D396" s="166">
        <v>14.833284252563356</v>
      </c>
      <c r="E396" s="258">
        <f t="shared" si="56"/>
        <v>15.614284583129361</v>
      </c>
      <c r="F396" s="258">
        <f t="shared" si="56"/>
        <v>14.460460722221962</v>
      </c>
      <c r="G396" s="166">
        <v>29.95</v>
      </c>
      <c r="H396" s="148">
        <v>138.88708321999999</v>
      </c>
      <c r="I396" s="181">
        <f t="shared" si="57"/>
        <v>138.88708321999999</v>
      </c>
      <c r="J396" s="181">
        <f t="shared" si="58"/>
        <v>55.674332904334314</v>
      </c>
      <c r="K396" s="362">
        <v>24311</v>
      </c>
      <c r="L396" s="231"/>
      <c r="M396" s="157">
        <v>20503.533918000001</v>
      </c>
      <c r="N396" s="181">
        <f t="shared" si="59"/>
        <v>20503.533918000001</v>
      </c>
      <c r="O396" s="246">
        <f t="shared" si="61"/>
        <v>387.90500000000003</v>
      </c>
      <c r="P396" s="246">
        <f t="shared" si="61"/>
        <v>3.9299999999999997</v>
      </c>
      <c r="Q396" s="159">
        <v>4200</v>
      </c>
      <c r="R396" s="159">
        <v>1161</v>
      </c>
      <c r="S396" s="363">
        <f t="shared" si="60"/>
        <v>0</v>
      </c>
      <c r="T396" s="271">
        <v>0.4008604084236187</v>
      </c>
    </row>
    <row r="397" spans="1:20" x14ac:dyDescent="0.2">
      <c r="A397" s="147">
        <v>2033</v>
      </c>
      <c r="B397" s="147">
        <v>12</v>
      </c>
      <c r="D397" s="166">
        <v>14.833284252563356</v>
      </c>
      <c r="E397" s="258">
        <f t="shared" si="56"/>
        <v>15.614284583129361</v>
      </c>
      <c r="F397" s="258">
        <f t="shared" si="56"/>
        <v>14.460460722221962</v>
      </c>
      <c r="G397" s="166">
        <v>32</v>
      </c>
      <c r="H397" s="148">
        <v>138.88708321999999</v>
      </c>
      <c r="I397" s="181">
        <f t="shared" si="57"/>
        <v>138.88708321999999</v>
      </c>
      <c r="J397" s="181">
        <f t="shared" si="58"/>
        <v>55.674332904334314</v>
      </c>
      <c r="K397" s="362">
        <v>24308</v>
      </c>
      <c r="L397" s="231"/>
      <c r="M397" s="157">
        <v>20503.533918000001</v>
      </c>
      <c r="N397" s="181">
        <f t="shared" si="59"/>
        <v>20503.533918000001</v>
      </c>
      <c r="O397" s="246">
        <f t="shared" si="61"/>
        <v>681.89</v>
      </c>
      <c r="P397" s="246">
        <f t="shared" si="61"/>
        <v>0.1</v>
      </c>
      <c r="Q397" s="159">
        <v>4200</v>
      </c>
      <c r="R397" s="159">
        <v>1161</v>
      </c>
      <c r="S397" s="363">
        <f t="shared" si="60"/>
        <v>0</v>
      </c>
      <c r="T397" s="271">
        <v>0.4008604084236187</v>
      </c>
    </row>
    <row r="398" spans="1:20" x14ac:dyDescent="0.2">
      <c r="A398" s="147">
        <v>2034</v>
      </c>
      <c r="B398" s="147">
        <v>1</v>
      </c>
      <c r="D398" s="166">
        <v>15.204116358877437</v>
      </c>
      <c r="E398" s="258">
        <f t="shared" si="56"/>
        <v>15.926570274791949</v>
      </c>
      <c r="F398" s="258">
        <f t="shared" si="56"/>
        <v>14.7496699366664</v>
      </c>
      <c r="G398" s="166">
        <v>31.9</v>
      </c>
      <c r="H398" s="148">
        <v>139.05809106999999</v>
      </c>
      <c r="I398" s="181">
        <f t="shared" si="57"/>
        <v>139.05809106999999</v>
      </c>
      <c r="J398" s="181">
        <f t="shared" si="58"/>
        <v>55.76183503604372</v>
      </c>
      <c r="K398" s="362">
        <v>24305</v>
      </c>
      <c r="L398" s="231"/>
      <c r="M398" s="157">
        <v>21351.38031</v>
      </c>
      <c r="N398" s="181">
        <f t="shared" si="59"/>
        <v>21351.38031</v>
      </c>
      <c r="O398" s="246">
        <f t="shared" si="61"/>
        <v>918.70499999999993</v>
      </c>
      <c r="P398" s="246">
        <f t="shared" si="61"/>
        <v>0</v>
      </c>
      <c r="Q398" s="159">
        <v>4200</v>
      </c>
      <c r="R398" s="159">
        <v>1161</v>
      </c>
      <c r="S398" s="363">
        <f t="shared" si="60"/>
        <v>0</v>
      </c>
      <c r="T398" s="271">
        <v>0.40099669574763513</v>
      </c>
    </row>
    <row r="399" spans="1:20" x14ac:dyDescent="0.2">
      <c r="A399" s="147">
        <v>2034</v>
      </c>
      <c r="B399" s="147">
        <v>2</v>
      </c>
      <c r="D399" s="166">
        <v>15.204116358877437</v>
      </c>
      <c r="E399" s="258">
        <f t="shared" si="56"/>
        <v>15.926570274791949</v>
      </c>
      <c r="F399" s="258">
        <f t="shared" si="56"/>
        <v>14.7496699366664</v>
      </c>
      <c r="G399" s="166">
        <v>31.29</v>
      </c>
      <c r="H399" s="148">
        <v>139.05809106999999</v>
      </c>
      <c r="I399" s="181">
        <f t="shared" si="57"/>
        <v>139.05809106999999</v>
      </c>
      <c r="J399" s="181">
        <f t="shared" si="58"/>
        <v>55.76183503604372</v>
      </c>
      <c r="K399" s="362">
        <v>24302</v>
      </c>
      <c r="L399" s="231"/>
      <c r="M399" s="157">
        <v>21351.38031</v>
      </c>
      <c r="N399" s="181">
        <f t="shared" si="59"/>
        <v>21351.38031</v>
      </c>
      <c r="O399" s="246">
        <f t="shared" si="61"/>
        <v>796.85749999999996</v>
      </c>
      <c r="P399" s="246">
        <f t="shared" si="61"/>
        <v>0</v>
      </c>
      <c r="Q399" s="159">
        <v>4200</v>
      </c>
      <c r="R399" s="159">
        <v>1161</v>
      </c>
      <c r="S399" s="363">
        <f t="shared" si="60"/>
        <v>0</v>
      </c>
      <c r="T399" s="271">
        <v>0.40099669574763513</v>
      </c>
    </row>
    <row r="400" spans="1:20" x14ac:dyDescent="0.2">
      <c r="A400" s="147">
        <v>2034</v>
      </c>
      <c r="B400" s="147">
        <v>3</v>
      </c>
      <c r="D400" s="166">
        <v>15.204116358877437</v>
      </c>
      <c r="E400" s="258">
        <f t="shared" si="56"/>
        <v>15.926570274791949</v>
      </c>
      <c r="F400" s="258">
        <f t="shared" si="56"/>
        <v>14.7496699366664</v>
      </c>
      <c r="G400" s="166">
        <v>30.33</v>
      </c>
      <c r="H400" s="148">
        <v>139.05809106999999</v>
      </c>
      <c r="I400" s="181">
        <f t="shared" si="57"/>
        <v>139.05809106999999</v>
      </c>
      <c r="J400" s="181">
        <f t="shared" si="58"/>
        <v>55.76183503604372</v>
      </c>
      <c r="K400" s="362">
        <v>24299</v>
      </c>
      <c r="L400" s="231"/>
      <c r="M400" s="157">
        <v>21351.38031</v>
      </c>
      <c r="N400" s="181">
        <f t="shared" si="59"/>
        <v>21351.38031</v>
      </c>
      <c r="O400" s="246">
        <f t="shared" si="61"/>
        <v>645</v>
      </c>
      <c r="P400" s="246">
        <f t="shared" si="61"/>
        <v>0.32500000000000001</v>
      </c>
      <c r="Q400" s="159">
        <v>4200</v>
      </c>
      <c r="R400" s="159">
        <v>1161</v>
      </c>
      <c r="S400" s="363">
        <f t="shared" si="60"/>
        <v>0</v>
      </c>
      <c r="T400" s="271">
        <v>0.40099669574763513</v>
      </c>
    </row>
    <row r="401" spans="1:20" x14ac:dyDescent="0.2">
      <c r="A401" s="147">
        <v>2034</v>
      </c>
      <c r="B401" s="147">
        <v>4</v>
      </c>
      <c r="D401" s="166">
        <v>15.204116358877437</v>
      </c>
      <c r="E401" s="258">
        <f t="shared" si="56"/>
        <v>15.926570274791949</v>
      </c>
      <c r="F401" s="258">
        <f t="shared" si="56"/>
        <v>14.7496699366664</v>
      </c>
      <c r="G401" s="166">
        <v>30.65</v>
      </c>
      <c r="H401" s="148">
        <v>139.05809106999999</v>
      </c>
      <c r="I401" s="181">
        <f t="shared" si="57"/>
        <v>139.05809106999999</v>
      </c>
      <c r="J401" s="181">
        <f t="shared" si="58"/>
        <v>55.781694383028743</v>
      </c>
      <c r="K401" s="362">
        <v>24296</v>
      </c>
      <c r="L401" s="231"/>
      <c r="M401" s="157">
        <v>21351.38031</v>
      </c>
      <c r="N401" s="181">
        <f t="shared" si="59"/>
        <v>21351.38031</v>
      </c>
      <c r="O401" s="246">
        <f t="shared" si="61"/>
        <v>393.33749999999998</v>
      </c>
      <c r="P401" s="246">
        <f t="shared" si="61"/>
        <v>5.6325000000000003</v>
      </c>
      <c r="Q401" s="159">
        <v>4200</v>
      </c>
      <c r="R401" s="159">
        <v>1161</v>
      </c>
      <c r="S401" s="363">
        <f t="shared" si="60"/>
        <v>0</v>
      </c>
      <c r="T401" s="271">
        <v>0.4011395090627915</v>
      </c>
    </row>
    <row r="402" spans="1:20" x14ac:dyDescent="0.2">
      <c r="A402" s="147">
        <v>2034</v>
      </c>
      <c r="B402" s="147">
        <v>5</v>
      </c>
      <c r="D402" s="166">
        <v>15.204116358877437</v>
      </c>
      <c r="E402" s="258">
        <f t="shared" si="56"/>
        <v>15.926570274791949</v>
      </c>
      <c r="F402" s="258">
        <f t="shared" si="56"/>
        <v>14.7496699366664</v>
      </c>
      <c r="G402" s="166">
        <v>29.71</v>
      </c>
      <c r="H402" s="148">
        <v>139.05809106999999</v>
      </c>
      <c r="I402" s="181">
        <f t="shared" si="57"/>
        <v>139.05809106999999</v>
      </c>
      <c r="J402" s="181">
        <f t="shared" si="58"/>
        <v>55.781694383028743</v>
      </c>
      <c r="K402" s="362">
        <v>24293</v>
      </c>
      <c r="L402" s="231"/>
      <c r="M402" s="157">
        <v>21351.38031</v>
      </c>
      <c r="N402" s="181">
        <f t="shared" si="59"/>
        <v>21351.38031</v>
      </c>
      <c r="O402" s="246">
        <f t="shared" si="61"/>
        <v>170.59</v>
      </c>
      <c r="P402" s="246">
        <f t="shared" si="61"/>
        <v>35.347500000000004</v>
      </c>
      <c r="Q402" s="159">
        <v>4200</v>
      </c>
      <c r="R402" s="159">
        <v>1161</v>
      </c>
      <c r="S402" s="363">
        <f t="shared" si="60"/>
        <v>0</v>
      </c>
      <c r="T402" s="271">
        <v>0.4011395090627915</v>
      </c>
    </row>
    <row r="403" spans="1:20" x14ac:dyDescent="0.2">
      <c r="A403" s="147">
        <v>2034</v>
      </c>
      <c r="B403" s="147">
        <v>6</v>
      </c>
      <c r="D403" s="166">
        <v>15.204116358877437</v>
      </c>
      <c r="E403" s="258">
        <f t="shared" ref="E403:F418" si="62">E391*(1+0.02)</f>
        <v>15.926570274791949</v>
      </c>
      <c r="F403" s="258">
        <f t="shared" si="62"/>
        <v>14.7496699366664</v>
      </c>
      <c r="G403" s="166">
        <v>30.62</v>
      </c>
      <c r="H403" s="148">
        <v>139.05809106999999</v>
      </c>
      <c r="I403" s="181">
        <f t="shared" si="57"/>
        <v>139.05809106999999</v>
      </c>
      <c r="J403" s="181">
        <f t="shared" si="58"/>
        <v>55.781694383028743</v>
      </c>
      <c r="K403" s="362">
        <v>24290</v>
      </c>
      <c r="L403" s="231"/>
      <c r="M403" s="157">
        <v>21351.38031</v>
      </c>
      <c r="N403" s="181">
        <f t="shared" si="59"/>
        <v>21351.38031</v>
      </c>
      <c r="O403" s="246">
        <f t="shared" si="61"/>
        <v>42.912500000000001</v>
      </c>
      <c r="P403" s="246">
        <f t="shared" si="61"/>
        <v>148.8475</v>
      </c>
      <c r="Q403" s="159">
        <v>4200</v>
      </c>
      <c r="R403" s="159">
        <v>1161</v>
      </c>
      <c r="S403" s="363">
        <f t="shared" si="60"/>
        <v>0</v>
      </c>
      <c r="T403" s="271">
        <v>0.4011395090627915</v>
      </c>
    </row>
    <row r="404" spans="1:20" x14ac:dyDescent="0.2">
      <c r="A404" s="147">
        <v>2034</v>
      </c>
      <c r="B404" s="147">
        <v>7</v>
      </c>
      <c r="D404" s="166">
        <v>15.204116358877437</v>
      </c>
      <c r="E404" s="258">
        <f t="shared" si="62"/>
        <v>15.926570274791949</v>
      </c>
      <c r="F404" s="258">
        <f t="shared" si="62"/>
        <v>14.7496699366664</v>
      </c>
      <c r="G404" s="166">
        <v>30.81</v>
      </c>
      <c r="H404" s="148">
        <v>139.05809106999999</v>
      </c>
      <c r="I404" s="181">
        <f t="shared" si="57"/>
        <v>139.05809106999999</v>
      </c>
      <c r="J404" s="181">
        <f t="shared" si="58"/>
        <v>55.852308418814481</v>
      </c>
      <c r="K404" s="362">
        <v>24287</v>
      </c>
      <c r="L404" s="231"/>
      <c r="M404" s="157">
        <v>21351.38031</v>
      </c>
      <c r="N404" s="181">
        <f t="shared" si="59"/>
        <v>21351.38031</v>
      </c>
      <c r="O404" s="246">
        <f t="shared" si="61"/>
        <v>1.375</v>
      </c>
      <c r="P404" s="246">
        <f t="shared" si="61"/>
        <v>291.78750000000002</v>
      </c>
      <c r="Q404" s="159">
        <v>4200</v>
      </c>
      <c r="R404" s="159">
        <v>1161</v>
      </c>
      <c r="S404" s="363">
        <f t="shared" si="60"/>
        <v>0</v>
      </c>
      <c r="T404" s="271">
        <v>0.40164731148724869</v>
      </c>
    </row>
    <row r="405" spans="1:20" x14ac:dyDescent="0.2">
      <c r="A405" s="147">
        <v>2034</v>
      </c>
      <c r="B405" s="147">
        <v>8</v>
      </c>
      <c r="D405" s="166">
        <v>15.204116358877437</v>
      </c>
      <c r="E405" s="258">
        <f t="shared" si="62"/>
        <v>15.926570274791949</v>
      </c>
      <c r="F405" s="258">
        <f t="shared" si="62"/>
        <v>14.7496699366664</v>
      </c>
      <c r="G405" s="166">
        <v>29.43</v>
      </c>
      <c r="H405" s="148">
        <v>139.05809106999999</v>
      </c>
      <c r="I405" s="181">
        <f t="shared" si="57"/>
        <v>139.05809106999999</v>
      </c>
      <c r="J405" s="181">
        <f t="shared" si="58"/>
        <v>55.852308418814481</v>
      </c>
      <c r="K405" s="362">
        <v>24284</v>
      </c>
      <c r="L405" s="231"/>
      <c r="M405" s="157">
        <v>21351.38031</v>
      </c>
      <c r="N405" s="181">
        <f t="shared" si="59"/>
        <v>21351.38031</v>
      </c>
      <c r="O405" s="246">
        <f t="shared" si="61"/>
        <v>0.35</v>
      </c>
      <c r="P405" s="246">
        <f t="shared" si="61"/>
        <v>311.80250000000001</v>
      </c>
      <c r="Q405" s="159">
        <v>4200</v>
      </c>
      <c r="R405" s="159">
        <v>1161</v>
      </c>
      <c r="S405" s="363">
        <f t="shared" si="60"/>
        <v>0</v>
      </c>
      <c r="T405" s="271">
        <v>0.40164731148724869</v>
      </c>
    </row>
    <row r="406" spans="1:20" x14ac:dyDescent="0.2">
      <c r="A406" s="147">
        <v>2034</v>
      </c>
      <c r="B406" s="147">
        <v>9</v>
      </c>
      <c r="D406" s="166">
        <v>15.204116358877437</v>
      </c>
      <c r="E406" s="258">
        <f t="shared" si="62"/>
        <v>15.926570274791949</v>
      </c>
      <c r="F406" s="258">
        <f t="shared" si="62"/>
        <v>14.7496699366664</v>
      </c>
      <c r="G406" s="166">
        <v>30.57</v>
      </c>
      <c r="H406" s="148">
        <v>139.05809106999999</v>
      </c>
      <c r="I406" s="181">
        <f t="shared" si="57"/>
        <v>139.05809106999999</v>
      </c>
      <c r="J406" s="181">
        <f t="shared" si="58"/>
        <v>55.852308418814481</v>
      </c>
      <c r="K406" s="362">
        <v>24281</v>
      </c>
      <c r="L406" s="231"/>
      <c r="M406" s="157">
        <v>21351.38031</v>
      </c>
      <c r="N406" s="181">
        <f t="shared" si="59"/>
        <v>21351.38031</v>
      </c>
      <c r="O406" s="246">
        <f t="shared" si="61"/>
        <v>8.2974999999999994</v>
      </c>
      <c r="P406" s="246">
        <f t="shared" si="61"/>
        <v>230.68249999999998</v>
      </c>
      <c r="Q406" s="159">
        <v>4200</v>
      </c>
      <c r="R406" s="159">
        <v>1161</v>
      </c>
      <c r="S406" s="363">
        <f t="shared" si="60"/>
        <v>0</v>
      </c>
      <c r="T406" s="271">
        <v>0.40164731148724869</v>
      </c>
    </row>
    <row r="407" spans="1:20" x14ac:dyDescent="0.2">
      <c r="A407" s="147">
        <v>2034</v>
      </c>
      <c r="B407" s="147">
        <v>10</v>
      </c>
      <c r="D407" s="166">
        <v>15.204116358877437</v>
      </c>
      <c r="E407" s="258">
        <f t="shared" si="62"/>
        <v>15.926570274791949</v>
      </c>
      <c r="F407" s="258">
        <f t="shared" si="62"/>
        <v>14.7496699366664</v>
      </c>
      <c r="G407" s="166">
        <v>29.67</v>
      </c>
      <c r="H407" s="148">
        <v>139.05809106999999</v>
      </c>
      <c r="I407" s="181">
        <f t="shared" si="57"/>
        <v>139.05809106999999</v>
      </c>
      <c r="J407" s="181">
        <f t="shared" si="58"/>
        <v>55.84427777713428</v>
      </c>
      <c r="K407" s="362">
        <v>24278</v>
      </c>
      <c r="L407" s="231"/>
      <c r="M407" s="157">
        <v>21351.38031</v>
      </c>
      <c r="N407" s="181">
        <f t="shared" si="59"/>
        <v>21351.38031</v>
      </c>
      <c r="O407" s="246">
        <f t="shared" si="61"/>
        <v>129.8125</v>
      </c>
      <c r="P407" s="246">
        <f t="shared" si="61"/>
        <v>57.779999999999994</v>
      </c>
      <c r="Q407" s="159">
        <v>4200</v>
      </c>
      <c r="R407" s="159">
        <v>1161</v>
      </c>
      <c r="S407" s="363">
        <f t="shared" si="60"/>
        <v>0</v>
      </c>
      <c r="T407" s="271">
        <v>0.40158956122174161</v>
      </c>
    </row>
    <row r="408" spans="1:20" x14ac:dyDescent="0.2">
      <c r="A408" s="147">
        <v>2034</v>
      </c>
      <c r="B408" s="147">
        <v>11</v>
      </c>
      <c r="D408" s="166">
        <v>15.204116358877437</v>
      </c>
      <c r="E408" s="258">
        <f t="shared" si="62"/>
        <v>15.926570274791949</v>
      </c>
      <c r="F408" s="258">
        <f t="shared" si="62"/>
        <v>14.7496699366664</v>
      </c>
      <c r="G408" s="166">
        <v>29.05</v>
      </c>
      <c r="H408" s="148">
        <v>139.05809106999999</v>
      </c>
      <c r="I408" s="181">
        <f t="shared" si="57"/>
        <v>139.05809106999999</v>
      </c>
      <c r="J408" s="181">
        <f t="shared" si="58"/>
        <v>55.84427777713428</v>
      </c>
      <c r="K408" s="362">
        <v>24275</v>
      </c>
      <c r="L408" s="231"/>
      <c r="M408" s="157">
        <v>21351.38031</v>
      </c>
      <c r="N408" s="181">
        <f t="shared" si="59"/>
        <v>21351.38031</v>
      </c>
      <c r="O408" s="246">
        <f t="shared" si="61"/>
        <v>387.90500000000003</v>
      </c>
      <c r="P408" s="246">
        <f t="shared" si="61"/>
        <v>3.9299999999999997</v>
      </c>
      <c r="Q408" s="159">
        <v>4200</v>
      </c>
      <c r="R408" s="159">
        <v>1161</v>
      </c>
      <c r="S408" s="363">
        <f t="shared" si="60"/>
        <v>0</v>
      </c>
      <c r="T408" s="271">
        <v>0.40158956122174161</v>
      </c>
    </row>
    <row r="409" spans="1:20" x14ac:dyDescent="0.2">
      <c r="A409" s="147">
        <v>2034</v>
      </c>
      <c r="B409" s="147">
        <v>12</v>
      </c>
      <c r="D409" s="166">
        <v>15.204116358877437</v>
      </c>
      <c r="E409" s="258">
        <f t="shared" si="62"/>
        <v>15.926570274791949</v>
      </c>
      <c r="F409" s="258">
        <f t="shared" si="62"/>
        <v>14.7496699366664</v>
      </c>
      <c r="G409" s="166">
        <v>31</v>
      </c>
      <c r="H409" s="148">
        <v>139.05809106999999</v>
      </c>
      <c r="I409" s="181">
        <f t="shared" si="57"/>
        <v>139.05809106999999</v>
      </c>
      <c r="J409" s="181">
        <f t="shared" si="58"/>
        <v>55.84427777713428</v>
      </c>
      <c r="K409" s="362">
        <v>24272</v>
      </c>
      <c r="L409" s="231"/>
      <c r="M409" s="157">
        <v>21351.38031</v>
      </c>
      <c r="N409" s="181">
        <f t="shared" si="59"/>
        <v>21351.38031</v>
      </c>
      <c r="O409" s="246">
        <f t="shared" si="61"/>
        <v>681.89</v>
      </c>
      <c r="P409" s="246">
        <f t="shared" si="61"/>
        <v>0.1</v>
      </c>
      <c r="Q409" s="159">
        <v>4200</v>
      </c>
      <c r="R409" s="159">
        <v>1161</v>
      </c>
      <c r="S409" s="363">
        <f t="shared" si="60"/>
        <v>0</v>
      </c>
      <c r="T409" s="271">
        <v>0.40158956122174161</v>
      </c>
    </row>
    <row r="410" spans="1:20" x14ac:dyDescent="0.2">
      <c r="A410" s="147">
        <v>2035</v>
      </c>
      <c r="B410" s="147">
        <v>1</v>
      </c>
      <c r="D410" s="166">
        <v>15.584219267849372</v>
      </c>
      <c r="E410" s="258">
        <f t="shared" si="62"/>
        <v>16.245101680287789</v>
      </c>
      <c r="F410" s="258">
        <f t="shared" si="62"/>
        <v>15.044663335399729</v>
      </c>
      <c r="G410" s="166">
        <v>32.33</v>
      </c>
      <c r="H410" s="148">
        <v>139.23675015999999</v>
      </c>
      <c r="I410" s="181">
        <f t="shared" si="57"/>
        <v>139.23675015999999</v>
      </c>
      <c r="J410" s="181">
        <f t="shared" si="58"/>
        <v>55.931836266288336</v>
      </c>
      <c r="K410" s="362">
        <v>24269</v>
      </c>
      <c r="L410" s="231"/>
      <c r="M410" s="157">
        <v>22201.104655999996</v>
      </c>
      <c r="N410" s="181">
        <f t="shared" si="59"/>
        <v>22201.104655999996</v>
      </c>
      <c r="O410" s="246">
        <f t="shared" ref="O410:P425" si="63">O398</f>
        <v>918.70499999999993</v>
      </c>
      <c r="P410" s="246">
        <f t="shared" si="63"/>
        <v>0</v>
      </c>
      <c r="Q410" s="159">
        <v>4200</v>
      </c>
      <c r="R410" s="159">
        <v>1161</v>
      </c>
      <c r="S410" s="363">
        <f t="shared" si="60"/>
        <v>0</v>
      </c>
      <c r="T410" s="271">
        <v>0.40170311503260342</v>
      </c>
    </row>
    <row r="411" spans="1:20" x14ac:dyDescent="0.2">
      <c r="A411" s="147">
        <v>2035</v>
      </c>
      <c r="B411" s="147">
        <v>2</v>
      </c>
      <c r="D411" s="166">
        <v>15.584219267849372</v>
      </c>
      <c r="E411" s="258">
        <f t="shared" si="62"/>
        <v>16.245101680287789</v>
      </c>
      <c r="F411" s="258">
        <f t="shared" si="62"/>
        <v>15.044663335399729</v>
      </c>
      <c r="G411" s="166">
        <v>29.86</v>
      </c>
      <c r="H411" s="148">
        <v>139.23675015999999</v>
      </c>
      <c r="I411" s="181">
        <f t="shared" si="57"/>
        <v>139.23675015999999</v>
      </c>
      <c r="J411" s="181">
        <f t="shared" si="58"/>
        <v>55.931836266288336</v>
      </c>
      <c r="K411" s="362">
        <v>24266</v>
      </c>
      <c r="L411" s="231"/>
      <c r="M411" s="157">
        <v>22201.104655999996</v>
      </c>
      <c r="N411" s="181">
        <f t="shared" si="59"/>
        <v>22201.104655999996</v>
      </c>
      <c r="O411" s="246">
        <f t="shared" si="63"/>
        <v>796.85749999999996</v>
      </c>
      <c r="P411" s="246">
        <f t="shared" si="63"/>
        <v>0</v>
      </c>
      <c r="Q411" s="159">
        <v>4200</v>
      </c>
      <c r="R411" s="159">
        <v>1161</v>
      </c>
      <c r="S411" s="363">
        <f t="shared" si="60"/>
        <v>0</v>
      </c>
      <c r="T411" s="271">
        <v>0.40170311503260342</v>
      </c>
    </row>
    <row r="412" spans="1:20" x14ac:dyDescent="0.2">
      <c r="A412" s="147">
        <v>2035</v>
      </c>
      <c r="B412" s="147">
        <v>3</v>
      </c>
      <c r="D412" s="166">
        <v>15.584219267849372</v>
      </c>
      <c r="E412" s="258">
        <f t="shared" si="62"/>
        <v>16.245101680287789</v>
      </c>
      <c r="F412" s="258">
        <f t="shared" si="62"/>
        <v>15.044663335399729</v>
      </c>
      <c r="G412" s="166">
        <v>30.76</v>
      </c>
      <c r="H412" s="148">
        <v>139.23675015999999</v>
      </c>
      <c r="I412" s="181">
        <f t="shared" si="57"/>
        <v>139.23675015999999</v>
      </c>
      <c r="J412" s="181">
        <f t="shared" si="58"/>
        <v>55.931836266288336</v>
      </c>
      <c r="K412" s="362">
        <v>24263</v>
      </c>
      <c r="L412" s="231"/>
      <c r="M412" s="157">
        <v>22201.104655999996</v>
      </c>
      <c r="N412" s="181">
        <f t="shared" si="59"/>
        <v>22201.104655999996</v>
      </c>
      <c r="O412" s="246">
        <f t="shared" si="63"/>
        <v>645</v>
      </c>
      <c r="P412" s="246">
        <f t="shared" si="63"/>
        <v>0.32500000000000001</v>
      </c>
      <c r="Q412" s="159">
        <v>4200</v>
      </c>
      <c r="R412" s="159">
        <v>1161</v>
      </c>
      <c r="S412" s="363">
        <f t="shared" si="60"/>
        <v>0</v>
      </c>
      <c r="T412" s="271">
        <v>0.40170311503260342</v>
      </c>
    </row>
    <row r="413" spans="1:20" x14ac:dyDescent="0.2">
      <c r="A413" s="147">
        <v>2035</v>
      </c>
      <c r="B413" s="147">
        <v>4</v>
      </c>
      <c r="D413" s="166">
        <v>15.584219267849372</v>
      </c>
      <c r="E413" s="258">
        <f t="shared" si="62"/>
        <v>16.245101680287789</v>
      </c>
      <c r="F413" s="258">
        <f t="shared" si="62"/>
        <v>15.044663335399729</v>
      </c>
      <c r="G413" s="166">
        <v>30.38</v>
      </c>
      <c r="H413" s="148">
        <v>139.23675015999999</v>
      </c>
      <c r="I413" s="181">
        <f t="shared" si="57"/>
        <v>139.23675015999999</v>
      </c>
      <c r="J413" s="181">
        <f t="shared" si="58"/>
        <v>55.947715494917645</v>
      </c>
      <c r="K413" s="362">
        <v>24260</v>
      </c>
      <c r="L413" s="231"/>
      <c r="M413" s="157">
        <v>22201.104655999996</v>
      </c>
      <c r="N413" s="181">
        <f t="shared" si="59"/>
        <v>22201.104655999996</v>
      </c>
      <c r="O413" s="246">
        <f t="shared" si="63"/>
        <v>393.33749999999998</v>
      </c>
      <c r="P413" s="246">
        <f t="shared" si="63"/>
        <v>5.6325000000000003</v>
      </c>
      <c r="Q413" s="159">
        <v>4200</v>
      </c>
      <c r="R413" s="159">
        <v>1161</v>
      </c>
      <c r="S413" s="363">
        <f t="shared" si="60"/>
        <v>0</v>
      </c>
      <c r="T413" s="271">
        <v>0.40181715984197353</v>
      </c>
    </row>
    <row r="414" spans="1:20" x14ac:dyDescent="0.2">
      <c r="A414" s="147">
        <v>2035</v>
      </c>
      <c r="B414" s="147">
        <v>5</v>
      </c>
      <c r="D414" s="166">
        <v>15.584219267849372</v>
      </c>
      <c r="E414" s="258">
        <f t="shared" si="62"/>
        <v>16.245101680287789</v>
      </c>
      <c r="F414" s="258">
        <f t="shared" si="62"/>
        <v>15.044663335399729</v>
      </c>
      <c r="G414" s="166">
        <v>29.52</v>
      </c>
      <c r="H414" s="148">
        <v>139.23675015999999</v>
      </c>
      <c r="I414" s="181">
        <f t="shared" si="57"/>
        <v>139.23675015999999</v>
      </c>
      <c r="J414" s="181">
        <f t="shared" si="58"/>
        <v>55.947715494917645</v>
      </c>
      <c r="K414" s="362">
        <v>24257</v>
      </c>
      <c r="L414" s="231"/>
      <c r="M414" s="157">
        <v>22201.104655999996</v>
      </c>
      <c r="N414" s="181">
        <f t="shared" si="59"/>
        <v>22201.104655999996</v>
      </c>
      <c r="O414" s="246">
        <f t="shared" si="63"/>
        <v>170.59</v>
      </c>
      <c r="P414" s="246">
        <f t="shared" si="63"/>
        <v>35.347500000000004</v>
      </c>
      <c r="Q414" s="159">
        <v>4200</v>
      </c>
      <c r="R414" s="159">
        <v>1161</v>
      </c>
      <c r="S414" s="363">
        <f t="shared" si="60"/>
        <v>0</v>
      </c>
      <c r="T414" s="271">
        <v>0.40181715984197353</v>
      </c>
    </row>
    <row r="415" spans="1:20" x14ac:dyDescent="0.2">
      <c r="A415" s="147">
        <v>2035</v>
      </c>
      <c r="B415" s="147">
        <v>6</v>
      </c>
      <c r="D415" s="166">
        <v>15.584219267849372</v>
      </c>
      <c r="E415" s="258">
        <f t="shared" si="62"/>
        <v>16.245101680287789</v>
      </c>
      <c r="F415" s="258">
        <f t="shared" si="62"/>
        <v>15.044663335399729</v>
      </c>
      <c r="G415" s="166">
        <v>30.62</v>
      </c>
      <c r="H415" s="148">
        <v>139.23675015999999</v>
      </c>
      <c r="I415" s="181">
        <f t="shared" si="57"/>
        <v>139.23675015999999</v>
      </c>
      <c r="J415" s="181">
        <f t="shared" si="58"/>
        <v>55.947715494917645</v>
      </c>
      <c r="K415" s="362">
        <v>24254</v>
      </c>
      <c r="L415" s="231"/>
      <c r="M415" s="157">
        <v>22201.104655999996</v>
      </c>
      <c r="N415" s="181">
        <f t="shared" si="59"/>
        <v>22201.104655999996</v>
      </c>
      <c r="O415" s="246">
        <f t="shared" si="63"/>
        <v>42.912500000000001</v>
      </c>
      <c r="P415" s="246">
        <f t="shared" si="63"/>
        <v>148.8475</v>
      </c>
      <c r="Q415" s="159">
        <v>4200</v>
      </c>
      <c r="R415" s="159">
        <v>1161</v>
      </c>
      <c r="S415" s="363">
        <f t="shared" si="60"/>
        <v>0</v>
      </c>
      <c r="T415" s="271">
        <v>0.40181715984197353</v>
      </c>
    </row>
    <row r="416" spans="1:20" x14ac:dyDescent="0.2">
      <c r="A416" s="147">
        <v>2035</v>
      </c>
      <c r="B416" s="147">
        <v>7</v>
      </c>
      <c r="D416" s="166">
        <v>15.584219267849372</v>
      </c>
      <c r="E416" s="258">
        <f t="shared" si="62"/>
        <v>16.245101680287789</v>
      </c>
      <c r="F416" s="258">
        <f t="shared" si="62"/>
        <v>15.044663335399729</v>
      </c>
      <c r="G416" s="166">
        <v>30.76</v>
      </c>
      <c r="H416" s="148">
        <v>139.23675015999999</v>
      </c>
      <c r="I416" s="181">
        <f t="shared" si="57"/>
        <v>139.23675015999999</v>
      </c>
      <c r="J416" s="181">
        <f t="shared" si="58"/>
        <v>55.963488764315429</v>
      </c>
      <c r="K416" s="362">
        <v>24251</v>
      </c>
      <c r="L416" s="231"/>
      <c r="M416" s="157">
        <v>22201.104655999996</v>
      </c>
      <c r="N416" s="181">
        <f t="shared" si="59"/>
        <v>22201.104655999996</v>
      </c>
      <c r="O416" s="246">
        <f t="shared" si="63"/>
        <v>1.375</v>
      </c>
      <c r="P416" s="246">
        <f t="shared" si="63"/>
        <v>291.78750000000002</v>
      </c>
      <c r="Q416" s="159">
        <v>4200</v>
      </c>
      <c r="R416" s="159">
        <v>1161</v>
      </c>
      <c r="S416" s="363">
        <f t="shared" si="60"/>
        <v>0</v>
      </c>
      <c r="T416" s="271">
        <v>0.40193044365087927</v>
      </c>
    </row>
    <row r="417" spans="1:20" x14ac:dyDescent="0.2">
      <c r="A417" s="147">
        <v>2035</v>
      </c>
      <c r="B417" s="147">
        <v>8</v>
      </c>
      <c r="D417" s="166">
        <v>15.584219267849372</v>
      </c>
      <c r="E417" s="258">
        <f t="shared" si="62"/>
        <v>16.245101680287789</v>
      </c>
      <c r="F417" s="258">
        <f t="shared" si="62"/>
        <v>15.044663335399729</v>
      </c>
      <c r="G417" s="166">
        <v>29.48</v>
      </c>
      <c r="H417" s="148">
        <v>139.23675015999999</v>
      </c>
      <c r="I417" s="181">
        <f t="shared" si="57"/>
        <v>139.23675015999999</v>
      </c>
      <c r="J417" s="181">
        <f t="shared" si="58"/>
        <v>55.963488764315429</v>
      </c>
      <c r="K417" s="362">
        <v>24248</v>
      </c>
      <c r="L417" s="231"/>
      <c r="M417" s="157">
        <v>22201.104655999996</v>
      </c>
      <c r="N417" s="181">
        <f t="shared" si="59"/>
        <v>22201.104655999996</v>
      </c>
      <c r="O417" s="246">
        <f t="shared" si="63"/>
        <v>0.35</v>
      </c>
      <c r="P417" s="246">
        <f t="shared" si="63"/>
        <v>311.80250000000001</v>
      </c>
      <c r="Q417" s="159">
        <v>4200</v>
      </c>
      <c r="R417" s="159">
        <v>1161</v>
      </c>
      <c r="S417" s="363">
        <f t="shared" si="60"/>
        <v>0</v>
      </c>
      <c r="T417" s="271">
        <v>0.40193044365087927</v>
      </c>
    </row>
    <row r="418" spans="1:20" x14ac:dyDescent="0.2">
      <c r="A418" s="147">
        <v>2035</v>
      </c>
      <c r="B418" s="147">
        <v>9</v>
      </c>
      <c r="D418" s="166">
        <v>15.584219267849372</v>
      </c>
      <c r="E418" s="258">
        <f t="shared" si="62"/>
        <v>16.245101680287789</v>
      </c>
      <c r="F418" s="258">
        <f t="shared" si="62"/>
        <v>15.044663335399729</v>
      </c>
      <c r="G418" s="166">
        <v>30.57</v>
      </c>
      <c r="H418" s="148">
        <v>139.23675015999999</v>
      </c>
      <c r="I418" s="181">
        <f t="shared" si="57"/>
        <v>139.23675015999999</v>
      </c>
      <c r="J418" s="181">
        <f t="shared" si="58"/>
        <v>55.963488764315429</v>
      </c>
      <c r="K418" s="362">
        <v>24245</v>
      </c>
      <c r="L418" s="231"/>
      <c r="M418" s="157">
        <v>22201.104655999996</v>
      </c>
      <c r="N418" s="181">
        <f t="shared" si="59"/>
        <v>22201.104655999996</v>
      </c>
      <c r="O418" s="246">
        <f t="shared" si="63"/>
        <v>8.2974999999999994</v>
      </c>
      <c r="P418" s="246">
        <f t="shared" si="63"/>
        <v>230.68249999999998</v>
      </c>
      <c r="Q418" s="159">
        <v>4200</v>
      </c>
      <c r="R418" s="159">
        <v>1161</v>
      </c>
      <c r="S418" s="363">
        <f t="shared" si="60"/>
        <v>0</v>
      </c>
      <c r="T418" s="271">
        <v>0.40193044365087927</v>
      </c>
    </row>
    <row r="419" spans="1:20" x14ac:dyDescent="0.2">
      <c r="A419" s="147">
        <v>2035</v>
      </c>
      <c r="B419" s="147">
        <v>10</v>
      </c>
      <c r="D419" s="166">
        <v>15.584219267849372</v>
      </c>
      <c r="E419" s="258">
        <f t="shared" ref="E419:F434" si="64">E407*(1+0.02)</f>
        <v>16.245101680287789</v>
      </c>
      <c r="F419" s="258">
        <f t="shared" si="64"/>
        <v>15.044663335399729</v>
      </c>
      <c r="G419" s="166">
        <v>29.67</v>
      </c>
      <c r="H419" s="148">
        <v>139.23675015999999</v>
      </c>
      <c r="I419" s="181">
        <f t="shared" si="57"/>
        <v>139.23675015999999</v>
      </c>
      <c r="J419" s="181">
        <f t="shared" si="58"/>
        <v>55.979858844140516</v>
      </c>
      <c r="K419" s="362">
        <v>24242</v>
      </c>
      <c r="L419" s="231"/>
      <c r="M419" s="157">
        <v>22201.104655999996</v>
      </c>
      <c r="N419" s="181">
        <f t="shared" si="59"/>
        <v>22201.104655999996</v>
      </c>
      <c r="O419" s="246">
        <f t="shared" si="63"/>
        <v>129.8125</v>
      </c>
      <c r="P419" s="246">
        <f t="shared" si="63"/>
        <v>57.779999999999994</v>
      </c>
      <c r="Q419" s="159">
        <v>4200</v>
      </c>
      <c r="R419" s="159">
        <v>1161</v>
      </c>
      <c r="S419" s="363">
        <f t="shared" si="60"/>
        <v>0</v>
      </c>
      <c r="T419" s="271">
        <v>0.4020480137593907</v>
      </c>
    </row>
    <row r="420" spans="1:20" x14ac:dyDescent="0.2">
      <c r="A420" s="147">
        <v>2035</v>
      </c>
      <c r="B420" s="147">
        <v>11</v>
      </c>
      <c r="D420" s="166">
        <v>15.584219267849372</v>
      </c>
      <c r="E420" s="258">
        <f t="shared" si="64"/>
        <v>16.245101680287789</v>
      </c>
      <c r="F420" s="258">
        <f t="shared" si="64"/>
        <v>15.044663335399729</v>
      </c>
      <c r="G420" s="166">
        <v>29.95</v>
      </c>
      <c r="H420" s="148">
        <v>139.23675015999999</v>
      </c>
      <c r="I420" s="181">
        <f t="shared" si="57"/>
        <v>139.23675015999999</v>
      </c>
      <c r="J420" s="181">
        <f t="shared" si="58"/>
        <v>55.979858844140516</v>
      </c>
      <c r="K420" s="362">
        <v>24239</v>
      </c>
      <c r="L420" s="231"/>
      <c r="M420" s="157">
        <v>22201.104655999996</v>
      </c>
      <c r="N420" s="181">
        <f t="shared" si="59"/>
        <v>22201.104655999996</v>
      </c>
      <c r="O420" s="246">
        <f t="shared" si="63"/>
        <v>387.90500000000003</v>
      </c>
      <c r="P420" s="246">
        <f t="shared" si="63"/>
        <v>3.9299999999999997</v>
      </c>
      <c r="Q420" s="159">
        <v>4200</v>
      </c>
      <c r="R420" s="159">
        <v>1161</v>
      </c>
      <c r="S420" s="363">
        <f t="shared" si="60"/>
        <v>0</v>
      </c>
      <c r="T420" s="271">
        <v>0.4020480137593907</v>
      </c>
    </row>
    <row r="421" spans="1:20" x14ac:dyDescent="0.2">
      <c r="A421" s="147">
        <v>2035</v>
      </c>
      <c r="B421" s="147">
        <v>12</v>
      </c>
      <c r="D421" s="166">
        <v>15.584219267849372</v>
      </c>
      <c r="E421" s="258">
        <f t="shared" si="64"/>
        <v>16.245101680287789</v>
      </c>
      <c r="F421" s="258">
        <f t="shared" si="64"/>
        <v>15.044663335399729</v>
      </c>
      <c r="G421" s="166">
        <v>31.38</v>
      </c>
      <c r="H421" s="154">
        <v>139.23675015999999</v>
      </c>
      <c r="I421" s="181">
        <f t="shared" si="57"/>
        <v>139.23675015999999</v>
      </c>
      <c r="J421" s="181">
        <f t="shared" si="58"/>
        <v>55.979858844140516</v>
      </c>
      <c r="K421" s="362">
        <v>24236</v>
      </c>
      <c r="L421" s="231"/>
      <c r="M421" s="157">
        <v>22201.104655999996</v>
      </c>
      <c r="N421" s="181">
        <f t="shared" si="59"/>
        <v>22201.104655999996</v>
      </c>
      <c r="O421" s="246">
        <f t="shared" si="63"/>
        <v>681.89</v>
      </c>
      <c r="P421" s="246">
        <f t="shared" si="63"/>
        <v>0.1</v>
      </c>
      <c r="Q421" s="159">
        <v>4200</v>
      </c>
      <c r="R421" s="159">
        <v>1161</v>
      </c>
      <c r="S421" s="363">
        <f t="shared" si="60"/>
        <v>0</v>
      </c>
      <c r="T421" s="271">
        <v>0.4020480137593907</v>
      </c>
    </row>
    <row r="422" spans="1:20" x14ac:dyDescent="0.2">
      <c r="A422" s="147">
        <v>2036</v>
      </c>
      <c r="B422" s="147">
        <v>1</v>
      </c>
      <c r="D422" s="166">
        <v>15.973824749545606</v>
      </c>
      <c r="E422" s="258">
        <f t="shared" si="64"/>
        <v>16.570003713893545</v>
      </c>
      <c r="F422" s="258">
        <f t="shared" si="64"/>
        <v>15.345556602107724</v>
      </c>
      <c r="G422" s="166">
        <v>32.43</v>
      </c>
      <c r="H422" s="148">
        <v>139.40802972</v>
      </c>
      <c r="I422" s="181">
        <f t="shared" si="57"/>
        <v>139.40802972</v>
      </c>
      <c r="J422" s="181">
        <f t="shared" si="58"/>
        <v>56.066162303005989</v>
      </c>
      <c r="K422" s="362">
        <v>24233</v>
      </c>
      <c r="L422" s="231"/>
      <c r="M422" s="157">
        <v>23110.083704000001</v>
      </c>
      <c r="N422" s="181">
        <f t="shared" si="59"/>
        <v>23110.083704000001</v>
      </c>
      <c r="O422" s="246">
        <f t="shared" si="63"/>
        <v>918.70499999999993</v>
      </c>
      <c r="P422" s="246">
        <f t="shared" si="63"/>
        <v>0</v>
      </c>
      <c r="Q422" s="159">
        <v>4200</v>
      </c>
      <c r="R422" s="159">
        <v>1161</v>
      </c>
      <c r="S422" s="363">
        <f t="shared" si="60"/>
        <v>0</v>
      </c>
      <c r="T422" s="271">
        <v>0.40217312026871382</v>
      </c>
    </row>
    <row r="423" spans="1:20" x14ac:dyDescent="0.2">
      <c r="A423" s="147">
        <v>2036</v>
      </c>
      <c r="B423" s="147">
        <v>2</v>
      </c>
      <c r="D423" s="166">
        <v>15.973824749545606</v>
      </c>
      <c r="E423" s="258">
        <f t="shared" si="64"/>
        <v>16.570003713893545</v>
      </c>
      <c r="F423" s="258">
        <f t="shared" si="64"/>
        <v>15.345556602107724</v>
      </c>
      <c r="G423" s="166">
        <v>29.9</v>
      </c>
      <c r="H423" s="148">
        <v>139.40802972</v>
      </c>
      <c r="I423" s="181">
        <f t="shared" si="57"/>
        <v>139.40802972</v>
      </c>
      <c r="J423" s="181">
        <f t="shared" si="58"/>
        <v>56.066162303005989</v>
      </c>
      <c r="K423" s="362">
        <v>24230</v>
      </c>
      <c r="L423" s="231"/>
      <c r="M423" s="157">
        <v>23110.083704000001</v>
      </c>
      <c r="N423" s="181">
        <f t="shared" si="59"/>
        <v>23110.083704000001</v>
      </c>
      <c r="O423" s="246">
        <f t="shared" si="63"/>
        <v>796.85749999999996</v>
      </c>
      <c r="P423" s="246">
        <f t="shared" si="63"/>
        <v>0</v>
      </c>
      <c r="Q423" s="159">
        <v>4200</v>
      </c>
      <c r="R423" s="159">
        <v>1161</v>
      </c>
      <c r="S423" s="363">
        <f t="shared" si="60"/>
        <v>0</v>
      </c>
      <c r="T423" s="271">
        <v>0.40217312026871382</v>
      </c>
    </row>
    <row r="424" spans="1:20" x14ac:dyDescent="0.2">
      <c r="A424" s="147">
        <v>2036</v>
      </c>
      <c r="B424" s="147">
        <v>3</v>
      </c>
      <c r="D424" s="166">
        <v>15.973824749545606</v>
      </c>
      <c r="E424" s="258">
        <f t="shared" si="64"/>
        <v>16.570003713893545</v>
      </c>
      <c r="F424" s="258">
        <f t="shared" si="64"/>
        <v>15.345556602107724</v>
      </c>
      <c r="G424" s="166">
        <v>30.33</v>
      </c>
      <c r="H424" s="148">
        <v>139.40802972</v>
      </c>
      <c r="I424" s="181">
        <f t="shared" si="57"/>
        <v>139.40802972</v>
      </c>
      <c r="J424" s="181">
        <f t="shared" si="58"/>
        <v>56.066162303005989</v>
      </c>
      <c r="K424" s="362">
        <v>24227</v>
      </c>
      <c r="L424" s="231"/>
      <c r="M424" s="157">
        <v>23110.083704000001</v>
      </c>
      <c r="N424" s="181">
        <f t="shared" si="59"/>
        <v>23110.083704000001</v>
      </c>
      <c r="O424" s="246">
        <f t="shared" si="63"/>
        <v>645</v>
      </c>
      <c r="P424" s="246">
        <f t="shared" si="63"/>
        <v>0.32500000000000001</v>
      </c>
      <c r="Q424" s="159">
        <v>4200</v>
      </c>
      <c r="R424" s="159">
        <v>1161</v>
      </c>
      <c r="S424" s="363">
        <f t="shared" si="60"/>
        <v>0</v>
      </c>
      <c r="T424" s="271">
        <v>0.40217312026871382</v>
      </c>
    </row>
    <row r="425" spans="1:20" x14ac:dyDescent="0.2">
      <c r="A425" s="147">
        <v>2036</v>
      </c>
      <c r="B425" s="147">
        <v>4</v>
      </c>
      <c r="D425" s="166">
        <v>15.973824749545606</v>
      </c>
      <c r="E425" s="258">
        <f t="shared" si="64"/>
        <v>16.570003713893545</v>
      </c>
      <c r="F425" s="258">
        <f t="shared" si="64"/>
        <v>15.345556602107724</v>
      </c>
      <c r="G425" s="166">
        <v>30.29</v>
      </c>
      <c r="H425" s="148">
        <v>139.40802972</v>
      </c>
      <c r="I425" s="181">
        <f t="shared" si="57"/>
        <v>139.40802972</v>
      </c>
      <c r="J425" s="181">
        <f t="shared" si="58"/>
        <v>56.082281378105314</v>
      </c>
      <c r="K425" s="362">
        <v>24224</v>
      </c>
      <c r="L425" s="231"/>
      <c r="M425" s="157">
        <v>23110.083704000001</v>
      </c>
      <c r="N425" s="181">
        <f t="shared" si="59"/>
        <v>23110.083704000001</v>
      </c>
      <c r="O425" s="246">
        <f t="shared" si="63"/>
        <v>393.33749999999998</v>
      </c>
      <c r="P425" s="246">
        <f t="shared" si="63"/>
        <v>5.6325000000000003</v>
      </c>
      <c r="Q425" s="159">
        <v>4200</v>
      </c>
      <c r="R425" s="159">
        <v>1161</v>
      </c>
      <c r="S425" s="363">
        <f t="shared" si="60"/>
        <v>0</v>
      </c>
      <c r="T425" s="271">
        <v>0.4022887454241062</v>
      </c>
    </row>
    <row r="426" spans="1:20" x14ac:dyDescent="0.2">
      <c r="A426" s="147">
        <v>2036</v>
      </c>
      <c r="B426" s="147">
        <v>5</v>
      </c>
      <c r="D426" s="166">
        <v>15.973824749545606</v>
      </c>
      <c r="E426" s="258">
        <f t="shared" si="64"/>
        <v>16.570003713893545</v>
      </c>
      <c r="F426" s="258">
        <f t="shared" si="64"/>
        <v>15.345556602107724</v>
      </c>
      <c r="G426" s="166">
        <v>30.05</v>
      </c>
      <c r="H426" s="148">
        <v>139.40802972</v>
      </c>
      <c r="I426" s="181">
        <f t="shared" si="57"/>
        <v>139.40802972</v>
      </c>
      <c r="J426" s="181">
        <f t="shared" si="58"/>
        <v>56.082281378105314</v>
      </c>
      <c r="K426" s="362">
        <v>24221</v>
      </c>
      <c r="L426" s="231"/>
      <c r="M426" s="157">
        <v>23110.083704000001</v>
      </c>
      <c r="N426" s="181">
        <f t="shared" si="59"/>
        <v>23110.083704000001</v>
      </c>
      <c r="O426" s="246">
        <f t="shared" ref="O426:P441" si="65">O414</f>
        <v>170.59</v>
      </c>
      <c r="P426" s="246">
        <f t="shared" si="65"/>
        <v>35.347500000000004</v>
      </c>
      <c r="Q426" s="159">
        <v>4200</v>
      </c>
      <c r="R426" s="159">
        <v>1161</v>
      </c>
      <c r="S426" s="363">
        <f t="shared" si="60"/>
        <v>0</v>
      </c>
      <c r="T426" s="271">
        <v>0.4022887454241062</v>
      </c>
    </row>
    <row r="427" spans="1:20" x14ac:dyDescent="0.2">
      <c r="A427" s="147">
        <v>2036</v>
      </c>
      <c r="B427" s="147">
        <v>6</v>
      </c>
      <c r="D427" s="166">
        <v>15.973824749545606</v>
      </c>
      <c r="E427" s="258">
        <f t="shared" si="64"/>
        <v>16.570003713893545</v>
      </c>
      <c r="F427" s="258">
        <f t="shared" si="64"/>
        <v>15.345556602107724</v>
      </c>
      <c r="G427" s="166">
        <v>30.67</v>
      </c>
      <c r="H427" s="148">
        <v>139.40802972</v>
      </c>
      <c r="I427" s="181">
        <f t="shared" si="57"/>
        <v>139.40802972</v>
      </c>
      <c r="J427" s="181">
        <f t="shared" si="58"/>
        <v>56.082281378105314</v>
      </c>
      <c r="K427" s="362">
        <v>24218</v>
      </c>
      <c r="L427" s="231"/>
      <c r="M427" s="157">
        <v>23110.083704000001</v>
      </c>
      <c r="N427" s="181">
        <f t="shared" si="59"/>
        <v>23110.083704000001</v>
      </c>
      <c r="O427" s="246">
        <f t="shared" si="65"/>
        <v>42.912500000000001</v>
      </c>
      <c r="P427" s="246">
        <f t="shared" si="65"/>
        <v>148.8475</v>
      </c>
      <c r="Q427" s="159">
        <v>4200</v>
      </c>
      <c r="R427" s="159">
        <v>1161</v>
      </c>
      <c r="S427" s="363">
        <f t="shared" si="60"/>
        <v>0</v>
      </c>
      <c r="T427" s="271">
        <v>0.4022887454241062</v>
      </c>
    </row>
    <row r="428" spans="1:20" x14ac:dyDescent="0.2">
      <c r="A428" s="147">
        <v>2036</v>
      </c>
      <c r="B428" s="147">
        <v>7</v>
      </c>
      <c r="D428" s="166">
        <v>15.973824749545606</v>
      </c>
      <c r="E428" s="258">
        <f t="shared" si="64"/>
        <v>16.570003713893545</v>
      </c>
      <c r="F428" s="258">
        <f t="shared" si="64"/>
        <v>15.345556602107724</v>
      </c>
      <c r="G428" s="166">
        <v>30.62</v>
      </c>
      <c r="H428" s="148">
        <v>139.40802972</v>
      </c>
      <c r="I428" s="181">
        <f t="shared" si="57"/>
        <v>139.40802972</v>
      </c>
      <c r="J428" s="181">
        <f t="shared" si="58"/>
        <v>56.098223299861921</v>
      </c>
      <c r="K428" s="362">
        <v>24215</v>
      </c>
      <c r="L428" s="231"/>
      <c r="M428" s="157">
        <v>23110.083704000001</v>
      </c>
      <c r="N428" s="181">
        <f t="shared" si="59"/>
        <v>23110.083704000001</v>
      </c>
      <c r="O428" s="246">
        <f t="shared" si="65"/>
        <v>1.375</v>
      </c>
      <c r="P428" s="246">
        <f t="shared" si="65"/>
        <v>291.78750000000002</v>
      </c>
      <c r="Q428" s="159">
        <v>4200</v>
      </c>
      <c r="R428" s="159">
        <v>1161</v>
      </c>
      <c r="S428" s="363">
        <f t="shared" si="60"/>
        <v>0</v>
      </c>
      <c r="T428" s="271">
        <v>0.40240309982527395</v>
      </c>
    </row>
    <row r="429" spans="1:20" x14ac:dyDescent="0.2">
      <c r="A429" s="147">
        <v>2036</v>
      </c>
      <c r="B429" s="147">
        <v>8</v>
      </c>
      <c r="D429" s="166">
        <v>15.973824749545606</v>
      </c>
      <c r="E429" s="258">
        <f t="shared" si="64"/>
        <v>16.570003713893545</v>
      </c>
      <c r="F429" s="258">
        <f t="shared" si="64"/>
        <v>15.345556602107724</v>
      </c>
      <c r="G429" s="166">
        <v>29.52</v>
      </c>
      <c r="H429" s="148">
        <v>139.40802972</v>
      </c>
      <c r="I429" s="181">
        <f t="shared" si="57"/>
        <v>139.40802972</v>
      </c>
      <c r="J429" s="181">
        <f t="shared" si="58"/>
        <v>56.098223299861921</v>
      </c>
      <c r="K429" s="362">
        <v>24212</v>
      </c>
      <c r="L429" s="231"/>
      <c r="M429" s="157">
        <v>23110.083704000001</v>
      </c>
      <c r="N429" s="181">
        <f t="shared" si="59"/>
        <v>23110.083704000001</v>
      </c>
      <c r="O429" s="246">
        <f t="shared" si="65"/>
        <v>0.35</v>
      </c>
      <c r="P429" s="246">
        <f t="shared" si="65"/>
        <v>311.80250000000001</v>
      </c>
      <c r="Q429" s="159">
        <v>4200</v>
      </c>
      <c r="R429" s="159">
        <v>1161</v>
      </c>
      <c r="S429" s="363">
        <f t="shared" si="60"/>
        <v>0</v>
      </c>
      <c r="T429" s="271">
        <v>0.40240309982527395</v>
      </c>
    </row>
    <row r="430" spans="1:20" x14ac:dyDescent="0.2">
      <c r="A430" s="147">
        <v>2036</v>
      </c>
      <c r="B430" s="147">
        <v>9</v>
      </c>
      <c r="D430" s="166">
        <v>15.973824749545606</v>
      </c>
      <c r="E430" s="258">
        <f t="shared" si="64"/>
        <v>16.570003713893545</v>
      </c>
      <c r="F430" s="258">
        <f t="shared" si="64"/>
        <v>15.345556602107724</v>
      </c>
      <c r="G430" s="166">
        <v>30.71</v>
      </c>
      <c r="H430" s="148">
        <v>139.40802972</v>
      </c>
      <c r="I430" s="181">
        <f t="shared" si="57"/>
        <v>139.40802972</v>
      </c>
      <c r="J430" s="181">
        <f t="shared" si="58"/>
        <v>56.098223299861921</v>
      </c>
      <c r="K430" s="362">
        <v>24209</v>
      </c>
      <c r="L430" s="231"/>
      <c r="M430" s="157">
        <v>23110.083704000001</v>
      </c>
      <c r="N430" s="181">
        <f t="shared" si="59"/>
        <v>23110.083704000001</v>
      </c>
      <c r="O430" s="246">
        <f t="shared" si="65"/>
        <v>8.2974999999999994</v>
      </c>
      <c r="P430" s="246">
        <f t="shared" si="65"/>
        <v>230.68249999999998</v>
      </c>
      <c r="Q430" s="159">
        <v>4200</v>
      </c>
      <c r="R430" s="159">
        <v>1161</v>
      </c>
      <c r="S430" s="363">
        <f t="shared" si="60"/>
        <v>0</v>
      </c>
      <c r="T430" s="271">
        <v>0.40240309982527395</v>
      </c>
    </row>
    <row r="431" spans="1:20" x14ac:dyDescent="0.2">
      <c r="A431" s="147">
        <v>2036</v>
      </c>
      <c r="B431" s="147">
        <v>10</v>
      </c>
      <c r="D431" s="166">
        <v>15.973824749545606</v>
      </c>
      <c r="E431" s="258">
        <f t="shared" si="64"/>
        <v>16.570003713893545</v>
      </c>
      <c r="F431" s="258">
        <f t="shared" si="64"/>
        <v>15.345556602107724</v>
      </c>
      <c r="G431" s="166">
        <v>29.52</v>
      </c>
      <c r="H431" s="148">
        <v>139.40802972</v>
      </c>
      <c r="I431" s="181">
        <f t="shared" si="57"/>
        <v>139.40802972</v>
      </c>
      <c r="J431" s="181">
        <f t="shared" si="58"/>
        <v>56.113735198306337</v>
      </c>
      <c r="K431" s="362">
        <v>24206</v>
      </c>
      <c r="L431" s="231"/>
      <c r="M431" s="157">
        <v>23110.083704000001</v>
      </c>
      <c r="N431" s="181">
        <f t="shared" si="59"/>
        <v>23110.083704000001</v>
      </c>
      <c r="O431" s="246">
        <f t="shared" si="65"/>
        <v>129.8125</v>
      </c>
      <c r="P431" s="246">
        <f t="shared" si="65"/>
        <v>57.779999999999994</v>
      </c>
      <c r="Q431" s="159">
        <v>4200</v>
      </c>
      <c r="R431" s="159">
        <v>1161</v>
      </c>
      <c r="S431" s="363">
        <f t="shared" si="60"/>
        <v>0</v>
      </c>
      <c r="T431" s="271">
        <v>0.40251436958839715</v>
      </c>
    </row>
    <row r="432" spans="1:20" x14ac:dyDescent="0.2">
      <c r="A432" s="147">
        <v>2036</v>
      </c>
      <c r="B432" s="147">
        <v>11</v>
      </c>
      <c r="D432" s="166">
        <v>15.973824749545606</v>
      </c>
      <c r="E432" s="258">
        <f t="shared" si="64"/>
        <v>16.570003713893545</v>
      </c>
      <c r="F432" s="258">
        <f t="shared" si="64"/>
        <v>15.345556602107724</v>
      </c>
      <c r="G432" s="166">
        <v>29.38</v>
      </c>
      <c r="H432" s="148">
        <v>139.40802972</v>
      </c>
      <c r="I432" s="181">
        <f t="shared" si="57"/>
        <v>139.40802972</v>
      </c>
      <c r="J432" s="181">
        <f t="shared" si="58"/>
        <v>56.113735198306337</v>
      </c>
      <c r="K432" s="362">
        <v>24203</v>
      </c>
      <c r="L432" s="231"/>
      <c r="M432" s="157">
        <v>23110.083704000001</v>
      </c>
      <c r="N432" s="181">
        <f t="shared" si="59"/>
        <v>23110.083704000001</v>
      </c>
      <c r="O432" s="246">
        <f t="shared" si="65"/>
        <v>387.90500000000003</v>
      </c>
      <c r="P432" s="246">
        <f t="shared" si="65"/>
        <v>3.9299999999999997</v>
      </c>
      <c r="Q432" s="159">
        <v>4200</v>
      </c>
      <c r="R432" s="159">
        <v>1161</v>
      </c>
      <c r="S432" s="363">
        <f t="shared" si="60"/>
        <v>0</v>
      </c>
      <c r="T432" s="271">
        <v>0.40251436958839715</v>
      </c>
    </row>
    <row r="433" spans="1:20" x14ac:dyDescent="0.2">
      <c r="A433" s="147">
        <v>2036</v>
      </c>
      <c r="B433" s="147">
        <v>12</v>
      </c>
      <c r="D433" s="166">
        <v>15.973824749545606</v>
      </c>
      <c r="E433" s="258">
        <f t="shared" si="64"/>
        <v>16.570003713893545</v>
      </c>
      <c r="F433" s="258">
        <f t="shared" si="64"/>
        <v>15.345556602107724</v>
      </c>
      <c r="G433" s="166">
        <v>32.81</v>
      </c>
      <c r="H433" s="148">
        <v>139.40802972</v>
      </c>
      <c r="I433" s="181">
        <f t="shared" si="57"/>
        <v>139.40802972</v>
      </c>
      <c r="J433" s="181">
        <f t="shared" si="58"/>
        <v>56.113735198306337</v>
      </c>
      <c r="K433" s="362">
        <v>24200</v>
      </c>
      <c r="L433" s="231"/>
      <c r="M433" s="157">
        <v>23110.083704000001</v>
      </c>
      <c r="N433" s="181">
        <f t="shared" si="59"/>
        <v>23110.083704000001</v>
      </c>
      <c r="O433" s="246">
        <f t="shared" si="65"/>
        <v>681.89</v>
      </c>
      <c r="P433" s="246">
        <f t="shared" si="65"/>
        <v>0.1</v>
      </c>
      <c r="Q433" s="159">
        <v>4200</v>
      </c>
      <c r="R433" s="159">
        <v>1161</v>
      </c>
      <c r="S433" s="363">
        <f t="shared" si="60"/>
        <v>0</v>
      </c>
      <c r="T433" s="271">
        <v>0.40251436958839715</v>
      </c>
    </row>
    <row r="434" spans="1:20" x14ac:dyDescent="0.2">
      <c r="A434" s="147">
        <v>2037</v>
      </c>
      <c r="B434" s="147">
        <v>1</v>
      </c>
      <c r="D434" s="166">
        <v>16.373170368284246</v>
      </c>
      <c r="E434" s="258">
        <f t="shared" si="64"/>
        <v>16.901403788171415</v>
      </c>
      <c r="F434" s="258">
        <f t="shared" si="64"/>
        <v>15.652467734149878</v>
      </c>
      <c r="G434" s="166">
        <v>32.43</v>
      </c>
      <c r="H434" s="148">
        <v>139.55054196999998</v>
      </c>
      <c r="I434" s="181">
        <f t="shared" si="57"/>
        <v>139.55054196999998</v>
      </c>
      <c r="J434" s="181">
        <f t="shared" si="58"/>
        <v>56.231485221243297</v>
      </c>
      <c r="K434" s="362">
        <v>24197</v>
      </c>
      <c r="L434" s="231"/>
      <c r="M434" s="157">
        <v>24037.998131999997</v>
      </c>
      <c r="N434" s="181">
        <f t="shared" si="59"/>
        <v>24037.998131999997</v>
      </c>
      <c r="O434" s="246">
        <f t="shared" si="65"/>
        <v>918.70499999999993</v>
      </c>
      <c r="P434" s="246">
        <f t="shared" si="65"/>
        <v>0</v>
      </c>
      <c r="Q434" s="159">
        <v>4200</v>
      </c>
      <c r="R434" s="159">
        <v>1161</v>
      </c>
      <c r="S434" s="363">
        <f t="shared" si="60"/>
        <v>0</v>
      </c>
      <c r="T434" s="271">
        <v>0.40294709305630438</v>
      </c>
    </row>
    <row r="435" spans="1:20" x14ac:dyDescent="0.2">
      <c r="A435" s="147">
        <v>2037</v>
      </c>
      <c r="B435" s="147">
        <v>2</v>
      </c>
      <c r="D435" s="166">
        <v>16.373170368284246</v>
      </c>
      <c r="E435" s="258">
        <f t="shared" ref="E435:F450" si="66">E423*(1+0.02)</f>
        <v>16.901403788171415</v>
      </c>
      <c r="F435" s="258">
        <f t="shared" si="66"/>
        <v>15.652467734149878</v>
      </c>
      <c r="G435" s="166">
        <v>29.9</v>
      </c>
      <c r="H435" s="148">
        <v>139.55054196999998</v>
      </c>
      <c r="I435" s="181">
        <f t="shared" si="57"/>
        <v>139.55054196999998</v>
      </c>
      <c r="J435" s="181">
        <f t="shared" si="58"/>
        <v>56.231485221243297</v>
      </c>
      <c r="K435" s="362">
        <v>24194</v>
      </c>
      <c r="L435" s="231"/>
      <c r="M435" s="157">
        <v>24037.998131999997</v>
      </c>
      <c r="N435" s="181">
        <f t="shared" si="59"/>
        <v>24037.998131999997</v>
      </c>
      <c r="O435" s="246">
        <f t="shared" si="65"/>
        <v>796.85749999999996</v>
      </c>
      <c r="P435" s="246">
        <f t="shared" si="65"/>
        <v>0</v>
      </c>
      <c r="Q435" s="159">
        <v>4200</v>
      </c>
      <c r="R435" s="159">
        <v>1161</v>
      </c>
      <c r="S435" s="363">
        <f t="shared" si="60"/>
        <v>0</v>
      </c>
      <c r="T435" s="271">
        <v>0.40294709305630438</v>
      </c>
    </row>
    <row r="436" spans="1:20" x14ac:dyDescent="0.2">
      <c r="A436" s="147">
        <v>2037</v>
      </c>
      <c r="B436" s="147">
        <v>3</v>
      </c>
      <c r="D436" s="166">
        <v>16.373170368284246</v>
      </c>
      <c r="E436" s="258">
        <f t="shared" si="66"/>
        <v>16.901403788171415</v>
      </c>
      <c r="F436" s="258">
        <f t="shared" si="66"/>
        <v>15.652467734149878</v>
      </c>
      <c r="G436" s="166">
        <v>30.33</v>
      </c>
      <c r="H436" s="148">
        <v>139.55054196999998</v>
      </c>
      <c r="I436" s="181">
        <f t="shared" si="57"/>
        <v>139.55054196999998</v>
      </c>
      <c r="J436" s="181">
        <f t="shared" si="58"/>
        <v>56.231485221243297</v>
      </c>
      <c r="K436" s="362">
        <v>24191</v>
      </c>
      <c r="L436" s="231"/>
      <c r="M436" s="157">
        <v>24037.998131999997</v>
      </c>
      <c r="N436" s="181">
        <f t="shared" si="59"/>
        <v>24037.998131999997</v>
      </c>
      <c r="O436" s="246">
        <f t="shared" si="65"/>
        <v>645</v>
      </c>
      <c r="P436" s="246">
        <f t="shared" si="65"/>
        <v>0.32500000000000001</v>
      </c>
      <c r="Q436" s="159">
        <v>4200</v>
      </c>
      <c r="R436" s="159">
        <v>1161</v>
      </c>
      <c r="S436" s="363">
        <f t="shared" si="60"/>
        <v>0</v>
      </c>
      <c r="T436" s="271">
        <v>0.40294709305630438</v>
      </c>
    </row>
    <row r="437" spans="1:20" x14ac:dyDescent="0.2">
      <c r="A437" s="147">
        <v>2037</v>
      </c>
      <c r="B437" s="147">
        <v>4</v>
      </c>
      <c r="D437" s="166">
        <v>16.373170368284246</v>
      </c>
      <c r="E437" s="258">
        <f t="shared" si="66"/>
        <v>16.901403788171415</v>
      </c>
      <c r="F437" s="258">
        <f t="shared" si="66"/>
        <v>15.652467734149878</v>
      </c>
      <c r="G437" s="166">
        <v>30.29</v>
      </c>
      <c r="H437" s="148">
        <v>139.55054196999998</v>
      </c>
      <c r="I437" s="181">
        <f t="shared" si="57"/>
        <v>139.55054196999998</v>
      </c>
      <c r="J437" s="181">
        <f t="shared" si="58"/>
        <v>56.225288093662172</v>
      </c>
      <c r="K437" s="362">
        <v>24188</v>
      </c>
      <c r="L437" s="231"/>
      <c r="M437" s="157">
        <v>24037.998131999997</v>
      </c>
      <c r="N437" s="181">
        <f t="shared" si="59"/>
        <v>24037.998131999997</v>
      </c>
      <c r="O437" s="246">
        <f t="shared" si="65"/>
        <v>393.33749999999998</v>
      </c>
      <c r="P437" s="246">
        <f t="shared" si="65"/>
        <v>5.6325000000000003</v>
      </c>
      <c r="Q437" s="159">
        <v>4200</v>
      </c>
      <c r="R437" s="159">
        <v>1161</v>
      </c>
      <c r="S437" s="363">
        <f t="shared" si="60"/>
        <v>0</v>
      </c>
      <c r="T437" s="271">
        <v>0.40290268529196582</v>
      </c>
    </row>
    <row r="438" spans="1:20" x14ac:dyDescent="0.2">
      <c r="A438" s="147">
        <v>2037</v>
      </c>
      <c r="B438" s="147">
        <v>5</v>
      </c>
      <c r="D438" s="166">
        <v>16.373170368284246</v>
      </c>
      <c r="E438" s="258">
        <f t="shared" si="66"/>
        <v>16.901403788171415</v>
      </c>
      <c r="F438" s="258">
        <f t="shared" si="66"/>
        <v>15.652467734149878</v>
      </c>
      <c r="G438" s="166">
        <v>30.05</v>
      </c>
      <c r="H438" s="148">
        <v>139.55054196999998</v>
      </c>
      <c r="I438" s="181">
        <f t="shared" si="57"/>
        <v>139.55054196999998</v>
      </c>
      <c r="J438" s="181">
        <f t="shared" si="58"/>
        <v>56.225288093662172</v>
      </c>
      <c r="K438" s="362">
        <v>24185</v>
      </c>
      <c r="L438" s="231"/>
      <c r="M438" s="157">
        <v>24037.998131999997</v>
      </c>
      <c r="N438" s="181">
        <f t="shared" si="59"/>
        <v>24037.998131999997</v>
      </c>
      <c r="O438" s="246">
        <f t="shared" si="65"/>
        <v>170.59</v>
      </c>
      <c r="P438" s="246">
        <f t="shared" si="65"/>
        <v>35.347500000000004</v>
      </c>
      <c r="Q438" s="159">
        <v>4200</v>
      </c>
      <c r="R438" s="159">
        <v>1161</v>
      </c>
      <c r="S438" s="363">
        <f t="shared" si="60"/>
        <v>0</v>
      </c>
      <c r="T438" s="271">
        <v>0.40290268529196582</v>
      </c>
    </row>
    <row r="439" spans="1:20" x14ac:dyDescent="0.2">
      <c r="A439" s="147">
        <v>2037</v>
      </c>
      <c r="B439" s="147">
        <v>6</v>
      </c>
      <c r="D439" s="166">
        <v>16.373170368284246</v>
      </c>
      <c r="E439" s="258">
        <f t="shared" si="66"/>
        <v>16.901403788171415</v>
      </c>
      <c r="F439" s="258">
        <f t="shared" si="66"/>
        <v>15.652467734149878</v>
      </c>
      <c r="G439" s="166">
        <v>30.67</v>
      </c>
      <c r="H439" s="148">
        <v>139.55054196999998</v>
      </c>
      <c r="I439" s="181">
        <f t="shared" si="57"/>
        <v>139.55054196999998</v>
      </c>
      <c r="J439" s="181">
        <f t="shared" si="58"/>
        <v>56.225288093662172</v>
      </c>
      <c r="K439" s="362">
        <v>24182</v>
      </c>
      <c r="L439" s="231"/>
      <c r="M439" s="157">
        <v>24037.998131999997</v>
      </c>
      <c r="N439" s="181">
        <f t="shared" si="59"/>
        <v>24037.998131999997</v>
      </c>
      <c r="O439" s="246">
        <f t="shared" si="65"/>
        <v>42.912500000000001</v>
      </c>
      <c r="P439" s="246">
        <f t="shared" si="65"/>
        <v>148.8475</v>
      </c>
      <c r="Q439" s="159">
        <v>4200</v>
      </c>
      <c r="R439" s="159">
        <v>1161</v>
      </c>
      <c r="S439" s="363">
        <f t="shared" si="60"/>
        <v>0</v>
      </c>
      <c r="T439" s="271">
        <v>0.40290268529196582</v>
      </c>
    </row>
    <row r="440" spans="1:20" x14ac:dyDescent="0.2">
      <c r="A440" s="147">
        <v>2037</v>
      </c>
      <c r="B440" s="147">
        <v>7</v>
      </c>
      <c r="D440" s="166">
        <v>16.373170368284246</v>
      </c>
      <c r="E440" s="258">
        <f t="shared" si="66"/>
        <v>16.901403788171415</v>
      </c>
      <c r="F440" s="258">
        <f t="shared" si="66"/>
        <v>15.652467734149878</v>
      </c>
      <c r="G440" s="166">
        <v>30.62</v>
      </c>
      <c r="H440" s="148">
        <v>139.55054196999998</v>
      </c>
      <c r="I440" s="181">
        <f t="shared" si="57"/>
        <v>139.55054196999998</v>
      </c>
      <c r="J440" s="181">
        <f t="shared" si="58"/>
        <v>56.233148117645847</v>
      </c>
      <c r="K440" s="362">
        <v>24179</v>
      </c>
      <c r="L440" s="231"/>
      <c r="M440" s="157">
        <v>24037.998131999997</v>
      </c>
      <c r="N440" s="181">
        <f t="shared" si="59"/>
        <v>24037.998131999997</v>
      </c>
      <c r="O440" s="246">
        <f t="shared" si="65"/>
        <v>1.375</v>
      </c>
      <c r="P440" s="246">
        <f t="shared" si="65"/>
        <v>291.78750000000002</v>
      </c>
      <c r="Q440" s="159">
        <v>4200</v>
      </c>
      <c r="R440" s="159">
        <v>1161</v>
      </c>
      <c r="S440" s="363">
        <f t="shared" si="60"/>
        <v>0</v>
      </c>
      <c r="T440" s="271">
        <v>0.40295900914332977</v>
      </c>
    </row>
    <row r="441" spans="1:20" x14ac:dyDescent="0.2">
      <c r="A441" s="147">
        <v>2037</v>
      </c>
      <c r="B441" s="147">
        <v>8</v>
      </c>
      <c r="D441" s="166">
        <v>16.373170368284246</v>
      </c>
      <c r="E441" s="258">
        <f t="shared" si="66"/>
        <v>16.901403788171415</v>
      </c>
      <c r="F441" s="258">
        <f t="shared" si="66"/>
        <v>15.652467734149878</v>
      </c>
      <c r="G441" s="166">
        <v>29.52</v>
      </c>
      <c r="H441" s="148">
        <v>139.55054196999998</v>
      </c>
      <c r="I441" s="181">
        <f t="shared" si="57"/>
        <v>139.55054196999998</v>
      </c>
      <c r="J441" s="181">
        <f t="shared" si="58"/>
        <v>56.233148117645847</v>
      </c>
      <c r="K441" s="362">
        <v>24176</v>
      </c>
      <c r="L441" s="231"/>
      <c r="M441" s="157">
        <v>24037.998131999997</v>
      </c>
      <c r="N441" s="181">
        <f t="shared" si="59"/>
        <v>24037.998131999997</v>
      </c>
      <c r="O441" s="246">
        <f t="shared" si="65"/>
        <v>0.35</v>
      </c>
      <c r="P441" s="246">
        <f t="shared" si="65"/>
        <v>311.80250000000001</v>
      </c>
      <c r="Q441" s="159">
        <v>4200</v>
      </c>
      <c r="R441" s="159">
        <v>1161</v>
      </c>
      <c r="S441" s="363">
        <f t="shared" si="60"/>
        <v>0</v>
      </c>
      <c r="T441" s="271">
        <v>0.40295900914332977</v>
      </c>
    </row>
    <row r="442" spans="1:20" x14ac:dyDescent="0.2">
      <c r="A442" s="147">
        <v>2037</v>
      </c>
      <c r="B442" s="147">
        <v>9</v>
      </c>
      <c r="D442" s="166">
        <v>16.373170368284246</v>
      </c>
      <c r="E442" s="258">
        <f t="shared" si="66"/>
        <v>16.901403788171415</v>
      </c>
      <c r="F442" s="258">
        <f t="shared" si="66"/>
        <v>15.652467734149878</v>
      </c>
      <c r="G442" s="166">
        <v>30.71</v>
      </c>
      <c r="H442" s="148">
        <v>139.55054196999998</v>
      </c>
      <c r="I442" s="181">
        <f t="shared" si="57"/>
        <v>139.55054196999998</v>
      </c>
      <c r="J442" s="181">
        <f t="shared" si="58"/>
        <v>56.233148117645847</v>
      </c>
      <c r="K442" s="362">
        <v>24173</v>
      </c>
      <c r="L442" s="231"/>
      <c r="M442" s="157">
        <v>24037.998131999997</v>
      </c>
      <c r="N442" s="181">
        <f t="shared" si="59"/>
        <v>24037.998131999997</v>
      </c>
      <c r="O442" s="246">
        <f t="shared" ref="O442:P457" si="67">O430</f>
        <v>8.2974999999999994</v>
      </c>
      <c r="P442" s="246">
        <f t="shared" si="67"/>
        <v>230.68249999999998</v>
      </c>
      <c r="Q442" s="159">
        <v>4200</v>
      </c>
      <c r="R442" s="159">
        <v>1161</v>
      </c>
      <c r="S442" s="363">
        <f t="shared" si="60"/>
        <v>0</v>
      </c>
      <c r="T442" s="271">
        <v>0.40295900914332977</v>
      </c>
    </row>
    <row r="443" spans="1:20" x14ac:dyDescent="0.2">
      <c r="A443" s="147">
        <v>2037</v>
      </c>
      <c r="B443" s="147">
        <v>10</v>
      </c>
      <c r="D443" s="166">
        <v>16.373170368284246</v>
      </c>
      <c r="E443" s="258">
        <f t="shared" si="66"/>
        <v>16.901403788171415</v>
      </c>
      <c r="F443" s="258">
        <f t="shared" si="66"/>
        <v>15.652467734149878</v>
      </c>
      <c r="G443" s="166">
        <v>29.52</v>
      </c>
      <c r="H443" s="148">
        <v>139.55054196999998</v>
      </c>
      <c r="I443" s="181">
        <f t="shared" si="57"/>
        <v>139.55054196999998</v>
      </c>
      <c r="J443" s="181">
        <f t="shared" si="58"/>
        <v>56.24040667936039</v>
      </c>
      <c r="K443" s="362">
        <v>24170</v>
      </c>
      <c r="L443" s="231"/>
      <c r="M443" s="157">
        <v>24037.998131999997</v>
      </c>
      <c r="N443" s="181">
        <f t="shared" si="59"/>
        <v>24037.998131999997</v>
      </c>
      <c r="O443" s="246">
        <f t="shared" si="67"/>
        <v>129.8125</v>
      </c>
      <c r="P443" s="246">
        <f t="shared" si="67"/>
        <v>57.779999999999994</v>
      </c>
      <c r="Q443" s="159">
        <v>4200</v>
      </c>
      <c r="R443" s="159">
        <v>1161</v>
      </c>
      <c r="S443" s="363">
        <f t="shared" si="60"/>
        <v>0</v>
      </c>
      <c r="T443" s="271">
        <v>0.40301102299875502</v>
      </c>
    </row>
    <row r="444" spans="1:20" x14ac:dyDescent="0.2">
      <c r="A444" s="147">
        <v>2037</v>
      </c>
      <c r="B444" s="147">
        <v>11</v>
      </c>
      <c r="D444" s="166">
        <v>16.373170368284246</v>
      </c>
      <c r="E444" s="258">
        <f t="shared" si="66"/>
        <v>16.901403788171415</v>
      </c>
      <c r="F444" s="258">
        <f t="shared" si="66"/>
        <v>15.652467734149878</v>
      </c>
      <c r="G444" s="166">
        <v>29.38</v>
      </c>
      <c r="H444" s="148">
        <v>139.55054196999998</v>
      </c>
      <c r="I444" s="181">
        <f t="shared" si="57"/>
        <v>139.55054196999998</v>
      </c>
      <c r="J444" s="181">
        <f t="shared" si="58"/>
        <v>56.24040667936039</v>
      </c>
      <c r="K444" s="362">
        <v>24167</v>
      </c>
      <c r="L444" s="231"/>
      <c r="M444" s="157">
        <v>24037.998131999997</v>
      </c>
      <c r="N444" s="181">
        <f t="shared" si="59"/>
        <v>24037.998131999997</v>
      </c>
      <c r="O444" s="246">
        <f t="shared" si="67"/>
        <v>387.90500000000003</v>
      </c>
      <c r="P444" s="246">
        <f t="shared" si="67"/>
        <v>3.9299999999999997</v>
      </c>
      <c r="Q444" s="159">
        <v>4200</v>
      </c>
      <c r="R444" s="159">
        <v>1161</v>
      </c>
      <c r="S444" s="363">
        <f t="shared" si="60"/>
        <v>0</v>
      </c>
      <c r="T444" s="271">
        <v>0.40301102299875502</v>
      </c>
    </row>
    <row r="445" spans="1:20" x14ac:dyDescent="0.2">
      <c r="A445" s="147">
        <v>2037</v>
      </c>
      <c r="B445" s="147">
        <v>12</v>
      </c>
      <c r="D445" s="166">
        <v>16.373170368284246</v>
      </c>
      <c r="E445" s="258">
        <f t="shared" si="66"/>
        <v>16.901403788171415</v>
      </c>
      <c r="F445" s="258">
        <f t="shared" si="66"/>
        <v>15.652467734149878</v>
      </c>
      <c r="G445" s="166">
        <v>32.81</v>
      </c>
      <c r="H445" s="148">
        <v>139.55054196999998</v>
      </c>
      <c r="I445" s="181">
        <f t="shared" si="57"/>
        <v>139.55054196999998</v>
      </c>
      <c r="J445" s="181">
        <f t="shared" si="58"/>
        <v>56.24040667936039</v>
      </c>
      <c r="K445" s="362">
        <v>24164</v>
      </c>
      <c r="L445" s="231"/>
      <c r="M445" s="157">
        <v>24037.998131999997</v>
      </c>
      <c r="N445" s="181">
        <f t="shared" si="59"/>
        <v>24037.998131999997</v>
      </c>
      <c r="O445" s="246">
        <f t="shared" si="67"/>
        <v>681.89</v>
      </c>
      <c r="P445" s="246">
        <f t="shared" si="67"/>
        <v>0.1</v>
      </c>
      <c r="Q445" s="159">
        <v>4200</v>
      </c>
      <c r="R445" s="159">
        <v>1161</v>
      </c>
      <c r="S445" s="363">
        <f t="shared" si="60"/>
        <v>0</v>
      </c>
      <c r="T445" s="271">
        <v>0.40301102299875502</v>
      </c>
    </row>
    <row r="446" spans="1:20" x14ac:dyDescent="0.2">
      <c r="A446" s="147">
        <v>2038</v>
      </c>
      <c r="B446" s="147">
        <v>1</v>
      </c>
      <c r="D446" s="166">
        <v>16.782499627491351</v>
      </c>
      <c r="E446" s="258">
        <f t="shared" si="66"/>
        <v>17.239431863934843</v>
      </c>
      <c r="F446" s="258">
        <f t="shared" si="66"/>
        <v>15.965517088832875</v>
      </c>
      <c r="G446" s="166">
        <v>32.43</v>
      </c>
      <c r="H446" s="148">
        <v>139.64615723</v>
      </c>
      <c r="I446" s="181">
        <f t="shared" si="57"/>
        <v>139.64615723</v>
      </c>
      <c r="J446" s="181">
        <f t="shared" si="58"/>
        <v>56.28712330862696</v>
      </c>
      <c r="K446" s="362">
        <v>24161</v>
      </c>
      <c r="L446" s="231"/>
      <c r="M446" s="157">
        <v>25003.170113746608</v>
      </c>
      <c r="N446" s="181">
        <f t="shared" si="59"/>
        <v>25003.170113746608</v>
      </c>
      <c r="O446" s="246">
        <f t="shared" si="67"/>
        <v>918.70499999999993</v>
      </c>
      <c r="P446" s="246">
        <f t="shared" si="67"/>
        <v>0</v>
      </c>
      <c r="Q446" s="159">
        <v>4200</v>
      </c>
      <c r="R446" s="159">
        <v>1161</v>
      </c>
      <c r="S446" s="363">
        <f t="shared" si="60"/>
        <v>0</v>
      </c>
      <c r="T446" s="271">
        <v>0.40306961842079869</v>
      </c>
    </row>
    <row r="447" spans="1:20" x14ac:dyDescent="0.2">
      <c r="A447" s="147">
        <v>2038</v>
      </c>
      <c r="B447" s="147">
        <v>2</v>
      </c>
      <c r="D447" s="166">
        <v>16.782499627491351</v>
      </c>
      <c r="E447" s="258">
        <f t="shared" si="66"/>
        <v>17.239431863934843</v>
      </c>
      <c r="F447" s="258">
        <f t="shared" si="66"/>
        <v>15.965517088832875</v>
      </c>
      <c r="G447" s="166">
        <v>29.9</v>
      </c>
      <c r="H447" s="148">
        <v>139.64615723</v>
      </c>
      <c r="I447" s="181">
        <f t="shared" si="57"/>
        <v>139.64615723</v>
      </c>
      <c r="J447" s="181">
        <f t="shared" si="58"/>
        <v>56.28712330862696</v>
      </c>
      <c r="K447" s="362">
        <v>24158</v>
      </c>
      <c r="L447" s="231"/>
      <c r="M447" s="157">
        <v>25003.170113746608</v>
      </c>
      <c r="N447" s="181">
        <f t="shared" si="59"/>
        <v>25003.170113746608</v>
      </c>
      <c r="O447" s="246">
        <f t="shared" si="67"/>
        <v>796.85749999999996</v>
      </c>
      <c r="P447" s="246">
        <f t="shared" si="67"/>
        <v>0</v>
      </c>
      <c r="Q447" s="159">
        <v>4200</v>
      </c>
      <c r="R447" s="159">
        <v>1161</v>
      </c>
      <c r="S447" s="363">
        <f t="shared" si="60"/>
        <v>0</v>
      </c>
      <c r="T447" s="271">
        <v>0.40306961842079869</v>
      </c>
    </row>
    <row r="448" spans="1:20" x14ac:dyDescent="0.2">
      <c r="A448" s="147">
        <v>2038</v>
      </c>
      <c r="B448" s="147">
        <v>3</v>
      </c>
      <c r="D448" s="166">
        <v>16.782499627491351</v>
      </c>
      <c r="E448" s="258">
        <f t="shared" si="66"/>
        <v>17.239431863934843</v>
      </c>
      <c r="F448" s="258">
        <f t="shared" si="66"/>
        <v>15.965517088832875</v>
      </c>
      <c r="G448" s="166">
        <v>30.33</v>
      </c>
      <c r="H448" s="148">
        <v>139.64615723</v>
      </c>
      <c r="I448" s="181">
        <f t="shared" si="57"/>
        <v>139.64615723</v>
      </c>
      <c r="J448" s="181">
        <f t="shared" si="58"/>
        <v>56.28712330862696</v>
      </c>
      <c r="K448" s="362">
        <v>24155</v>
      </c>
      <c r="L448" s="231"/>
      <c r="M448" s="157">
        <v>25003.170113746608</v>
      </c>
      <c r="N448" s="181">
        <f t="shared" si="59"/>
        <v>25003.170113746608</v>
      </c>
      <c r="O448" s="246">
        <f t="shared" si="67"/>
        <v>645</v>
      </c>
      <c r="P448" s="246">
        <f t="shared" si="67"/>
        <v>0.32500000000000001</v>
      </c>
      <c r="Q448" s="159">
        <v>4200</v>
      </c>
      <c r="R448" s="159">
        <v>1161</v>
      </c>
      <c r="S448" s="363">
        <f t="shared" si="60"/>
        <v>0</v>
      </c>
      <c r="T448" s="271">
        <v>0.40306961842079869</v>
      </c>
    </row>
    <row r="449" spans="1:20" x14ac:dyDescent="0.2">
      <c r="A449" s="147">
        <v>2038</v>
      </c>
      <c r="B449" s="147">
        <v>4</v>
      </c>
      <c r="D449" s="166">
        <v>16.782499627491351</v>
      </c>
      <c r="E449" s="258">
        <f t="shared" si="66"/>
        <v>17.239431863934843</v>
      </c>
      <c r="F449" s="258">
        <f t="shared" si="66"/>
        <v>15.965517088832875</v>
      </c>
      <c r="G449" s="166">
        <v>30.29</v>
      </c>
      <c r="H449" s="148">
        <v>139.64615723</v>
      </c>
      <c r="I449" s="181">
        <f t="shared" si="57"/>
        <v>139.64615723</v>
      </c>
      <c r="J449" s="181">
        <f t="shared" si="58"/>
        <v>56.29657141794857</v>
      </c>
      <c r="K449" s="362">
        <v>24152</v>
      </c>
      <c r="L449" s="231"/>
      <c r="M449" s="157">
        <v>25003.170113746608</v>
      </c>
      <c r="N449" s="181">
        <f t="shared" si="59"/>
        <v>25003.170113746608</v>
      </c>
      <c r="O449" s="246">
        <f t="shared" si="67"/>
        <v>393.33749999999998</v>
      </c>
      <c r="P449" s="246">
        <f t="shared" si="67"/>
        <v>5.6325000000000003</v>
      </c>
      <c r="Q449" s="159">
        <v>4200</v>
      </c>
      <c r="R449" s="159">
        <v>1161</v>
      </c>
      <c r="S449" s="363">
        <f t="shared" si="60"/>
        <v>0</v>
      </c>
      <c r="T449" s="271">
        <v>0.40313727591678011</v>
      </c>
    </row>
    <row r="450" spans="1:20" x14ac:dyDescent="0.2">
      <c r="A450" s="147">
        <v>2038</v>
      </c>
      <c r="B450" s="147">
        <v>5</v>
      </c>
      <c r="D450" s="166">
        <v>16.782499627491351</v>
      </c>
      <c r="E450" s="258">
        <f t="shared" si="66"/>
        <v>17.239431863934843</v>
      </c>
      <c r="F450" s="258">
        <f t="shared" si="66"/>
        <v>15.965517088832875</v>
      </c>
      <c r="G450" s="166">
        <v>30.05</v>
      </c>
      <c r="H450" s="148">
        <v>139.64615723</v>
      </c>
      <c r="I450" s="181">
        <f t="shared" si="57"/>
        <v>139.64615723</v>
      </c>
      <c r="J450" s="181">
        <f t="shared" si="58"/>
        <v>56.29657141794857</v>
      </c>
      <c r="K450" s="362">
        <v>24149</v>
      </c>
      <c r="L450" s="231"/>
      <c r="M450" s="157">
        <v>25003.170113746608</v>
      </c>
      <c r="N450" s="181">
        <f t="shared" si="59"/>
        <v>25003.170113746608</v>
      </c>
      <c r="O450" s="246">
        <f t="shared" si="67"/>
        <v>170.59</v>
      </c>
      <c r="P450" s="246">
        <f t="shared" si="67"/>
        <v>35.347500000000004</v>
      </c>
      <c r="Q450" s="159">
        <v>4200</v>
      </c>
      <c r="R450" s="159">
        <v>1161</v>
      </c>
      <c r="S450" s="363">
        <f t="shared" si="60"/>
        <v>0</v>
      </c>
      <c r="T450" s="271">
        <v>0.40313727591678011</v>
      </c>
    </row>
    <row r="451" spans="1:20" x14ac:dyDescent="0.2">
      <c r="A451" s="147">
        <v>2038</v>
      </c>
      <c r="B451" s="147">
        <v>6</v>
      </c>
      <c r="D451" s="166">
        <v>16.782499627491351</v>
      </c>
      <c r="E451" s="258">
        <f t="shared" ref="E451:F466" si="68">E439*(1+0.02)</f>
        <v>17.239431863934843</v>
      </c>
      <c r="F451" s="258">
        <f t="shared" si="68"/>
        <v>15.965517088832875</v>
      </c>
      <c r="G451" s="166">
        <v>30.67</v>
      </c>
      <c r="H451" s="148">
        <v>139.64615723</v>
      </c>
      <c r="I451" s="181">
        <f t="shared" ref="I451:I514" si="69">H451</f>
        <v>139.64615723</v>
      </c>
      <c r="J451" s="181">
        <f t="shared" ref="J451:J514" si="70">H451*T451</f>
        <v>56.29657141794857</v>
      </c>
      <c r="K451" s="362">
        <v>24146</v>
      </c>
      <c r="L451" s="231"/>
      <c r="M451" s="157">
        <v>25003.170113746608</v>
      </c>
      <c r="N451" s="181">
        <f t="shared" ref="N451:N514" si="71">M451</f>
        <v>25003.170113746608</v>
      </c>
      <c r="O451" s="246">
        <f t="shared" si="67"/>
        <v>42.912500000000001</v>
      </c>
      <c r="P451" s="246">
        <f t="shared" si="67"/>
        <v>148.8475</v>
      </c>
      <c r="Q451" s="159">
        <v>4200</v>
      </c>
      <c r="R451" s="159">
        <v>1161</v>
      </c>
      <c r="S451" s="363">
        <f t="shared" ref="S451:S514" si="72">C451/K451*1000</f>
        <v>0</v>
      </c>
      <c r="T451" s="271">
        <v>0.40313727591678011</v>
      </c>
    </row>
    <row r="452" spans="1:20" x14ac:dyDescent="0.2">
      <c r="A452" s="147">
        <v>2038</v>
      </c>
      <c r="B452" s="147">
        <v>7</v>
      </c>
      <c r="D452" s="166">
        <v>16.782499627491351</v>
      </c>
      <c r="E452" s="258">
        <f t="shared" si="68"/>
        <v>17.239431863934843</v>
      </c>
      <c r="F452" s="258">
        <f t="shared" si="68"/>
        <v>15.965517088832875</v>
      </c>
      <c r="G452" s="166">
        <v>30.62</v>
      </c>
      <c r="H452" s="148">
        <v>139.64615723</v>
      </c>
      <c r="I452" s="181">
        <f t="shared" si="69"/>
        <v>139.64615723</v>
      </c>
      <c r="J452" s="181">
        <f t="shared" si="70"/>
        <v>56.305279881211469</v>
      </c>
      <c r="K452" s="362">
        <v>24143</v>
      </c>
      <c r="L452" s="231"/>
      <c r="M452" s="157">
        <v>25003.170113746608</v>
      </c>
      <c r="N452" s="181">
        <f t="shared" si="71"/>
        <v>25003.170113746608</v>
      </c>
      <c r="O452" s="246">
        <f t="shared" si="67"/>
        <v>1.375</v>
      </c>
      <c r="P452" s="246">
        <f t="shared" si="67"/>
        <v>291.78750000000002</v>
      </c>
      <c r="Q452" s="159">
        <v>4200</v>
      </c>
      <c r="R452" s="159">
        <v>1161</v>
      </c>
      <c r="S452" s="363">
        <f t="shared" si="72"/>
        <v>0</v>
      </c>
      <c r="T452" s="271">
        <v>0.4031996368398133</v>
      </c>
    </row>
    <row r="453" spans="1:20" x14ac:dyDescent="0.2">
      <c r="A453" s="147">
        <v>2038</v>
      </c>
      <c r="B453" s="147">
        <v>8</v>
      </c>
      <c r="D453" s="166">
        <v>16.782499627491351</v>
      </c>
      <c r="E453" s="258">
        <f t="shared" si="68"/>
        <v>17.239431863934843</v>
      </c>
      <c r="F453" s="258">
        <f t="shared" si="68"/>
        <v>15.965517088832875</v>
      </c>
      <c r="G453" s="166">
        <v>29.52</v>
      </c>
      <c r="H453" s="148">
        <v>139.64615723</v>
      </c>
      <c r="I453" s="181">
        <f t="shared" si="69"/>
        <v>139.64615723</v>
      </c>
      <c r="J453" s="181">
        <f t="shared" si="70"/>
        <v>56.305279881211469</v>
      </c>
      <c r="K453" s="362">
        <v>24140</v>
      </c>
      <c r="L453" s="231"/>
      <c r="M453" s="157">
        <v>25003.170113746608</v>
      </c>
      <c r="N453" s="181">
        <f t="shared" si="71"/>
        <v>25003.170113746608</v>
      </c>
      <c r="O453" s="246">
        <f t="shared" si="67"/>
        <v>0.35</v>
      </c>
      <c r="P453" s="246">
        <f t="shared" si="67"/>
        <v>311.80250000000001</v>
      </c>
      <c r="Q453" s="159">
        <v>4200</v>
      </c>
      <c r="R453" s="159">
        <v>1161</v>
      </c>
      <c r="S453" s="363">
        <f t="shared" si="72"/>
        <v>0</v>
      </c>
      <c r="T453" s="271">
        <v>0.4031996368398133</v>
      </c>
    </row>
    <row r="454" spans="1:20" x14ac:dyDescent="0.2">
      <c r="A454" s="147">
        <v>2038</v>
      </c>
      <c r="B454" s="147">
        <v>9</v>
      </c>
      <c r="D454" s="166">
        <v>16.782499627491351</v>
      </c>
      <c r="E454" s="258">
        <f t="shared" si="68"/>
        <v>17.239431863934843</v>
      </c>
      <c r="F454" s="258">
        <f t="shared" si="68"/>
        <v>15.965517088832875</v>
      </c>
      <c r="G454" s="166">
        <v>30.71</v>
      </c>
      <c r="H454" s="148">
        <v>139.64615723</v>
      </c>
      <c r="I454" s="181">
        <f t="shared" si="69"/>
        <v>139.64615723</v>
      </c>
      <c r="J454" s="181">
        <f t="shared" si="70"/>
        <v>56.305279881211469</v>
      </c>
      <c r="K454" s="362">
        <v>24137</v>
      </c>
      <c r="L454" s="231"/>
      <c r="M454" s="157">
        <v>25003.170113746608</v>
      </c>
      <c r="N454" s="181">
        <f t="shared" si="71"/>
        <v>25003.170113746608</v>
      </c>
      <c r="O454" s="246">
        <f t="shared" si="67"/>
        <v>8.2974999999999994</v>
      </c>
      <c r="P454" s="246">
        <f t="shared" si="67"/>
        <v>230.68249999999998</v>
      </c>
      <c r="Q454" s="159">
        <v>4200</v>
      </c>
      <c r="R454" s="159">
        <v>1161</v>
      </c>
      <c r="S454" s="363">
        <f t="shared" si="72"/>
        <v>0</v>
      </c>
      <c r="T454" s="271">
        <v>0.4031996368398133</v>
      </c>
    </row>
    <row r="455" spans="1:20" x14ac:dyDescent="0.2">
      <c r="A455" s="147">
        <v>2038</v>
      </c>
      <c r="B455" s="147">
        <v>10</v>
      </c>
      <c r="D455" s="166">
        <v>16.782499627491351</v>
      </c>
      <c r="E455" s="258">
        <f t="shared" si="68"/>
        <v>17.239431863934843</v>
      </c>
      <c r="F455" s="258">
        <f t="shared" si="68"/>
        <v>15.965517088832875</v>
      </c>
      <c r="G455" s="166">
        <v>29.52</v>
      </c>
      <c r="H455" s="148">
        <v>139.64615723</v>
      </c>
      <c r="I455" s="181">
        <f t="shared" si="69"/>
        <v>139.64615723</v>
      </c>
      <c r="J455" s="181">
        <f t="shared" si="70"/>
        <v>56.313952610674917</v>
      </c>
      <c r="K455" s="362">
        <v>24134</v>
      </c>
      <c r="L455" s="231"/>
      <c r="M455" s="157">
        <v>25003.170113746608</v>
      </c>
      <c r="N455" s="181">
        <f t="shared" si="71"/>
        <v>25003.170113746608</v>
      </c>
      <c r="O455" s="246">
        <f t="shared" si="67"/>
        <v>129.8125</v>
      </c>
      <c r="P455" s="246">
        <f t="shared" si="67"/>
        <v>57.779999999999994</v>
      </c>
      <c r="Q455" s="159">
        <v>4200</v>
      </c>
      <c r="R455" s="159">
        <v>1161</v>
      </c>
      <c r="S455" s="363">
        <f t="shared" si="72"/>
        <v>0</v>
      </c>
      <c r="T455" s="271">
        <v>0.40326174187467773</v>
      </c>
    </row>
    <row r="456" spans="1:20" x14ac:dyDescent="0.2">
      <c r="A456" s="147">
        <v>2038</v>
      </c>
      <c r="B456" s="147">
        <v>11</v>
      </c>
      <c r="D456" s="166">
        <v>16.782499627491351</v>
      </c>
      <c r="E456" s="258">
        <f t="shared" si="68"/>
        <v>17.239431863934843</v>
      </c>
      <c r="F456" s="258">
        <f t="shared" si="68"/>
        <v>15.965517088832875</v>
      </c>
      <c r="G456" s="166">
        <v>29.38</v>
      </c>
      <c r="H456" s="148">
        <v>139.64615723</v>
      </c>
      <c r="I456" s="181">
        <f t="shared" si="69"/>
        <v>139.64615723</v>
      </c>
      <c r="J456" s="181">
        <f t="shared" si="70"/>
        <v>56.313952610674917</v>
      </c>
      <c r="K456" s="362">
        <v>24131</v>
      </c>
      <c r="L456" s="231"/>
      <c r="M456" s="157">
        <v>25003.170113746608</v>
      </c>
      <c r="N456" s="181">
        <f t="shared" si="71"/>
        <v>25003.170113746608</v>
      </c>
      <c r="O456" s="246">
        <f t="shared" si="67"/>
        <v>387.90500000000003</v>
      </c>
      <c r="P456" s="246">
        <f t="shared" si="67"/>
        <v>3.9299999999999997</v>
      </c>
      <c r="Q456" s="159">
        <v>4200</v>
      </c>
      <c r="R456" s="159">
        <v>1161</v>
      </c>
      <c r="S456" s="363">
        <f t="shared" si="72"/>
        <v>0</v>
      </c>
      <c r="T456" s="271">
        <v>0.40326174187467773</v>
      </c>
    </row>
    <row r="457" spans="1:20" x14ac:dyDescent="0.2">
      <c r="A457" s="147">
        <v>2038</v>
      </c>
      <c r="B457" s="147">
        <v>12</v>
      </c>
      <c r="D457" s="166">
        <v>16.782499627491351</v>
      </c>
      <c r="E457" s="258">
        <f t="shared" si="68"/>
        <v>17.239431863934843</v>
      </c>
      <c r="F457" s="258">
        <f t="shared" si="68"/>
        <v>15.965517088832875</v>
      </c>
      <c r="G457" s="166">
        <v>32.81</v>
      </c>
      <c r="H457" s="148">
        <v>139.64615723</v>
      </c>
      <c r="I457" s="181">
        <f t="shared" si="69"/>
        <v>139.64615723</v>
      </c>
      <c r="J457" s="181">
        <f t="shared" si="70"/>
        <v>56.313952610674917</v>
      </c>
      <c r="K457" s="362">
        <v>24128</v>
      </c>
      <c r="L457" s="231"/>
      <c r="M457" s="157">
        <v>25003.170113746608</v>
      </c>
      <c r="N457" s="181">
        <f t="shared" si="71"/>
        <v>25003.170113746608</v>
      </c>
      <c r="O457" s="246">
        <f t="shared" si="67"/>
        <v>681.89</v>
      </c>
      <c r="P457" s="246">
        <f t="shared" si="67"/>
        <v>0.1</v>
      </c>
      <c r="Q457" s="159">
        <v>4200</v>
      </c>
      <c r="R457" s="159">
        <v>1161</v>
      </c>
      <c r="S457" s="363">
        <f t="shared" si="72"/>
        <v>0</v>
      </c>
      <c r="T457" s="271">
        <v>0.40326174187467773</v>
      </c>
    </row>
    <row r="458" spans="1:20" x14ac:dyDescent="0.2">
      <c r="A458" s="147">
        <v>2039</v>
      </c>
      <c r="B458" s="147">
        <v>1</v>
      </c>
      <c r="D458" s="166">
        <v>17.202062118178635</v>
      </c>
      <c r="E458" s="258">
        <f t="shared" si="68"/>
        <v>17.58422050121354</v>
      </c>
      <c r="F458" s="258">
        <f t="shared" si="68"/>
        <v>16.284827430609532</v>
      </c>
      <c r="G458" s="167">
        <v>32.43</v>
      </c>
      <c r="H458" s="148">
        <v>139.74177249000002</v>
      </c>
      <c r="I458" s="181">
        <f t="shared" si="69"/>
        <v>139.74177249000002</v>
      </c>
      <c r="J458" s="181">
        <f t="shared" si="70"/>
        <v>56.360341222940619</v>
      </c>
      <c r="K458" s="362">
        <v>24125</v>
      </c>
      <c r="L458" s="231"/>
      <c r="M458" s="160">
        <v>26007.095611873126</v>
      </c>
      <c r="N458" s="181">
        <f t="shared" si="71"/>
        <v>26007.095611873126</v>
      </c>
      <c r="O458" s="246">
        <f t="shared" ref="O458:P473" si="73">O446</f>
        <v>918.70499999999993</v>
      </c>
      <c r="P458" s="246">
        <f t="shared" si="73"/>
        <v>0</v>
      </c>
      <c r="Q458" s="159">
        <v>4200</v>
      </c>
      <c r="R458" s="159">
        <v>1161</v>
      </c>
      <c r="S458" s="363">
        <f t="shared" si="72"/>
        <v>0</v>
      </c>
      <c r="T458" s="271">
        <v>0.40331777834701354</v>
      </c>
    </row>
    <row r="459" spans="1:20" x14ac:dyDescent="0.2">
      <c r="A459" s="147">
        <v>2039</v>
      </c>
      <c r="B459" s="147">
        <v>2</v>
      </c>
      <c r="D459" s="166">
        <v>17.202062118178635</v>
      </c>
      <c r="E459" s="258">
        <f t="shared" si="68"/>
        <v>17.58422050121354</v>
      </c>
      <c r="F459" s="258">
        <f t="shared" si="68"/>
        <v>16.284827430609532</v>
      </c>
      <c r="G459" s="167">
        <v>29.9</v>
      </c>
      <c r="H459" s="148">
        <v>139.74177249000002</v>
      </c>
      <c r="I459" s="181">
        <f t="shared" si="69"/>
        <v>139.74177249000002</v>
      </c>
      <c r="J459" s="181">
        <f t="shared" si="70"/>
        <v>56.360341222940619</v>
      </c>
      <c r="K459" s="362">
        <v>24122</v>
      </c>
      <c r="L459" s="231"/>
      <c r="M459" s="160">
        <v>26007.095611873126</v>
      </c>
      <c r="N459" s="181">
        <f t="shared" si="71"/>
        <v>26007.095611873126</v>
      </c>
      <c r="O459" s="246">
        <f t="shared" si="73"/>
        <v>796.85749999999996</v>
      </c>
      <c r="P459" s="246">
        <f t="shared" si="73"/>
        <v>0</v>
      </c>
      <c r="Q459" s="159">
        <v>4200</v>
      </c>
      <c r="R459" s="159">
        <v>1161</v>
      </c>
      <c r="S459" s="363">
        <f t="shared" si="72"/>
        <v>0</v>
      </c>
      <c r="T459" s="271">
        <v>0.40331777834701354</v>
      </c>
    </row>
    <row r="460" spans="1:20" x14ac:dyDescent="0.2">
      <c r="A460" s="147">
        <v>2039</v>
      </c>
      <c r="B460" s="147">
        <v>3</v>
      </c>
      <c r="D460" s="166">
        <v>17.202062118178635</v>
      </c>
      <c r="E460" s="258">
        <f t="shared" si="68"/>
        <v>17.58422050121354</v>
      </c>
      <c r="F460" s="258">
        <f t="shared" si="68"/>
        <v>16.284827430609532</v>
      </c>
      <c r="G460" s="167">
        <v>30.33</v>
      </c>
      <c r="H460" s="148">
        <v>139.74177249000002</v>
      </c>
      <c r="I460" s="181">
        <f t="shared" si="69"/>
        <v>139.74177249000002</v>
      </c>
      <c r="J460" s="181">
        <f t="shared" si="70"/>
        <v>56.360341222940619</v>
      </c>
      <c r="K460" s="362">
        <v>24119</v>
      </c>
      <c r="L460" s="231"/>
      <c r="M460" s="160">
        <v>26007.095611873126</v>
      </c>
      <c r="N460" s="181">
        <f t="shared" si="71"/>
        <v>26007.095611873126</v>
      </c>
      <c r="O460" s="246">
        <f t="shared" si="73"/>
        <v>645</v>
      </c>
      <c r="P460" s="246">
        <f t="shared" si="73"/>
        <v>0.32500000000000001</v>
      </c>
      <c r="Q460" s="159">
        <v>4200</v>
      </c>
      <c r="R460" s="159">
        <v>1161</v>
      </c>
      <c r="S460" s="363">
        <f t="shared" si="72"/>
        <v>0</v>
      </c>
      <c r="T460" s="271">
        <v>0.40331777834701354</v>
      </c>
    </row>
    <row r="461" spans="1:20" x14ac:dyDescent="0.2">
      <c r="A461" s="147">
        <v>2039</v>
      </c>
      <c r="B461" s="147">
        <v>4</v>
      </c>
      <c r="D461" s="166">
        <v>17.202062118178635</v>
      </c>
      <c r="E461" s="258">
        <f t="shared" si="68"/>
        <v>17.58422050121354</v>
      </c>
      <c r="F461" s="258">
        <f t="shared" si="68"/>
        <v>16.284827430609532</v>
      </c>
      <c r="G461" s="167">
        <v>30.29</v>
      </c>
      <c r="H461" s="148">
        <v>139.74177249000002</v>
      </c>
      <c r="I461" s="181">
        <f t="shared" si="69"/>
        <v>139.74177249000002</v>
      </c>
      <c r="J461" s="181">
        <f t="shared" si="70"/>
        <v>56.371727342339497</v>
      </c>
      <c r="K461" s="362">
        <v>24116</v>
      </c>
      <c r="L461" s="231"/>
      <c r="M461" s="160">
        <v>26007.095611873126</v>
      </c>
      <c r="N461" s="181">
        <f t="shared" si="71"/>
        <v>26007.095611873126</v>
      </c>
      <c r="O461" s="246">
        <f t="shared" si="73"/>
        <v>393.33749999999998</v>
      </c>
      <c r="P461" s="246">
        <f t="shared" si="73"/>
        <v>5.6325000000000003</v>
      </c>
      <c r="Q461" s="159">
        <v>4200</v>
      </c>
      <c r="R461" s="159">
        <v>1161</v>
      </c>
      <c r="S461" s="363">
        <f t="shared" si="72"/>
        <v>0</v>
      </c>
      <c r="T461" s="271">
        <v>0.40339925805917115</v>
      </c>
    </row>
    <row r="462" spans="1:20" x14ac:dyDescent="0.2">
      <c r="A462" s="147">
        <v>2039</v>
      </c>
      <c r="B462" s="147">
        <v>5</v>
      </c>
      <c r="D462" s="166">
        <v>17.202062118178635</v>
      </c>
      <c r="E462" s="258">
        <f t="shared" si="68"/>
        <v>17.58422050121354</v>
      </c>
      <c r="F462" s="258">
        <f t="shared" si="68"/>
        <v>16.284827430609532</v>
      </c>
      <c r="G462" s="167">
        <v>30.05</v>
      </c>
      <c r="H462" s="148">
        <v>139.74177249000002</v>
      </c>
      <c r="I462" s="181">
        <f t="shared" si="69"/>
        <v>139.74177249000002</v>
      </c>
      <c r="J462" s="181">
        <f t="shared" si="70"/>
        <v>56.371727342339497</v>
      </c>
      <c r="K462" s="362">
        <v>24113</v>
      </c>
      <c r="L462" s="231"/>
      <c r="M462" s="160">
        <v>26007.095611873126</v>
      </c>
      <c r="N462" s="181">
        <f t="shared" si="71"/>
        <v>26007.095611873126</v>
      </c>
      <c r="O462" s="246">
        <f t="shared" si="73"/>
        <v>170.59</v>
      </c>
      <c r="P462" s="246">
        <f t="shared" si="73"/>
        <v>35.347500000000004</v>
      </c>
      <c r="Q462" s="159">
        <v>4200</v>
      </c>
      <c r="R462" s="159">
        <v>1161</v>
      </c>
      <c r="S462" s="363">
        <f t="shared" si="72"/>
        <v>0</v>
      </c>
      <c r="T462" s="271">
        <v>0.40339925805917115</v>
      </c>
    </row>
    <row r="463" spans="1:20" x14ac:dyDescent="0.2">
      <c r="A463" s="147">
        <v>2039</v>
      </c>
      <c r="B463" s="147">
        <v>6</v>
      </c>
      <c r="D463" s="166">
        <v>17.202062118178635</v>
      </c>
      <c r="E463" s="258">
        <f t="shared" si="68"/>
        <v>17.58422050121354</v>
      </c>
      <c r="F463" s="258">
        <f t="shared" si="68"/>
        <v>16.284827430609532</v>
      </c>
      <c r="G463" s="167">
        <v>30.67</v>
      </c>
      <c r="H463" s="148">
        <v>139.74177249000002</v>
      </c>
      <c r="I463" s="181">
        <f t="shared" si="69"/>
        <v>139.74177249000002</v>
      </c>
      <c r="J463" s="181">
        <f t="shared" si="70"/>
        <v>56.371727342339497</v>
      </c>
      <c r="K463" s="362">
        <v>24110</v>
      </c>
      <c r="L463" s="231"/>
      <c r="M463" s="160">
        <v>26007.095611873126</v>
      </c>
      <c r="N463" s="181">
        <f t="shared" si="71"/>
        <v>26007.095611873126</v>
      </c>
      <c r="O463" s="246">
        <f t="shared" si="73"/>
        <v>42.912500000000001</v>
      </c>
      <c r="P463" s="246">
        <f t="shared" si="73"/>
        <v>148.8475</v>
      </c>
      <c r="Q463" s="159">
        <v>4200</v>
      </c>
      <c r="R463" s="159">
        <v>1161</v>
      </c>
      <c r="S463" s="363">
        <f t="shared" si="72"/>
        <v>0</v>
      </c>
      <c r="T463" s="271">
        <v>0.40339925805917115</v>
      </c>
    </row>
    <row r="464" spans="1:20" x14ac:dyDescent="0.2">
      <c r="A464" s="147">
        <v>2039</v>
      </c>
      <c r="B464" s="147">
        <v>7</v>
      </c>
      <c r="D464" s="166">
        <v>17.202062118178635</v>
      </c>
      <c r="E464" s="258">
        <f t="shared" si="68"/>
        <v>17.58422050121354</v>
      </c>
      <c r="F464" s="258">
        <f t="shared" si="68"/>
        <v>16.284827430609532</v>
      </c>
      <c r="G464" s="167">
        <v>30.62</v>
      </c>
      <c r="H464" s="148">
        <v>139.74177249000002</v>
      </c>
      <c r="I464" s="181">
        <f t="shared" si="69"/>
        <v>139.74177249000002</v>
      </c>
      <c r="J464" s="181">
        <f t="shared" si="70"/>
        <v>56.382442479883373</v>
      </c>
      <c r="K464" s="362">
        <v>24107</v>
      </c>
      <c r="L464" s="231"/>
      <c r="M464" s="160">
        <v>26007.095611873126</v>
      </c>
      <c r="N464" s="181">
        <f t="shared" si="71"/>
        <v>26007.095611873126</v>
      </c>
      <c r="O464" s="246">
        <f t="shared" si="73"/>
        <v>1.375</v>
      </c>
      <c r="P464" s="246">
        <f t="shared" si="73"/>
        <v>291.78750000000002</v>
      </c>
      <c r="Q464" s="159">
        <v>4200</v>
      </c>
      <c r="R464" s="159">
        <v>1161</v>
      </c>
      <c r="S464" s="363">
        <f t="shared" si="72"/>
        <v>0</v>
      </c>
      <c r="T464" s="271">
        <v>0.40347593618735678</v>
      </c>
    </row>
    <row r="465" spans="1:20" x14ac:dyDescent="0.2">
      <c r="A465" s="147">
        <v>2039</v>
      </c>
      <c r="B465" s="147">
        <v>8</v>
      </c>
      <c r="D465" s="166">
        <v>17.202062118178635</v>
      </c>
      <c r="E465" s="258">
        <f t="shared" si="68"/>
        <v>17.58422050121354</v>
      </c>
      <c r="F465" s="258">
        <f t="shared" si="68"/>
        <v>16.284827430609532</v>
      </c>
      <c r="G465" s="167">
        <v>29.52</v>
      </c>
      <c r="H465" s="148">
        <v>139.74177249000002</v>
      </c>
      <c r="I465" s="181">
        <f t="shared" si="69"/>
        <v>139.74177249000002</v>
      </c>
      <c r="J465" s="181">
        <f t="shared" si="70"/>
        <v>56.382442479883373</v>
      </c>
      <c r="K465" s="362">
        <v>24104</v>
      </c>
      <c r="L465" s="231"/>
      <c r="M465" s="160">
        <v>26007.095611873126</v>
      </c>
      <c r="N465" s="181">
        <f t="shared" si="71"/>
        <v>26007.095611873126</v>
      </c>
      <c r="O465" s="246">
        <f t="shared" si="73"/>
        <v>0.35</v>
      </c>
      <c r="P465" s="246">
        <f t="shared" si="73"/>
        <v>311.80250000000001</v>
      </c>
      <c r="Q465" s="159">
        <v>4200</v>
      </c>
      <c r="R465" s="159">
        <v>1161</v>
      </c>
      <c r="S465" s="363">
        <f t="shared" si="72"/>
        <v>0</v>
      </c>
      <c r="T465" s="271">
        <v>0.40347593618735678</v>
      </c>
    </row>
    <row r="466" spans="1:20" x14ac:dyDescent="0.2">
      <c r="A466" s="147">
        <v>2039</v>
      </c>
      <c r="B466" s="147">
        <v>9</v>
      </c>
      <c r="D466" s="166">
        <v>17.202062118178635</v>
      </c>
      <c r="E466" s="258">
        <f t="shared" si="68"/>
        <v>17.58422050121354</v>
      </c>
      <c r="F466" s="258">
        <f t="shared" si="68"/>
        <v>16.284827430609532</v>
      </c>
      <c r="G466" s="167">
        <v>30.71</v>
      </c>
      <c r="H466" s="148">
        <v>139.74177249000002</v>
      </c>
      <c r="I466" s="181">
        <f t="shared" si="69"/>
        <v>139.74177249000002</v>
      </c>
      <c r="J466" s="181">
        <f t="shared" si="70"/>
        <v>56.382442479883373</v>
      </c>
      <c r="K466" s="362">
        <v>24101</v>
      </c>
      <c r="L466" s="231"/>
      <c r="M466" s="160">
        <v>26007.095611873126</v>
      </c>
      <c r="N466" s="181">
        <f t="shared" si="71"/>
        <v>26007.095611873126</v>
      </c>
      <c r="O466" s="246">
        <f t="shared" si="73"/>
        <v>8.2974999999999994</v>
      </c>
      <c r="P466" s="246">
        <f t="shared" si="73"/>
        <v>230.68249999999998</v>
      </c>
      <c r="Q466" s="159">
        <v>4200</v>
      </c>
      <c r="R466" s="159">
        <v>1161</v>
      </c>
      <c r="S466" s="363">
        <f t="shared" si="72"/>
        <v>0</v>
      </c>
      <c r="T466" s="271">
        <v>0.40347593618735678</v>
      </c>
    </row>
    <row r="467" spans="1:20" x14ac:dyDescent="0.2">
      <c r="A467" s="147">
        <v>2039</v>
      </c>
      <c r="B467" s="147">
        <v>10</v>
      </c>
      <c r="D467" s="166">
        <v>17.202062118178635</v>
      </c>
      <c r="E467" s="258">
        <f t="shared" ref="E467:F482" si="74">E455*(1+0.02)</f>
        <v>17.58422050121354</v>
      </c>
      <c r="F467" s="258">
        <f t="shared" si="74"/>
        <v>16.284827430609532</v>
      </c>
      <c r="G467" s="167">
        <v>29.52</v>
      </c>
      <c r="H467" s="148">
        <v>139.74177249000002</v>
      </c>
      <c r="I467" s="181">
        <f t="shared" si="69"/>
        <v>139.74177249000002</v>
      </c>
      <c r="J467" s="181">
        <f t="shared" si="70"/>
        <v>56.392767327176983</v>
      </c>
      <c r="K467" s="362">
        <v>24098</v>
      </c>
      <c r="L467" s="231"/>
      <c r="M467" s="160">
        <v>26007.095611873126</v>
      </c>
      <c r="N467" s="181">
        <f t="shared" si="71"/>
        <v>26007.095611873126</v>
      </c>
      <c r="O467" s="246">
        <f t="shared" si="73"/>
        <v>129.8125</v>
      </c>
      <c r="P467" s="246">
        <f t="shared" si="73"/>
        <v>57.779999999999994</v>
      </c>
      <c r="Q467" s="159">
        <v>4200</v>
      </c>
      <c r="R467" s="159">
        <v>1161</v>
      </c>
      <c r="S467" s="363">
        <f t="shared" si="72"/>
        <v>0</v>
      </c>
      <c r="T467" s="271">
        <v>0.40354982137651413</v>
      </c>
    </row>
    <row r="468" spans="1:20" x14ac:dyDescent="0.2">
      <c r="A468" s="147">
        <v>2039</v>
      </c>
      <c r="B468" s="147">
        <v>11</v>
      </c>
      <c r="D468" s="166">
        <v>17.202062118178635</v>
      </c>
      <c r="E468" s="258">
        <f t="shared" si="74"/>
        <v>17.58422050121354</v>
      </c>
      <c r="F468" s="258">
        <f t="shared" si="74"/>
        <v>16.284827430609532</v>
      </c>
      <c r="G468" s="167">
        <v>29.38</v>
      </c>
      <c r="H468" s="148">
        <v>139.74177249000002</v>
      </c>
      <c r="I468" s="181">
        <f t="shared" si="69"/>
        <v>139.74177249000002</v>
      </c>
      <c r="J468" s="181">
        <f t="shared" si="70"/>
        <v>56.392767327176983</v>
      </c>
      <c r="K468" s="362">
        <v>24095</v>
      </c>
      <c r="L468" s="231"/>
      <c r="M468" s="160">
        <v>26007.095611873126</v>
      </c>
      <c r="N468" s="181">
        <f t="shared" si="71"/>
        <v>26007.095611873126</v>
      </c>
      <c r="O468" s="246">
        <f t="shared" si="73"/>
        <v>387.90500000000003</v>
      </c>
      <c r="P468" s="246">
        <f t="shared" si="73"/>
        <v>3.9299999999999997</v>
      </c>
      <c r="Q468" s="159">
        <v>4200</v>
      </c>
      <c r="R468" s="159">
        <v>1161</v>
      </c>
      <c r="S468" s="363">
        <f t="shared" si="72"/>
        <v>0</v>
      </c>
      <c r="T468" s="271">
        <v>0.40354982137651413</v>
      </c>
    </row>
    <row r="469" spans="1:20" x14ac:dyDescent="0.2">
      <c r="A469" s="147">
        <v>2039</v>
      </c>
      <c r="B469" s="147">
        <v>12</v>
      </c>
      <c r="D469" s="166">
        <v>17.202062118178635</v>
      </c>
      <c r="E469" s="258">
        <f t="shared" si="74"/>
        <v>17.58422050121354</v>
      </c>
      <c r="F469" s="258">
        <f t="shared" si="74"/>
        <v>16.284827430609532</v>
      </c>
      <c r="G469" s="167">
        <v>32.81</v>
      </c>
      <c r="H469" s="148">
        <v>139.74177249000002</v>
      </c>
      <c r="I469" s="181">
        <f t="shared" si="69"/>
        <v>139.74177249000002</v>
      </c>
      <c r="J469" s="181">
        <f t="shared" si="70"/>
        <v>56.392767327176983</v>
      </c>
      <c r="K469" s="362">
        <v>24092</v>
      </c>
      <c r="L469" s="231"/>
      <c r="M469" s="160">
        <v>26007.095611873126</v>
      </c>
      <c r="N469" s="181">
        <f t="shared" si="71"/>
        <v>26007.095611873126</v>
      </c>
      <c r="O469" s="246">
        <f t="shared" si="73"/>
        <v>681.89</v>
      </c>
      <c r="P469" s="246">
        <f t="shared" si="73"/>
        <v>0.1</v>
      </c>
      <c r="Q469" s="159">
        <v>4200</v>
      </c>
      <c r="R469" s="159">
        <v>1161</v>
      </c>
      <c r="S469" s="363">
        <f t="shared" si="72"/>
        <v>0</v>
      </c>
      <c r="T469" s="271">
        <v>0.40354982137651413</v>
      </c>
    </row>
    <row r="470" spans="1:20" x14ac:dyDescent="0.2">
      <c r="A470" s="147">
        <v>2040</v>
      </c>
      <c r="B470" s="147">
        <v>1</v>
      </c>
      <c r="D470" s="166">
        <v>17.632113671133098</v>
      </c>
      <c r="E470" s="258">
        <f t="shared" si="74"/>
        <v>17.935904911237813</v>
      </c>
      <c r="F470" s="258">
        <f t="shared" si="74"/>
        <v>16.610523979221721</v>
      </c>
      <c r="G470" s="166">
        <v>32.43</v>
      </c>
      <c r="H470" s="150">
        <v>139.84</v>
      </c>
      <c r="I470" s="181">
        <f t="shared" si="69"/>
        <v>139.84</v>
      </c>
      <c r="J470" s="181">
        <f t="shared" si="70"/>
        <v>56.440495933639134</v>
      </c>
      <c r="K470" s="362">
        <v>24089</v>
      </c>
      <c r="L470" s="231"/>
      <c r="M470" s="157">
        <v>26010.095611873101</v>
      </c>
      <c r="N470" s="181">
        <f t="shared" si="71"/>
        <v>26010.095611873101</v>
      </c>
      <c r="O470" s="246">
        <f t="shared" si="73"/>
        <v>918.70499999999993</v>
      </c>
      <c r="P470" s="246">
        <f t="shared" si="73"/>
        <v>0</v>
      </c>
      <c r="Q470" s="159">
        <v>4200</v>
      </c>
      <c r="R470" s="159">
        <v>1161</v>
      </c>
      <c r="S470" s="363">
        <f t="shared" si="72"/>
        <v>0</v>
      </c>
      <c r="T470" s="271">
        <v>0.40360766542934162</v>
      </c>
    </row>
    <row r="471" spans="1:20" x14ac:dyDescent="0.2">
      <c r="A471" s="147">
        <v>2040</v>
      </c>
      <c r="B471" s="147">
        <v>2</v>
      </c>
      <c r="D471" s="166">
        <v>17.632113671133098</v>
      </c>
      <c r="E471" s="258">
        <f t="shared" si="74"/>
        <v>17.935904911237813</v>
      </c>
      <c r="F471" s="258">
        <f t="shared" si="74"/>
        <v>16.610523979221721</v>
      </c>
      <c r="G471" s="166">
        <v>29.9</v>
      </c>
      <c r="H471" s="150">
        <v>139.84</v>
      </c>
      <c r="I471" s="181">
        <f t="shared" si="69"/>
        <v>139.84</v>
      </c>
      <c r="J471" s="181">
        <f t="shared" si="70"/>
        <v>56.440495933639134</v>
      </c>
      <c r="K471" s="362">
        <v>24086</v>
      </c>
      <c r="L471" s="231"/>
      <c r="M471" s="157">
        <v>26010.095611873101</v>
      </c>
      <c r="N471" s="181">
        <f t="shared" si="71"/>
        <v>26010.095611873101</v>
      </c>
      <c r="O471" s="246">
        <f t="shared" si="73"/>
        <v>796.85749999999996</v>
      </c>
      <c r="P471" s="246">
        <f t="shared" si="73"/>
        <v>0</v>
      </c>
      <c r="Q471" s="159">
        <v>4200</v>
      </c>
      <c r="R471" s="159">
        <v>1161</v>
      </c>
      <c r="S471" s="363">
        <f t="shared" si="72"/>
        <v>0</v>
      </c>
      <c r="T471" s="271">
        <v>0.40360766542934162</v>
      </c>
    </row>
    <row r="472" spans="1:20" x14ac:dyDescent="0.2">
      <c r="A472" s="147">
        <v>2040</v>
      </c>
      <c r="B472" s="147">
        <v>3</v>
      </c>
      <c r="D472" s="166">
        <v>17.632113671133098</v>
      </c>
      <c r="E472" s="258">
        <f t="shared" si="74"/>
        <v>17.935904911237813</v>
      </c>
      <c r="F472" s="258">
        <f t="shared" si="74"/>
        <v>16.610523979221721</v>
      </c>
      <c r="G472" s="166">
        <v>30.33</v>
      </c>
      <c r="H472" s="150">
        <v>139.84</v>
      </c>
      <c r="I472" s="181">
        <f t="shared" si="69"/>
        <v>139.84</v>
      </c>
      <c r="J472" s="181">
        <f t="shared" si="70"/>
        <v>56.440495933639134</v>
      </c>
      <c r="K472" s="362">
        <v>24083</v>
      </c>
      <c r="L472" s="231"/>
      <c r="M472" s="157">
        <v>26010.095611873101</v>
      </c>
      <c r="N472" s="181">
        <f t="shared" si="71"/>
        <v>26010.095611873101</v>
      </c>
      <c r="O472" s="246">
        <f t="shared" si="73"/>
        <v>645</v>
      </c>
      <c r="P472" s="246">
        <f t="shared" si="73"/>
        <v>0.32500000000000001</v>
      </c>
      <c r="Q472" s="159">
        <v>4200</v>
      </c>
      <c r="R472" s="159">
        <v>1161</v>
      </c>
      <c r="S472" s="363">
        <f t="shared" si="72"/>
        <v>0</v>
      </c>
      <c r="T472" s="271">
        <v>0.40360766542934162</v>
      </c>
    </row>
    <row r="473" spans="1:20" x14ac:dyDescent="0.2">
      <c r="A473" s="147">
        <v>2040</v>
      </c>
      <c r="B473" s="147">
        <v>4</v>
      </c>
      <c r="D473" s="166">
        <v>17.632113671133098</v>
      </c>
      <c r="E473" s="258">
        <f t="shared" si="74"/>
        <v>17.935904911237813</v>
      </c>
      <c r="F473" s="258">
        <f t="shared" si="74"/>
        <v>16.610523979221721</v>
      </c>
      <c r="G473" s="166">
        <v>30.29</v>
      </c>
      <c r="H473" s="150">
        <v>139.84</v>
      </c>
      <c r="I473" s="181">
        <f t="shared" si="69"/>
        <v>139.84</v>
      </c>
      <c r="J473" s="181">
        <f t="shared" si="70"/>
        <v>56.450384286693101</v>
      </c>
      <c r="K473" s="362">
        <v>24080</v>
      </c>
      <c r="L473" s="231"/>
      <c r="M473" s="157">
        <v>26010.095611873101</v>
      </c>
      <c r="N473" s="181">
        <f t="shared" si="71"/>
        <v>26010.095611873101</v>
      </c>
      <c r="O473" s="246">
        <f t="shared" si="73"/>
        <v>393.33749999999998</v>
      </c>
      <c r="P473" s="246">
        <f t="shared" si="73"/>
        <v>5.6325000000000003</v>
      </c>
      <c r="Q473" s="159">
        <v>4200</v>
      </c>
      <c r="R473" s="159">
        <v>1161</v>
      </c>
      <c r="S473" s="363">
        <f t="shared" si="72"/>
        <v>0</v>
      </c>
      <c r="T473" s="271">
        <v>0.40367837733619205</v>
      </c>
    </row>
    <row r="474" spans="1:20" x14ac:dyDescent="0.2">
      <c r="A474" s="147">
        <v>2040</v>
      </c>
      <c r="B474" s="147">
        <v>5</v>
      </c>
      <c r="D474" s="166">
        <v>17.632113671133098</v>
      </c>
      <c r="E474" s="258">
        <f t="shared" si="74"/>
        <v>17.935904911237813</v>
      </c>
      <c r="F474" s="258">
        <f t="shared" si="74"/>
        <v>16.610523979221721</v>
      </c>
      <c r="G474" s="166">
        <v>30.05</v>
      </c>
      <c r="H474" s="150">
        <v>139.84</v>
      </c>
      <c r="I474" s="181">
        <f t="shared" si="69"/>
        <v>139.84</v>
      </c>
      <c r="J474" s="181">
        <f t="shared" si="70"/>
        <v>56.450384286693101</v>
      </c>
      <c r="K474" s="362">
        <v>24077</v>
      </c>
      <c r="L474" s="231"/>
      <c r="M474" s="157">
        <v>26010.095611873101</v>
      </c>
      <c r="N474" s="181">
        <f t="shared" si="71"/>
        <v>26010.095611873101</v>
      </c>
      <c r="O474" s="246">
        <f t="shared" ref="O474:P489" si="75">O462</f>
        <v>170.59</v>
      </c>
      <c r="P474" s="246">
        <f t="shared" si="75"/>
        <v>35.347500000000004</v>
      </c>
      <c r="Q474" s="159">
        <v>4200</v>
      </c>
      <c r="R474" s="159">
        <v>1161</v>
      </c>
      <c r="S474" s="363">
        <f t="shared" si="72"/>
        <v>0</v>
      </c>
      <c r="T474" s="271">
        <v>0.40367837733619205</v>
      </c>
    </row>
    <row r="475" spans="1:20" x14ac:dyDescent="0.2">
      <c r="A475" s="147">
        <v>2040</v>
      </c>
      <c r="B475" s="147">
        <v>6</v>
      </c>
      <c r="D475" s="166">
        <v>17.632113671133098</v>
      </c>
      <c r="E475" s="258">
        <f t="shared" si="74"/>
        <v>17.935904911237813</v>
      </c>
      <c r="F475" s="258">
        <f t="shared" si="74"/>
        <v>16.610523979221721</v>
      </c>
      <c r="G475" s="166">
        <v>30.67</v>
      </c>
      <c r="H475" s="150">
        <v>139.84</v>
      </c>
      <c r="I475" s="181">
        <f t="shared" si="69"/>
        <v>139.84</v>
      </c>
      <c r="J475" s="181">
        <f t="shared" si="70"/>
        <v>56.450384286693101</v>
      </c>
      <c r="K475" s="362">
        <v>24074</v>
      </c>
      <c r="L475" s="231"/>
      <c r="M475" s="157">
        <v>26010.095611873101</v>
      </c>
      <c r="N475" s="181">
        <f t="shared" si="71"/>
        <v>26010.095611873101</v>
      </c>
      <c r="O475" s="246">
        <f t="shared" si="75"/>
        <v>42.912500000000001</v>
      </c>
      <c r="P475" s="246">
        <f t="shared" si="75"/>
        <v>148.8475</v>
      </c>
      <c r="Q475" s="159">
        <v>4200</v>
      </c>
      <c r="R475" s="159">
        <v>1161</v>
      </c>
      <c r="S475" s="363">
        <f t="shared" si="72"/>
        <v>0</v>
      </c>
      <c r="T475" s="271">
        <v>0.40367837733619205</v>
      </c>
    </row>
    <row r="476" spans="1:20" x14ac:dyDescent="0.2">
      <c r="A476" s="147">
        <v>2040</v>
      </c>
      <c r="B476" s="147">
        <v>7</v>
      </c>
      <c r="D476" s="166">
        <v>17.632113671133098</v>
      </c>
      <c r="E476" s="258">
        <f t="shared" si="74"/>
        <v>17.935904911237813</v>
      </c>
      <c r="F476" s="258">
        <f t="shared" si="74"/>
        <v>16.610523979221721</v>
      </c>
      <c r="G476" s="166">
        <v>30.62</v>
      </c>
      <c r="H476" s="150">
        <v>139.84</v>
      </c>
      <c r="I476" s="181">
        <f t="shared" si="69"/>
        <v>139.84</v>
      </c>
      <c r="J476" s="181">
        <f t="shared" si="70"/>
        <v>56.459906782178663</v>
      </c>
      <c r="K476" s="362">
        <v>24071</v>
      </c>
      <c r="L476" s="231"/>
      <c r="M476" s="157">
        <v>26010.095611873101</v>
      </c>
      <c r="N476" s="181">
        <f t="shared" si="71"/>
        <v>26010.095611873101</v>
      </c>
      <c r="O476" s="246">
        <f t="shared" si="75"/>
        <v>1.375</v>
      </c>
      <c r="P476" s="246">
        <f t="shared" si="75"/>
        <v>291.78750000000002</v>
      </c>
      <c r="Q476" s="159">
        <v>4200</v>
      </c>
      <c r="R476" s="159">
        <v>1161</v>
      </c>
      <c r="S476" s="363">
        <f t="shared" si="72"/>
        <v>0</v>
      </c>
      <c r="T476" s="271">
        <v>0.40374647298468724</v>
      </c>
    </row>
    <row r="477" spans="1:20" x14ac:dyDescent="0.2">
      <c r="A477" s="147">
        <v>2040</v>
      </c>
      <c r="B477" s="147">
        <v>8</v>
      </c>
      <c r="D477" s="166">
        <v>17.632113671133098</v>
      </c>
      <c r="E477" s="258">
        <f t="shared" si="74"/>
        <v>17.935904911237813</v>
      </c>
      <c r="F477" s="258">
        <f t="shared" si="74"/>
        <v>16.610523979221721</v>
      </c>
      <c r="G477" s="166">
        <v>29.52</v>
      </c>
      <c r="H477" s="150">
        <v>139.84</v>
      </c>
      <c r="I477" s="181">
        <f t="shared" si="69"/>
        <v>139.84</v>
      </c>
      <c r="J477" s="181">
        <f t="shared" si="70"/>
        <v>56.459906782178663</v>
      </c>
      <c r="K477" s="362">
        <v>24068</v>
      </c>
      <c r="L477" s="231"/>
      <c r="M477" s="157">
        <v>26010.095611873101</v>
      </c>
      <c r="N477" s="181">
        <f t="shared" si="71"/>
        <v>26010.095611873101</v>
      </c>
      <c r="O477" s="246">
        <f t="shared" si="75"/>
        <v>0.35</v>
      </c>
      <c r="P477" s="246">
        <f t="shared" si="75"/>
        <v>311.80250000000001</v>
      </c>
      <c r="Q477" s="159">
        <v>4200</v>
      </c>
      <c r="R477" s="159">
        <v>1161</v>
      </c>
      <c r="S477" s="363">
        <f t="shared" si="72"/>
        <v>0</v>
      </c>
      <c r="T477" s="271">
        <v>0.40374647298468724</v>
      </c>
    </row>
    <row r="478" spans="1:20" x14ac:dyDescent="0.2">
      <c r="A478" s="147">
        <v>2040</v>
      </c>
      <c r="B478" s="147">
        <v>9</v>
      </c>
      <c r="D478" s="166">
        <v>17.632113671133098</v>
      </c>
      <c r="E478" s="258">
        <f t="shared" si="74"/>
        <v>17.935904911237813</v>
      </c>
      <c r="F478" s="258">
        <f t="shared" si="74"/>
        <v>16.610523979221721</v>
      </c>
      <c r="G478" s="166">
        <v>30.71</v>
      </c>
      <c r="H478" s="150">
        <v>139.84</v>
      </c>
      <c r="I478" s="181">
        <f t="shared" si="69"/>
        <v>139.84</v>
      </c>
      <c r="J478" s="181">
        <f t="shared" si="70"/>
        <v>56.459906782178663</v>
      </c>
      <c r="K478" s="362">
        <v>24065</v>
      </c>
      <c r="L478" s="231"/>
      <c r="M478" s="157">
        <v>26010.095611873101</v>
      </c>
      <c r="N478" s="181">
        <f t="shared" si="71"/>
        <v>26010.095611873101</v>
      </c>
      <c r="O478" s="246">
        <f t="shared" si="75"/>
        <v>8.2974999999999994</v>
      </c>
      <c r="P478" s="246">
        <f t="shared" si="75"/>
        <v>230.68249999999998</v>
      </c>
      <c r="Q478" s="159">
        <v>4200</v>
      </c>
      <c r="R478" s="159">
        <v>1161</v>
      </c>
      <c r="S478" s="363">
        <f t="shared" si="72"/>
        <v>0</v>
      </c>
      <c r="T478" s="271">
        <v>0.40374647298468724</v>
      </c>
    </row>
    <row r="479" spans="1:20" x14ac:dyDescent="0.2">
      <c r="A479" s="147">
        <v>2040</v>
      </c>
      <c r="B479" s="147">
        <v>10</v>
      </c>
      <c r="D479" s="166">
        <v>17.632113671133098</v>
      </c>
      <c r="E479" s="258">
        <f t="shared" si="74"/>
        <v>17.935904911237813</v>
      </c>
      <c r="F479" s="258">
        <f t="shared" si="74"/>
        <v>16.610523979221721</v>
      </c>
      <c r="G479" s="166">
        <v>29.52</v>
      </c>
      <c r="H479" s="150">
        <v>139.84</v>
      </c>
      <c r="I479" s="181">
        <f t="shared" si="69"/>
        <v>139.84</v>
      </c>
      <c r="J479" s="181">
        <f t="shared" si="70"/>
        <v>56.470342302783557</v>
      </c>
      <c r="K479" s="362">
        <v>24062</v>
      </c>
      <c r="L479" s="231"/>
      <c r="M479" s="157">
        <v>26010.095611873101</v>
      </c>
      <c r="N479" s="181">
        <f t="shared" si="71"/>
        <v>26010.095611873101</v>
      </c>
      <c r="O479" s="246">
        <f t="shared" si="75"/>
        <v>129.8125</v>
      </c>
      <c r="P479" s="246">
        <f t="shared" si="75"/>
        <v>57.779999999999994</v>
      </c>
      <c r="Q479" s="159">
        <v>4200</v>
      </c>
      <c r="R479" s="159">
        <v>1161</v>
      </c>
      <c r="S479" s="363">
        <f t="shared" si="72"/>
        <v>0</v>
      </c>
      <c r="T479" s="271">
        <v>0.40382109770297164</v>
      </c>
    </row>
    <row r="480" spans="1:20" x14ac:dyDescent="0.2">
      <c r="A480" s="147">
        <v>2040</v>
      </c>
      <c r="B480" s="147">
        <v>11</v>
      </c>
      <c r="D480" s="166">
        <v>17.632113671133098</v>
      </c>
      <c r="E480" s="258">
        <f t="shared" si="74"/>
        <v>17.935904911237813</v>
      </c>
      <c r="F480" s="258">
        <f t="shared" si="74"/>
        <v>16.610523979221721</v>
      </c>
      <c r="G480" s="166">
        <v>29.38</v>
      </c>
      <c r="H480" s="150">
        <v>139.84</v>
      </c>
      <c r="I480" s="181">
        <f t="shared" si="69"/>
        <v>139.84</v>
      </c>
      <c r="J480" s="181">
        <f t="shared" si="70"/>
        <v>56.470342302783557</v>
      </c>
      <c r="K480" s="362">
        <v>24059</v>
      </c>
      <c r="L480" s="231"/>
      <c r="M480" s="157">
        <v>26010.095611873101</v>
      </c>
      <c r="N480" s="181">
        <f t="shared" si="71"/>
        <v>26010.095611873101</v>
      </c>
      <c r="O480" s="246">
        <f t="shared" si="75"/>
        <v>387.90500000000003</v>
      </c>
      <c r="P480" s="246">
        <f t="shared" si="75"/>
        <v>3.9299999999999997</v>
      </c>
      <c r="Q480" s="159">
        <v>4200</v>
      </c>
      <c r="R480" s="159">
        <v>1161</v>
      </c>
      <c r="S480" s="363">
        <f t="shared" si="72"/>
        <v>0</v>
      </c>
      <c r="T480" s="271">
        <v>0.40382109770297164</v>
      </c>
    </row>
    <row r="481" spans="1:20" x14ac:dyDescent="0.2">
      <c r="A481" s="147">
        <v>2040</v>
      </c>
      <c r="B481" s="147">
        <v>12</v>
      </c>
      <c r="D481" s="166">
        <v>17.632113671133098</v>
      </c>
      <c r="E481" s="258">
        <f t="shared" si="74"/>
        <v>17.935904911237813</v>
      </c>
      <c r="F481" s="258">
        <f t="shared" si="74"/>
        <v>16.610523979221721</v>
      </c>
      <c r="G481" s="166">
        <v>32.81</v>
      </c>
      <c r="H481" s="150">
        <v>139.84</v>
      </c>
      <c r="I481" s="181">
        <f t="shared" si="69"/>
        <v>139.84</v>
      </c>
      <c r="J481" s="181">
        <f t="shared" si="70"/>
        <v>56.470342302783557</v>
      </c>
      <c r="K481" s="362">
        <v>24056</v>
      </c>
      <c r="L481" s="231"/>
      <c r="M481" s="157">
        <v>26010.095611873101</v>
      </c>
      <c r="N481" s="181">
        <f t="shared" si="71"/>
        <v>26010.095611873101</v>
      </c>
      <c r="O481" s="246">
        <f t="shared" si="75"/>
        <v>681.89</v>
      </c>
      <c r="P481" s="246">
        <f t="shared" si="75"/>
        <v>0.1</v>
      </c>
      <c r="Q481" s="159">
        <v>4200</v>
      </c>
      <c r="R481" s="159">
        <v>1161</v>
      </c>
      <c r="S481" s="363">
        <f t="shared" si="72"/>
        <v>0</v>
      </c>
      <c r="T481" s="271">
        <v>0.40382109770297164</v>
      </c>
    </row>
    <row r="482" spans="1:20" x14ac:dyDescent="0.2">
      <c r="A482" s="147">
        <v>2041</v>
      </c>
      <c r="B482" s="147">
        <v>1</v>
      </c>
      <c r="D482" s="166">
        <v>18.072916512911423</v>
      </c>
      <c r="E482" s="258">
        <f>E470*(1+0.02)</f>
        <v>18.294623009462569</v>
      </c>
      <c r="F482" s="258">
        <f t="shared" si="74"/>
        <v>16.942734458806157</v>
      </c>
      <c r="G482" s="166">
        <f t="shared" ref="G482:G517" si="76">G470</f>
        <v>32.43</v>
      </c>
      <c r="H482" s="150">
        <v>140.54</v>
      </c>
      <c r="I482" s="181">
        <f t="shared" si="69"/>
        <v>140.54</v>
      </c>
      <c r="J482" s="181">
        <f t="shared" si="70"/>
        <v>56.774206394221629</v>
      </c>
      <c r="K482" s="362">
        <v>24053</v>
      </c>
      <c r="L482" s="231"/>
      <c r="M482" s="157">
        <v>26010.095611873101</v>
      </c>
      <c r="N482" s="181">
        <f t="shared" si="71"/>
        <v>26010.095611873101</v>
      </c>
      <c r="O482" s="246">
        <f t="shared" si="75"/>
        <v>918.70499999999993</v>
      </c>
      <c r="P482" s="246">
        <f t="shared" si="75"/>
        <v>0</v>
      </c>
      <c r="Q482" s="159">
        <v>4200</v>
      </c>
      <c r="R482" s="159">
        <v>1161</v>
      </c>
      <c r="S482" s="363">
        <f t="shared" si="72"/>
        <v>0</v>
      </c>
      <c r="T482" s="271">
        <v>0.40397186846607108</v>
      </c>
    </row>
    <row r="483" spans="1:20" x14ac:dyDescent="0.2">
      <c r="A483" s="147">
        <v>2041</v>
      </c>
      <c r="B483" s="147">
        <v>2</v>
      </c>
      <c r="D483" s="166">
        <v>18.072916512911423</v>
      </c>
      <c r="E483" s="258">
        <f t="shared" ref="E483:F498" si="77">E471*(1+0.02)</f>
        <v>18.294623009462569</v>
      </c>
      <c r="F483" s="258">
        <f t="shared" si="77"/>
        <v>16.942734458806157</v>
      </c>
      <c r="G483" s="166">
        <f t="shared" si="76"/>
        <v>29.9</v>
      </c>
      <c r="H483" s="150">
        <v>140.54</v>
      </c>
      <c r="I483" s="181">
        <f t="shared" si="69"/>
        <v>140.54</v>
      </c>
      <c r="J483" s="181">
        <f t="shared" si="70"/>
        <v>56.774206394221629</v>
      </c>
      <c r="K483" s="362">
        <v>24050</v>
      </c>
      <c r="L483" s="231"/>
      <c r="M483" s="157">
        <v>26010.095611873101</v>
      </c>
      <c r="N483" s="181">
        <f t="shared" si="71"/>
        <v>26010.095611873101</v>
      </c>
      <c r="O483" s="246">
        <f t="shared" si="75"/>
        <v>796.85749999999996</v>
      </c>
      <c r="P483" s="246">
        <f t="shared" si="75"/>
        <v>0</v>
      </c>
      <c r="Q483" s="159">
        <v>4200</v>
      </c>
      <c r="R483" s="159">
        <v>1161</v>
      </c>
      <c r="S483" s="363">
        <f t="shared" si="72"/>
        <v>0</v>
      </c>
      <c r="T483" s="271">
        <v>0.40397186846607108</v>
      </c>
    </row>
    <row r="484" spans="1:20" x14ac:dyDescent="0.2">
      <c r="A484" s="147">
        <v>2041</v>
      </c>
      <c r="B484" s="147">
        <v>3</v>
      </c>
      <c r="D484" s="166">
        <v>18.072916512911423</v>
      </c>
      <c r="E484" s="258">
        <f t="shared" si="77"/>
        <v>18.294623009462569</v>
      </c>
      <c r="F484" s="258">
        <f t="shared" si="77"/>
        <v>16.942734458806157</v>
      </c>
      <c r="G484" s="166">
        <f t="shared" si="76"/>
        <v>30.33</v>
      </c>
      <c r="H484" s="150">
        <v>140.54</v>
      </c>
      <c r="I484" s="181">
        <f t="shared" si="69"/>
        <v>140.54</v>
      </c>
      <c r="J484" s="181">
        <f t="shared" si="70"/>
        <v>56.774206394221629</v>
      </c>
      <c r="K484" s="362">
        <v>24047</v>
      </c>
      <c r="L484" s="231"/>
      <c r="M484" s="157">
        <v>26010.095611873101</v>
      </c>
      <c r="N484" s="181">
        <f t="shared" si="71"/>
        <v>26010.095611873101</v>
      </c>
      <c r="O484" s="246">
        <f t="shared" si="75"/>
        <v>645</v>
      </c>
      <c r="P484" s="246">
        <f t="shared" si="75"/>
        <v>0.32500000000000001</v>
      </c>
      <c r="Q484" s="159">
        <v>4200</v>
      </c>
      <c r="R484" s="159">
        <v>1161</v>
      </c>
      <c r="S484" s="363">
        <f t="shared" si="72"/>
        <v>0</v>
      </c>
      <c r="T484" s="271">
        <v>0.40397186846607108</v>
      </c>
    </row>
    <row r="485" spans="1:20" x14ac:dyDescent="0.2">
      <c r="A485" s="147">
        <v>2041</v>
      </c>
      <c r="B485" s="147">
        <v>4</v>
      </c>
      <c r="D485" s="166">
        <v>18.072916512911423</v>
      </c>
      <c r="E485" s="258">
        <f t="shared" si="77"/>
        <v>18.294623009462569</v>
      </c>
      <c r="F485" s="258">
        <f t="shared" si="77"/>
        <v>16.942734458806157</v>
      </c>
      <c r="G485" s="166">
        <f t="shared" si="76"/>
        <v>30.29</v>
      </c>
      <c r="H485" s="150">
        <v>140.54</v>
      </c>
      <c r="I485" s="181">
        <f t="shared" si="69"/>
        <v>140.54</v>
      </c>
      <c r="J485" s="181">
        <f t="shared" si="70"/>
        <v>56.789365963468306</v>
      </c>
      <c r="K485" s="362">
        <v>24044</v>
      </c>
      <c r="L485" s="231"/>
      <c r="M485" s="157">
        <v>26010.095611873101</v>
      </c>
      <c r="N485" s="181">
        <f t="shared" si="71"/>
        <v>26010.095611873101</v>
      </c>
      <c r="O485" s="246">
        <f t="shared" si="75"/>
        <v>393.33749999999998</v>
      </c>
      <c r="P485" s="246">
        <f t="shared" si="75"/>
        <v>5.6325000000000003</v>
      </c>
      <c r="Q485" s="159">
        <v>4200</v>
      </c>
      <c r="R485" s="159">
        <v>1161</v>
      </c>
      <c r="S485" s="363">
        <f t="shared" si="72"/>
        <v>0</v>
      </c>
      <c r="T485" s="271">
        <v>0.40407973504673622</v>
      </c>
    </row>
    <row r="486" spans="1:20" x14ac:dyDescent="0.2">
      <c r="A486" s="147">
        <v>2041</v>
      </c>
      <c r="B486" s="147">
        <v>5</v>
      </c>
      <c r="D486" s="166">
        <v>18.072916512911423</v>
      </c>
      <c r="E486" s="258">
        <f t="shared" si="77"/>
        <v>18.294623009462569</v>
      </c>
      <c r="F486" s="258">
        <f t="shared" si="77"/>
        <v>16.942734458806157</v>
      </c>
      <c r="G486" s="166">
        <f t="shared" si="76"/>
        <v>30.05</v>
      </c>
      <c r="H486" s="150">
        <v>140.54</v>
      </c>
      <c r="I486" s="181">
        <f t="shared" si="69"/>
        <v>140.54</v>
      </c>
      <c r="J486" s="181">
        <f t="shared" si="70"/>
        <v>56.789365963468306</v>
      </c>
      <c r="K486" s="362">
        <v>24041</v>
      </c>
      <c r="L486" s="231"/>
      <c r="M486" s="157">
        <v>26010.095611873101</v>
      </c>
      <c r="N486" s="181">
        <f t="shared" si="71"/>
        <v>26010.095611873101</v>
      </c>
      <c r="O486" s="246">
        <f t="shared" si="75"/>
        <v>170.59</v>
      </c>
      <c r="P486" s="246">
        <f t="shared" si="75"/>
        <v>35.347500000000004</v>
      </c>
      <c r="Q486" s="159">
        <v>4200</v>
      </c>
      <c r="R486" s="159">
        <v>1161</v>
      </c>
      <c r="S486" s="363">
        <f t="shared" si="72"/>
        <v>0</v>
      </c>
      <c r="T486" s="271">
        <v>0.40407973504673622</v>
      </c>
    </row>
    <row r="487" spans="1:20" x14ac:dyDescent="0.2">
      <c r="A487" s="147">
        <v>2041</v>
      </c>
      <c r="B487" s="147">
        <v>6</v>
      </c>
      <c r="D487" s="166">
        <v>18.072916512911423</v>
      </c>
      <c r="E487" s="258">
        <f t="shared" si="77"/>
        <v>18.294623009462569</v>
      </c>
      <c r="F487" s="258">
        <f t="shared" si="77"/>
        <v>16.942734458806157</v>
      </c>
      <c r="G487" s="166">
        <f t="shared" si="76"/>
        <v>30.67</v>
      </c>
      <c r="H487" s="150">
        <v>140.54</v>
      </c>
      <c r="I487" s="181">
        <f t="shared" si="69"/>
        <v>140.54</v>
      </c>
      <c r="J487" s="181">
        <f t="shared" si="70"/>
        <v>56.789365963468306</v>
      </c>
      <c r="K487" s="362">
        <v>24038</v>
      </c>
      <c r="L487" s="231"/>
      <c r="M487" s="157">
        <v>26010.095611873101</v>
      </c>
      <c r="N487" s="181">
        <f t="shared" si="71"/>
        <v>26010.095611873101</v>
      </c>
      <c r="O487" s="246">
        <f t="shared" si="75"/>
        <v>42.912500000000001</v>
      </c>
      <c r="P487" s="246">
        <f t="shared" si="75"/>
        <v>148.8475</v>
      </c>
      <c r="Q487" s="159">
        <v>4200</v>
      </c>
      <c r="R487" s="159">
        <v>1161</v>
      </c>
      <c r="S487" s="363">
        <f t="shared" si="72"/>
        <v>0</v>
      </c>
      <c r="T487" s="271">
        <v>0.40407973504673622</v>
      </c>
    </row>
    <row r="488" spans="1:20" x14ac:dyDescent="0.2">
      <c r="A488" s="147">
        <v>2041</v>
      </c>
      <c r="B488" s="147">
        <v>7</v>
      </c>
      <c r="D488" s="166">
        <v>18.072916512911423</v>
      </c>
      <c r="E488" s="258">
        <f t="shared" si="77"/>
        <v>18.294623009462569</v>
      </c>
      <c r="F488" s="258">
        <f t="shared" si="77"/>
        <v>16.942734458806157</v>
      </c>
      <c r="G488" s="166">
        <f t="shared" si="76"/>
        <v>30.62</v>
      </c>
      <c r="H488" s="150">
        <v>140.54</v>
      </c>
      <c r="I488" s="181">
        <f t="shared" si="69"/>
        <v>140.54</v>
      </c>
      <c r="J488" s="181">
        <f t="shared" si="70"/>
        <v>56.804508310589377</v>
      </c>
      <c r="K488" s="362">
        <v>24035</v>
      </c>
      <c r="L488" s="231"/>
      <c r="M488" s="157">
        <v>26010.095611873101</v>
      </c>
      <c r="N488" s="181">
        <f t="shared" si="71"/>
        <v>26010.095611873101</v>
      </c>
      <c r="O488" s="246">
        <f t="shared" si="75"/>
        <v>1.375</v>
      </c>
      <c r="P488" s="246">
        <f t="shared" si="75"/>
        <v>291.78750000000002</v>
      </c>
      <c r="Q488" s="159">
        <v>4200</v>
      </c>
      <c r="R488" s="159">
        <v>1161</v>
      </c>
      <c r="S488" s="363">
        <f t="shared" si="72"/>
        <v>0</v>
      </c>
      <c r="T488" s="271">
        <v>0.40418747908488245</v>
      </c>
    </row>
    <row r="489" spans="1:20" x14ac:dyDescent="0.2">
      <c r="A489" s="147">
        <v>2041</v>
      </c>
      <c r="B489" s="147">
        <v>8</v>
      </c>
      <c r="D489" s="166">
        <v>18.072916512911423</v>
      </c>
      <c r="E489" s="258">
        <f t="shared" si="77"/>
        <v>18.294623009462569</v>
      </c>
      <c r="F489" s="258">
        <f t="shared" si="77"/>
        <v>16.942734458806157</v>
      </c>
      <c r="G489" s="166">
        <f t="shared" si="76"/>
        <v>29.52</v>
      </c>
      <c r="H489" s="150">
        <v>140.54</v>
      </c>
      <c r="I489" s="181">
        <f t="shared" si="69"/>
        <v>140.54</v>
      </c>
      <c r="J489" s="181">
        <f t="shared" si="70"/>
        <v>56.804508310589377</v>
      </c>
      <c r="K489" s="362">
        <v>24032</v>
      </c>
      <c r="L489" s="231"/>
      <c r="M489" s="157">
        <v>26010.095611873101</v>
      </c>
      <c r="N489" s="181">
        <f t="shared" si="71"/>
        <v>26010.095611873101</v>
      </c>
      <c r="O489" s="246">
        <f t="shared" si="75"/>
        <v>0.35</v>
      </c>
      <c r="P489" s="246">
        <f t="shared" si="75"/>
        <v>311.80250000000001</v>
      </c>
      <c r="Q489" s="159">
        <v>4200</v>
      </c>
      <c r="R489" s="159">
        <v>1161</v>
      </c>
      <c r="S489" s="363">
        <f t="shared" si="72"/>
        <v>0</v>
      </c>
      <c r="T489" s="271">
        <v>0.40418747908488245</v>
      </c>
    </row>
    <row r="490" spans="1:20" x14ac:dyDescent="0.2">
      <c r="A490" s="147">
        <v>2041</v>
      </c>
      <c r="B490" s="147">
        <v>9</v>
      </c>
      <c r="D490" s="166">
        <v>18.072916512911423</v>
      </c>
      <c r="E490" s="258">
        <f t="shared" si="77"/>
        <v>18.294623009462569</v>
      </c>
      <c r="F490" s="258">
        <f t="shared" si="77"/>
        <v>16.942734458806157</v>
      </c>
      <c r="G490" s="166">
        <f t="shared" si="76"/>
        <v>30.71</v>
      </c>
      <c r="H490" s="150">
        <v>140.54</v>
      </c>
      <c r="I490" s="181">
        <f t="shared" si="69"/>
        <v>140.54</v>
      </c>
      <c r="J490" s="181">
        <f t="shared" si="70"/>
        <v>56.804508310589377</v>
      </c>
      <c r="K490" s="362">
        <v>24029</v>
      </c>
      <c r="L490" s="231"/>
      <c r="M490" s="157">
        <v>26010.095611873101</v>
      </c>
      <c r="N490" s="181">
        <f t="shared" si="71"/>
        <v>26010.095611873101</v>
      </c>
      <c r="O490" s="246">
        <f t="shared" ref="O490:P505" si="78">O478</f>
        <v>8.2974999999999994</v>
      </c>
      <c r="P490" s="246">
        <f t="shared" si="78"/>
        <v>230.68249999999998</v>
      </c>
      <c r="Q490" s="159">
        <v>4200</v>
      </c>
      <c r="R490" s="159">
        <v>1161</v>
      </c>
      <c r="S490" s="363">
        <f t="shared" si="72"/>
        <v>0</v>
      </c>
      <c r="T490" s="271">
        <v>0.40418747908488245</v>
      </c>
    </row>
    <row r="491" spans="1:20" x14ac:dyDescent="0.2">
      <c r="A491" s="147">
        <v>2041</v>
      </c>
      <c r="B491" s="147">
        <v>10</v>
      </c>
      <c r="D491" s="166">
        <v>18.072916512911423</v>
      </c>
      <c r="E491" s="258">
        <f t="shared" si="77"/>
        <v>18.294623009462569</v>
      </c>
      <c r="F491" s="258">
        <f t="shared" si="77"/>
        <v>16.942734458806157</v>
      </c>
      <c r="G491" s="166">
        <f t="shared" si="76"/>
        <v>29.52</v>
      </c>
      <c r="H491" s="150">
        <v>140.54</v>
      </c>
      <c r="I491" s="181">
        <f t="shared" si="69"/>
        <v>140.54</v>
      </c>
      <c r="J491" s="181">
        <f t="shared" si="70"/>
        <v>56.820479986063098</v>
      </c>
      <c r="K491" s="362">
        <v>24026</v>
      </c>
      <c r="L491" s="231"/>
      <c r="M491" s="157">
        <v>26010.095611873101</v>
      </c>
      <c r="N491" s="181">
        <f t="shared" si="71"/>
        <v>26010.095611873101</v>
      </c>
      <c r="O491" s="246">
        <f t="shared" si="78"/>
        <v>129.8125</v>
      </c>
      <c r="P491" s="246">
        <f t="shared" si="78"/>
        <v>57.779999999999994</v>
      </c>
      <c r="Q491" s="159">
        <v>4200</v>
      </c>
      <c r="R491" s="159">
        <v>1161</v>
      </c>
      <c r="S491" s="363">
        <f t="shared" si="72"/>
        <v>0</v>
      </c>
      <c r="T491" s="271">
        <v>0.40430112413592645</v>
      </c>
    </row>
    <row r="492" spans="1:20" x14ac:dyDescent="0.2">
      <c r="A492" s="147">
        <v>2041</v>
      </c>
      <c r="B492" s="147">
        <v>11</v>
      </c>
      <c r="D492" s="166">
        <v>18.072916512911423</v>
      </c>
      <c r="E492" s="258">
        <f t="shared" si="77"/>
        <v>18.294623009462569</v>
      </c>
      <c r="F492" s="258">
        <f t="shared" si="77"/>
        <v>16.942734458806157</v>
      </c>
      <c r="G492" s="166">
        <f t="shared" si="76"/>
        <v>29.38</v>
      </c>
      <c r="H492" s="150">
        <v>140.54</v>
      </c>
      <c r="I492" s="181">
        <f t="shared" si="69"/>
        <v>140.54</v>
      </c>
      <c r="J492" s="181">
        <f t="shared" si="70"/>
        <v>56.820479986063098</v>
      </c>
      <c r="K492" s="362">
        <v>24023</v>
      </c>
      <c r="L492" s="231"/>
      <c r="M492" s="157">
        <v>26010.095611873101</v>
      </c>
      <c r="N492" s="181">
        <f t="shared" si="71"/>
        <v>26010.095611873101</v>
      </c>
      <c r="O492" s="246">
        <f t="shared" si="78"/>
        <v>387.90500000000003</v>
      </c>
      <c r="P492" s="246">
        <f t="shared" si="78"/>
        <v>3.9299999999999997</v>
      </c>
      <c r="Q492" s="159">
        <v>4200</v>
      </c>
      <c r="R492" s="159">
        <v>1161</v>
      </c>
      <c r="S492" s="363">
        <f t="shared" si="72"/>
        <v>0</v>
      </c>
      <c r="T492" s="271">
        <v>0.40430112413592645</v>
      </c>
    </row>
    <row r="493" spans="1:20" x14ac:dyDescent="0.2">
      <c r="A493" s="147">
        <v>2041</v>
      </c>
      <c r="B493" s="147">
        <v>12</v>
      </c>
      <c r="D493" s="166">
        <v>18.072916512911423</v>
      </c>
      <c r="E493" s="258">
        <f t="shared" si="77"/>
        <v>18.294623009462569</v>
      </c>
      <c r="F493" s="258">
        <f t="shared" si="77"/>
        <v>16.942734458806157</v>
      </c>
      <c r="G493" s="166">
        <f t="shared" si="76"/>
        <v>32.81</v>
      </c>
      <c r="H493" s="150">
        <v>140.54</v>
      </c>
      <c r="I493" s="181">
        <f t="shared" si="69"/>
        <v>140.54</v>
      </c>
      <c r="J493" s="181">
        <f t="shared" si="70"/>
        <v>56.820479986063098</v>
      </c>
      <c r="K493" s="362">
        <v>24020</v>
      </c>
      <c r="L493" s="231"/>
      <c r="M493" s="157">
        <v>26010.095611873101</v>
      </c>
      <c r="N493" s="181">
        <f t="shared" si="71"/>
        <v>26010.095611873101</v>
      </c>
      <c r="O493" s="246">
        <f t="shared" si="78"/>
        <v>681.89</v>
      </c>
      <c r="P493" s="246">
        <f t="shared" si="78"/>
        <v>0.1</v>
      </c>
      <c r="Q493" s="159">
        <v>4200</v>
      </c>
      <c r="R493" s="159">
        <v>1161</v>
      </c>
      <c r="S493" s="363">
        <f t="shared" si="72"/>
        <v>0</v>
      </c>
      <c r="T493" s="271">
        <v>0.40430112413592645</v>
      </c>
    </row>
    <row r="494" spans="1:20" x14ac:dyDescent="0.2">
      <c r="A494" s="147">
        <f>A482+1</f>
        <v>2042</v>
      </c>
      <c r="B494" s="147">
        <v>1</v>
      </c>
      <c r="D494" s="310">
        <f>D482*(1+D482/D470-1)</f>
        <v>18.524739425734207</v>
      </c>
      <c r="E494" s="258">
        <f t="shared" si="77"/>
        <v>18.66051546965182</v>
      </c>
      <c r="F494" s="258">
        <f t="shared" si="77"/>
        <v>17.281589147982281</v>
      </c>
      <c r="G494" s="166">
        <f t="shared" si="76"/>
        <v>32.43</v>
      </c>
      <c r="H494" s="310">
        <f>H482*(1+H482/H470-1)</f>
        <v>141.24350400457664</v>
      </c>
      <c r="I494" s="181">
        <f t="shared" si="69"/>
        <v>141.24350400457664</v>
      </c>
      <c r="J494" s="181">
        <f t="shared" si="70"/>
        <v>56.047160312110741</v>
      </c>
      <c r="K494" s="310">
        <f>K482*(1+K482/K470-1)</f>
        <v>24017.053800489852</v>
      </c>
      <c r="L494" s="231"/>
      <c r="M494" s="307">
        <f t="shared" ref="M494:M517" si="79">M482*1.024</f>
        <v>26634.337906558056</v>
      </c>
      <c r="N494" s="181">
        <f t="shared" si="71"/>
        <v>26634.337906558056</v>
      </c>
      <c r="O494" s="246">
        <f t="shared" si="78"/>
        <v>918.70499999999993</v>
      </c>
      <c r="P494" s="246">
        <f t="shared" si="78"/>
        <v>0</v>
      </c>
      <c r="Q494" s="159">
        <v>4200</v>
      </c>
      <c r="R494" s="159">
        <v>1161</v>
      </c>
      <c r="S494" s="363">
        <f t="shared" si="72"/>
        <v>0</v>
      </c>
      <c r="T494" s="271">
        <v>0.39681230444619014</v>
      </c>
    </row>
    <row r="495" spans="1:20" x14ac:dyDescent="0.2">
      <c r="A495" s="147">
        <f t="shared" ref="A495:A517" si="80">A483+1</f>
        <v>2042</v>
      </c>
      <c r="B495" s="147">
        <v>2</v>
      </c>
      <c r="D495" s="310">
        <f t="shared" ref="D495:D505" si="81">D483*(1+D483/D471-1)</f>
        <v>18.524739425734207</v>
      </c>
      <c r="E495" s="258">
        <f t="shared" si="77"/>
        <v>18.66051546965182</v>
      </c>
      <c r="F495" s="258">
        <f t="shared" si="77"/>
        <v>17.281589147982281</v>
      </c>
      <c r="G495" s="166">
        <f t="shared" si="76"/>
        <v>29.9</v>
      </c>
      <c r="H495" s="310">
        <f t="shared" ref="H495:H517" si="82">H483*(1+H483/H471-1)</f>
        <v>141.24350400457664</v>
      </c>
      <c r="I495" s="181">
        <f t="shared" si="69"/>
        <v>141.24350400457664</v>
      </c>
      <c r="J495" s="181">
        <f t="shared" si="70"/>
        <v>56.047160312110741</v>
      </c>
      <c r="K495" s="310">
        <f t="shared" ref="K495:K517" si="83">K483*(1+K483/K471-1)</f>
        <v>24014.0538071909</v>
      </c>
      <c r="L495" s="231"/>
      <c r="M495" s="307">
        <f t="shared" si="79"/>
        <v>26634.337906558056</v>
      </c>
      <c r="N495" s="181">
        <f t="shared" si="71"/>
        <v>26634.337906558056</v>
      </c>
      <c r="O495" s="246">
        <f t="shared" si="78"/>
        <v>796.85749999999996</v>
      </c>
      <c r="P495" s="246">
        <f t="shared" si="78"/>
        <v>0</v>
      </c>
      <c r="Q495" s="159">
        <v>4200</v>
      </c>
      <c r="R495" s="159">
        <v>1161</v>
      </c>
      <c r="S495" s="363">
        <f t="shared" si="72"/>
        <v>0</v>
      </c>
      <c r="T495" s="271">
        <v>0.39681230444619014</v>
      </c>
    </row>
    <row r="496" spans="1:20" x14ac:dyDescent="0.2">
      <c r="A496" s="147">
        <f t="shared" si="80"/>
        <v>2042</v>
      </c>
      <c r="B496" s="147">
        <v>3</v>
      </c>
      <c r="D496" s="310">
        <f t="shared" si="81"/>
        <v>18.524739425734207</v>
      </c>
      <c r="E496" s="258">
        <f t="shared" si="77"/>
        <v>18.66051546965182</v>
      </c>
      <c r="F496" s="258">
        <f t="shared" si="77"/>
        <v>17.281589147982281</v>
      </c>
      <c r="G496" s="166">
        <f t="shared" si="76"/>
        <v>30.33</v>
      </c>
      <c r="H496" s="310">
        <f t="shared" si="82"/>
        <v>141.24350400457664</v>
      </c>
      <c r="I496" s="181">
        <f t="shared" si="69"/>
        <v>141.24350400457664</v>
      </c>
      <c r="J496" s="181">
        <f t="shared" si="70"/>
        <v>56.047160312110741</v>
      </c>
      <c r="K496" s="310">
        <f t="shared" si="83"/>
        <v>24011.053813893617</v>
      </c>
      <c r="L496" s="231"/>
      <c r="M496" s="307">
        <f t="shared" si="79"/>
        <v>26634.337906558056</v>
      </c>
      <c r="N496" s="181">
        <f t="shared" si="71"/>
        <v>26634.337906558056</v>
      </c>
      <c r="O496" s="246">
        <f t="shared" si="78"/>
        <v>645</v>
      </c>
      <c r="P496" s="246">
        <f t="shared" si="78"/>
        <v>0.32500000000000001</v>
      </c>
      <c r="Q496" s="159">
        <v>4200</v>
      </c>
      <c r="R496" s="159">
        <v>1161</v>
      </c>
      <c r="S496" s="363">
        <f t="shared" si="72"/>
        <v>0</v>
      </c>
      <c r="T496" s="271">
        <v>0.39681230444619014</v>
      </c>
    </row>
    <row r="497" spans="1:20" x14ac:dyDescent="0.2">
      <c r="A497" s="147">
        <f t="shared" si="80"/>
        <v>2042</v>
      </c>
      <c r="B497" s="147">
        <v>4</v>
      </c>
      <c r="D497" s="310">
        <f t="shared" si="81"/>
        <v>18.524739425734207</v>
      </c>
      <c r="E497" s="258">
        <f t="shared" si="77"/>
        <v>18.66051546965182</v>
      </c>
      <c r="F497" s="258">
        <f t="shared" si="77"/>
        <v>17.281589147982281</v>
      </c>
      <c r="G497" s="166">
        <f t="shared" si="76"/>
        <v>30.29</v>
      </c>
      <c r="H497" s="310">
        <f t="shared" si="82"/>
        <v>141.24350400457664</v>
      </c>
      <c r="I497" s="181">
        <f t="shared" si="69"/>
        <v>141.24350400457664</v>
      </c>
      <c r="J497" s="181">
        <f t="shared" si="70"/>
        <v>56.068175571021079</v>
      </c>
      <c r="K497" s="310">
        <f t="shared" si="83"/>
        <v>24008.053820598005</v>
      </c>
      <c r="L497" s="231"/>
      <c r="M497" s="307">
        <f t="shared" si="79"/>
        <v>26634.337906558056</v>
      </c>
      <c r="N497" s="181">
        <f t="shared" si="71"/>
        <v>26634.337906558056</v>
      </c>
      <c r="O497" s="246">
        <f t="shared" si="78"/>
        <v>393.33749999999998</v>
      </c>
      <c r="P497" s="246">
        <f t="shared" si="78"/>
        <v>5.6325000000000003</v>
      </c>
      <c r="Q497" s="159">
        <v>4200</v>
      </c>
      <c r="R497" s="159">
        <v>1161</v>
      </c>
      <c r="S497" s="363">
        <f t="shared" si="72"/>
        <v>0</v>
      </c>
      <c r="T497" s="271">
        <v>0.39696109188288287</v>
      </c>
    </row>
    <row r="498" spans="1:20" x14ac:dyDescent="0.2">
      <c r="A498" s="147">
        <f t="shared" si="80"/>
        <v>2042</v>
      </c>
      <c r="B498" s="147">
        <v>5</v>
      </c>
      <c r="D498" s="310">
        <f t="shared" si="81"/>
        <v>18.524739425734207</v>
      </c>
      <c r="E498" s="258">
        <f t="shared" si="77"/>
        <v>18.66051546965182</v>
      </c>
      <c r="F498" s="258">
        <f t="shared" si="77"/>
        <v>17.281589147982281</v>
      </c>
      <c r="G498" s="166">
        <f t="shared" si="76"/>
        <v>30.05</v>
      </c>
      <c r="H498" s="310">
        <f t="shared" si="82"/>
        <v>141.24350400457664</v>
      </c>
      <c r="I498" s="181">
        <f t="shared" si="69"/>
        <v>141.24350400457664</v>
      </c>
      <c r="J498" s="181">
        <f t="shared" si="70"/>
        <v>56.068175571021079</v>
      </c>
      <c r="K498" s="310">
        <f t="shared" si="83"/>
        <v>24005.053827304066</v>
      </c>
      <c r="L498" s="231"/>
      <c r="M498" s="307">
        <f t="shared" si="79"/>
        <v>26634.337906558056</v>
      </c>
      <c r="N498" s="181">
        <f t="shared" si="71"/>
        <v>26634.337906558056</v>
      </c>
      <c r="O498" s="246">
        <f t="shared" si="78"/>
        <v>170.59</v>
      </c>
      <c r="P498" s="246">
        <f t="shared" si="78"/>
        <v>35.347500000000004</v>
      </c>
      <c r="Q498" s="159">
        <v>4200</v>
      </c>
      <c r="R498" s="159">
        <v>1161</v>
      </c>
      <c r="S498" s="363">
        <f t="shared" si="72"/>
        <v>0</v>
      </c>
      <c r="T498" s="271">
        <v>0.39696109188288287</v>
      </c>
    </row>
    <row r="499" spans="1:20" x14ac:dyDescent="0.2">
      <c r="A499" s="147">
        <f t="shared" si="80"/>
        <v>2042</v>
      </c>
      <c r="B499" s="147">
        <v>6</v>
      </c>
      <c r="D499" s="310">
        <f t="shared" si="81"/>
        <v>18.524739425734207</v>
      </c>
      <c r="E499" s="258">
        <f t="shared" ref="E499:F514" si="84">E487*(1+0.02)</f>
        <v>18.66051546965182</v>
      </c>
      <c r="F499" s="258">
        <f t="shared" si="84"/>
        <v>17.281589147982281</v>
      </c>
      <c r="G499" s="166">
        <f t="shared" si="76"/>
        <v>30.67</v>
      </c>
      <c r="H499" s="310">
        <f t="shared" si="82"/>
        <v>141.24350400457664</v>
      </c>
      <c r="I499" s="181">
        <f t="shared" si="69"/>
        <v>141.24350400457664</v>
      </c>
      <c r="J499" s="181">
        <f t="shared" si="70"/>
        <v>56.068175571021079</v>
      </c>
      <c r="K499" s="310">
        <f t="shared" si="83"/>
        <v>24002.053834011793</v>
      </c>
      <c r="L499" s="231"/>
      <c r="M499" s="307">
        <f t="shared" si="79"/>
        <v>26634.337906558056</v>
      </c>
      <c r="N499" s="181">
        <f t="shared" si="71"/>
        <v>26634.337906558056</v>
      </c>
      <c r="O499" s="246">
        <f t="shared" si="78"/>
        <v>42.912500000000001</v>
      </c>
      <c r="P499" s="246">
        <f t="shared" si="78"/>
        <v>148.8475</v>
      </c>
      <c r="Q499" s="159">
        <v>4200</v>
      </c>
      <c r="R499" s="159">
        <v>1161</v>
      </c>
      <c r="S499" s="363">
        <f t="shared" si="72"/>
        <v>0</v>
      </c>
      <c r="T499" s="271">
        <v>0.39696109188288287</v>
      </c>
    </row>
    <row r="500" spans="1:20" x14ac:dyDescent="0.2">
      <c r="A500" s="147">
        <f t="shared" si="80"/>
        <v>2042</v>
      </c>
      <c r="B500" s="147">
        <v>7</v>
      </c>
      <c r="D500" s="310">
        <f t="shared" si="81"/>
        <v>18.524739425734207</v>
      </c>
      <c r="E500" s="258">
        <f t="shared" si="84"/>
        <v>18.66051546965182</v>
      </c>
      <c r="F500" s="258">
        <f t="shared" si="84"/>
        <v>17.281589147982281</v>
      </c>
      <c r="G500" s="166">
        <f t="shared" si="76"/>
        <v>30.62</v>
      </c>
      <c r="H500" s="310">
        <f t="shared" si="82"/>
        <v>141.24350400457664</v>
      </c>
      <c r="I500" s="181">
        <f t="shared" si="69"/>
        <v>141.24350400457664</v>
      </c>
      <c r="J500" s="181">
        <f t="shared" si="70"/>
        <v>56.08320399254012</v>
      </c>
      <c r="K500" s="310">
        <f t="shared" si="83"/>
        <v>23999.053840721197</v>
      </c>
      <c r="L500" s="231"/>
      <c r="M500" s="307">
        <f t="shared" si="79"/>
        <v>26634.337906558056</v>
      </c>
      <c r="N500" s="181">
        <f t="shared" si="71"/>
        <v>26634.337906558056</v>
      </c>
      <c r="O500" s="246">
        <f t="shared" si="78"/>
        <v>1.375</v>
      </c>
      <c r="P500" s="246">
        <f t="shared" si="78"/>
        <v>291.78750000000002</v>
      </c>
      <c r="Q500" s="159">
        <v>4200</v>
      </c>
      <c r="R500" s="159">
        <v>1161</v>
      </c>
      <c r="S500" s="363">
        <f t="shared" si="72"/>
        <v>0</v>
      </c>
      <c r="T500" s="271">
        <v>0.39706749268074576</v>
      </c>
    </row>
    <row r="501" spans="1:20" x14ac:dyDescent="0.2">
      <c r="A501" s="147">
        <f t="shared" si="80"/>
        <v>2042</v>
      </c>
      <c r="B501" s="147">
        <v>8</v>
      </c>
      <c r="D501" s="310">
        <f t="shared" si="81"/>
        <v>18.524739425734207</v>
      </c>
      <c r="E501" s="258">
        <f t="shared" si="84"/>
        <v>18.66051546965182</v>
      </c>
      <c r="F501" s="258">
        <f t="shared" si="84"/>
        <v>17.281589147982281</v>
      </c>
      <c r="G501" s="166">
        <f t="shared" si="76"/>
        <v>29.52</v>
      </c>
      <c r="H501" s="310">
        <f t="shared" si="82"/>
        <v>141.24350400457664</v>
      </c>
      <c r="I501" s="181">
        <f t="shared" si="69"/>
        <v>141.24350400457664</v>
      </c>
      <c r="J501" s="181">
        <f t="shared" si="70"/>
        <v>56.08320399254012</v>
      </c>
      <c r="K501" s="310">
        <f t="shared" si="83"/>
        <v>23996.053847432275</v>
      </c>
      <c r="L501" s="231"/>
      <c r="M501" s="307">
        <f t="shared" si="79"/>
        <v>26634.337906558056</v>
      </c>
      <c r="N501" s="181">
        <f t="shared" si="71"/>
        <v>26634.337906558056</v>
      </c>
      <c r="O501" s="246">
        <f t="shared" si="78"/>
        <v>0.35</v>
      </c>
      <c r="P501" s="246">
        <f t="shared" si="78"/>
        <v>311.80250000000001</v>
      </c>
      <c r="Q501" s="159">
        <v>4200</v>
      </c>
      <c r="R501" s="159">
        <v>1161</v>
      </c>
      <c r="S501" s="363">
        <f t="shared" si="72"/>
        <v>0</v>
      </c>
      <c r="T501" s="271">
        <v>0.39706749268074576</v>
      </c>
    </row>
    <row r="502" spans="1:20" x14ac:dyDescent="0.2">
      <c r="A502" s="147">
        <f t="shared" si="80"/>
        <v>2042</v>
      </c>
      <c r="B502" s="147">
        <v>9</v>
      </c>
      <c r="D502" s="310">
        <f t="shared" si="81"/>
        <v>18.524739425734207</v>
      </c>
      <c r="E502" s="258">
        <f t="shared" si="84"/>
        <v>18.66051546965182</v>
      </c>
      <c r="F502" s="258">
        <f t="shared" si="84"/>
        <v>17.281589147982281</v>
      </c>
      <c r="G502" s="166">
        <f t="shared" si="76"/>
        <v>30.71</v>
      </c>
      <c r="H502" s="310">
        <f t="shared" si="82"/>
        <v>141.24350400457664</v>
      </c>
      <c r="I502" s="181">
        <f t="shared" si="69"/>
        <v>141.24350400457664</v>
      </c>
      <c r="J502" s="181">
        <f t="shared" si="70"/>
        <v>56.08320399254012</v>
      </c>
      <c r="K502" s="310">
        <f t="shared" si="83"/>
        <v>23993.053854145026</v>
      </c>
      <c r="L502" s="231"/>
      <c r="M502" s="307">
        <f t="shared" si="79"/>
        <v>26634.337906558056</v>
      </c>
      <c r="N502" s="181">
        <f t="shared" si="71"/>
        <v>26634.337906558056</v>
      </c>
      <c r="O502" s="246">
        <f t="shared" si="78"/>
        <v>8.2974999999999994</v>
      </c>
      <c r="P502" s="246">
        <f t="shared" si="78"/>
        <v>230.68249999999998</v>
      </c>
      <c r="Q502" s="159">
        <v>4200</v>
      </c>
      <c r="R502" s="159">
        <v>1161</v>
      </c>
      <c r="S502" s="363">
        <f t="shared" si="72"/>
        <v>0</v>
      </c>
      <c r="T502" s="271">
        <v>0.39706749268074576</v>
      </c>
    </row>
    <row r="503" spans="1:20" x14ac:dyDescent="0.2">
      <c r="A503" s="147">
        <f>A491+1</f>
        <v>2042</v>
      </c>
      <c r="B503" s="147">
        <v>10</v>
      </c>
      <c r="D503" s="310">
        <f t="shared" si="81"/>
        <v>18.524739425734207</v>
      </c>
      <c r="E503" s="258">
        <f t="shared" si="84"/>
        <v>18.66051546965182</v>
      </c>
      <c r="F503" s="258">
        <f t="shared" si="84"/>
        <v>17.281589147982281</v>
      </c>
      <c r="G503" s="166">
        <f t="shared" si="76"/>
        <v>29.52</v>
      </c>
      <c r="H503" s="310">
        <f t="shared" si="82"/>
        <v>141.24350400457664</v>
      </c>
      <c r="I503" s="181">
        <f t="shared" si="69"/>
        <v>141.24350400457664</v>
      </c>
      <c r="J503" s="181">
        <f t="shared" si="70"/>
        <v>56.098236577903634</v>
      </c>
      <c r="K503" s="310">
        <f t="shared" si="83"/>
        <v>23990.053860859447</v>
      </c>
      <c r="L503" s="231"/>
      <c r="M503" s="307">
        <f t="shared" si="79"/>
        <v>26634.337906558056</v>
      </c>
      <c r="N503" s="181">
        <f t="shared" si="71"/>
        <v>26634.337906558056</v>
      </c>
      <c r="O503" s="246">
        <f t="shared" si="78"/>
        <v>129.8125</v>
      </c>
      <c r="P503" s="246">
        <f t="shared" si="78"/>
        <v>57.779999999999994</v>
      </c>
      <c r="Q503" s="159">
        <v>4200</v>
      </c>
      <c r="R503" s="159">
        <v>1161</v>
      </c>
      <c r="S503" s="363">
        <f t="shared" si="72"/>
        <v>0</v>
      </c>
      <c r="T503" s="271">
        <v>0.3971739229585094</v>
      </c>
    </row>
    <row r="504" spans="1:20" x14ac:dyDescent="0.2">
      <c r="A504" s="147">
        <f t="shared" si="80"/>
        <v>2042</v>
      </c>
      <c r="B504" s="147">
        <v>11</v>
      </c>
      <c r="D504" s="310">
        <f t="shared" si="81"/>
        <v>18.524739425734207</v>
      </c>
      <c r="E504" s="258">
        <f t="shared" si="84"/>
        <v>18.66051546965182</v>
      </c>
      <c r="F504" s="258">
        <f t="shared" si="84"/>
        <v>17.281589147982281</v>
      </c>
      <c r="G504" s="166">
        <f t="shared" si="76"/>
        <v>29.38</v>
      </c>
      <c r="H504" s="310">
        <f t="shared" si="82"/>
        <v>141.24350400457664</v>
      </c>
      <c r="I504" s="181">
        <f t="shared" si="69"/>
        <v>141.24350400457664</v>
      </c>
      <c r="J504" s="181">
        <f t="shared" si="70"/>
        <v>56.098236577903634</v>
      </c>
      <c r="K504" s="310">
        <f t="shared" si="83"/>
        <v>23987.053867575542</v>
      </c>
      <c r="L504" s="231"/>
      <c r="M504" s="307">
        <f t="shared" si="79"/>
        <v>26634.337906558056</v>
      </c>
      <c r="N504" s="181">
        <f t="shared" si="71"/>
        <v>26634.337906558056</v>
      </c>
      <c r="O504" s="246">
        <f t="shared" si="78"/>
        <v>387.90500000000003</v>
      </c>
      <c r="P504" s="246">
        <f t="shared" si="78"/>
        <v>3.9299999999999997</v>
      </c>
      <c r="Q504" s="159">
        <v>4200</v>
      </c>
      <c r="R504" s="159">
        <v>1161</v>
      </c>
      <c r="S504" s="363">
        <f t="shared" si="72"/>
        <v>0</v>
      </c>
      <c r="T504" s="271">
        <v>0.3971739229585094</v>
      </c>
    </row>
    <row r="505" spans="1:20" x14ac:dyDescent="0.2">
      <c r="A505" s="147">
        <f t="shared" si="80"/>
        <v>2042</v>
      </c>
      <c r="B505" s="147">
        <v>12</v>
      </c>
      <c r="D505" s="310">
        <f t="shared" si="81"/>
        <v>18.524739425734207</v>
      </c>
      <c r="E505" s="258">
        <f t="shared" si="84"/>
        <v>18.66051546965182</v>
      </c>
      <c r="F505" s="258">
        <f t="shared" si="84"/>
        <v>17.281589147982281</v>
      </c>
      <c r="G505" s="166">
        <f t="shared" si="76"/>
        <v>32.81</v>
      </c>
      <c r="H505" s="310">
        <f t="shared" si="82"/>
        <v>141.24350400457664</v>
      </c>
      <c r="I505" s="181">
        <f t="shared" si="69"/>
        <v>141.24350400457664</v>
      </c>
      <c r="J505" s="181">
        <f t="shared" si="70"/>
        <v>56.098236577903634</v>
      </c>
      <c r="K505" s="310">
        <f t="shared" si="83"/>
        <v>23984.053874293317</v>
      </c>
      <c r="L505" s="231"/>
      <c r="M505" s="307">
        <f t="shared" si="79"/>
        <v>26634.337906558056</v>
      </c>
      <c r="N505" s="181">
        <f t="shared" si="71"/>
        <v>26634.337906558056</v>
      </c>
      <c r="O505" s="246">
        <f t="shared" si="78"/>
        <v>681.89</v>
      </c>
      <c r="P505" s="246">
        <f t="shared" si="78"/>
        <v>0.1</v>
      </c>
      <c r="Q505" s="159">
        <v>4200</v>
      </c>
      <c r="R505" s="159">
        <v>1161</v>
      </c>
      <c r="S505" s="363">
        <f t="shared" si="72"/>
        <v>0</v>
      </c>
      <c r="T505" s="271">
        <v>0.3971739229585094</v>
      </c>
    </row>
    <row r="506" spans="1:20" x14ac:dyDescent="0.2">
      <c r="A506" s="147">
        <f t="shared" si="80"/>
        <v>2043</v>
      </c>
      <c r="B506" s="147">
        <f>B494</f>
        <v>1</v>
      </c>
      <c r="F506" s="258">
        <f t="shared" si="84"/>
        <v>17.627220930941927</v>
      </c>
      <c r="G506" s="166">
        <f t="shared" si="76"/>
        <v>32.43</v>
      </c>
      <c r="H506" s="310">
        <f t="shared" si="82"/>
        <v>141.95052955379862</v>
      </c>
      <c r="I506" s="181">
        <f t="shared" si="69"/>
        <v>141.95052955379862</v>
      </c>
      <c r="J506" s="181">
        <f t="shared" si="70"/>
        <v>56.379048688920022</v>
      </c>
      <c r="K506" s="310">
        <f t="shared" si="83"/>
        <v>23981.161321066978</v>
      </c>
      <c r="L506" s="231"/>
      <c r="M506" s="307">
        <f t="shared" si="79"/>
        <v>27273.562016315449</v>
      </c>
      <c r="N506" s="181">
        <f t="shared" si="71"/>
        <v>27273.562016315449</v>
      </c>
      <c r="O506" s="246">
        <f t="shared" ref="O506:P517" si="85">O494</f>
        <v>918.70499999999993</v>
      </c>
      <c r="P506" s="246">
        <f t="shared" si="85"/>
        <v>0</v>
      </c>
      <c r="Q506" s="159">
        <v>4200</v>
      </c>
      <c r="R506" s="159">
        <v>1161</v>
      </c>
      <c r="S506" s="363">
        <f t="shared" si="72"/>
        <v>0</v>
      </c>
      <c r="T506" s="271">
        <v>0.3971739229585094</v>
      </c>
    </row>
    <row r="507" spans="1:20" x14ac:dyDescent="0.2">
      <c r="A507" s="147">
        <f t="shared" si="80"/>
        <v>2043</v>
      </c>
      <c r="B507" s="147">
        <f t="shared" ref="B507:B517" si="86">B495</f>
        <v>2</v>
      </c>
      <c r="F507" s="258">
        <f t="shared" si="84"/>
        <v>17.627220930941927</v>
      </c>
      <c r="G507" s="166">
        <f t="shared" si="76"/>
        <v>29.9</v>
      </c>
      <c r="H507" s="310">
        <f t="shared" si="82"/>
        <v>141.95052955379862</v>
      </c>
      <c r="I507" s="181">
        <f t="shared" si="69"/>
        <v>141.95052955379862</v>
      </c>
      <c r="J507" s="181">
        <f t="shared" si="70"/>
        <v>56.379048688920022</v>
      </c>
      <c r="K507" s="310">
        <f t="shared" si="83"/>
        <v>23978.161341150095</v>
      </c>
      <c r="L507" s="231"/>
      <c r="M507" s="307">
        <f t="shared" si="79"/>
        <v>27273.562016315449</v>
      </c>
      <c r="N507" s="181">
        <f t="shared" si="71"/>
        <v>27273.562016315449</v>
      </c>
      <c r="O507" s="246">
        <f t="shared" si="85"/>
        <v>796.85749999999996</v>
      </c>
      <c r="P507" s="246">
        <f t="shared" si="85"/>
        <v>0</v>
      </c>
      <c r="Q507" s="159">
        <v>4200</v>
      </c>
      <c r="R507" s="159">
        <v>1161</v>
      </c>
      <c r="S507" s="363">
        <f t="shared" si="72"/>
        <v>0</v>
      </c>
      <c r="T507" s="271">
        <v>0.3971739229585094</v>
      </c>
    </row>
    <row r="508" spans="1:20" x14ac:dyDescent="0.2">
      <c r="A508" s="147">
        <f t="shared" si="80"/>
        <v>2043</v>
      </c>
      <c r="B508" s="147">
        <f t="shared" si="86"/>
        <v>3</v>
      </c>
      <c r="F508" s="258">
        <f t="shared" si="84"/>
        <v>17.627220930941927</v>
      </c>
      <c r="G508" s="166">
        <f t="shared" si="76"/>
        <v>30.33</v>
      </c>
      <c r="H508" s="310">
        <f t="shared" si="82"/>
        <v>141.95052955379862</v>
      </c>
      <c r="I508" s="181">
        <f t="shared" si="69"/>
        <v>141.95052955379862</v>
      </c>
      <c r="J508" s="181">
        <f t="shared" si="70"/>
        <v>56.379048688920022</v>
      </c>
      <c r="K508" s="310">
        <f t="shared" si="83"/>
        <v>23975.16136123821</v>
      </c>
      <c r="L508" s="231"/>
      <c r="M508" s="307">
        <f t="shared" si="79"/>
        <v>27273.562016315449</v>
      </c>
      <c r="N508" s="181">
        <f t="shared" si="71"/>
        <v>27273.562016315449</v>
      </c>
      <c r="O508" s="246">
        <f t="shared" si="85"/>
        <v>645</v>
      </c>
      <c r="P508" s="246">
        <f t="shared" si="85"/>
        <v>0.32500000000000001</v>
      </c>
      <c r="Q508" s="159">
        <v>4200</v>
      </c>
      <c r="R508" s="159">
        <v>1161</v>
      </c>
      <c r="S508" s="363">
        <f t="shared" si="72"/>
        <v>0</v>
      </c>
      <c r="T508" s="271">
        <v>0.3971739229585094</v>
      </c>
    </row>
    <row r="509" spans="1:20" x14ac:dyDescent="0.2">
      <c r="A509" s="147">
        <f t="shared" si="80"/>
        <v>2043</v>
      </c>
      <c r="B509" s="147">
        <f t="shared" si="86"/>
        <v>4</v>
      </c>
      <c r="F509" s="258">
        <f t="shared" si="84"/>
        <v>17.627220930941927</v>
      </c>
      <c r="G509" s="166">
        <f t="shared" si="76"/>
        <v>30.29</v>
      </c>
      <c r="H509" s="310">
        <f t="shared" si="82"/>
        <v>141.95052955379862</v>
      </c>
      <c r="I509" s="181">
        <f t="shared" si="69"/>
        <v>141.95052955379862</v>
      </c>
      <c r="J509" s="181">
        <f t="shared" si="70"/>
        <v>56.379048688920022</v>
      </c>
      <c r="K509" s="310">
        <f t="shared" si="83"/>
        <v>23972.161381331331</v>
      </c>
      <c r="L509" s="231"/>
      <c r="M509" s="307">
        <f t="shared" si="79"/>
        <v>27273.562016315449</v>
      </c>
      <c r="N509" s="181">
        <f t="shared" si="71"/>
        <v>27273.562016315449</v>
      </c>
      <c r="O509" s="246">
        <f t="shared" si="85"/>
        <v>393.33749999999998</v>
      </c>
      <c r="P509" s="246">
        <f t="shared" si="85"/>
        <v>5.6325000000000003</v>
      </c>
      <c r="Q509" s="159">
        <v>4200</v>
      </c>
      <c r="R509" s="159">
        <v>1161</v>
      </c>
      <c r="S509" s="363">
        <f t="shared" si="72"/>
        <v>0</v>
      </c>
      <c r="T509" s="271">
        <v>0.3971739229585094</v>
      </c>
    </row>
    <row r="510" spans="1:20" x14ac:dyDescent="0.2">
      <c r="A510" s="147">
        <f t="shared" si="80"/>
        <v>2043</v>
      </c>
      <c r="B510" s="147">
        <f t="shared" si="86"/>
        <v>5</v>
      </c>
      <c r="F510" s="258">
        <f t="shared" si="84"/>
        <v>17.627220930941927</v>
      </c>
      <c r="G510" s="166">
        <f t="shared" si="76"/>
        <v>30.05</v>
      </c>
      <c r="H510" s="310">
        <f t="shared" si="82"/>
        <v>141.95052955379862</v>
      </c>
      <c r="I510" s="181">
        <f t="shared" si="69"/>
        <v>141.95052955379862</v>
      </c>
      <c r="J510" s="181">
        <f t="shared" si="70"/>
        <v>56.379048688920022</v>
      </c>
      <c r="K510" s="310">
        <f t="shared" si="83"/>
        <v>23969.161401429457</v>
      </c>
      <c r="L510" s="231"/>
      <c r="M510" s="307">
        <f t="shared" si="79"/>
        <v>27273.562016315449</v>
      </c>
      <c r="N510" s="181">
        <f t="shared" si="71"/>
        <v>27273.562016315449</v>
      </c>
      <c r="O510" s="246">
        <f t="shared" si="85"/>
        <v>170.59</v>
      </c>
      <c r="P510" s="246">
        <f t="shared" si="85"/>
        <v>35.347500000000004</v>
      </c>
      <c r="Q510" s="159">
        <v>4200</v>
      </c>
      <c r="R510" s="159">
        <v>1161</v>
      </c>
      <c r="S510" s="363">
        <f t="shared" si="72"/>
        <v>0</v>
      </c>
      <c r="T510" s="271">
        <v>0.3971739229585094</v>
      </c>
    </row>
    <row r="511" spans="1:20" x14ac:dyDescent="0.2">
      <c r="A511" s="147">
        <f t="shared" si="80"/>
        <v>2043</v>
      </c>
      <c r="B511" s="147">
        <f t="shared" si="86"/>
        <v>6</v>
      </c>
      <c r="F511" s="258">
        <f t="shared" si="84"/>
        <v>17.627220930941927</v>
      </c>
      <c r="G511" s="166">
        <f t="shared" si="76"/>
        <v>30.67</v>
      </c>
      <c r="H511" s="310">
        <f t="shared" si="82"/>
        <v>141.95052955379862</v>
      </c>
      <c r="I511" s="181">
        <f t="shared" si="69"/>
        <v>141.95052955379862</v>
      </c>
      <c r="J511" s="181">
        <f t="shared" si="70"/>
        <v>56.379048688920022</v>
      </c>
      <c r="K511" s="310">
        <f t="shared" si="83"/>
        <v>23966.161421532583</v>
      </c>
      <c r="L511" s="231"/>
      <c r="M511" s="307">
        <f t="shared" si="79"/>
        <v>27273.562016315449</v>
      </c>
      <c r="N511" s="181">
        <f t="shared" si="71"/>
        <v>27273.562016315449</v>
      </c>
      <c r="O511" s="246">
        <f t="shared" si="85"/>
        <v>42.912500000000001</v>
      </c>
      <c r="P511" s="246">
        <f t="shared" si="85"/>
        <v>148.8475</v>
      </c>
      <c r="Q511" s="159">
        <v>4200</v>
      </c>
      <c r="R511" s="159">
        <v>1161</v>
      </c>
      <c r="S511" s="363">
        <f t="shared" si="72"/>
        <v>0</v>
      </c>
      <c r="T511" s="271">
        <v>0.3971739229585094</v>
      </c>
    </row>
    <row r="512" spans="1:20" x14ac:dyDescent="0.2">
      <c r="A512" s="147">
        <f t="shared" si="80"/>
        <v>2043</v>
      </c>
      <c r="B512" s="147">
        <f t="shared" si="86"/>
        <v>7</v>
      </c>
      <c r="F512" s="258">
        <f t="shared" si="84"/>
        <v>17.627220930941927</v>
      </c>
      <c r="G512" s="166">
        <f t="shared" si="76"/>
        <v>30.62</v>
      </c>
      <c r="H512" s="310">
        <f t="shared" si="82"/>
        <v>141.95052955379862</v>
      </c>
      <c r="I512" s="181">
        <f t="shared" si="69"/>
        <v>141.95052955379862</v>
      </c>
      <c r="J512" s="181">
        <f t="shared" si="70"/>
        <v>56.379048688920022</v>
      </c>
      <c r="K512" s="310">
        <f t="shared" si="83"/>
        <v>23963.161441640725</v>
      </c>
      <c r="L512" s="231"/>
      <c r="M512" s="307">
        <f t="shared" si="79"/>
        <v>27273.562016315449</v>
      </c>
      <c r="N512" s="181">
        <f t="shared" si="71"/>
        <v>27273.562016315449</v>
      </c>
      <c r="O512" s="246">
        <f t="shared" si="85"/>
        <v>1.375</v>
      </c>
      <c r="P512" s="246">
        <f t="shared" si="85"/>
        <v>291.78750000000002</v>
      </c>
      <c r="Q512" s="159">
        <v>4200</v>
      </c>
      <c r="R512" s="159">
        <v>1161</v>
      </c>
      <c r="S512" s="363">
        <f t="shared" si="72"/>
        <v>0</v>
      </c>
      <c r="T512" s="271">
        <v>0.3971739229585094</v>
      </c>
    </row>
    <row r="513" spans="1:20" x14ac:dyDescent="0.2">
      <c r="A513" s="147">
        <f t="shared" si="80"/>
        <v>2043</v>
      </c>
      <c r="B513" s="147">
        <f t="shared" si="86"/>
        <v>8</v>
      </c>
      <c r="F513" s="258">
        <f t="shared" si="84"/>
        <v>17.627220930941927</v>
      </c>
      <c r="G513" s="166">
        <f t="shared" si="76"/>
        <v>29.52</v>
      </c>
      <c r="H513" s="310">
        <f t="shared" si="82"/>
        <v>141.95052955379862</v>
      </c>
      <c r="I513" s="181">
        <f t="shared" si="69"/>
        <v>141.95052955379862</v>
      </c>
      <c r="J513" s="181">
        <f t="shared" si="70"/>
        <v>56.379048688920022</v>
      </c>
      <c r="K513" s="310">
        <f t="shared" si="83"/>
        <v>23960.161461753883</v>
      </c>
      <c r="L513" s="231"/>
      <c r="M513" s="307">
        <f t="shared" si="79"/>
        <v>27273.562016315449</v>
      </c>
      <c r="N513" s="181">
        <f t="shared" si="71"/>
        <v>27273.562016315449</v>
      </c>
      <c r="O513" s="246">
        <f t="shared" si="85"/>
        <v>0.35</v>
      </c>
      <c r="P513" s="246">
        <f t="shared" si="85"/>
        <v>311.80250000000001</v>
      </c>
      <c r="Q513" s="159">
        <v>4200</v>
      </c>
      <c r="R513" s="159">
        <v>1161</v>
      </c>
      <c r="S513" s="363">
        <f t="shared" si="72"/>
        <v>0</v>
      </c>
      <c r="T513" s="271">
        <v>0.3971739229585094</v>
      </c>
    </row>
    <row r="514" spans="1:20" x14ac:dyDescent="0.2">
      <c r="A514" s="147">
        <f t="shared" si="80"/>
        <v>2043</v>
      </c>
      <c r="B514" s="147">
        <f t="shared" si="86"/>
        <v>9</v>
      </c>
      <c r="F514" s="258">
        <f t="shared" si="84"/>
        <v>17.627220930941927</v>
      </c>
      <c r="G514" s="166">
        <f t="shared" si="76"/>
        <v>30.71</v>
      </c>
      <c r="H514" s="310">
        <f t="shared" si="82"/>
        <v>141.95052955379862</v>
      </c>
      <c r="I514" s="181">
        <f t="shared" si="69"/>
        <v>141.95052955379862</v>
      </c>
      <c r="J514" s="181">
        <f t="shared" si="70"/>
        <v>56.379048688920022</v>
      </c>
      <c r="K514" s="310">
        <f t="shared" si="83"/>
        <v>23957.161481872052</v>
      </c>
      <c r="L514" s="231"/>
      <c r="M514" s="307">
        <f t="shared" si="79"/>
        <v>27273.562016315449</v>
      </c>
      <c r="N514" s="181">
        <f t="shared" si="71"/>
        <v>27273.562016315449</v>
      </c>
      <c r="O514" s="246">
        <f t="shared" si="85"/>
        <v>8.2974999999999994</v>
      </c>
      <c r="P514" s="246">
        <f t="shared" si="85"/>
        <v>230.68249999999998</v>
      </c>
      <c r="Q514" s="159">
        <v>4200</v>
      </c>
      <c r="R514" s="159">
        <v>1161</v>
      </c>
      <c r="S514" s="363">
        <f t="shared" si="72"/>
        <v>0</v>
      </c>
      <c r="T514" s="271">
        <v>0.3971739229585094</v>
      </c>
    </row>
    <row r="515" spans="1:20" x14ac:dyDescent="0.2">
      <c r="A515" s="147">
        <f t="shared" si="80"/>
        <v>2043</v>
      </c>
      <c r="B515" s="147">
        <f t="shared" si="86"/>
        <v>10</v>
      </c>
      <c r="F515" s="258">
        <f t="shared" ref="F515:F517" si="87">F503*(1+0.02)</f>
        <v>17.627220930941927</v>
      </c>
      <c r="G515" s="166">
        <f t="shared" si="76"/>
        <v>29.52</v>
      </c>
      <c r="H515" s="310">
        <f t="shared" si="82"/>
        <v>141.95052955379862</v>
      </c>
      <c r="I515" s="181">
        <f t="shared" ref="I515:I517" si="88">H515</f>
        <v>141.95052955379862</v>
      </c>
      <c r="J515" s="181">
        <f t="shared" ref="J515:J517" si="89">H515*T515</f>
        <v>56.379048688920022</v>
      </c>
      <c r="K515" s="310">
        <f t="shared" si="83"/>
        <v>23954.161501995226</v>
      </c>
      <c r="L515" s="231"/>
      <c r="M515" s="307">
        <f t="shared" si="79"/>
        <v>27273.562016315449</v>
      </c>
      <c r="N515" s="181">
        <f t="shared" ref="N515:N517" si="90">M515</f>
        <v>27273.562016315449</v>
      </c>
      <c r="O515" s="246">
        <f t="shared" si="85"/>
        <v>129.8125</v>
      </c>
      <c r="P515" s="246">
        <f t="shared" si="85"/>
        <v>57.779999999999994</v>
      </c>
      <c r="Q515" s="159">
        <v>4200</v>
      </c>
      <c r="R515" s="159">
        <v>1161</v>
      </c>
      <c r="S515" s="363">
        <f t="shared" ref="S515:S517" si="91">C515/K515*1000</f>
        <v>0</v>
      </c>
      <c r="T515" s="271">
        <v>0.3971739229585094</v>
      </c>
    </row>
    <row r="516" spans="1:20" x14ac:dyDescent="0.2">
      <c r="A516" s="147">
        <f t="shared" si="80"/>
        <v>2043</v>
      </c>
      <c r="B516" s="147">
        <f t="shared" si="86"/>
        <v>11</v>
      </c>
      <c r="F516" s="258">
        <f t="shared" si="87"/>
        <v>17.627220930941927</v>
      </c>
      <c r="G516" s="166">
        <f t="shared" si="76"/>
        <v>29.38</v>
      </c>
      <c r="H516" s="310">
        <f t="shared" si="82"/>
        <v>141.95052955379862</v>
      </c>
      <c r="I516" s="181">
        <f t="shared" si="88"/>
        <v>141.95052955379862</v>
      </c>
      <c r="J516" s="181">
        <f t="shared" si="89"/>
        <v>56.379048688920022</v>
      </c>
      <c r="K516" s="310">
        <f t="shared" si="83"/>
        <v>23951.161522123413</v>
      </c>
      <c r="L516" s="231"/>
      <c r="M516" s="307">
        <f t="shared" si="79"/>
        <v>27273.562016315449</v>
      </c>
      <c r="N516" s="181">
        <f t="shared" si="90"/>
        <v>27273.562016315449</v>
      </c>
      <c r="O516" s="246">
        <f t="shared" si="85"/>
        <v>387.90500000000003</v>
      </c>
      <c r="P516" s="246">
        <f t="shared" si="85"/>
        <v>3.9299999999999997</v>
      </c>
      <c r="Q516" s="159">
        <v>4200</v>
      </c>
      <c r="R516" s="159">
        <v>1161</v>
      </c>
      <c r="S516" s="297">
        <f t="shared" si="91"/>
        <v>0</v>
      </c>
      <c r="T516" s="271">
        <v>0.3971739229585094</v>
      </c>
    </row>
    <row r="517" spans="1:20" x14ac:dyDescent="0.2">
      <c r="A517" s="147">
        <f t="shared" si="80"/>
        <v>2043</v>
      </c>
      <c r="B517" s="147">
        <f t="shared" si="86"/>
        <v>12</v>
      </c>
      <c r="F517" s="258">
        <f t="shared" si="87"/>
        <v>17.627220930941927</v>
      </c>
      <c r="G517" s="166">
        <f t="shared" si="76"/>
        <v>32.81</v>
      </c>
      <c r="H517" s="310">
        <f t="shared" si="82"/>
        <v>141.95052955379862</v>
      </c>
      <c r="I517" s="181">
        <f t="shared" si="88"/>
        <v>141.95052955379862</v>
      </c>
      <c r="J517" s="181">
        <f t="shared" si="89"/>
        <v>56.379048688920022</v>
      </c>
      <c r="K517" s="310">
        <f t="shared" si="83"/>
        <v>23948.161542256628</v>
      </c>
      <c r="L517" s="231"/>
      <c r="M517" s="307">
        <f t="shared" si="79"/>
        <v>27273.562016315449</v>
      </c>
      <c r="N517" s="181">
        <f t="shared" si="90"/>
        <v>27273.562016315449</v>
      </c>
      <c r="O517" s="246">
        <f t="shared" si="85"/>
        <v>681.89</v>
      </c>
      <c r="P517" s="246">
        <f t="shared" si="85"/>
        <v>0.1</v>
      </c>
      <c r="Q517" s="159">
        <v>4200</v>
      </c>
      <c r="R517" s="159">
        <v>1161</v>
      </c>
      <c r="S517" s="297">
        <f t="shared" si="91"/>
        <v>0</v>
      </c>
      <c r="T517" s="271">
        <v>0.3971739229585094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tabSelected="1" workbookViewId="0">
      <pane ySplit="1" topLeftCell="A9" activePane="bottomLeft" state="frozenSplit"/>
      <selection pane="bottomLeft"/>
    </sheetView>
  </sheetViews>
  <sheetFormatPr defaultColWidth="9.140625" defaultRowHeight="12.75" x14ac:dyDescent="0.2"/>
  <cols>
    <col min="1" max="1" width="5.85546875" style="170" bestFit="1" customWidth="1"/>
    <col min="2" max="2" width="9.140625" style="151"/>
    <col min="3" max="3" width="7.85546875" style="170" bestFit="1" customWidth="1"/>
    <col min="4" max="4" width="9.140625" style="170"/>
    <col min="5" max="5" width="7.85546875" style="170" bestFit="1" customWidth="1"/>
    <col min="6" max="6" width="9.28515625" style="170" bestFit="1" customWidth="1"/>
    <col min="7" max="7" width="7.85546875" style="170" bestFit="1" customWidth="1"/>
    <col min="8" max="8" width="10.85546875" style="170" bestFit="1" customWidth="1"/>
    <col min="9" max="9" width="7.85546875" style="170" bestFit="1" customWidth="1"/>
    <col min="10" max="10" width="7.7109375" style="170" bestFit="1" customWidth="1"/>
    <col min="11" max="11" width="7.85546875" style="170" bestFit="1" customWidth="1"/>
    <col min="12" max="12" width="9.140625" style="170"/>
    <col min="13" max="13" width="9.140625" style="151"/>
    <col min="14" max="14" width="5.85546875" bestFit="1" customWidth="1"/>
    <col min="15" max="15" width="9.140625" style="5"/>
    <col min="16" max="16" width="7.85546875" style="170" bestFit="1" customWidth="1"/>
    <col min="18" max="18" width="7.85546875" style="170" bestFit="1" customWidth="1"/>
    <col min="19" max="19" width="9.28515625" bestFit="1" customWidth="1"/>
    <col min="20" max="20" width="7.85546875" style="170" bestFit="1" customWidth="1"/>
    <col min="21" max="21" width="10.85546875" bestFit="1" customWidth="1"/>
    <col min="22" max="22" width="7.85546875" style="170" bestFit="1" customWidth="1"/>
    <col min="23" max="23" width="10.85546875" customWidth="1"/>
    <col min="24" max="24" width="7.85546875" style="170" bestFit="1" customWidth="1"/>
    <col min="25" max="16384" width="9.140625" style="170"/>
  </cols>
  <sheetData>
    <row r="1" spans="1:24" s="205" customFormat="1" x14ac:dyDescent="0.2">
      <c r="A1" s="183" t="s">
        <v>15</v>
      </c>
      <c r="B1" s="204" t="s">
        <v>16</v>
      </c>
      <c r="C1" s="183" t="s">
        <v>125</v>
      </c>
      <c r="D1" s="204" t="s">
        <v>17</v>
      </c>
      <c r="E1" s="183" t="s">
        <v>125</v>
      </c>
      <c r="F1" s="204" t="s">
        <v>5</v>
      </c>
      <c r="G1" s="183" t="s">
        <v>125</v>
      </c>
      <c r="H1" s="204" t="s">
        <v>19</v>
      </c>
      <c r="I1" s="183" t="s">
        <v>125</v>
      </c>
      <c r="J1" s="183" t="s">
        <v>124</v>
      </c>
      <c r="K1" s="183" t="s">
        <v>125</v>
      </c>
      <c r="L1" s="183"/>
      <c r="M1" s="204" t="s">
        <v>268</v>
      </c>
      <c r="N1" s="22" t="s">
        <v>15</v>
      </c>
      <c r="O1" s="35" t="s">
        <v>16</v>
      </c>
      <c r="P1" s="183" t="s">
        <v>125</v>
      </c>
      <c r="Q1" s="35" t="s">
        <v>17</v>
      </c>
      <c r="R1" s="183" t="s">
        <v>125</v>
      </c>
      <c r="S1" s="35" t="s">
        <v>5</v>
      </c>
      <c r="T1" s="183" t="s">
        <v>125</v>
      </c>
      <c r="U1" s="35" t="s">
        <v>19</v>
      </c>
      <c r="V1" s="183" t="s">
        <v>125</v>
      </c>
      <c r="W1" s="35" t="s">
        <v>193</v>
      </c>
      <c r="X1" s="183" t="s">
        <v>125</v>
      </c>
    </row>
    <row r="2" spans="1:24" x14ac:dyDescent="0.2">
      <c r="A2" s="182">
        <v>1995</v>
      </c>
      <c r="B2" s="206">
        <f>SUM('OD ShareUEC'!$D2:$G2,'OD ShareUEC'!$U2)</f>
        <v>1557.2578620039631</v>
      </c>
      <c r="C2" s="188"/>
      <c r="D2" s="206">
        <f>SUM('OD ShareUEC'!$H2:$K2)</f>
        <v>4375.273494995703</v>
      </c>
      <c r="E2" s="188"/>
      <c r="F2" s="206">
        <f>'OD ShareUEC'!$L2</f>
        <v>2192.8915836291339</v>
      </c>
      <c r="G2" s="188"/>
      <c r="H2" s="206">
        <f>SUM('OD ShareUEC'!$M2:$W2)</f>
        <v>8277.4807795999477</v>
      </c>
      <c r="I2" s="188"/>
      <c r="J2" s="206">
        <f t="shared" ref="J2:J49" si="0">SUM(B2:H2)</f>
        <v>16402.903720228747</v>
      </c>
      <c r="K2" s="188"/>
      <c r="L2" s="207"/>
      <c r="M2" s="206"/>
      <c r="N2" s="24">
        <v>1995</v>
      </c>
      <c r="O2" s="36">
        <v>2034.8380717866903</v>
      </c>
      <c r="P2" s="188"/>
      <c r="Q2" s="36">
        <v>6005.8247660735515</v>
      </c>
      <c r="R2" s="188"/>
      <c r="S2" s="36">
        <v>1631.1981150194601</v>
      </c>
      <c r="T2" s="188"/>
      <c r="U2" s="36">
        <v>6930.0325397880333</v>
      </c>
      <c r="V2" s="188"/>
      <c r="W2" s="36">
        <f>SUM(O2:U2)</f>
        <v>16601.893492667736</v>
      </c>
      <c r="X2" s="188"/>
    </row>
    <row r="3" spans="1:24" x14ac:dyDescent="0.2">
      <c r="A3" s="182">
        <f t="shared" ref="A3:A50" si="1">A2+1</f>
        <v>1996</v>
      </c>
      <c r="B3" s="206">
        <f>SUM('OD ShareUEC'!$D3:$G3,'OD ShareUEC'!$U3)</f>
        <v>1565.4464593038465</v>
      </c>
      <c r="C3" s="188">
        <f t="shared" ref="C3:I49" si="2">B3/B2-1</f>
        <v>5.2583438489408607E-3</v>
      </c>
      <c r="D3" s="206">
        <f>SUM('OD ShareUEC'!$H3:$K3)</f>
        <v>4338.2226736534631</v>
      </c>
      <c r="E3" s="188">
        <f t="shared" si="2"/>
        <v>-8.4682297882904267E-3</v>
      </c>
      <c r="F3" s="206">
        <f>'OD ShareUEC'!$L3</f>
        <v>2187.4848630736292</v>
      </c>
      <c r="G3" s="188">
        <f t="shared" si="2"/>
        <v>-2.4655667411321858E-3</v>
      </c>
      <c r="H3" s="206">
        <f>SUM('OD ShareUEC'!$M3:$W3)</f>
        <v>8349.0324167495528</v>
      </c>
      <c r="I3" s="188">
        <f t="shared" si="2"/>
        <v>8.6441320801307064E-3</v>
      </c>
      <c r="J3" s="206">
        <f t="shared" si="0"/>
        <v>16440.18073732781</v>
      </c>
      <c r="K3" s="188">
        <f t="shared" ref="K3:K50" si="3">J3/J2-1</f>
        <v>2.2725864721799827E-3</v>
      </c>
      <c r="L3" s="207"/>
      <c r="M3" s="206"/>
      <c r="N3" s="24">
        <f t="shared" ref="N3:N27" si="4">N2+1</f>
        <v>1996</v>
      </c>
      <c r="O3" s="36">
        <v>2037.4236620591901</v>
      </c>
      <c r="P3" s="188">
        <f t="shared" ref="P3:X48" si="5">O3/O2-1</f>
        <v>1.2706614390349813E-3</v>
      </c>
      <c r="Q3" s="36">
        <v>5930.7245789785065</v>
      </c>
      <c r="R3" s="188">
        <f t="shared" si="5"/>
        <v>-1.2504558494493612E-2</v>
      </c>
      <c r="S3" s="36">
        <v>1626.819404112329</v>
      </c>
      <c r="T3" s="188">
        <f t="shared" si="5"/>
        <v>-2.6843526036559595E-3</v>
      </c>
      <c r="U3" s="36">
        <v>7006.9672616898661</v>
      </c>
      <c r="V3" s="188">
        <f t="shared" si="5"/>
        <v>1.1101639344421654E-2</v>
      </c>
      <c r="W3" s="36">
        <f t="shared" ref="W3:W48" si="6">SUM(O3:U3)</f>
        <v>16601.920988590231</v>
      </c>
      <c r="X3" s="188">
        <f t="shared" si="5"/>
        <v>1.6561919582436246E-6</v>
      </c>
    </row>
    <row r="4" spans="1:24" x14ac:dyDescent="0.2">
      <c r="A4" s="182">
        <f t="shared" si="1"/>
        <v>1997</v>
      </c>
      <c r="B4" s="206">
        <f>SUM('OD ShareUEC'!$D4:$G4,'OD ShareUEC'!$U4)</f>
        <v>1573.6206581625443</v>
      </c>
      <c r="C4" s="188">
        <f t="shared" si="2"/>
        <v>5.2216406445051433E-3</v>
      </c>
      <c r="D4" s="206">
        <f>SUM('OD ShareUEC'!$H4:$K4)</f>
        <v>4285.9952483690349</v>
      </c>
      <c r="E4" s="188">
        <f t="shared" si="2"/>
        <v>-1.203889915600953E-2</v>
      </c>
      <c r="F4" s="206">
        <f>'OD ShareUEC'!$L4</f>
        <v>2182.104738205443</v>
      </c>
      <c r="G4" s="188">
        <f t="shared" si="2"/>
        <v>-2.4595026731415448E-3</v>
      </c>
      <c r="H4" s="206">
        <f>SUM('OD ShareUEC'!$M4:$W4)</f>
        <v>8420.5873166127822</v>
      </c>
      <c r="I4" s="188">
        <f t="shared" si="2"/>
        <v>8.5704422131214208E-3</v>
      </c>
      <c r="J4" s="206">
        <f t="shared" si="0"/>
        <v>16462.298684588619</v>
      </c>
      <c r="K4" s="188">
        <f t="shared" si="3"/>
        <v>1.3453591304255497E-3</v>
      </c>
      <c r="L4" s="207"/>
      <c r="M4" s="206"/>
      <c r="N4" s="24">
        <f t="shared" si="4"/>
        <v>1997</v>
      </c>
      <c r="O4" s="36">
        <v>2039.0906980198602</v>
      </c>
      <c r="P4" s="188">
        <f t="shared" si="5"/>
        <v>8.1820781397290432E-4</v>
      </c>
      <c r="Q4" s="36">
        <v>5858.7815045944153</v>
      </c>
      <c r="R4" s="188">
        <f t="shared" si="5"/>
        <v>-1.2130570797216578E-2</v>
      </c>
      <c r="S4" s="36">
        <v>1622.464138278403</v>
      </c>
      <c r="T4" s="188">
        <f t="shared" si="5"/>
        <v>-2.6771661457422047E-3</v>
      </c>
      <c r="U4" s="36">
        <v>7081.4165912800563</v>
      </c>
      <c r="V4" s="188">
        <f t="shared" si="5"/>
        <v>1.0625043162002079E-2</v>
      </c>
      <c r="W4" s="36">
        <f t="shared" si="6"/>
        <v>16601.738942643606</v>
      </c>
      <c r="X4" s="188">
        <f t="shared" si="5"/>
        <v>-1.0965354355740864E-5</v>
      </c>
    </row>
    <row r="5" spans="1:24" x14ac:dyDescent="0.2">
      <c r="A5" s="182">
        <f t="shared" si="1"/>
        <v>1998</v>
      </c>
      <c r="B5" s="206">
        <f>SUM('OD ShareUEC'!$D5:$G5,'OD ShareUEC'!$U5)</f>
        <v>1591.8873026786353</v>
      </c>
      <c r="C5" s="188">
        <f t="shared" si="2"/>
        <v>1.1608035533430483E-2</v>
      </c>
      <c r="D5" s="206">
        <f>SUM('OD ShareUEC'!$H5:$K5)</f>
        <v>4252.5986071454308</v>
      </c>
      <c r="E5" s="188">
        <f t="shared" si="2"/>
        <v>-7.7920387887300269E-3</v>
      </c>
      <c r="F5" s="206">
        <f>'OD ShareUEC'!$L5</f>
        <v>2176.7510132695429</v>
      </c>
      <c r="G5" s="188">
        <f t="shared" si="2"/>
        <v>-2.4534683611489028E-3</v>
      </c>
      <c r="H5" s="206">
        <f>SUM('OD ShareUEC'!$M5:$W5)</f>
        <v>8492.1454791896285</v>
      </c>
      <c r="I5" s="188">
        <f t="shared" si="2"/>
        <v>8.498001372857944E-3</v>
      </c>
      <c r="J5" s="206">
        <f t="shared" si="0"/>
        <v>16513.38376481162</v>
      </c>
      <c r="K5" s="188">
        <f t="shared" si="3"/>
        <v>3.1031559566359057E-3</v>
      </c>
      <c r="L5" s="207"/>
      <c r="M5" s="206"/>
      <c r="N5" s="24">
        <f t="shared" si="4"/>
        <v>1998</v>
      </c>
      <c r="O5" s="36">
        <v>2039.8649495481538</v>
      </c>
      <c r="P5" s="188">
        <f t="shared" si="5"/>
        <v>3.7970431087019918E-4</v>
      </c>
      <c r="Q5" s="36">
        <v>5789.8009608549419</v>
      </c>
      <c r="R5" s="188">
        <f t="shared" si="5"/>
        <v>-1.1773872038986166E-2</v>
      </c>
      <c r="S5" s="36">
        <v>1618.1321297213753</v>
      </c>
      <c r="T5" s="188">
        <f t="shared" si="5"/>
        <v>-2.6700180637732052E-3</v>
      </c>
      <c r="U5" s="36">
        <v>7156.1212056055683</v>
      </c>
      <c r="V5" s="188">
        <f t="shared" si="5"/>
        <v>1.0549388439807572E-2</v>
      </c>
      <c r="W5" s="36">
        <f t="shared" si="6"/>
        <v>16603.905181544247</v>
      </c>
      <c r="X5" s="188">
        <f t="shared" si="5"/>
        <v>1.3048265052995056E-4</v>
      </c>
    </row>
    <row r="6" spans="1:24" x14ac:dyDescent="0.2">
      <c r="A6" s="182">
        <f t="shared" si="1"/>
        <v>1999</v>
      </c>
      <c r="B6" s="206">
        <f>SUM('OD ShareUEC'!$D6:$G6,'OD ShareUEC'!$U6)</f>
        <v>1609.4420176002502</v>
      </c>
      <c r="C6" s="188">
        <f t="shared" si="2"/>
        <v>1.1027611623056544E-2</v>
      </c>
      <c r="D6" s="206">
        <f>SUM('OD ShareUEC'!$H6:$K6)</f>
        <v>4176.6448260852685</v>
      </c>
      <c r="E6" s="188">
        <f t="shared" si="2"/>
        <v>-1.7860557291379697E-2</v>
      </c>
      <c r="F6" s="206">
        <f>'OD ShareUEC'!$L6</f>
        <v>2171.4234944273103</v>
      </c>
      <c r="G6" s="188">
        <f t="shared" si="2"/>
        <v>-2.4474635866738037E-3</v>
      </c>
      <c r="H6" s="206">
        <f>SUM('OD ShareUEC'!$M6:$W6)</f>
        <v>8563.7069044801046</v>
      </c>
      <c r="I6" s="188">
        <f t="shared" si="2"/>
        <v>8.4267780699047723E-3</v>
      </c>
      <c r="J6" s="206">
        <f t="shared" si="0"/>
        <v>16521.207962183678</v>
      </c>
      <c r="K6" s="188">
        <f t="shared" si="3"/>
        <v>4.7380945562047749E-4</v>
      </c>
      <c r="L6" s="207"/>
      <c r="M6" s="206"/>
      <c r="N6" s="24">
        <f t="shared" si="4"/>
        <v>1999</v>
      </c>
      <c r="O6" s="36">
        <v>2039.7914590634546</v>
      </c>
      <c r="P6" s="188">
        <f t="shared" si="5"/>
        <v>-3.6027132441107668E-5</v>
      </c>
      <c r="Q6" s="36">
        <v>5723.6043970824594</v>
      </c>
      <c r="R6" s="188">
        <f t="shared" si="5"/>
        <v>-1.1433305604120036E-2</v>
      </c>
      <c r="S6" s="36">
        <v>1613.8231926452761</v>
      </c>
      <c r="T6" s="188">
        <f t="shared" si="5"/>
        <v>-2.6629080511745284E-3</v>
      </c>
      <c r="U6" s="36">
        <v>7231.0811046664021</v>
      </c>
      <c r="V6" s="188">
        <f t="shared" si="5"/>
        <v>1.0474934242605594E-2</v>
      </c>
      <c r="W6" s="36">
        <f t="shared" si="6"/>
        <v>16608.286021216802</v>
      </c>
      <c r="X6" s="188">
        <f t="shared" si="5"/>
        <v>2.6384393458367406E-4</v>
      </c>
    </row>
    <row r="7" spans="1:24" x14ac:dyDescent="0.2">
      <c r="A7" s="182">
        <f t="shared" si="1"/>
        <v>2000</v>
      </c>
      <c r="B7" s="206">
        <f>SUM('OD ShareUEC'!$D7:$G7,'OD ShareUEC'!$U7)</f>
        <v>1626.3163341352899</v>
      </c>
      <c r="C7" s="192">
        <f t="shared" si="2"/>
        <v>1.0484575617206726E-2</v>
      </c>
      <c r="D7" s="206">
        <f>SUM('OD ShareUEC'!$H7:$K7)</f>
        <v>4103.0746796500043</v>
      </c>
      <c r="E7" s="192">
        <f t="shared" si="2"/>
        <v>-1.7614652310337986E-2</v>
      </c>
      <c r="F7" s="206">
        <f>'OD ShareUEC'!$L7</f>
        <v>2166.1219897331453</v>
      </c>
      <c r="G7" s="192">
        <f t="shared" si="2"/>
        <v>-2.4414881333699734E-3</v>
      </c>
      <c r="H7" s="206">
        <f>SUM('OD ShareUEC'!$M7:$W7)</f>
        <v>8635.2715924841996</v>
      </c>
      <c r="I7" s="192">
        <f t="shared" si="2"/>
        <v>8.3567418645138503E-3</v>
      </c>
      <c r="J7" s="206">
        <f t="shared" si="0"/>
        <v>16530.775024437811</v>
      </c>
      <c r="K7" s="192">
        <f t="shared" si="3"/>
        <v>5.7907764831921504E-4</v>
      </c>
      <c r="L7" s="207"/>
      <c r="M7" s="206"/>
      <c r="N7" s="24">
        <f t="shared" si="4"/>
        <v>2000</v>
      </c>
      <c r="O7" s="36">
        <v>2038.9351673918052</v>
      </c>
      <c r="P7" s="192">
        <f t="shared" si="5"/>
        <v>-4.1979373324885216E-4</v>
      </c>
      <c r="Q7" s="36">
        <v>5660.0276537475238</v>
      </c>
      <c r="R7" s="192">
        <f t="shared" si="5"/>
        <v>-1.1107815796518539E-2</v>
      </c>
      <c r="S7" s="36">
        <v>1609.5371432279101</v>
      </c>
      <c r="T7" s="192">
        <f t="shared" si="5"/>
        <v>-2.6558358046278041E-3</v>
      </c>
      <c r="U7" s="36">
        <v>7306.2962884625576</v>
      </c>
      <c r="V7" s="192">
        <f t="shared" si="5"/>
        <v>1.0401651247918808E-2</v>
      </c>
      <c r="W7" s="36">
        <f t="shared" si="6"/>
        <v>16614.782069384462</v>
      </c>
      <c r="X7" s="192">
        <f t="shared" si="5"/>
        <v>3.9113296575954415E-4</v>
      </c>
    </row>
    <row r="8" spans="1:24" x14ac:dyDescent="0.2">
      <c r="A8" s="182">
        <f t="shared" si="1"/>
        <v>2001</v>
      </c>
      <c r="B8" s="206">
        <f>SUM('OD ShareUEC'!$D8:$G8,'OD ShareUEC'!$U8)</f>
        <v>1642.557377311266</v>
      </c>
      <c r="C8" s="192">
        <f t="shared" si="2"/>
        <v>9.9863986083688072E-3</v>
      </c>
      <c r="D8" s="206">
        <f>SUM('OD ShareUEC'!$H8:$K8)</f>
        <v>4031.7667091802941</v>
      </c>
      <c r="E8" s="192">
        <f t="shared" si="2"/>
        <v>-1.7379154911163597E-2</v>
      </c>
      <c r="F8" s="206">
        <f>'OD ShareUEC'!$L8</f>
        <v>2160.8463091114127</v>
      </c>
      <c r="G8" s="192">
        <f t="shared" si="2"/>
        <v>-2.435541786999007E-3</v>
      </c>
      <c r="H8" s="206">
        <f>SUM('OD ShareUEC'!$M8:$W8)</f>
        <v>8707.0557033324785</v>
      </c>
      <c r="I8" s="192">
        <f t="shared" si="2"/>
        <v>8.3128955562621343E-3</v>
      </c>
      <c r="J8" s="206">
        <f t="shared" si="0"/>
        <v>16542.21627063736</v>
      </c>
      <c r="K8" s="192">
        <f t="shared" si="3"/>
        <v>6.9211795470169868E-4</v>
      </c>
      <c r="L8" s="207"/>
      <c r="M8" s="206"/>
      <c r="N8" s="24">
        <f t="shared" si="4"/>
        <v>2001</v>
      </c>
      <c r="O8" s="36">
        <v>2037.380615703898</v>
      </c>
      <c r="P8" s="192">
        <f t="shared" si="5"/>
        <v>-7.6243311350387977E-4</v>
      </c>
      <c r="Q8" s="36">
        <v>5598.9195213166204</v>
      </c>
      <c r="R8" s="192">
        <f t="shared" si="5"/>
        <v>-1.0796437079321208E-2</v>
      </c>
      <c r="S8" s="36">
        <v>1605.2737995947157</v>
      </c>
      <c r="T8" s="192">
        <f t="shared" si="5"/>
        <v>-2.6488010240287574E-3</v>
      </c>
      <c r="U8" s="36">
        <v>7381.7667569940359</v>
      </c>
      <c r="V8" s="192">
        <f t="shared" si="5"/>
        <v>1.0329511089038901E-2</v>
      </c>
      <c r="W8" s="36">
        <f t="shared" si="6"/>
        <v>16623.326485938054</v>
      </c>
      <c r="X8" s="192">
        <f t="shared" si="5"/>
        <v>5.1426594209358356E-4</v>
      </c>
    </row>
    <row r="9" spans="1:24" x14ac:dyDescent="0.2">
      <c r="A9" s="182">
        <f t="shared" si="1"/>
        <v>2002</v>
      </c>
      <c r="B9" s="206">
        <f>SUM('OD ShareUEC'!$D9:$G9,'OD ShareUEC'!$U9)</f>
        <v>1658.2275734372477</v>
      </c>
      <c r="C9" s="192">
        <f t="shared" si="2"/>
        <v>9.5401209981671453E-3</v>
      </c>
      <c r="D9" s="206">
        <f>SUM('OD ShareUEC'!$H9:$K9)</f>
        <v>3962.6078916777305</v>
      </c>
      <c r="E9" s="192">
        <f t="shared" si="2"/>
        <v>-1.7153476996843442E-2</v>
      </c>
      <c r="F9" s="206">
        <f>'OD ShareUEC'!$L9</f>
        <v>2155.5962643337293</v>
      </c>
      <c r="G9" s="192">
        <f t="shared" si="2"/>
        <v>-2.4296243354032798E-3</v>
      </c>
      <c r="H9" s="206">
        <f>SUM('OD ShareUEC'!$M9:$W9)</f>
        <v>8778.6291383873158</v>
      </c>
      <c r="I9" s="192">
        <f t="shared" si="2"/>
        <v>8.2201650584874386E-3</v>
      </c>
      <c r="J9" s="206">
        <f t="shared" si="0"/>
        <v>16555.050824855687</v>
      </c>
      <c r="K9" s="192">
        <f t="shared" si="3"/>
        <v>7.7586666794515757E-4</v>
      </c>
      <c r="L9" s="207"/>
      <c r="M9" s="206"/>
      <c r="N9" s="24">
        <f t="shared" si="4"/>
        <v>2002</v>
      </c>
      <c r="O9" s="36">
        <v>2035.9537869557148</v>
      </c>
      <c r="P9" s="192">
        <f t="shared" si="5"/>
        <v>-7.0032508269946003E-4</v>
      </c>
      <c r="Q9" s="36">
        <v>5540.1404704023389</v>
      </c>
      <c r="R9" s="192">
        <f t="shared" si="5"/>
        <v>-1.0498284658404855E-2</v>
      </c>
      <c r="S9" s="36">
        <v>1601.0329817930383</v>
      </c>
      <c r="T9" s="192">
        <f t="shared" si="5"/>
        <v>-2.6418034124446876E-3</v>
      </c>
      <c r="U9" s="36">
        <v>7460.760859227209</v>
      </c>
      <c r="V9" s="192">
        <f t="shared" si="5"/>
        <v>1.0701246034132472E-2</v>
      </c>
      <c r="W9" s="36">
        <f t="shared" si="6"/>
        <v>16637.874257965148</v>
      </c>
      <c r="X9" s="192">
        <f t="shared" si="5"/>
        <v>8.7514205050354121E-4</v>
      </c>
    </row>
    <row r="10" spans="1:24" x14ac:dyDescent="0.2">
      <c r="A10" s="182">
        <f t="shared" si="1"/>
        <v>2003</v>
      </c>
      <c r="B10" s="206">
        <f>SUM('OD ShareUEC'!$D10:$G10,'OD ShareUEC'!$U10)</f>
        <v>1673.4035535682497</v>
      </c>
      <c r="C10" s="192">
        <f t="shared" si="2"/>
        <v>9.1519284651289112E-3</v>
      </c>
      <c r="D10" s="206">
        <f>SUM('OD ShareUEC'!$H10:$K10)</f>
        <v>3937.9197058634481</v>
      </c>
      <c r="E10" s="192">
        <f t="shared" si="2"/>
        <v>-6.2302873484233467E-3</v>
      </c>
      <c r="F10" s="206">
        <f>'OD ShareUEC'!$L10</f>
        <v>2150.3716689965731</v>
      </c>
      <c r="G10" s="192">
        <f t="shared" si="2"/>
        <v>-2.4237355684836315E-3</v>
      </c>
      <c r="H10" s="206">
        <f>SUM('OD ShareUEC'!$M10:$W10)</f>
        <v>8850.2058361557756</v>
      </c>
      <c r="I10" s="192">
        <f t="shared" si="2"/>
        <v>8.153516527480198E-3</v>
      </c>
      <c r="J10" s="206">
        <f t="shared" si="0"/>
        <v>16611.901262489595</v>
      </c>
      <c r="K10" s="192">
        <f t="shared" si="3"/>
        <v>3.4340237451009337E-3</v>
      </c>
      <c r="L10" s="207"/>
      <c r="M10" s="206"/>
      <c r="N10" s="24">
        <f t="shared" si="4"/>
        <v>2003</v>
      </c>
      <c r="O10" s="36">
        <v>2032.6068855658739</v>
      </c>
      <c r="P10" s="192">
        <f t="shared" si="5"/>
        <v>-1.643898506579311E-3</v>
      </c>
      <c r="Q10" s="36">
        <v>5481.9228068642242</v>
      </c>
      <c r="R10" s="192">
        <f t="shared" si="5"/>
        <v>-1.0508337080826213E-2</v>
      </c>
      <c r="S10" s="36">
        <v>1596.8145117668116</v>
      </c>
      <c r="T10" s="192">
        <f t="shared" si="5"/>
        <v>-2.6348426760717247E-3</v>
      </c>
      <c r="U10" s="36">
        <v>7542.8155147000052</v>
      </c>
      <c r="V10" s="192">
        <f t="shared" si="5"/>
        <v>1.099816185252922E-2</v>
      </c>
      <c r="W10" s="36">
        <f t="shared" si="6"/>
        <v>16654.14493181865</v>
      </c>
      <c r="X10" s="192">
        <f t="shared" si="5"/>
        <v>9.7792984856304166E-4</v>
      </c>
    </row>
    <row r="11" spans="1:24" x14ac:dyDescent="0.2">
      <c r="A11" s="182">
        <f t="shared" si="1"/>
        <v>2004</v>
      </c>
      <c r="B11" s="206">
        <f>SUM('OD ShareUEC'!$D11:$G11,'OD ShareUEC'!$U11)</f>
        <v>1675.4802725179229</v>
      </c>
      <c r="C11" s="192">
        <f t="shared" si="2"/>
        <v>1.2410150230917072E-3</v>
      </c>
      <c r="D11" s="206">
        <f>SUM('OD ShareUEC'!$H11:$K11)</f>
        <v>3932.18102899209</v>
      </c>
      <c r="E11" s="192">
        <f t="shared" si="2"/>
        <v>-1.4572864100843574E-3</v>
      </c>
      <c r="F11" s="206">
        <f>'OD ShareUEC'!$L11</f>
        <v>2145.172338499226</v>
      </c>
      <c r="G11" s="192">
        <f t="shared" si="2"/>
        <v>-2.4178752781714996E-3</v>
      </c>
      <c r="H11" s="206">
        <f>SUM('OD ShareUEC'!$M11:$W11)</f>
        <v>8921.7857966378579</v>
      </c>
      <c r="I11" s="192">
        <f t="shared" si="2"/>
        <v>8.08794301593041E-3</v>
      </c>
      <c r="J11" s="206">
        <f t="shared" si="0"/>
        <v>16674.61680250043</v>
      </c>
      <c r="K11" s="192">
        <f t="shared" si="3"/>
        <v>3.7753378749276756E-3</v>
      </c>
      <c r="L11" s="207"/>
      <c r="M11" s="206"/>
      <c r="N11" s="24">
        <f t="shared" si="4"/>
        <v>2004</v>
      </c>
      <c r="O11" s="36">
        <v>2028.8939634529845</v>
      </c>
      <c r="P11" s="192">
        <f t="shared" si="5"/>
        <v>-1.8266798854494892E-3</v>
      </c>
      <c r="Q11" s="36">
        <v>5425.8451222937292</v>
      </c>
      <c r="R11" s="192">
        <f t="shared" si="5"/>
        <v>-1.0229564798007962E-2</v>
      </c>
      <c r="S11" s="36">
        <v>1592.6182133316365</v>
      </c>
      <c r="T11" s="192">
        <f t="shared" si="5"/>
        <v>-2.627918524194861E-3</v>
      </c>
      <c r="U11" s="36">
        <v>7625.6966950052056</v>
      </c>
      <c r="V11" s="192">
        <f t="shared" si="5"/>
        <v>1.0988095909766793E-2</v>
      </c>
      <c r="W11" s="36">
        <f t="shared" si="6"/>
        <v>16673.03930992035</v>
      </c>
      <c r="X11" s="192">
        <f t="shared" si="5"/>
        <v>1.1345150519017633E-3</v>
      </c>
    </row>
    <row r="12" spans="1:24" x14ac:dyDescent="0.2">
      <c r="A12" s="182">
        <f t="shared" si="1"/>
        <v>2005</v>
      </c>
      <c r="B12" s="206">
        <f>SUM('OD ShareUEC'!$D12:$G12,'OD ShareUEC'!$U12)</f>
        <v>1677.4844592546879</v>
      </c>
      <c r="C12" s="192">
        <f t="shared" si="2"/>
        <v>1.1961864127192356E-3</v>
      </c>
      <c r="D12" s="206">
        <f>SUM('OD ShareUEC'!$H12:$K12)</f>
        <v>3927.2044205631373</v>
      </c>
      <c r="E12" s="192">
        <f t="shared" si="2"/>
        <v>-1.2656102026483707E-3</v>
      </c>
      <c r="F12" s="206">
        <f>'OD ShareUEC'!$L12</f>
        <v>2139.998090022028</v>
      </c>
      <c r="G12" s="192">
        <f t="shared" si="2"/>
        <v>-2.4120432584069373E-3</v>
      </c>
      <c r="H12" s="206">
        <f>SUM('OD ShareUEC'!$M12:$W12)</f>
        <v>9056.1724958857158</v>
      </c>
      <c r="I12" s="192">
        <f t="shared" si="2"/>
        <v>1.5062757872813082E-2</v>
      </c>
      <c r="J12" s="206">
        <f t="shared" si="0"/>
        <v>16800.85698425852</v>
      </c>
      <c r="K12" s="192">
        <f t="shared" si="3"/>
        <v>7.5707995723872656E-3</v>
      </c>
      <c r="L12" s="207"/>
      <c r="M12" s="206"/>
      <c r="N12" s="24">
        <f t="shared" si="4"/>
        <v>2005</v>
      </c>
      <c r="O12" s="36">
        <v>2025.026994301161</v>
      </c>
      <c r="P12" s="192">
        <f t="shared" si="5"/>
        <v>-1.9059493603313937E-3</v>
      </c>
      <c r="Q12" s="36">
        <v>5371.7933216468273</v>
      </c>
      <c r="R12" s="192">
        <f t="shared" si="5"/>
        <v>-9.9619136611205361E-3</v>
      </c>
      <c r="S12" s="36">
        <v>1588.4439121502512</v>
      </c>
      <c r="T12" s="192">
        <f t="shared" si="5"/>
        <v>-2.6210306691476504E-3</v>
      </c>
      <c r="U12" s="36">
        <v>7709.3717418777042</v>
      </c>
      <c r="V12" s="192">
        <f t="shared" si="5"/>
        <v>1.097277405844177E-2</v>
      </c>
      <c r="W12" s="36">
        <f t="shared" si="6"/>
        <v>16694.621481082253</v>
      </c>
      <c r="X12" s="192">
        <f t="shared" si="5"/>
        <v>1.2944353312394075E-3</v>
      </c>
    </row>
    <row r="13" spans="1:24" x14ac:dyDescent="0.2">
      <c r="A13" s="182">
        <f t="shared" si="1"/>
        <v>2006</v>
      </c>
      <c r="B13" s="206">
        <f>SUM('OD ShareUEC'!$D13:$G13,'OD ShareUEC'!$U13)</f>
        <v>1670.1567051464676</v>
      </c>
      <c r="C13" s="192">
        <f t="shared" si="2"/>
        <v>-4.3682992517712904E-3</v>
      </c>
      <c r="D13" s="206">
        <f>SUM('OD ShareUEC'!$H13:$K13)</f>
        <v>3873.9026409473572</v>
      </c>
      <c r="E13" s="192">
        <f t="shared" si="2"/>
        <v>-1.3572448466570242E-2</v>
      </c>
      <c r="F13" s="206">
        <f>'OD ShareUEC'!$L13</f>
        <v>2133.953598962974</v>
      </c>
      <c r="G13" s="192">
        <f t="shared" si="2"/>
        <v>-2.8245310531991308E-3</v>
      </c>
      <c r="H13" s="206">
        <f>SUM('OD ShareUEC'!$M13:$W13)</f>
        <v>9242.9130234403528</v>
      </c>
      <c r="I13" s="192">
        <f t="shared" si="2"/>
        <v>2.0620248525464291E-2</v>
      </c>
      <c r="J13" s="206">
        <f t="shared" si="0"/>
        <v>16920.905203218379</v>
      </c>
      <c r="K13" s="192">
        <f t="shared" si="3"/>
        <v>7.1453628271662684E-3</v>
      </c>
      <c r="L13" s="207"/>
      <c r="M13" s="206"/>
      <c r="N13" s="24">
        <f t="shared" si="4"/>
        <v>2006</v>
      </c>
      <c r="O13" s="36">
        <v>2005.3707023884558</v>
      </c>
      <c r="P13" s="192">
        <f t="shared" si="5"/>
        <v>-9.7066814259869627E-3</v>
      </c>
      <c r="Q13" s="36">
        <v>5297.356876883724</v>
      </c>
      <c r="R13" s="192">
        <f t="shared" si="5"/>
        <v>-1.3856907797093587E-2</v>
      </c>
      <c r="S13" s="36">
        <v>1582.7976197631328</v>
      </c>
      <c r="T13" s="192">
        <f t="shared" si="5"/>
        <v>-3.5546060795279555E-3</v>
      </c>
      <c r="U13" s="36">
        <v>7679.8865647264538</v>
      </c>
      <c r="V13" s="192">
        <f t="shared" si="5"/>
        <v>-3.8245888430941122E-3</v>
      </c>
      <c r="W13" s="36">
        <f t="shared" si="6"/>
        <v>16565.384645566464</v>
      </c>
      <c r="X13" s="192">
        <f t="shared" si="5"/>
        <v>-7.7412258590130456E-3</v>
      </c>
    </row>
    <row r="14" spans="1:24" x14ac:dyDescent="0.2">
      <c r="A14" s="182">
        <f t="shared" si="1"/>
        <v>2007</v>
      </c>
      <c r="B14" s="206">
        <f>SUM('OD ShareUEC'!$D14:$G14,'OD ShareUEC'!$U14)</f>
        <v>1659.5811815423608</v>
      </c>
      <c r="C14" s="192">
        <f t="shared" si="2"/>
        <v>-6.3320546937416511E-3</v>
      </c>
      <c r="D14" s="206">
        <f>SUM('OD ShareUEC'!$H14:$K14)</f>
        <v>3873.1192116020061</v>
      </c>
      <c r="E14" s="192">
        <f t="shared" si="2"/>
        <v>-2.0223258506035791E-4</v>
      </c>
      <c r="F14" s="206">
        <f>'OD ShareUEC'!$L14</f>
        <v>2130.0975340022874</v>
      </c>
      <c r="G14" s="192">
        <f t="shared" si="2"/>
        <v>-1.8070050644777291E-3</v>
      </c>
      <c r="H14" s="206">
        <f>SUM('OD ShareUEC'!$M14:$W14)</f>
        <v>9473.3882266370056</v>
      </c>
      <c r="I14" s="192">
        <f t="shared" si="2"/>
        <v>2.4935342636261959E-2</v>
      </c>
      <c r="J14" s="206">
        <f t="shared" si="0"/>
        <v>17136.177812491318</v>
      </c>
      <c r="K14" s="192">
        <f t="shared" si="3"/>
        <v>1.2722286821392537E-2</v>
      </c>
      <c r="L14" s="207"/>
      <c r="M14" s="206"/>
      <c r="N14" s="24">
        <f t="shared" si="4"/>
        <v>2007</v>
      </c>
      <c r="O14" s="36">
        <v>2007.0480929212758</v>
      </c>
      <c r="P14" s="192">
        <f t="shared" si="5"/>
        <v>8.364491068022506E-4</v>
      </c>
      <c r="Q14" s="36">
        <v>5254.1859644500137</v>
      </c>
      <c r="R14" s="192">
        <f t="shared" si="5"/>
        <v>-8.1495193616455408E-3</v>
      </c>
      <c r="S14" s="36">
        <v>1577.9442429946798</v>
      </c>
      <c r="T14" s="192">
        <f t="shared" si="5"/>
        <v>-3.0663280686379357E-3</v>
      </c>
      <c r="U14" s="36">
        <v>7754.9599434618221</v>
      </c>
      <c r="V14" s="192">
        <f t="shared" si="5"/>
        <v>9.7753239064986008E-3</v>
      </c>
      <c r="W14" s="36">
        <f t="shared" si="6"/>
        <v>16594.127864429469</v>
      </c>
      <c r="X14" s="192">
        <f t="shared" si="5"/>
        <v>1.7351374252996266E-3</v>
      </c>
    </row>
    <row r="15" spans="1:24" x14ac:dyDescent="0.2">
      <c r="A15" s="182">
        <f t="shared" si="1"/>
        <v>2008</v>
      </c>
      <c r="B15" s="206">
        <f>SUM('OD ShareUEC'!$D15:$G15,'OD ShareUEC'!$U15)</f>
        <v>1847.312550206289</v>
      </c>
      <c r="C15" s="192">
        <f t="shared" si="2"/>
        <v>0.11311972608020104</v>
      </c>
      <c r="D15" s="206">
        <f>SUM('OD ShareUEC'!$H15:$K15)</f>
        <v>3746.3089562082478</v>
      </c>
      <c r="E15" s="192">
        <f t="shared" si="2"/>
        <v>-3.2741118583155315E-2</v>
      </c>
      <c r="F15" s="206">
        <f>'OD ShareUEC'!$L15</f>
        <v>2127.9462880367878</v>
      </c>
      <c r="G15" s="192">
        <f t="shared" si="2"/>
        <v>-1.0099283864516417E-3</v>
      </c>
      <c r="H15" s="206">
        <f>SUM('OD ShareUEC'!$M15:$W15)</f>
        <v>9662.7815665257185</v>
      </c>
      <c r="I15" s="192">
        <f t="shared" si="2"/>
        <v>1.9992143819903996E-2</v>
      </c>
      <c r="J15" s="206">
        <f t="shared" si="0"/>
        <v>17384.428729656152</v>
      </c>
      <c r="K15" s="192">
        <f t="shared" si="3"/>
        <v>1.4486948016136481E-2</v>
      </c>
      <c r="L15" s="207"/>
      <c r="M15" s="206"/>
      <c r="N15" s="24">
        <f t="shared" si="4"/>
        <v>2008</v>
      </c>
      <c r="O15" s="36">
        <v>2028.5180136888566</v>
      </c>
      <c r="P15" s="192">
        <f t="shared" si="5"/>
        <v>1.0697262732918045E-2</v>
      </c>
      <c r="Q15" s="36">
        <v>5188.287055148282</v>
      </c>
      <c r="R15" s="192">
        <f t="shared" si="5"/>
        <v>-1.2542172992658807E-2</v>
      </c>
      <c r="S15" s="36">
        <v>1574.3637768153478</v>
      </c>
      <c r="T15" s="192">
        <f t="shared" si="5"/>
        <v>-2.2690701494856302E-3</v>
      </c>
      <c r="U15" s="36">
        <v>7773.3190685685859</v>
      </c>
      <c r="V15" s="192">
        <f t="shared" si="5"/>
        <v>2.367404247167304E-3</v>
      </c>
      <c r="W15" s="36">
        <f t="shared" si="6"/>
        <v>16564.483800240661</v>
      </c>
      <c r="X15" s="192">
        <f t="shared" si="5"/>
        <v>-1.7864189327088109E-3</v>
      </c>
    </row>
    <row r="16" spans="1:24" x14ac:dyDescent="0.2">
      <c r="A16" s="182">
        <f t="shared" si="1"/>
        <v>2009</v>
      </c>
      <c r="B16" s="206">
        <f>SUM('OD ShareUEC'!$D16:$G16,'OD ShareUEC'!$U16)</f>
        <v>1852.7973726724131</v>
      </c>
      <c r="C16" s="192">
        <f t="shared" si="2"/>
        <v>2.96908201349666E-3</v>
      </c>
      <c r="D16" s="206">
        <f>SUM('OD ShareUEC'!$H16:$K16)</f>
        <v>3570.7908574553962</v>
      </c>
      <c r="E16" s="192">
        <f t="shared" si="2"/>
        <v>-4.6850940700443156E-2</v>
      </c>
      <c r="F16" s="206">
        <f>'OD ShareUEC'!$L16</f>
        <v>2125.1513588773432</v>
      </c>
      <c r="G16" s="192">
        <f t="shared" si="2"/>
        <v>-1.3134397118750307E-3</v>
      </c>
      <c r="H16" s="206">
        <f>SUM('OD ShareUEC'!$M16:$W16)</f>
        <v>9525.7690199049575</v>
      </c>
      <c r="I16" s="192">
        <f t="shared" si="2"/>
        <v>-1.4179410522473845E-2</v>
      </c>
      <c r="J16" s="206">
        <f t="shared" si="0"/>
        <v>17074.463413611709</v>
      </c>
      <c r="K16" s="192">
        <f t="shared" si="3"/>
        <v>-1.7830054749839008E-2</v>
      </c>
      <c r="L16" s="207"/>
      <c r="M16" s="206"/>
      <c r="N16" s="24">
        <f t="shared" si="4"/>
        <v>2009</v>
      </c>
      <c r="O16" s="36">
        <v>2014.8343189548841</v>
      </c>
      <c r="P16" s="192">
        <f t="shared" si="5"/>
        <v>-6.7456609414519031E-3</v>
      </c>
      <c r="Q16" s="36">
        <v>5129.4674626857532</v>
      </c>
      <c r="R16" s="192">
        <f t="shared" si="5"/>
        <v>-1.1336996553450662E-2</v>
      </c>
      <c r="S16" s="36">
        <v>1571.1398391676419</v>
      </c>
      <c r="T16" s="192">
        <f t="shared" si="5"/>
        <v>-2.0477717381349736E-3</v>
      </c>
      <c r="U16" s="36">
        <v>7745.0894046735284</v>
      </c>
      <c r="V16" s="192">
        <f t="shared" si="5"/>
        <v>-3.6316100813620356E-3</v>
      </c>
      <c r="W16" s="36">
        <f t="shared" si="6"/>
        <v>16460.510895052576</v>
      </c>
      <c r="X16" s="192">
        <f t="shared" si="5"/>
        <v>-6.2768575490759204E-3</v>
      </c>
    </row>
    <row r="17" spans="1:24" x14ac:dyDescent="0.2">
      <c r="A17" s="182">
        <f t="shared" si="1"/>
        <v>2010</v>
      </c>
      <c r="B17" s="206">
        <f>SUM('OD ShareUEC'!$D17:$G17,'OD ShareUEC'!$U17)</f>
        <v>1854.456828424846</v>
      </c>
      <c r="C17" s="192">
        <f t="shared" si="2"/>
        <v>8.9564880483350429E-4</v>
      </c>
      <c r="D17" s="206">
        <f>SUM('OD ShareUEC'!$H17:$K17)</f>
        <v>3271.0253312414566</v>
      </c>
      <c r="E17" s="192">
        <f t="shared" si="2"/>
        <v>-8.3949337326229556E-2</v>
      </c>
      <c r="F17" s="206">
        <f>'OD ShareUEC'!$L17</f>
        <v>2123.5537711065863</v>
      </c>
      <c r="G17" s="192">
        <f t="shared" si="2"/>
        <v>-7.5175246416370189E-4</v>
      </c>
      <c r="H17" s="206">
        <f>SUM('OD ShareUEC'!$M17:$W17)</f>
        <v>9618.3954358304109</v>
      </c>
      <c r="I17" s="192">
        <f t="shared" si="2"/>
        <v>9.7237730341668271E-3</v>
      </c>
      <c r="J17" s="206">
        <f t="shared" si="0"/>
        <v>16867.347561162314</v>
      </c>
      <c r="K17" s="192">
        <f t="shared" si="3"/>
        <v>-1.2130152932611771E-2</v>
      </c>
      <c r="L17" s="207"/>
      <c r="M17" s="206"/>
      <c r="N17" s="24">
        <f t="shared" si="4"/>
        <v>2010</v>
      </c>
      <c r="O17" s="36">
        <v>2006.782096665122</v>
      </c>
      <c r="P17" s="192">
        <f t="shared" si="5"/>
        <v>-3.996468699192568E-3</v>
      </c>
      <c r="Q17" s="36">
        <v>5077.858445727511</v>
      </c>
      <c r="R17" s="192">
        <f t="shared" si="5"/>
        <v>-1.0061281669816902E-2</v>
      </c>
      <c r="S17" s="36">
        <v>1567.4914286226908</v>
      </c>
      <c r="T17" s="192">
        <f t="shared" si="5"/>
        <v>-2.3221424687975833E-3</v>
      </c>
      <c r="U17" s="36">
        <v>7639.6178440684562</v>
      </c>
      <c r="V17" s="192">
        <f t="shared" si="5"/>
        <v>-1.361786224719741E-2</v>
      </c>
      <c r="W17" s="36">
        <f t="shared" si="6"/>
        <v>16291.733435190943</v>
      </c>
      <c r="X17" s="192">
        <f t="shared" si="5"/>
        <v>-1.02534763919363E-2</v>
      </c>
    </row>
    <row r="18" spans="1:24" x14ac:dyDescent="0.2">
      <c r="A18" s="182">
        <f t="shared" si="1"/>
        <v>2011</v>
      </c>
      <c r="B18" s="206">
        <f>SUM('OD ShareUEC'!$D18:$G18,'OD ShareUEC'!$U18)</f>
        <v>1839.7816835178191</v>
      </c>
      <c r="C18" s="192">
        <f t="shared" si="2"/>
        <v>-7.9134465047060454E-3</v>
      </c>
      <c r="D18" s="206">
        <f>SUM('OD ShareUEC'!$H18:$K18)</f>
        <v>3264.598301064148</v>
      </c>
      <c r="E18" s="192">
        <f t="shared" si="2"/>
        <v>-1.9648365654414413E-3</v>
      </c>
      <c r="F18" s="206">
        <f>'OD ShareUEC'!$L18</f>
        <v>2122.2318990452363</v>
      </c>
      <c r="G18" s="192">
        <f t="shared" si="2"/>
        <v>-6.2248108775753153E-4</v>
      </c>
      <c r="H18" s="206">
        <f>SUM('OD ShareUEC'!$M18:$W18)</f>
        <v>9469.194864679288</v>
      </c>
      <c r="I18" s="192">
        <f t="shared" si="2"/>
        <v>-1.5512002198965646E-2</v>
      </c>
      <c r="J18" s="206">
        <f t="shared" si="0"/>
        <v>16695.796247542334</v>
      </c>
      <c r="K18" s="192">
        <f t="shared" si="3"/>
        <v>-1.0170615919184778E-2</v>
      </c>
      <c r="L18" s="207"/>
      <c r="M18" s="206"/>
      <c r="N18" s="24">
        <f t="shared" si="4"/>
        <v>2011</v>
      </c>
      <c r="O18" s="36">
        <v>1993.9756887009096</v>
      </c>
      <c r="P18" s="192">
        <f t="shared" si="5"/>
        <v>-6.3815637908540834E-3</v>
      </c>
      <c r="Q18" s="36">
        <v>5034.7004327750356</v>
      </c>
      <c r="R18" s="192">
        <f t="shared" si="5"/>
        <v>-8.4992548362171627E-3</v>
      </c>
      <c r="S18" s="36">
        <v>1564.1645759217611</v>
      </c>
      <c r="T18" s="192">
        <f t="shared" si="5"/>
        <v>-2.1224056732820351E-3</v>
      </c>
      <c r="U18" s="36">
        <v>7589.7637323676845</v>
      </c>
      <c r="V18" s="192">
        <f t="shared" si="5"/>
        <v>-6.5257337105519841E-3</v>
      </c>
      <c r="W18" s="36">
        <f t="shared" si="6"/>
        <v>16182.587426541091</v>
      </c>
      <c r="X18" s="192">
        <f t="shared" si="5"/>
        <v>-6.6994717955605187E-3</v>
      </c>
    </row>
    <row r="19" spans="1:24" x14ac:dyDescent="0.2">
      <c r="A19" s="182">
        <f t="shared" si="1"/>
        <v>2012</v>
      </c>
      <c r="B19" s="206">
        <f>SUM('OD ShareUEC'!$D19:$G19,'OD ShareUEC'!$U19)</f>
        <v>1819.6032063656314</v>
      </c>
      <c r="C19" s="188">
        <f t="shared" si="2"/>
        <v>-1.0967865009724798E-2</v>
      </c>
      <c r="D19" s="206">
        <f>SUM('OD ShareUEC'!$H19:$K19)</f>
        <v>3220.268719304896</v>
      </c>
      <c r="E19" s="188">
        <f t="shared" si="2"/>
        <v>-1.3578877911197273E-2</v>
      </c>
      <c r="F19" s="206">
        <f>'OD ShareUEC'!$L19</f>
        <v>2120.9660412082458</v>
      </c>
      <c r="G19" s="188">
        <f t="shared" si="2"/>
        <v>-5.9647479503066592E-4</v>
      </c>
      <c r="H19" s="206">
        <f>SUM('OD ShareUEC'!$M19:$W19)</f>
        <v>9341.0204884062332</v>
      </c>
      <c r="I19" s="188">
        <f t="shared" si="2"/>
        <v>-1.3535931840536253E-2</v>
      </c>
      <c r="J19" s="206">
        <f t="shared" si="0"/>
        <v>16501.833312067291</v>
      </c>
      <c r="K19" s="188">
        <f t="shared" si="3"/>
        <v>-1.1617471404132385E-2</v>
      </c>
      <c r="L19" s="207"/>
      <c r="M19" s="206">
        <f>H19-U19</f>
        <v>1767.2392410402836</v>
      </c>
      <c r="N19" s="24">
        <f t="shared" si="4"/>
        <v>2012</v>
      </c>
      <c r="O19" s="36">
        <v>1990.7295037371453</v>
      </c>
      <c r="P19" s="188">
        <f t="shared" si="5"/>
        <v>-1.6279962600141973E-3</v>
      </c>
      <c r="Q19" s="36">
        <v>4997.2997162838565</v>
      </c>
      <c r="R19" s="188">
        <f t="shared" si="5"/>
        <v>-7.4285882527800329E-3</v>
      </c>
      <c r="S19" s="36">
        <v>1561.2201676733225</v>
      </c>
      <c r="T19" s="188">
        <f t="shared" si="5"/>
        <v>-1.8824158875375696E-3</v>
      </c>
      <c r="U19" s="36">
        <v>7573.7812473659496</v>
      </c>
      <c r="V19" s="188">
        <f t="shared" si="5"/>
        <v>-2.1057948001167448E-3</v>
      </c>
      <c r="W19" s="36">
        <f t="shared" si="6"/>
        <v>16123.019696059873</v>
      </c>
      <c r="X19" s="188">
        <f t="shared" si="5"/>
        <v>-3.6809768988809166E-3</v>
      </c>
    </row>
    <row r="20" spans="1:24" x14ac:dyDescent="0.2">
      <c r="A20" s="182">
        <f t="shared" si="1"/>
        <v>2013</v>
      </c>
      <c r="B20" s="206">
        <f>SUM('OD ShareUEC'!$D20:$G20,'OD ShareUEC'!$U20)</f>
        <v>1801.9795051006181</v>
      </c>
      <c r="C20" s="188">
        <f t="shared" si="2"/>
        <v>-9.6854639535473019E-3</v>
      </c>
      <c r="D20" s="206">
        <f>SUM('OD ShareUEC'!$H20:$K20)</f>
        <v>3214.9157693976531</v>
      </c>
      <c r="E20" s="188">
        <f t="shared" si="2"/>
        <v>-1.6622680819003977E-3</v>
      </c>
      <c r="F20" s="206">
        <f>'OD ShareUEC'!$L20</f>
        <v>2119.6421313626138</v>
      </c>
      <c r="G20" s="188">
        <f t="shared" si="2"/>
        <v>-6.242013402900648E-4</v>
      </c>
      <c r="H20" s="206">
        <f>SUM('OD ShareUEC'!$M20:$W20)</f>
        <v>9105.2186346921808</v>
      </c>
      <c r="I20" s="188">
        <f t="shared" si="2"/>
        <v>-2.5243693021198443E-2</v>
      </c>
      <c r="J20" s="206">
        <f t="shared" si="0"/>
        <v>16241.74406861969</v>
      </c>
      <c r="K20" s="188">
        <f t="shared" si="3"/>
        <v>-1.5761233223547721E-2</v>
      </c>
      <c r="L20" s="214" t="s">
        <v>32</v>
      </c>
      <c r="M20" s="206">
        <f t="shared" ref="M20:M48" si="7">H20-U20</f>
        <v>1539.5566765537942</v>
      </c>
      <c r="N20" s="24">
        <f t="shared" si="4"/>
        <v>2013</v>
      </c>
      <c r="O20" s="36">
        <v>1986.6489102383609</v>
      </c>
      <c r="P20" s="188">
        <f t="shared" si="5"/>
        <v>-2.0497980720755038E-3</v>
      </c>
      <c r="Q20" s="36">
        <v>4965.0345364997675</v>
      </c>
      <c r="R20" s="188">
        <f t="shared" si="5"/>
        <v>-6.4565228455183421E-3</v>
      </c>
      <c r="S20" s="36">
        <v>1558.6181475961234</v>
      </c>
      <c r="T20" s="188">
        <f t="shared" si="5"/>
        <v>-1.6666579967877793E-3</v>
      </c>
      <c r="U20" s="36">
        <v>7565.6619581383866</v>
      </c>
      <c r="V20" s="188">
        <f t="shared" si="5"/>
        <v>-1.0720258431529128E-3</v>
      </c>
      <c r="W20" s="36">
        <f t="shared" si="6"/>
        <v>16075.953379493723</v>
      </c>
      <c r="X20" s="188">
        <f t="shared" si="5"/>
        <v>-2.9191998430450061E-3</v>
      </c>
    </row>
    <row r="21" spans="1:24" x14ac:dyDescent="0.2">
      <c r="A21" s="182">
        <f t="shared" si="1"/>
        <v>2014</v>
      </c>
      <c r="B21" s="206">
        <f>SUM('OD ShareUEC'!$D21:$G21,'OD ShareUEC'!$U21)</f>
        <v>1788.1407406476508</v>
      </c>
      <c r="C21" s="188">
        <f t="shared" si="2"/>
        <v>-7.6797568528365057E-3</v>
      </c>
      <c r="D21" s="206">
        <f>SUM('OD ShareUEC'!$H21:$K21)</f>
        <v>3189.1889752447796</v>
      </c>
      <c r="E21" s="188">
        <f t="shared" si="2"/>
        <v>-8.0023229217273117E-3</v>
      </c>
      <c r="F21" s="206">
        <f>'OD ShareUEC'!$L21</f>
        <v>2118.1903937388788</v>
      </c>
      <c r="G21" s="188">
        <f t="shared" si="2"/>
        <v>-6.8489751277100996E-4</v>
      </c>
      <c r="H21" s="206">
        <f>SUM('OD ShareUEC'!$M21:$W21)</f>
        <v>9023.6594747975123</v>
      </c>
      <c r="I21" s="188">
        <f t="shared" si="2"/>
        <v>-8.9574081817119788E-3</v>
      </c>
      <c r="J21" s="206">
        <f t="shared" si="0"/>
        <v>16119.163217451534</v>
      </c>
      <c r="K21" s="188">
        <f t="shared" si="3"/>
        <v>-7.5472714414328568E-3</v>
      </c>
      <c r="L21" s="207"/>
      <c r="M21" s="206">
        <f t="shared" si="7"/>
        <v>1425.6486542587927</v>
      </c>
      <c r="N21" s="24">
        <f t="shared" si="4"/>
        <v>2014</v>
      </c>
      <c r="O21" s="36">
        <v>1982.7201739317659</v>
      </c>
      <c r="P21" s="188">
        <f t="shared" si="5"/>
        <v>-1.9775695072984378E-3</v>
      </c>
      <c r="Q21" s="36">
        <v>4938.0375063148003</v>
      </c>
      <c r="R21" s="188">
        <f t="shared" si="5"/>
        <v>-5.4374304924773575E-3</v>
      </c>
      <c r="S21" s="36">
        <v>1556.2912958753395</v>
      </c>
      <c r="T21" s="188">
        <f t="shared" si="5"/>
        <v>-1.4928940256294654E-3</v>
      </c>
      <c r="U21" s="36">
        <v>7598.0108205387196</v>
      </c>
      <c r="V21" s="188">
        <f t="shared" si="5"/>
        <v>4.2757477903880847E-3</v>
      </c>
      <c r="W21" s="36">
        <f t="shared" si="6"/>
        <v>16075.0508887666</v>
      </c>
      <c r="X21" s="188">
        <f t="shared" si="5"/>
        <v>-5.6139172950997462E-5</v>
      </c>
    </row>
    <row r="22" spans="1:24" x14ac:dyDescent="0.2">
      <c r="A22" s="182">
        <f t="shared" si="1"/>
        <v>2015</v>
      </c>
      <c r="B22" s="206">
        <f>SUM('OD ShareUEC'!$D22:$G22,'OD ShareUEC'!$U22)</f>
        <v>1770.3304974469165</v>
      </c>
      <c r="C22" s="188">
        <f t="shared" si="2"/>
        <v>-9.9602021227275239E-3</v>
      </c>
      <c r="D22" s="206">
        <f>SUM('OD ShareUEC'!$H22:$K22)</f>
        <v>3143.1864391730164</v>
      </c>
      <c r="E22" s="188">
        <f t="shared" si="2"/>
        <v>-1.442452499016067E-2</v>
      </c>
      <c r="F22" s="206">
        <f>'OD ShareUEC'!$L22</f>
        <v>2087.2929409195544</v>
      </c>
      <c r="G22" s="188">
        <f t="shared" si="2"/>
        <v>-1.4586721245952949E-2</v>
      </c>
      <c r="H22" s="206">
        <f>SUM('OD ShareUEC'!$M22:$W22)</f>
        <v>8971.2400757286359</v>
      </c>
      <c r="I22" s="188">
        <f t="shared" si="2"/>
        <v>-5.809106517736029E-3</v>
      </c>
      <c r="J22" s="206">
        <f t="shared" si="0"/>
        <v>15972.010981819763</v>
      </c>
      <c r="K22" s="188">
        <f t="shared" si="3"/>
        <v>-9.1290244813984067E-3</v>
      </c>
      <c r="L22" s="207"/>
      <c r="M22" s="206">
        <f t="shared" si="7"/>
        <v>1340.6429500488885</v>
      </c>
      <c r="N22" s="24">
        <f t="shared" si="4"/>
        <v>2015</v>
      </c>
      <c r="O22" s="36">
        <v>1978.6271387593506</v>
      </c>
      <c r="P22" s="188">
        <f t="shared" si="5"/>
        <v>-2.0643534202301472E-3</v>
      </c>
      <c r="Q22" s="36">
        <v>4916.3352471240632</v>
      </c>
      <c r="R22" s="188">
        <f t="shared" si="5"/>
        <v>-4.3949158269827038E-3</v>
      </c>
      <c r="S22" s="36">
        <v>1554.1602424595378</v>
      </c>
      <c r="T22" s="188">
        <f t="shared" si="5"/>
        <v>-1.3693152570150025E-3</v>
      </c>
      <c r="U22" s="36">
        <v>7630.5971256797475</v>
      </c>
      <c r="V22" s="188">
        <f t="shared" si="5"/>
        <v>4.2887942529565848E-3</v>
      </c>
      <c r="W22" s="36">
        <f t="shared" si="6"/>
        <v>16079.711925438194</v>
      </c>
      <c r="X22" s="188">
        <f t="shared" si="5"/>
        <v>2.8995470707049442E-4</v>
      </c>
    </row>
    <row r="23" spans="1:24" x14ac:dyDescent="0.2">
      <c r="A23" s="182">
        <f t="shared" si="1"/>
        <v>2016</v>
      </c>
      <c r="B23" s="206">
        <f>SUM('OD ShareUEC'!$D23:$G23,'OD ShareUEC'!$U23)</f>
        <v>1754.9441727751453</v>
      </c>
      <c r="C23" s="188">
        <f t="shared" si="2"/>
        <v>-8.6912159588058424E-3</v>
      </c>
      <c r="D23" s="206">
        <f>SUM('OD ShareUEC'!$H23:$K23)</f>
        <v>3108.9009967958532</v>
      </c>
      <c r="E23" s="188">
        <f t="shared" si="2"/>
        <v>-1.0907861509539929E-2</v>
      </c>
      <c r="F23" s="206">
        <f>'OD ShareUEC'!$L23</f>
        <v>2073.4838680182597</v>
      </c>
      <c r="G23" s="188">
        <f t="shared" si="2"/>
        <v>-6.615780962307638E-3</v>
      </c>
      <c r="H23" s="206">
        <f>SUM('OD ShareUEC'!$M23:$W23)</f>
        <v>8968.3234319823532</v>
      </c>
      <c r="I23" s="188">
        <f t="shared" si="2"/>
        <v>-3.2511043307981158E-4</v>
      </c>
      <c r="J23" s="206">
        <f t="shared" si="0"/>
        <v>15905.626254713181</v>
      </c>
      <c r="K23" s="188">
        <f t="shared" si="3"/>
        <v>-4.1563161446699359E-3</v>
      </c>
      <c r="L23" s="207"/>
      <c r="M23" s="206">
        <f t="shared" si="7"/>
        <v>1297.4301580093033</v>
      </c>
      <c r="N23" s="24">
        <f t="shared" si="4"/>
        <v>2016</v>
      </c>
      <c r="O23" s="36">
        <v>1974.672571347922</v>
      </c>
      <c r="P23" s="188">
        <f t="shared" si="5"/>
        <v>-1.9986420553739226E-3</v>
      </c>
      <c r="Q23" s="36">
        <v>4900.0201657203625</v>
      </c>
      <c r="R23" s="188">
        <f t="shared" si="5"/>
        <v>-3.3185453358260952E-3</v>
      </c>
      <c r="S23" s="36">
        <v>1552.307694852826</v>
      </c>
      <c r="T23" s="188">
        <f t="shared" si="5"/>
        <v>-1.1919926633692235E-3</v>
      </c>
      <c r="U23" s="36">
        <v>7670.8932739730499</v>
      </c>
      <c r="V23" s="188">
        <f t="shared" si="5"/>
        <v>5.2808643451625059E-3</v>
      </c>
      <c r="W23" s="36">
        <f t="shared" si="6"/>
        <v>16097.887196714106</v>
      </c>
      <c r="X23" s="188">
        <f t="shared" si="5"/>
        <v>1.1303231898798227E-3</v>
      </c>
    </row>
    <row r="24" spans="1:24" x14ac:dyDescent="0.2">
      <c r="A24" s="182">
        <f t="shared" si="1"/>
        <v>2017</v>
      </c>
      <c r="B24" s="206">
        <f>SUM('OD ShareUEC'!$D24:$G24,'OD ShareUEC'!$U24)</f>
        <v>1741.1909741237248</v>
      </c>
      <c r="C24" s="188">
        <f t="shared" si="2"/>
        <v>-7.8368297207267457E-3</v>
      </c>
      <c r="D24" s="206">
        <f>SUM('OD ShareUEC'!$H24:$K24)</f>
        <v>3083.683187089116</v>
      </c>
      <c r="E24" s="188">
        <f t="shared" si="2"/>
        <v>-8.1114868993021894E-3</v>
      </c>
      <c r="F24" s="206">
        <f>'OD ShareUEC'!$L24</f>
        <v>2061.2400651496887</v>
      </c>
      <c r="G24" s="188">
        <f t="shared" si="2"/>
        <v>-5.9049424292232366E-3</v>
      </c>
      <c r="H24" s="206">
        <f>SUM('OD ShareUEC'!$M24:$W24)</f>
        <v>8978.2646091073384</v>
      </c>
      <c r="I24" s="188">
        <f t="shared" si="2"/>
        <v>1.1084766512248212E-3</v>
      </c>
      <c r="J24" s="206">
        <f t="shared" si="0"/>
        <v>15864.356982210818</v>
      </c>
      <c r="K24" s="188">
        <f t="shared" si="3"/>
        <v>-2.5946336121240865E-3</v>
      </c>
      <c r="L24" s="207"/>
      <c r="M24" s="206">
        <f t="shared" si="7"/>
        <v>1291.1721623886406</v>
      </c>
      <c r="N24" s="24">
        <f t="shared" si="4"/>
        <v>2017</v>
      </c>
      <c r="O24" s="36">
        <v>1968.5457864142468</v>
      </c>
      <c r="P24" s="188">
        <f t="shared" si="5"/>
        <v>-3.1026839702812392E-3</v>
      </c>
      <c r="Q24" s="36">
        <v>4886.5455793401779</v>
      </c>
      <c r="R24" s="188">
        <f t="shared" si="5"/>
        <v>-2.7499042706906618E-3</v>
      </c>
      <c r="S24" s="36">
        <v>1550.7032367264324</v>
      </c>
      <c r="T24" s="188">
        <f t="shared" si="5"/>
        <v>-1.0335954216510457E-3</v>
      </c>
      <c r="U24" s="36">
        <v>7687.0924467186978</v>
      </c>
      <c r="V24" s="188">
        <f t="shared" si="5"/>
        <v>2.1117713631357837E-3</v>
      </c>
      <c r="W24" s="36">
        <f t="shared" si="6"/>
        <v>16092.880163015892</v>
      </c>
      <c r="X24" s="188">
        <f t="shared" si="5"/>
        <v>-3.1103669922816213E-4</v>
      </c>
    </row>
    <row r="25" spans="1:24" x14ac:dyDescent="0.2">
      <c r="A25" s="182">
        <f t="shared" si="1"/>
        <v>2018</v>
      </c>
      <c r="B25" s="206">
        <f>SUM('OD ShareUEC'!$D25:$G25,'OD ShareUEC'!$U25)</f>
        <v>1728.4550879467151</v>
      </c>
      <c r="C25" s="188">
        <f t="shared" si="2"/>
        <v>-7.314468295713028E-3</v>
      </c>
      <c r="D25" s="206">
        <f>SUM('OD ShareUEC'!$H25:$K25)</f>
        <v>3066.5204861195984</v>
      </c>
      <c r="E25" s="188">
        <f t="shared" si="2"/>
        <v>-5.5656498830278789E-3</v>
      </c>
      <c r="F25" s="206">
        <f>'OD ShareUEC'!$L25</f>
        <v>2049.7352973985203</v>
      </c>
      <c r="G25" s="188">
        <f t="shared" si="2"/>
        <v>-5.5814788125287951E-3</v>
      </c>
      <c r="H25" s="206">
        <f>SUM('OD ShareUEC'!$M25:$W25)</f>
        <v>9002.7952256132467</v>
      </c>
      <c r="I25" s="188">
        <f t="shared" si="2"/>
        <v>2.7322224921979554E-3</v>
      </c>
      <c r="J25" s="206">
        <f t="shared" si="0"/>
        <v>15847.487635481088</v>
      </c>
      <c r="K25" s="188">
        <f t="shared" si="3"/>
        <v>-1.0633489115661199E-3</v>
      </c>
      <c r="L25" s="207"/>
      <c r="M25" s="206">
        <f t="shared" si="7"/>
        <v>1276.3399063286179</v>
      </c>
      <c r="N25" s="24">
        <f t="shared" si="4"/>
        <v>2018</v>
      </c>
      <c r="O25" s="36">
        <v>1963.111550305829</v>
      </c>
      <c r="P25" s="188">
        <f t="shared" si="5"/>
        <v>-2.7605332555237228E-3</v>
      </c>
      <c r="Q25" s="36">
        <v>4878.1645917719979</v>
      </c>
      <c r="R25" s="188">
        <f t="shared" si="5"/>
        <v>-1.7151149891272421E-3</v>
      </c>
      <c r="S25" s="36">
        <v>1549.3319572397072</v>
      </c>
      <c r="T25" s="188">
        <f t="shared" si="5"/>
        <v>-8.8429523731436976E-4</v>
      </c>
      <c r="U25" s="36">
        <v>7726.4553192846288</v>
      </c>
      <c r="V25" s="188">
        <f t="shared" si="5"/>
        <v>5.1206451384273599E-3</v>
      </c>
      <c r="W25" s="36">
        <f t="shared" si="6"/>
        <v>16117.05805865868</v>
      </c>
      <c r="X25" s="188">
        <f t="shared" si="5"/>
        <v>1.5023970475063209E-3</v>
      </c>
    </row>
    <row r="26" spans="1:24" x14ac:dyDescent="0.2">
      <c r="A26" s="182">
        <f t="shared" si="1"/>
        <v>2019</v>
      </c>
      <c r="B26" s="206">
        <f>SUM('OD ShareUEC'!$D26:$G26,'OD ShareUEC'!$U26)</f>
        <v>1713.3186253140998</v>
      </c>
      <c r="C26" s="188">
        <f t="shared" si="2"/>
        <v>-8.7572206753699922E-3</v>
      </c>
      <c r="D26" s="206">
        <f>SUM('OD ShareUEC'!$H26:$K26)</f>
        <v>3054.7730783984948</v>
      </c>
      <c r="E26" s="188">
        <f t="shared" si="2"/>
        <v>-3.8308590385348618E-3</v>
      </c>
      <c r="F26" s="206">
        <f>'OD ShareUEC'!$L26</f>
        <v>2038.9938150395251</v>
      </c>
      <c r="G26" s="188">
        <f t="shared" si="2"/>
        <v>-5.240424152634815E-3</v>
      </c>
      <c r="H26" s="206">
        <f>SUM('OD ShareUEC'!$M26:$W26)</f>
        <v>9036.0534857743769</v>
      </c>
      <c r="I26" s="188">
        <f t="shared" si="2"/>
        <v>3.6942148885614756E-3</v>
      </c>
      <c r="J26" s="206">
        <f t="shared" si="0"/>
        <v>15843.121176022631</v>
      </c>
      <c r="K26" s="188">
        <f t="shared" si="3"/>
        <v>-2.7553007510672245E-4</v>
      </c>
      <c r="L26" s="207"/>
      <c r="M26" s="206">
        <f t="shared" si="7"/>
        <v>1254.4162740686625</v>
      </c>
      <c r="N26" s="24">
        <f t="shared" si="4"/>
        <v>2019</v>
      </c>
      <c r="O26" s="36">
        <v>1957.8215555222866</v>
      </c>
      <c r="P26" s="188">
        <f t="shared" si="5"/>
        <v>-2.6946990265114268E-3</v>
      </c>
      <c r="Q26" s="36">
        <v>4873.298349325345</v>
      </c>
      <c r="R26" s="188">
        <f t="shared" si="5"/>
        <v>-9.9755601827389295E-4</v>
      </c>
      <c r="S26" s="36">
        <v>1548.1725786032853</v>
      </c>
      <c r="T26" s="188">
        <f t="shared" si="5"/>
        <v>-7.4830873461584346E-4</v>
      </c>
      <c r="U26" s="36">
        <v>7781.6372117057144</v>
      </c>
      <c r="V26" s="188">
        <f t="shared" si="5"/>
        <v>7.1419415683873222E-3</v>
      </c>
      <c r="W26" s="36">
        <f t="shared" si="6"/>
        <v>16160.925254592854</v>
      </c>
      <c r="X26" s="188">
        <f t="shared" si="5"/>
        <v>2.7217868034301596E-3</v>
      </c>
    </row>
    <row r="27" spans="1:24" x14ac:dyDescent="0.2">
      <c r="A27" s="182">
        <f t="shared" si="1"/>
        <v>2020</v>
      </c>
      <c r="B27" s="206">
        <f>SUM('OD ShareUEC'!$D27:$G27,'OD ShareUEC'!$U27)</f>
        <v>1701.1329796684372</v>
      </c>
      <c r="C27" s="188">
        <f t="shared" si="2"/>
        <v>-7.1123055954805947E-3</v>
      </c>
      <c r="D27" s="206">
        <f>SUM('OD ShareUEC'!$H27:$K27)</f>
        <v>3044.9096252772374</v>
      </c>
      <c r="E27" s="188">
        <f t="shared" si="2"/>
        <v>-3.228866062427227E-3</v>
      </c>
      <c r="F27" s="206">
        <f>'OD ShareUEC'!$L27</f>
        <v>2029.0157217768178</v>
      </c>
      <c r="G27" s="188">
        <f t="shared" si="2"/>
        <v>-4.8936358654495526E-3</v>
      </c>
      <c r="H27" s="206">
        <f>SUM('OD ShareUEC'!$M27:$W27)</f>
        <v>9032.2550885406272</v>
      </c>
      <c r="I27" s="188">
        <f t="shared" si="2"/>
        <v>-4.2036019814728487E-4</v>
      </c>
      <c r="J27" s="206">
        <f t="shared" si="0"/>
        <v>15807.298180455597</v>
      </c>
      <c r="K27" s="188">
        <f t="shared" si="3"/>
        <v>-2.2611072129682386E-3</v>
      </c>
      <c r="L27" s="207"/>
      <c r="M27" s="206">
        <f t="shared" si="7"/>
        <v>1176.7070191004441</v>
      </c>
      <c r="N27" s="24">
        <f t="shared" si="4"/>
        <v>2020</v>
      </c>
      <c r="O27" s="36">
        <v>1953.3852729782675</v>
      </c>
      <c r="P27" s="188">
        <f t="shared" si="5"/>
        <v>-2.2659279296961543E-3</v>
      </c>
      <c r="Q27" s="36">
        <v>4865.6272040982458</v>
      </c>
      <c r="R27" s="188">
        <f t="shared" si="5"/>
        <v>-1.5741177078069102E-3</v>
      </c>
      <c r="S27" s="36">
        <v>1544.7217659276209</v>
      </c>
      <c r="T27" s="188">
        <f t="shared" si="5"/>
        <v>-2.2289586596202504E-3</v>
      </c>
      <c r="U27" s="36">
        <v>7855.5480694401831</v>
      </c>
      <c r="V27" s="188">
        <f t="shared" si="5"/>
        <v>9.4981114800991584E-3</v>
      </c>
      <c r="W27" s="36">
        <f t="shared" si="6"/>
        <v>16219.276243440019</v>
      </c>
      <c r="X27" s="188">
        <f t="shared" si="5"/>
        <v>3.6106217885378822E-3</v>
      </c>
    </row>
    <row r="28" spans="1:24" x14ac:dyDescent="0.2">
      <c r="A28" s="182">
        <f t="shared" si="1"/>
        <v>2021</v>
      </c>
      <c r="B28" s="206">
        <f>SUM('OD ShareUEC'!$D28:$G28,'OD ShareUEC'!$U28)</f>
        <v>1687.0394611517045</v>
      </c>
      <c r="C28" s="188">
        <f t="shared" si="2"/>
        <v>-8.2847835443644602E-3</v>
      </c>
      <c r="D28" s="206">
        <f>SUM('OD ShareUEC'!$H28:$K28)</f>
        <v>3041.704742533997</v>
      </c>
      <c r="E28" s="188">
        <f t="shared" si="2"/>
        <v>-1.0525378870476221E-3</v>
      </c>
      <c r="F28" s="206">
        <f>'OD ShareUEC'!$L28</f>
        <v>2019.5060791209899</v>
      </c>
      <c r="G28" s="188">
        <f t="shared" si="2"/>
        <v>-4.6868255153293958E-3</v>
      </c>
      <c r="H28" s="206">
        <f>SUM('OD ShareUEC'!$M28:$W28)</f>
        <v>9052.9208074180096</v>
      </c>
      <c r="I28" s="188">
        <f t="shared" si="2"/>
        <v>2.2879910581357077E-3</v>
      </c>
      <c r="J28" s="206">
        <f t="shared" si="0"/>
        <v>15801.157066077754</v>
      </c>
      <c r="K28" s="188">
        <f t="shared" si="3"/>
        <v>-3.8849867369716851E-4</v>
      </c>
      <c r="L28" s="207"/>
      <c r="M28" s="206">
        <f t="shared" si="7"/>
        <v>1146.8009002107265</v>
      </c>
      <c r="N28" s="25">
        <v>2021</v>
      </c>
      <c r="O28" s="36">
        <v>1948.7486984424272</v>
      </c>
      <c r="P28" s="188">
        <f t="shared" si="5"/>
        <v>-2.3736098556589313E-3</v>
      </c>
      <c r="Q28" s="36">
        <v>4862.2516137244002</v>
      </c>
      <c r="R28" s="188">
        <f t="shared" si="5"/>
        <v>-6.9376263989207043E-4</v>
      </c>
      <c r="S28" s="36">
        <v>1541.7437823699952</v>
      </c>
      <c r="T28" s="188">
        <f t="shared" si="5"/>
        <v>-1.9278446276294048E-3</v>
      </c>
      <c r="U28" s="36">
        <v>7906.1199072072832</v>
      </c>
      <c r="V28" s="188">
        <f t="shared" si="5"/>
        <v>6.4377223995146782E-3</v>
      </c>
      <c r="W28" s="36">
        <f t="shared" si="6"/>
        <v>16258.859006526984</v>
      </c>
      <c r="X28" s="188">
        <f t="shared" si="5"/>
        <v>2.4404765350103386E-3</v>
      </c>
    </row>
    <row r="29" spans="1:24" x14ac:dyDescent="0.2">
      <c r="A29" s="182">
        <f t="shared" si="1"/>
        <v>2022</v>
      </c>
      <c r="B29" s="206">
        <f>SUM('OD ShareUEC'!$D29:$G29,'OD ShareUEC'!$U29)</f>
        <v>1674.0624217126474</v>
      </c>
      <c r="C29" s="188">
        <f t="shared" si="2"/>
        <v>-7.6921967374716793E-3</v>
      </c>
      <c r="D29" s="206">
        <f>SUM('OD ShareUEC'!$H29:$K29)</f>
        <v>3040.9714380444079</v>
      </c>
      <c r="E29" s="188">
        <f t="shared" si="2"/>
        <v>-2.4108338963169107E-4</v>
      </c>
      <c r="F29" s="206">
        <f>'OD ShareUEC'!$L29</f>
        <v>2010.4215582143722</v>
      </c>
      <c r="G29" s="188">
        <f t="shared" si="2"/>
        <v>-4.4983875020428998E-3</v>
      </c>
      <c r="H29" s="206">
        <f>SUM('OD ShareUEC'!$M29:$W29)</f>
        <v>9092.2426901562176</v>
      </c>
      <c r="I29" s="188">
        <f t="shared" si="2"/>
        <v>4.3435575738151044E-3</v>
      </c>
      <c r="J29" s="206">
        <f t="shared" si="0"/>
        <v>15817.685676460016</v>
      </c>
      <c r="K29" s="188">
        <f t="shared" si="3"/>
        <v>1.0460379776711104E-3</v>
      </c>
      <c r="L29" s="207"/>
      <c r="M29" s="206">
        <f t="shared" si="7"/>
        <v>1122.3968804240249</v>
      </c>
      <c r="N29" s="25">
        <v>2022</v>
      </c>
      <c r="O29" s="36">
        <v>1944.1710838374672</v>
      </c>
      <c r="P29" s="188">
        <f t="shared" si="5"/>
        <v>-2.3490020076055718E-3</v>
      </c>
      <c r="Q29" s="36">
        <v>4862.2729248005489</v>
      </c>
      <c r="R29" s="188">
        <f t="shared" si="5"/>
        <v>4.3829644866821837E-6</v>
      </c>
      <c r="S29" s="36">
        <v>1538.8730977350931</v>
      </c>
      <c r="T29" s="188">
        <f t="shared" si="5"/>
        <v>-1.8619725714017488E-3</v>
      </c>
      <c r="U29" s="36">
        <v>7969.8458097321927</v>
      </c>
      <c r="V29" s="188">
        <f t="shared" si="5"/>
        <v>8.0603258327534011E-3</v>
      </c>
      <c r="W29" s="36">
        <f t="shared" si="6"/>
        <v>16315.158709513687</v>
      </c>
      <c r="X29" s="188">
        <f t="shared" si="5"/>
        <v>3.4627093428944988E-3</v>
      </c>
    </row>
    <row r="30" spans="1:24" x14ac:dyDescent="0.2">
      <c r="A30" s="182">
        <f t="shared" si="1"/>
        <v>2023</v>
      </c>
      <c r="B30" s="206">
        <f>SUM('OD ShareUEC'!$D30:$G30,'OD ShareUEC'!$U30)</f>
        <v>1659.8880995776892</v>
      </c>
      <c r="C30" s="188">
        <f t="shared" si="2"/>
        <v>-8.467021271797659E-3</v>
      </c>
      <c r="D30" s="206">
        <f>SUM('OD ShareUEC'!$H30:$K30)</f>
        <v>3041.5039923025515</v>
      </c>
      <c r="E30" s="188">
        <f t="shared" si="2"/>
        <v>1.7512635978134128E-4</v>
      </c>
      <c r="F30" s="206">
        <f>'OD ShareUEC'!$L30</f>
        <v>2001.68678541947</v>
      </c>
      <c r="G30" s="188">
        <f t="shared" si="2"/>
        <v>-4.3447468811766976E-3</v>
      </c>
      <c r="H30" s="206">
        <f>SUM('OD ShareUEC'!$M30:$W30)</f>
        <v>9140.2684695054377</v>
      </c>
      <c r="I30" s="188">
        <f t="shared" si="2"/>
        <v>5.2820608716499517E-3</v>
      </c>
      <c r="J30" s="206">
        <f t="shared" si="0"/>
        <v>15843.334710163355</v>
      </c>
      <c r="K30" s="188">
        <f t="shared" si="3"/>
        <v>1.621541496523049E-3</v>
      </c>
      <c r="L30" s="207"/>
      <c r="M30" s="206">
        <f t="shared" si="7"/>
        <v>1097.324063661672</v>
      </c>
      <c r="N30" s="25">
        <v>2023</v>
      </c>
      <c r="O30" s="36">
        <v>1938.834858063228</v>
      </c>
      <c r="P30" s="188">
        <f t="shared" si="5"/>
        <v>-2.7447305530881039E-3</v>
      </c>
      <c r="Q30" s="36">
        <v>4858.9228808965872</v>
      </c>
      <c r="R30" s="188">
        <f t="shared" si="5"/>
        <v>-6.8898721971666355E-4</v>
      </c>
      <c r="S30" s="36">
        <v>1536.1594206962407</v>
      </c>
      <c r="T30" s="188">
        <f t="shared" si="5"/>
        <v>-1.7634183369937828E-3</v>
      </c>
      <c r="U30" s="36">
        <v>8042.9444058437657</v>
      </c>
      <c r="V30" s="188">
        <f t="shared" si="5"/>
        <v>9.171895900709881E-3</v>
      </c>
      <c r="W30" s="36">
        <f t="shared" si="6"/>
        <v>16376.856368363713</v>
      </c>
      <c r="X30" s="188">
        <f t="shared" si="5"/>
        <v>3.7816156096630582E-3</v>
      </c>
    </row>
    <row r="31" spans="1:24" x14ac:dyDescent="0.2">
      <c r="A31" s="182">
        <f t="shared" si="1"/>
        <v>2024</v>
      </c>
      <c r="B31" s="206">
        <f>SUM('OD ShareUEC'!$D31:$G31,'OD ShareUEC'!$U31)</f>
        <v>1646.3492638409853</v>
      </c>
      <c r="C31" s="188">
        <f t="shared" si="2"/>
        <v>-8.1564749696974026E-3</v>
      </c>
      <c r="D31" s="206">
        <f>SUM('OD ShareUEC'!$H31:$K31)</f>
        <v>3043.1802886630926</v>
      </c>
      <c r="E31" s="188">
        <f t="shared" si="2"/>
        <v>5.5114060832517353E-4</v>
      </c>
      <c r="F31" s="206">
        <f>'OD ShareUEC'!$L31</f>
        <v>1993.2869453986041</v>
      </c>
      <c r="G31" s="188">
        <f t="shared" si="2"/>
        <v>-4.1963808134476421E-3</v>
      </c>
      <c r="H31" s="206">
        <f>SUM('OD ShareUEC'!$M31:$W31)</f>
        <v>9195.8912619856819</v>
      </c>
      <c r="I31" s="188">
        <f t="shared" si="2"/>
        <v>6.0854659429117053E-3</v>
      </c>
      <c r="J31" s="206">
        <f t="shared" si="0"/>
        <v>15878.69595817319</v>
      </c>
      <c r="K31" s="188">
        <f t="shared" si="3"/>
        <v>2.2319321441306439E-3</v>
      </c>
      <c r="L31" s="207"/>
      <c r="M31" s="206">
        <f t="shared" si="7"/>
        <v>1066.4287465063417</v>
      </c>
      <c r="N31" s="25">
        <v>2024</v>
      </c>
      <c r="O31" s="36">
        <v>1933.6831884859146</v>
      </c>
      <c r="P31" s="188">
        <f t="shared" si="5"/>
        <v>-2.6570956035212312E-3</v>
      </c>
      <c r="Q31" s="36">
        <v>4858.1049645441708</v>
      </c>
      <c r="R31" s="188">
        <f t="shared" si="5"/>
        <v>-1.6833285328154979E-4</v>
      </c>
      <c r="S31" s="36">
        <v>1533.5514680981323</v>
      </c>
      <c r="T31" s="188">
        <f t="shared" si="5"/>
        <v>-1.6977096016026483E-3</v>
      </c>
      <c r="U31" s="36">
        <v>8129.4625154793403</v>
      </c>
      <c r="V31" s="188">
        <f t="shared" si="5"/>
        <v>1.0757019478179197E-2</v>
      </c>
      <c r="W31" s="36">
        <f t="shared" si="6"/>
        <v>16454.797613469498</v>
      </c>
      <c r="X31" s="188">
        <f t="shared" si="5"/>
        <v>4.7592311584505609E-3</v>
      </c>
    </row>
    <row r="32" spans="1:24" x14ac:dyDescent="0.2">
      <c r="A32" s="182">
        <f t="shared" si="1"/>
        <v>2025</v>
      </c>
      <c r="B32" s="206">
        <f>SUM('OD ShareUEC'!$D32:$G32,'OD ShareUEC'!$U32)</f>
        <v>1633.1239299373799</v>
      </c>
      <c r="C32" s="188">
        <f t="shared" si="2"/>
        <v>-8.0331277172318583E-3</v>
      </c>
      <c r="D32" s="206">
        <f>SUM('OD ShareUEC'!$H32:$K32)</f>
        <v>3045.5848839677615</v>
      </c>
      <c r="E32" s="188">
        <f t="shared" si="2"/>
        <v>7.9015867499765413E-4</v>
      </c>
      <c r="F32" s="206">
        <f>'OD ShareUEC'!$L32</f>
        <v>1985.3911250263093</v>
      </c>
      <c r="G32" s="188">
        <f t="shared" si="2"/>
        <v>-3.9612060825070516E-3</v>
      </c>
      <c r="H32" s="206">
        <f>SUM('OD ShareUEC'!$M32:$W32)</f>
        <v>9260.0561731907128</v>
      </c>
      <c r="I32" s="188">
        <f t="shared" si="2"/>
        <v>6.9775630634387742E-3</v>
      </c>
      <c r="J32" s="206">
        <f t="shared" si="0"/>
        <v>15924.144907947039</v>
      </c>
      <c r="K32" s="188">
        <f t="shared" si="3"/>
        <v>2.862259589425209E-3</v>
      </c>
      <c r="L32" s="207"/>
      <c r="M32" s="206">
        <f t="shared" si="7"/>
        <v>1066.6593392084815</v>
      </c>
      <c r="N32" s="25">
        <v>2025</v>
      </c>
      <c r="O32" s="36">
        <v>1927.9210980596517</v>
      </c>
      <c r="P32" s="188">
        <f t="shared" si="5"/>
        <v>-2.9798523670129251E-3</v>
      </c>
      <c r="Q32" s="36">
        <v>4859.3253490362831</v>
      </c>
      <c r="R32" s="188">
        <f t="shared" si="5"/>
        <v>2.5120587163485197E-4</v>
      </c>
      <c r="S32" s="36">
        <v>1531.0328626860733</v>
      </c>
      <c r="T32" s="188">
        <f t="shared" si="5"/>
        <v>-1.6423351054416502E-3</v>
      </c>
      <c r="U32" s="36">
        <v>8193.3968339822313</v>
      </c>
      <c r="V32" s="188">
        <f t="shared" si="5"/>
        <v>7.8645197491413743E-3</v>
      </c>
      <c r="W32" s="36">
        <f t="shared" si="6"/>
        <v>16511.67177278264</v>
      </c>
      <c r="X32" s="188">
        <f t="shared" si="5"/>
        <v>3.4563876535671501E-3</v>
      </c>
    </row>
    <row r="33" spans="1:24" x14ac:dyDescent="0.2">
      <c r="A33" s="182">
        <f t="shared" si="1"/>
        <v>2026</v>
      </c>
      <c r="B33" s="206">
        <f>SUM('OD ShareUEC'!$D33:$G33,'OD ShareUEC'!$U33)</f>
        <v>1619.1624864928046</v>
      </c>
      <c r="C33" s="188">
        <f t="shared" si="2"/>
        <v>-8.5489185411119495E-3</v>
      </c>
      <c r="D33" s="206">
        <f>SUM('OD ShareUEC'!$H33:$K33)</f>
        <v>3049.3881529752448</v>
      </c>
      <c r="E33" s="188">
        <f t="shared" si="2"/>
        <v>1.2487811544850125E-3</v>
      </c>
      <c r="F33" s="206">
        <f>'OD ShareUEC'!$L33</f>
        <v>1978.4919360407287</v>
      </c>
      <c r="G33" s="188">
        <f t="shared" si="2"/>
        <v>-3.4749772468581908E-3</v>
      </c>
      <c r="H33" s="206">
        <f>SUM('OD ShareUEC'!$M33:$W33)</f>
        <v>9321.4928874333655</v>
      </c>
      <c r="I33" s="188">
        <f t="shared" si="2"/>
        <v>6.6345941205541159E-3</v>
      </c>
      <c r="J33" s="206">
        <f t="shared" si="0"/>
        <v>15968.52468782751</v>
      </c>
      <c r="K33" s="188">
        <f t="shared" si="3"/>
        <v>2.7869490096339433E-3</v>
      </c>
      <c r="M33" s="206">
        <f t="shared" si="7"/>
        <v>1053.5142019406321</v>
      </c>
      <c r="N33" s="25">
        <v>2026</v>
      </c>
      <c r="O33" s="36">
        <v>1922.5071557232845</v>
      </c>
      <c r="P33" s="188">
        <f t="shared" si="5"/>
        <v>-2.8081763002728577E-3</v>
      </c>
      <c r="Q33" s="36">
        <v>4862.2226227333122</v>
      </c>
      <c r="R33" s="188">
        <f t="shared" si="5"/>
        <v>5.9622961808969421E-4</v>
      </c>
      <c r="S33" s="36">
        <v>1528.7267653660033</v>
      </c>
      <c r="T33" s="188">
        <f t="shared" si="5"/>
        <v>-1.5062363299139792E-3</v>
      </c>
      <c r="U33" s="36">
        <v>8267.9786854927333</v>
      </c>
      <c r="V33" s="188">
        <f t="shared" si="5"/>
        <v>9.1026778052751833E-3</v>
      </c>
      <c r="W33" s="36">
        <f t="shared" si="6"/>
        <v>16581.431511132323</v>
      </c>
      <c r="X33" s="188">
        <f t="shared" si="5"/>
        <v>4.2248743379620368E-3</v>
      </c>
    </row>
    <row r="34" spans="1:24" x14ac:dyDescent="0.2">
      <c r="A34" s="182">
        <f t="shared" si="1"/>
        <v>2027</v>
      </c>
      <c r="B34" s="206">
        <f>SUM('OD ShareUEC'!$D34:$G34,'OD ShareUEC'!$U34)</f>
        <v>1606.9946228644317</v>
      </c>
      <c r="C34" s="188">
        <f t="shared" si="2"/>
        <v>-7.5149120177118167E-3</v>
      </c>
      <c r="D34" s="206">
        <f>SUM('OD ShareUEC'!$H34:$K34)</f>
        <v>3055.1870086816307</v>
      </c>
      <c r="E34" s="188">
        <f t="shared" si="2"/>
        <v>1.9016456467597642E-3</v>
      </c>
      <c r="F34" s="206">
        <f>'OD ShareUEC'!$L34</f>
        <v>1972.6255080207463</v>
      </c>
      <c r="G34" s="188">
        <f t="shared" si="2"/>
        <v>-2.9651007988042988E-3</v>
      </c>
      <c r="H34" s="206">
        <f>SUM('OD ShareUEC'!$M34:$W34)</f>
        <v>9391.2380887074178</v>
      </c>
      <c r="I34" s="188">
        <f t="shared" si="2"/>
        <v>7.482192189201653E-3</v>
      </c>
      <c r="J34" s="206">
        <f t="shared" si="0"/>
        <v>16026.036649907057</v>
      </c>
      <c r="K34" s="188">
        <f t="shared" si="3"/>
        <v>3.6015826886868219E-3</v>
      </c>
      <c r="M34" s="206">
        <f t="shared" si="7"/>
        <v>1053.6140880591774</v>
      </c>
      <c r="N34" s="25">
        <v>2027</v>
      </c>
      <c r="O34" s="36">
        <v>1917.0430921945101</v>
      </c>
      <c r="P34" s="188">
        <f t="shared" si="5"/>
        <v>-2.8421551059032435E-3</v>
      </c>
      <c r="Q34" s="36">
        <v>4866.3591496913677</v>
      </c>
      <c r="R34" s="188">
        <f t="shared" si="5"/>
        <v>8.5074816169772305E-4</v>
      </c>
      <c r="S34" s="36">
        <v>1526.6880098458441</v>
      </c>
      <c r="T34" s="188">
        <f t="shared" si="5"/>
        <v>-1.3336297671684427E-3</v>
      </c>
      <c r="U34" s="36">
        <v>8337.6240006482403</v>
      </c>
      <c r="V34" s="188">
        <f t="shared" si="5"/>
        <v>8.4234996006591345E-3</v>
      </c>
      <c r="W34" s="36">
        <f t="shared" si="6"/>
        <v>16647.710927343251</v>
      </c>
      <c r="X34" s="188">
        <f t="shared" si="5"/>
        <v>3.9972071269256393E-3</v>
      </c>
    </row>
    <row r="35" spans="1:24" x14ac:dyDescent="0.2">
      <c r="A35" s="182">
        <f t="shared" si="1"/>
        <v>2028</v>
      </c>
      <c r="B35" s="206">
        <f>SUM('OD ShareUEC'!$D35:$G35,'OD ShareUEC'!$U35)</f>
        <v>1593.583131549477</v>
      </c>
      <c r="C35" s="188">
        <f t="shared" si="2"/>
        <v>-8.3456976919119574E-3</v>
      </c>
      <c r="D35" s="206">
        <f>SUM('OD ShareUEC'!$H35:$K35)</f>
        <v>3062.469457451044</v>
      </c>
      <c r="E35" s="188">
        <f t="shared" si="2"/>
        <v>2.3836343728613762E-3</v>
      </c>
      <c r="F35" s="206">
        <f>'OD ShareUEC'!$L35</f>
        <v>1967.6598272945007</v>
      </c>
      <c r="G35" s="188">
        <f t="shared" si="2"/>
        <v>-2.5172952017780137E-3</v>
      </c>
      <c r="H35" s="206">
        <f>SUM('OD ShareUEC'!$M35:$W35)</f>
        <v>9463.9904633677579</v>
      </c>
      <c r="I35" s="188">
        <f t="shared" si="2"/>
        <v>7.7468352919112249E-3</v>
      </c>
      <c r="J35" s="206">
        <f t="shared" si="0"/>
        <v>16087.694400304259</v>
      </c>
      <c r="K35" s="188">
        <f t="shared" si="3"/>
        <v>3.8473486454655426E-3</v>
      </c>
      <c r="M35" s="206">
        <f t="shared" si="7"/>
        <v>1053.0594446345203</v>
      </c>
      <c r="N35" s="25">
        <v>2028</v>
      </c>
      <c r="O35" s="36">
        <v>1911.6031433475573</v>
      </c>
      <c r="P35" s="188">
        <f t="shared" si="5"/>
        <v>-2.8376768728373136E-3</v>
      </c>
      <c r="Q35" s="36">
        <v>4870.0650018911319</v>
      </c>
      <c r="R35" s="188">
        <f t="shared" si="5"/>
        <v>7.6152459893941149E-4</v>
      </c>
      <c r="S35" s="36">
        <v>1524.745826097268</v>
      </c>
      <c r="T35" s="188">
        <f t="shared" si="5"/>
        <v>-1.2721549760335016E-3</v>
      </c>
      <c r="U35" s="36">
        <v>8410.9310187332376</v>
      </c>
      <c r="V35" s="188">
        <f t="shared" si="5"/>
        <v>8.7923151822746348E-3</v>
      </c>
      <c r="W35" s="36">
        <f t="shared" si="6"/>
        <v>16717.341641761945</v>
      </c>
      <c r="X35" s="188">
        <f t="shared" si="5"/>
        <v>4.1825999215501231E-3</v>
      </c>
    </row>
    <row r="36" spans="1:24" x14ac:dyDescent="0.2">
      <c r="A36" s="182">
        <f t="shared" si="1"/>
        <v>2029</v>
      </c>
      <c r="B36" s="206">
        <f>SUM('OD ShareUEC'!$D36:$G36,'OD ShareUEC'!$U36)</f>
        <v>1583.8364690972155</v>
      </c>
      <c r="C36" s="188">
        <f t="shared" si="2"/>
        <v>-6.1161932875033465E-3</v>
      </c>
      <c r="D36" s="206">
        <f>SUM('OD ShareUEC'!$H36:$K36)</f>
        <v>3071.1365352759694</v>
      </c>
      <c r="E36" s="188">
        <f t="shared" si="2"/>
        <v>2.8300944532975159E-3</v>
      </c>
      <c r="F36" s="206">
        <f>'OD ShareUEC'!$L36</f>
        <v>1963.4000551992938</v>
      </c>
      <c r="G36" s="188">
        <f t="shared" si="2"/>
        <v>-2.1648925470334479E-3</v>
      </c>
      <c r="H36" s="206">
        <f>SUM('OD ShareUEC'!$M36:$W36)</f>
        <v>9541.2923379442145</v>
      </c>
      <c r="I36" s="188">
        <f t="shared" si="2"/>
        <v>8.1680000498383087E-3</v>
      </c>
      <c r="J36" s="206">
        <f t="shared" si="0"/>
        <v>16159.659946525313</v>
      </c>
      <c r="K36" s="188">
        <f t="shared" si="3"/>
        <v>4.4733287710694292E-3</v>
      </c>
      <c r="M36" s="206">
        <f t="shared" si="7"/>
        <v>1087.8941296756529</v>
      </c>
      <c r="N36" s="25">
        <v>2029</v>
      </c>
      <c r="O36" s="36">
        <v>1905.3657538206155</v>
      </c>
      <c r="P36" s="188">
        <f t="shared" si="5"/>
        <v>-3.2629102691361656E-3</v>
      </c>
      <c r="Q36" s="36">
        <v>4873.5761685073776</v>
      </c>
      <c r="R36" s="188">
        <f t="shared" si="5"/>
        <v>7.2096914823149838E-4</v>
      </c>
      <c r="S36" s="36">
        <v>1522.8912678016768</v>
      </c>
      <c r="T36" s="188">
        <f t="shared" si="5"/>
        <v>-1.2163065239130244E-3</v>
      </c>
      <c r="U36" s="36">
        <v>8453.3982082685616</v>
      </c>
      <c r="V36" s="188">
        <f t="shared" si="5"/>
        <v>5.0490474170741262E-3</v>
      </c>
      <c r="W36" s="36">
        <f t="shared" si="6"/>
        <v>16755.227640150588</v>
      </c>
      <c r="X36" s="188">
        <f t="shared" si="5"/>
        <v>2.2662693148531865E-3</v>
      </c>
    </row>
    <row r="37" spans="1:24" x14ac:dyDescent="0.2">
      <c r="A37" s="182">
        <f t="shared" si="1"/>
        <v>2030</v>
      </c>
      <c r="B37" s="206">
        <f>SUM('OD ShareUEC'!$D37:$G37,'OD ShareUEC'!$U37)</f>
        <v>1570.3592992572217</v>
      </c>
      <c r="C37" s="188">
        <f t="shared" si="2"/>
        <v>-8.5091927752337648E-3</v>
      </c>
      <c r="D37" s="206">
        <f>SUM('OD ShareUEC'!$H37:$K37)</f>
        <v>3078.9982589455935</v>
      </c>
      <c r="E37" s="188">
        <f t="shared" si="2"/>
        <v>2.5598743589945183E-3</v>
      </c>
      <c r="F37" s="206">
        <f>'OD ShareUEC'!$L37</f>
        <v>1959.9777452689898</v>
      </c>
      <c r="G37" s="188">
        <f t="shared" si="2"/>
        <v>-1.7430527829727094E-3</v>
      </c>
      <c r="H37" s="206">
        <f>SUM('OD ShareUEC'!$M37:$W37)</f>
        <v>9625.5674646627795</v>
      </c>
      <c r="I37" s="188">
        <f t="shared" si="2"/>
        <v>8.8326742052977636E-3</v>
      </c>
      <c r="J37" s="206">
        <f t="shared" si="0"/>
        <v>16234.895075763385</v>
      </c>
      <c r="K37" s="188">
        <f t="shared" si="3"/>
        <v>4.6557371557962579E-3</v>
      </c>
      <c r="M37" s="206">
        <f t="shared" si="7"/>
        <v>1052.3901390812698</v>
      </c>
      <c r="N37" s="25">
        <f>N36+1</f>
        <v>2030</v>
      </c>
      <c r="O37" s="36">
        <v>1899.7737050270516</v>
      </c>
      <c r="P37" s="188">
        <f t="shared" si="5"/>
        <v>-2.9348951939284218E-3</v>
      </c>
      <c r="Q37" s="36">
        <v>4877.2605215163239</v>
      </c>
      <c r="R37" s="188">
        <f t="shared" si="5"/>
        <v>7.5598551896116639E-4</v>
      </c>
      <c r="S37" s="36">
        <v>1521.1369104900377</v>
      </c>
      <c r="T37" s="188">
        <f t="shared" si="5"/>
        <v>-1.1519911819912743E-3</v>
      </c>
      <c r="U37" s="36">
        <v>8573.1773255815096</v>
      </c>
      <c r="V37" s="188">
        <f t="shared" si="5"/>
        <v>1.4169345198453698E-2</v>
      </c>
      <c r="W37" s="36">
        <f t="shared" si="6"/>
        <v>16871.345131714064</v>
      </c>
      <c r="X37" s="188">
        <f t="shared" si="5"/>
        <v>6.9302246473348372E-3</v>
      </c>
    </row>
    <row r="38" spans="1:24" x14ac:dyDescent="0.2">
      <c r="A38" s="182">
        <f t="shared" si="1"/>
        <v>2031</v>
      </c>
      <c r="B38" s="206">
        <f>SUM('OD ShareUEC'!$D38:$G38,'OD ShareUEC'!$U38)</f>
        <v>1560.9963098021617</v>
      </c>
      <c r="C38" s="188">
        <f t="shared" si="2"/>
        <v>-5.9623230552960926E-3</v>
      </c>
      <c r="D38" s="206">
        <f>SUM('OD ShareUEC'!$H38:$K38)</f>
        <v>3086.5960127163598</v>
      </c>
      <c r="E38" s="188">
        <f t="shared" si="2"/>
        <v>2.4676057379027228E-3</v>
      </c>
      <c r="F38" s="206">
        <f>'OD ShareUEC'!$L38</f>
        <v>1957.2583577246921</v>
      </c>
      <c r="G38" s="188">
        <f t="shared" si="2"/>
        <v>-1.3874583784748706E-3</v>
      </c>
      <c r="H38" s="206">
        <f>SUM('OD ShareUEC'!$M38:$W38)</f>
        <v>9709.9644428961838</v>
      </c>
      <c r="I38" s="188">
        <f t="shared" si="2"/>
        <v>8.7680002808396829E-3</v>
      </c>
      <c r="J38" s="206">
        <f t="shared" si="0"/>
        <v>16314.810240963703</v>
      </c>
      <c r="K38" s="188">
        <f t="shared" si="3"/>
        <v>4.9224318868326122E-3</v>
      </c>
      <c r="M38" s="206">
        <f t="shared" si="7"/>
        <v>1070.7319683569222</v>
      </c>
      <c r="N38" s="25">
        <f t="shared" ref="N38:N45" si="8">N37+1</f>
        <v>2031</v>
      </c>
      <c r="O38" s="36">
        <v>1894.6948225140775</v>
      </c>
      <c r="P38" s="188">
        <f t="shared" si="5"/>
        <v>-2.6734144701207052E-3</v>
      </c>
      <c r="Q38" s="36">
        <v>4880.7328642833818</v>
      </c>
      <c r="R38" s="188">
        <f t="shared" si="5"/>
        <v>7.1194531268914396E-4</v>
      </c>
      <c r="S38" s="36">
        <v>1519.3865905357047</v>
      </c>
      <c r="T38" s="188">
        <f t="shared" si="5"/>
        <v>-1.1506656253374992E-3</v>
      </c>
      <c r="U38" s="36">
        <v>8639.2324745392616</v>
      </c>
      <c r="V38" s="188">
        <f t="shared" si="5"/>
        <v>7.7048620889539343E-3</v>
      </c>
      <c r="W38" s="36">
        <f t="shared" si="6"/>
        <v>16934.043639737643</v>
      </c>
      <c r="X38" s="188">
        <f t="shared" si="5"/>
        <v>3.7162720301253671E-3</v>
      </c>
    </row>
    <row r="39" spans="1:24" x14ac:dyDescent="0.2">
      <c r="A39" s="182">
        <f t="shared" si="1"/>
        <v>2032</v>
      </c>
      <c r="B39" s="206">
        <f>SUM('OD ShareUEC'!$D39:$G39,'OD ShareUEC'!$U39)</f>
        <v>1551.1300247999686</v>
      </c>
      <c r="C39" s="188">
        <f t="shared" si="2"/>
        <v>-6.320505013521438E-3</v>
      </c>
      <c r="D39" s="206">
        <f>SUM('OD ShareUEC'!$H39:$K39)</f>
        <v>3093.7085400921546</v>
      </c>
      <c r="E39" s="188">
        <f t="shared" si="2"/>
        <v>2.304327273958906E-3</v>
      </c>
      <c r="F39" s="206">
        <f>'OD ShareUEC'!$L39</f>
        <v>1955.2386563913713</v>
      </c>
      <c r="G39" s="188">
        <f t="shared" si="2"/>
        <v>-1.0319032872434519E-3</v>
      </c>
      <c r="H39" s="206">
        <f>SUM('OD ShareUEC'!$M39:$W39)</f>
        <v>9786.220883275173</v>
      </c>
      <c r="I39" s="188">
        <f t="shared" si="2"/>
        <v>7.8534211765088902E-3</v>
      </c>
      <c r="J39" s="206">
        <f t="shared" si="0"/>
        <v>16386.29305647764</v>
      </c>
      <c r="K39" s="188">
        <f t="shared" si="3"/>
        <v>4.3814677865179341E-3</v>
      </c>
      <c r="M39" s="206">
        <f t="shared" si="7"/>
        <v>1080.0623018841088</v>
      </c>
      <c r="N39" s="25">
        <f t="shared" si="8"/>
        <v>2032</v>
      </c>
      <c r="O39" s="36">
        <v>1889.5130919486996</v>
      </c>
      <c r="P39" s="188">
        <f t="shared" si="5"/>
        <v>-2.7348628939103392E-3</v>
      </c>
      <c r="Q39" s="36">
        <v>4883.9981666667682</v>
      </c>
      <c r="R39" s="188">
        <f t="shared" si="5"/>
        <v>6.6901886953929512E-4</v>
      </c>
      <c r="S39" s="36">
        <v>1517.6402940177511</v>
      </c>
      <c r="T39" s="188">
        <f t="shared" si="5"/>
        <v>-1.1493431157226786E-3</v>
      </c>
      <c r="U39" s="36">
        <v>8706.1585813910642</v>
      </c>
      <c r="V39" s="188">
        <f t="shared" si="5"/>
        <v>7.7467653578071616E-3</v>
      </c>
      <c r="W39" s="36">
        <f t="shared" si="6"/>
        <v>16997.306918837145</v>
      </c>
      <c r="X39" s="188">
        <f t="shared" si="5"/>
        <v>3.7358637101327918E-3</v>
      </c>
    </row>
    <row r="40" spans="1:24" x14ac:dyDescent="0.2">
      <c r="A40" s="182">
        <f t="shared" si="1"/>
        <v>2033</v>
      </c>
      <c r="B40" s="206">
        <f>SUM('OD ShareUEC'!$D40:$G40,'OD ShareUEC'!$U40)</f>
        <v>1541.3961058702612</v>
      </c>
      <c r="C40" s="188">
        <f t="shared" si="2"/>
        <v>-6.2753726470885507E-3</v>
      </c>
      <c r="D40" s="206">
        <f>SUM('OD ShareUEC'!$H40:$K40)</f>
        <v>3100.4325448265745</v>
      </c>
      <c r="E40" s="188">
        <f t="shared" si="2"/>
        <v>2.173444798461599E-3</v>
      </c>
      <c r="F40" s="206">
        <f>'OD ShareUEC'!$L40</f>
        <v>1954.0104351282052</v>
      </c>
      <c r="G40" s="188">
        <f t="shared" si="2"/>
        <v>-6.2816948670241235E-4</v>
      </c>
      <c r="H40" s="206">
        <f>SUM('OD ShareUEC'!$M40:$W40)</f>
        <v>9855.6610236343968</v>
      </c>
      <c r="I40" s="188">
        <f t="shared" si="2"/>
        <v>7.0957053992004582E-3</v>
      </c>
      <c r="J40" s="206">
        <f t="shared" si="0"/>
        <v>16451.495379362103</v>
      </c>
      <c r="K40" s="188">
        <f t="shared" si="3"/>
        <v>3.9790770651870755E-3</v>
      </c>
      <c r="M40" s="206">
        <f t="shared" si="7"/>
        <v>1081.6941711826094</v>
      </c>
      <c r="N40" s="25">
        <f t="shared" si="8"/>
        <v>2033</v>
      </c>
      <c r="O40" s="36">
        <v>1884.2310447558564</v>
      </c>
      <c r="P40" s="188">
        <f t="shared" si="5"/>
        <v>-2.7954541386087106E-3</v>
      </c>
      <c r="Q40" s="36">
        <v>4887.0612567138587</v>
      </c>
      <c r="R40" s="188">
        <f t="shared" si="5"/>
        <v>6.2716854973365876E-4</v>
      </c>
      <c r="S40" s="36">
        <v>1515.898007079177</v>
      </c>
      <c r="T40" s="188">
        <f t="shared" si="5"/>
        <v>-1.1480236426523183E-3</v>
      </c>
      <c r="U40" s="36">
        <v>8773.9668524517874</v>
      </c>
      <c r="V40" s="188">
        <f t="shared" si="5"/>
        <v>7.7885407699396225E-3</v>
      </c>
      <c r="W40" s="36">
        <f t="shared" si="6"/>
        <v>17061.153844691449</v>
      </c>
      <c r="X40" s="188">
        <f t="shared" si="5"/>
        <v>3.7562965803450421E-3</v>
      </c>
    </row>
    <row r="41" spans="1:24" x14ac:dyDescent="0.2">
      <c r="A41" s="182">
        <f t="shared" si="1"/>
        <v>2034</v>
      </c>
      <c r="B41" s="206">
        <f>SUM('OD ShareUEC'!$D41:$G41,'OD ShareUEC'!$U41)</f>
        <v>1531.8464403960004</v>
      </c>
      <c r="C41" s="188">
        <f t="shared" si="2"/>
        <v>-6.1954649021700448E-3</v>
      </c>
      <c r="D41" s="206">
        <f>SUM('OD ShareUEC'!$H41:$K41)</f>
        <v>3107.0279042715938</v>
      </c>
      <c r="E41" s="188">
        <f t="shared" si="2"/>
        <v>2.1272384900050678E-3</v>
      </c>
      <c r="F41" s="206">
        <f>'OD ShareUEC'!$L41</f>
        <v>1953.2670826250403</v>
      </c>
      <c r="G41" s="188">
        <f t="shared" si="2"/>
        <v>-3.8042401913584989E-4</v>
      </c>
      <c r="H41" s="206">
        <f>SUM('OD ShareUEC'!$M41:$W41)</f>
        <v>9920.1015894923912</v>
      </c>
      <c r="I41" s="188">
        <f t="shared" si="2"/>
        <v>6.538431638777098E-3</v>
      </c>
      <c r="J41" s="206">
        <f t="shared" si="0"/>
        <v>16512.238568134595</v>
      </c>
      <c r="K41" s="188">
        <f t="shared" si="3"/>
        <v>3.6922594190855751E-3</v>
      </c>
      <c r="M41" s="206">
        <f t="shared" si="7"/>
        <v>1077.4329504565612</v>
      </c>
      <c r="N41" s="25">
        <f t="shared" si="8"/>
        <v>2034</v>
      </c>
      <c r="O41" s="36">
        <v>1878.8511373278736</v>
      </c>
      <c r="P41" s="188">
        <f t="shared" si="5"/>
        <v>-2.8552270396754453E-3</v>
      </c>
      <c r="Q41" s="36">
        <v>4889.926825631359</v>
      </c>
      <c r="R41" s="188">
        <f t="shared" si="5"/>
        <v>5.8635829734354772E-4</v>
      </c>
      <c r="S41" s="36">
        <v>1514.1597159265416</v>
      </c>
      <c r="T41" s="188">
        <f t="shared" si="5"/>
        <v>-1.1467071956804409E-3</v>
      </c>
      <c r="U41" s="36">
        <v>8842.66863903583</v>
      </c>
      <c r="V41" s="188">
        <f t="shared" si="5"/>
        <v>7.8301853357065632E-3</v>
      </c>
      <c r="W41" s="36">
        <f t="shared" si="6"/>
        <v>17125.602902345665</v>
      </c>
      <c r="X41" s="188">
        <f t="shared" si="5"/>
        <v>3.7775321787083538E-3</v>
      </c>
    </row>
    <row r="42" spans="1:24" x14ac:dyDescent="0.2">
      <c r="A42" s="182">
        <f t="shared" si="1"/>
        <v>2035</v>
      </c>
      <c r="B42" s="206">
        <f>SUM('OD ShareUEC'!$D42:$G42,'OD ShareUEC'!$U42)</f>
        <v>1522.1888039119428</v>
      </c>
      <c r="C42" s="188">
        <f t="shared" si="2"/>
        <v>-6.3045722008276961E-3</v>
      </c>
      <c r="D42" s="206">
        <f>SUM('OD ShareUEC'!$H42:$K42)</f>
        <v>3112.6566282657727</v>
      </c>
      <c r="E42" s="188">
        <f t="shared" si="2"/>
        <v>1.8116103773770931E-3</v>
      </c>
      <c r="F42" s="206">
        <f>'OD ShareUEC'!$L42</f>
        <v>1953.3230591611002</v>
      </c>
      <c r="G42" s="188">
        <f t="shared" si="2"/>
        <v>2.8657901706141686E-5</v>
      </c>
      <c r="H42" s="206">
        <f>SUM('OD ShareUEC'!$M42:$W42)</f>
        <v>9986.7173890223967</v>
      </c>
      <c r="I42" s="188">
        <f t="shared" si="2"/>
        <v>6.7152336021001346E-3</v>
      </c>
      <c r="J42" s="206">
        <f t="shared" si="0"/>
        <v>16574.881416057291</v>
      </c>
      <c r="K42" s="188">
        <f t="shared" si="3"/>
        <v>3.7937223147674892E-3</v>
      </c>
      <c r="M42" s="206">
        <f t="shared" si="7"/>
        <v>1074.4419496869741</v>
      </c>
      <c r="N42" s="25">
        <f t="shared" si="8"/>
        <v>2035</v>
      </c>
      <c r="O42" s="36">
        <v>1873.3757536701899</v>
      </c>
      <c r="P42" s="188">
        <f t="shared" si="5"/>
        <v>-2.9142189867532586E-3</v>
      </c>
      <c r="Q42" s="36">
        <v>4892.5994325482425</v>
      </c>
      <c r="R42" s="188">
        <f t="shared" si="5"/>
        <v>5.4655356044897019E-4</v>
      </c>
      <c r="S42" s="36">
        <v>1512.4254068296004</v>
      </c>
      <c r="T42" s="188">
        <f t="shared" si="5"/>
        <v>-1.1453937644086976E-3</v>
      </c>
      <c r="U42" s="36">
        <v>8912.2754393354226</v>
      </c>
      <c r="V42" s="188">
        <f t="shared" si="5"/>
        <v>7.8716961067968327E-3</v>
      </c>
      <c r="W42" s="36">
        <f t="shared" si="6"/>
        <v>17190.672519324267</v>
      </c>
      <c r="X42" s="188">
        <f t="shared" si="5"/>
        <v>3.7995518960496355E-3</v>
      </c>
    </row>
    <row r="43" spans="1:24" x14ac:dyDescent="0.2">
      <c r="A43" s="182">
        <f t="shared" si="1"/>
        <v>2036</v>
      </c>
      <c r="B43" s="206">
        <f>SUM('OD ShareUEC'!$D43:$G43,'OD ShareUEC'!$U43)</f>
        <v>1516.9372617204797</v>
      </c>
      <c r="C43" s="188">
        <f t="shared" si="2"/>
        <v>-3.4499939678750424E-3</v>
      </c>
      <c r="D43" s="206">
        <f>SUM('OD ShareUEC'!$H43:$K43)</f>
        <v>3117.4044858806092</v>
      </c>
      <c r="E43" s="188">
        <f t="shared" si="2"/>
        <v>1.5253393425158634E-3</v>
      </c>
      <c r="F43" s="206">
        <f>'OD ShareUEC'!$L43</f>
        <v>1953.3789561831591</v>
      </c>
      <c r="G43" s="188">
        <f t="shared" si="2"/>
        <v>2.8616373413781204E-5</v>
      </c>
      <c r="H43" s="206">
        <f>SUM('OD ShareUEC'!$M43:$W43)</f>
        <v>10054.866599979659</v>
      </c>
      <c r="I43" s="188">
        <f t="shared" si="2"/>
        <v>6.823985129705834E-3</v>
      </c>
      <c r="J43" s="206">
        <f t="shared" si="0"/>
        <v>16642.585407725655</v>
      </c>
      <c r="K43" s="188">
        <f t="shared" si="3"/>
        <v>4.0847346034569298E-3</v>
      </c>
      <c r="M43" s="206">
        <f t="shared" si="7"/>
        <v>1072.0676996564289</v>
      </c>
      <c r="N43" s="25">
        <f t="shared" si="8"/>
        <v>2036</v>
      </c>
      <c r="O43" s="36">
        <v>1867.807207937253</v>
      </c>
      <c r="P43" s="188">
        <f t="shared" si="5"/>
        <v>-2.9724659999614822E-3</v>
      </c>
      <c r="Q43" s="36">
        <v>4895.0835090814835</v>
      </c>
      <c r="R43" s="188">
        <f t="shared" si="5"/>
        <v>5.0772121598918751E-4</v>
      </c>
      <c r="S43" s="36">
        <v>1510.6950661209421</v>
      </c>
      <c r="T43" s="188">
        <f t="shared" si="5"/>
        <v>-1.1440833384871452E-3</v>
      </c>
      <c r="U43" s="36">
        <v>8982.7989003232306</v>
      </c>
      <c r="V43" s="188">
        <f t="shared" si="5"/>
        <v>7.9130701769543066E-3</v>
      </c>
      <c r="W43" s="36">
        <f t="shared" si="6"/>
        <v>17256.381074634788</v>
      </c>
      <c r="X43" s="188">
        <f t="shared" si="5"/>
        <v>3.8223376797303921E-3</v>
      </c>
    </row>
    <row r="44" spans="1:24" x14ac:dyDescent="0.2">
      <c r="A44" s="182">
        <f t="shared" si="1"/>
        <v>2037</v>
      </c>
      <c r="B44" s="206">
        <f>SUM('OD ShareUEC'!$D44:$G44,'OD ShareUEC'!$U44)</f>
        <v>1511.7278902352089</v>
      </c>
      <c r="C44" s="188">
        <f t="shared" si="2"/>
        <v>-3.4341377304968335E-3</v>
      </c>
      <c r="D44" s="206">
        <f>SUM('OD ShareUEC'!$H44:$K44)</f>
        <v>3122.1473447446861</v>
      </c>
      <c r="E44" s="188">
        <f t="shared" si="2"/>
        <v>1.5214127282996426E-3</v>
      </c>
      <c r="F44" s="206">
        <f>'OD ShareUEC'!$L44</f>
        <v>1953.4347738605202</v>
      </c>
      <c r="G44" s="188">
        <f t="shared" si="2"/>
        <v>2.8574935336811436E-5</v>
      </c>
      <c r="H44" s="206">
        <f>SUM('OD ShareUEC'!$M44:$W44)</f>
        <v>10123.880748746877</v>
      </c>
      <c r="I44" s="188">
        <f t="shared" si="2"/>
        <v>6.8637557824344775E-3</v>
      </c>
      <c r="J44" s="206">
        <f t="shared" si="0"/>
        <v>16711.188873437226</v>
      </c>
      <c r="K44" s="188">
        <f t="shared" si="3"/>
        <v>4.1221639565522938E-3</v>
      </c>
      <c r="M44" s="206">
        <f t="shared" si="7"/>
        <v>1069.6299290671523</v>
      </c>
      <c r="N44" s="25">
        <f t="shared" si="8"/>
        <v>2037</v>
      </c>
      <c r="O44" s="36">
        <v>1862.1477468638532</v>
      </c>
      <c r="P44" s="188">
        <f t="shared" si="5"/>
        <v>-3.0300028018683811E-3</v>
      </c>
      <c r="Q44" s="36">
        <v>4897.3833637140115</v>
      </c>
      <c r="R44" s="188">
        <f t="shared" si="5"/>
        <v>4.6982949897822479E-4</v>
      </c>
      <c r="S44" s="36">
        <v>1508.9686801956316</v>
      </c>
      <c r="T44" s="188">
        <f t="shared" si="5"/>
        <v>-1.1427759076114707E-3</v>
      </c>
      <c r="U44" s="36">
        <v>9054.2508196797244</v>
      </c>
      <c r="V44" s="188">
        <f t="shared" si="5"/>
        <v>7.954304682688873E-3</v>
      </c>
      <c r="W44" s="36">
        <f t="shared" si="6"/>
        <v>17322.74690750401</v>
      </c>
      <c r="X44" s="188">
        <f t="shared" si="5"/>
        <v>3.8458720042275907E-3</v>
      </c>
    </row>
    <row r="45" spans="1:24" x14ac:dyDescent="0.2">
      <c r="A45" s="182">
        <f t="shared" si="1"/>
        <v>2038</v>
      </c>
      <c r="B45" s="206">
        <f>SUM('OD ShareUEC'!$D45:$G45,'OD ShareUEC'!$U45)</f>
        <v>1506.5595506173406</v>
      </c>
      <c r="C45" s="188">
        <f t="shared" si="2"/>
        <v>-3.4188293086688804E-3</v>
      </c>
      <c r="D45" s="206">
        <f>SUM('OD ShareUEC'!$H45:$K45)</f>
        <v>3126.8852112273703</v>
      </c>
      <c r="E45" s="188">
        <f t="shared" si="2"/>
        <v>1.5175025261568997E-3</v>
      </c>
      <c r="F45" s="206">
        <f>'OD ShareUEC'!$L45</f>
        <v>1953.4905123620065</v>
      </c>
      <c r="G45" s="188">
        <f t="shared" si="2"/>
        <v>2.8533587213663836E-5</v>
      </c>
      <c r="H45" s="206">
        <f>SUM('OD ShareUEC'!$M45:$W45)</f>
        <v>10193.769638868798</v>
      </c>
      <c r="I45" s="188">
        <f t="shared" si="2"/>
        <v>6.9033695532785266E-3</v>
      </c>
      <c r="J45" s="206">
        <f t="shared" si="0"/>
        <v>16780.703040282322</v>
      </c>
      <c r="K45" s="188">
        <f t="shared" si="3"/>
        <v>4.1597379678708357E-3</v>
      </c>
      <c r="M45" s="206">
        <f t="shared" si="7"/>
        <v>1067.1620718749055</v>
      </c>
      <c r="N45" s="25">
        <f t="shared" si="8"/>
        <v>2038</v>
      </c>
      <c r="O45" s="36">
        <v>1856.9042713280946</v>
      </c>
      <c r="P45" s="188">
        <f t="shared" si="5"/>
        <v>-2.815821432316179E-3</v>
      </c>
      <c r="Q45" s="36">
        <v>4899.503185993859</v>
      </c>
      <c r="R45" s="188">
        <f t="shared" si="5"/>
        <v>4.3284793580866676E-4</v>
      </c>
      <c r="S45" s="36">
        <v>1507.2462355108519</v>
      </c>
      <c r="T45" s="188">
        <f t="shared" si="5"/>
        <v>-1.1414714615258781E-3</v>
      </c>
      <c r="U45" s="36">
        <v>9126.6075669938928</v>
      </c>
      <c r="V45" s="188">
        <f t="shared" si="5"/>
        <v>7.9914670749896555E-3</v>
      </c>
      <c r="W45" s="36">
        <f t="shared" si="6"/>
        <v>17390.25773538174</v>
      </c>
      <c r="X45" s="188">
        <f t="shared" si="5"/>
        <v>3.8972357119924084E-3</v>
      </c>
    </row>
    <row r="46" spans="1:24" x14ac:dyDescent="0.2">
      <c r="A46" s="182">
        <f t="shared" si="1"/>
        <v>2039</v>
      </c>
      <c r="B46" s="206">
        <f>SUM('OD ShareUEC'!$D46:$G46,'OD ShareUEC'!$U46)</f>
        <v>1504.0477184790038</v>
      </c>
      <c r="C46" s="188">
        <f t="shared" si="2"/>
        <v>-1.6672637582149097E-3</v>
      </c>
      <c r="D46" s="206">
        <f>SUM('OD ShareUEC'!$H46:$K46)</f>
        <v>3131.6180916947947</v>
      </c>
      <c r="E46" s="188">
        <f t="shared" si="2"/>
        <v>1.5136086385361125E-3</v>
      </c>
      <c r="F46" s="206">
        <f>'OD ShareUEC'!$L46</f>
        <v>1953.5461718559609</v>
      </c>
      <c r="G46" s="188">
        <f t="shared" si="2"/>
        <v>2.8492328783880083E-5</v>
      </c>
      <c r="H46" s="206">
        <f>SUM('OD ShareUEC'!$M46:$W46)</f>
        <v>10264.543192303894</v>
      </c>
      <c r="I46" s="188">
        <f t="shared" si="2"/>
        <v>6.9428244842062448E-3</v>
      </c>
      <c r="J46" s="206">
        <f t="shared" si="0"/>
        <v>16853.755049170861</v>
      </c>
      <c r="K46" s="188">
        <f t="shared" si="3"/>
        <v>4.3533342264132635E-3</v>
      </c>
      <c r="M46" s="206">
        <f t="shared" si="7"/>
        <v>1064.6263596360532</v>
      </c>
      <c r="N46" s="25">
        <f>N45+1</f>
        <v>2039</v>
      </c>
      <c r="O46" s="36">
        <v>1851.5671081146734</v>
      </c>
      <c r="P46" s="188">
        <f t="shared" si="5"/>
        <v>-2.8742263647247857E-3</v>
      </c>
      <c r="Q46" s="36">
        <v>4901.4470505629597</v>
      </c>
      <c r="R46" s="188">
        <f t="shared" si="5"/>
        <v>3.9674728136884774E-4</v>
      </c>
      <c r="S46" s="36">
        <v>1505.5277185855498</v>
      </c>
      <c r="T46" s="188">
        <f t="shared" si="5"/>
        <v>-1.1401699900213114E-3</v>
      </c>
      <c r="U46" s="36">
        <v>9199.9168326678409</v>
      </c>
      <c r="V46" s="188">
        <f t="shared" si="5"/>
        <v>8.0324770333140005E-3</v>
      </c>
      <c r="W46" s="36">
        <f t="shared" si="6"/>
        <v>17458.455092281947</v>
      </c>
      <c r="X46" s="188">
        <f t="shared" si="5"/>
        <v>3.9215840235338195E-3</v>
      </c>
    </row>
    <row r="47" spans="1:24" x14ac:dyDescent="0.2">
      <c r="A47" s="182">
        <f t="shared" si="1"/>
        <v>2040</v>
      </c>
      <c r="B47" s="206">
        <f>SUM('OD ShareUEC'!$D47:$G47,'OD ShareUEC'!$U47)</f>
        <v>1501.5763415281235</v>
      </c>
      <c r="C47" s="188">
        <f t="shared" si="2"/>
        <v>-1.6431506264837914E-3</v>
      </c>
      <c r="D47" s="206">
        <f>SUM('OD ShareUEC'!$H47:$K47)</f>
        <v>3136.3459925098014</v>
      </c>
      <c r="E47" s="188">
        <f t="shared" si="2"/>
        <v>1.5097309686469274E-3</v>
      </c>
      <c r="F47" s="206">
        <f>'OD ShareUEC'!$L47</f>
        <v>1953.6017525102518</v>
      </c>
      <c r="G47" s="188">
        <f t="shared" si="2"/>
        <v>2.8451159789222302E-5</v>
      </c>
      <c r="H47" s="206">
        <f>SUM('OD ShareUEC'!$M47:$W47)</f>
        <v>10336.211450831644</v>
      </c>
      <c r="I47" s="188">
        <f t="shared" si="2"/>
        <v>6.9821186569203331E-3</v>
      </c>
      <c r="J47" s="206">
        <f t="shared" si="0"/>
        <v>16927.735432411322</v>
      </c>
      <c r="K47" s="188">
        <f t="shared" si="3"/>
        <v>4.389548977342006E-3</v>
      </c>
      <c r="M47" s="206">
        <f t="shared" si="7"/>
        <v>1062.0205725105952</v>
      </c>
      <c r="N47" s="25">
        <f>N46+1</f>
        <v>2040</v>
      </c>
      <c r="O47" s="36">
        <v>1846.1383016455788</v>
      </c>
      <c r="P47" s="188">
        <f t="shared" si="5"/>
        <v>-2.932006323347558E-3</v>
      </c>
      <c r="Q47" s="36">
        <v>4903.2189210235829</v>
      </c>
      <c r="R47" s="188">
        <f t="shared" si="5"/>
        <v>3.6149945971963859E-4</v>
      </c>
      <c r="S47" s="36">
        <v>1503.8131160000864</v>
      </c>
      <c r="T47" s="188">
        <f t="shared" si="5"/>
        <v>-1.1388714829336788E-3</v>
      </c>
      <c r="U47" s="36">
        <v>9274.1908783210492</v>
      </c>
      <c r="V47" s="188">
        <f t="shared" si="5"/>
        <v>8.0733388142673057E-3</v>
      </c>
      <c r="W47" s="36">
        <f t="shared" si="6"/>
        <v>17527.357507611952</v>
      </c>
      <c r="X47" s="188">
        <f t="shared" si="5"/>
        <v>3.9466502027700745E-3</v>
      </c>
    </row>
    <row r="48" spans="1:24" x14ac:dyDescent="0.2">
      <c r="A48" s="182">
        <f t="shared" si="1"/>
        <v>2041</v>
      </c>
      <c r="B48" s="206">
        <f>SUM('OD ShareUEC'!$D48:$G48,'OD ShareUEC'!$U48)</f>
        <v>1499.1443781333628</v>
      </c>
      <c r="C48" s="188">
        <f t="shared" si="2"/>
        <v>-1.6196068941028985E-3</v>
      </c>
      <c r="D48" s="206">
        <f>SUM('OD ShareUEC'!$H48:$K48)</f>
        <v>3141.0689200318925</v>
      </c>
      <c r="E48" s="188">
        <f t="shared" si="2"/>
        <v>1.5058694204563849E-3</v>
      </c>
      <c r="F48" s="206">
        <f>'OD ShareUEC'!$L48</f>
        <v>1953.6572544922697</v>
      </c>
      <c r="G48" s="188">
        <f t="shared" si="2"/>
        <v>2.8410079969676261E-5</v>
      </c>
      <c r="H48" s="206">
        <f>SUM('OD ShareUEC'!$M48:$W48)</f>
        <v>10408.784577476708</v>
      </c>
      <c r="I48" s="188">
        <f t="shared" si="2"/>
        <v>7.0212501930990712E-3</v>
      </c>
      <c r="J48" s="206">
        <f t="shared" si="0"/>
        <v>17002.655044806841</v>
      </c>
      <c r="K48" s="188">
        <f t="shared" si="3"/>
        <v>4.425849676978677E-3</v>
      </c>
      <c r="M48" s="206">
        <f t="shared" si="7"/>
        <v>1059.3424532332774</v>
      </c>
      <c r="N48" s="25">
        <f>N47+1</f>
        <v>2041</v>
      </c>
      <c r="O48" s="36">
        <v>1840.6198406709434</v>
      </c>
      <c r="P48" s="188">
        <f t="shared" si="5"/>
        <v>-2.9891915300801486E-3</v>
      </c>
      <c r="Q48" s="36">
        <v>4904.8226536500069</v>
      </c>
      <c r="R48" s="188">
        <f t="shared" si="5"/>
        <v>3.270775081136712E-4</v>
      </c>
      <c r="S48" s="36">
        <v>1502.1024143958848</v>
      </c>
      <c r="T48" s="188">
        <f t="shared" si="5"/>
        <v>-1.1375759301474053E-3</v>
      </c>
      <c r="U48" s="36">
        <v>9349.442124243431</v>
      </c>
      <c r="V48" s="188">
        <f t="shared" si="5"/>
        <v>8.1140497224707619E-3</v>
      </c>
      <c r="W48" s="36">
        <f t="shared" si="6"/>
        <v>17596.983233270315</v>
      </c>
      <c r="X48" s="188">
        <f t="shared" si="5"/>
        <v>3.9724028923426857E-3</v>
      </c>
    </row>
    <row r="49" spans="1:11" x14ac:dyDescent="0.2">
      <c r="A49" s="182">
        <f t="shared" si="1"/>
        <v>2042</v>
      </c>
      <c r="B49" s="206">
        <f>SUM('OD ShareUEC'!$D49:$G49,'OD ShareUEC'!$U49)</f>
        <v>1496.7508176750389</v>
      </c>
      <c r="C49" s="188">
        <f t="shared" si="2"/>
        <v>-1.5966177062306519E-3</v>
      </c>
      <c r="D49" s="206">
        <f>SUM('OD ShareUEC'!$H49:$K49)</f>
        <v>3145.7868806171637</v>
      </c>
      <c r="E49" s="188">
        <f t="shared" si="2"/>
        <v>1.5020238986742651E-3</v>
      </c>
      <c r="F49" s="206">
        <f>'OD ShareUEC'!$L49</f>
        <v>1953.7126779689336</v>
      </c>
      <c r="G49" s="188">
        <f t="shared" si="2"/>
        <v>2.8369089069446574E-5</v>
      </c>
      <c r="H49" s="206">
        <f>SUM('OD ShareUEC'!$M49:$W49)</f>
        <v>10482.272857950291</v>
      </c>
      <c r="I49" s="188">
        <f t="shared" si="2"/>
        <v>7.0602172546256892E-3</v>
      </c>
      <c r="J49" s="206">
        <f t="shared" si="0"/>
        <v>17078.523167986707</v>
      </c>
      <c r="K49" s="188">
        <f t="shared" si="3"/>
        <v>4.4621338832042667E-3</v>
      </c>
    </row>
    <row r="50" spans="1:11" x14ac:dyDescent="0.2">
      <c r="A50" s="182">
        <f t="shared" si="1"/>
        <v>2043</v>
      </c>
      <c r="B50" s="206">
        <f>SUM('OD ShareUEC'!$D50:$G50,'OD ShareUEC'!$U50)</f>
        <v>1494.8969285524543</v>
      </c>
      <c r="C50" s="188">
        <f t="shared" ref="C50" si="9">B50/B49-1</f>
        <v>-1.2386090594989074E-3</v>
      </c>
      <c r="D50" s="206">
        <f>SUM('OD ShareUEC'!$H50:$K50)</f>
        <v>3150.4998806182598</v>
      </c>
      <c r="E50" s="188">
        <f t="shared" ref="E50" si="10">D50/D49-1</f>
        <v>1.4981943087548633E-3</v>
      </c>
      <c r="F50" s="206">
        <f>'OD ShareUEC'!$L50</f>
        <v>1953.768023106689</v>
      </c>
      <c r="G50" s="188">
        <f t="shared" ref="G50" si="11">F50/F49-1</f>
        <v>2.8328186830961499E-5</v>
      </c>
      <c r="H50" s="206">
        <f>SUM('OD ShareUEC'!$M50:$W50)</f>
        <v>10556.686702108816</v>
      </c>
      <c r="I50" s="188">
        <f t="shared" ref="I50" si="12">H50/H49-1</f>
        <v>7.0990180437906503E-3</v>
      </c>
      <c r="J50" s="206">
        <f t="shared" ref="J50" si="13">SUM(B50:H50)</f>
        <v>17155.851822299657</v>
      </c>
      <c r="K50" s="188">
        <f t="shared" si="3"/>
        <v>4.5278302785514146E-3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tabSelected="1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.85546875" style="224" bestFit="1" customWidth="1"/>
    <col min="2" max="2" width="7.140625" style="224" customWidth="1"/>
    <col min="3" max="3" width="8.28515625" style="224" customWidth="1"/>
    <col min="4" max="4" width="9" style="153" bestFit="1" customWidth="1"/>
    <col min="5" max="5" width="7.42578125" style="153" bestFit="1" customWidth="1"/>
    <col min="6" max="6" width="9.140625" style="153" bestFit="1" customWidth="1"/>
    <col min="7" max="7" width="7.42578125" style="153" customWidth="1"/>
    <col min="8" max="8" width="6.5703125" style="153" bestFit="1" customWidth="1"/>
    <col min="9" max="9" width="7.28515625" style="153" bestFit="1" customWidth="1"/>
    <col min="10" max="10" width="9.140625" style="153" bestFit="1" customWidth="1"/>
    <col min="11" max="11" width="5.5703125" style="153" bestFit="1" customWidth="1"/>
    <col min="12" max="12" width="8" style="153" bestFit="1" customWidth="1"/>
    <col min="13" max="13" width="6.5703125" style="153" bestFit="1" customWidth="1"/>
    <col min="14" max="14" width="8.140625" style="153" bestFit="1" customWidth="1"/>
    <col min="15" max="16" width="6.5703125" style="153" bestFit="1" customWidth="1"/>
    <col min="17" max="17" width="5.5703125" style="153" bestFit="1" customWidth="1"/>
    <col min="18" max="18" width="7.140625" style="153" bestFit="1" customWidth="1"/>
    <col min="19" max="20" width="6.5703125" style="153" bestFit="1" customWidth="1"/>
    <col min="21" max="21" width="8.5703125" style="153" bestFit="1" customWidth="1"/>
    <col min="22" max="23" width="8.140625" style="153" bestFit="1" customWidth="1"/>
    <col min="24" max="16384" width="9.140625" style="224"/>
  </cols>
  <sheetData>
    <row r="1" spans="1:25" x14ac:dyDescent="0.2">
      <c r="A1" s="184" t="s">
        <v>15</v>
      </c>
      <c r="B1" s="184" t="s">
        <v>16</v>
      </c>
      <c r="C1" s="184" t="s">
        <v>17</v>
      </c>
      <c r="D1" s="223" t="s">
        <v>0</v>
      </c>
      <c r="E1" s="223" t="s">
        <v>1</v>
      </c>
      <c r="F1" s="223"/>
      <c r="G1" s="223" t="s">
        <v>147</v>
      </c>
      <c r="H1" s="223" t="s">
        <v>2</v>
      </c>
      <c r="I1" s="223" t="s">
        <v>3</v>
      </c>
      <c r="J1" s="223"/>
      <c r="K1" s="223" t="s">
        <v>4</v>
      </c>
      <c r="L1" s="223" t="s">
        <v>5</v>
      </c>
      <c r="M1" s="223" t="s">
        <v>6</v>
      </c>
      <c r="N1" s="223" t="s">
        <v>7</v>
      </c>
      <c r="O1" s="223" t="s">
        <v>8</v>
      </c>
      <c r="P1" s="223" t="s">
        <v>9</v>
      </c>
      <c r="Q1" s="223" t="s">
        <v>10</v>
      </c>
      <c r="R1" s="223" t="s">
        <v>11</v>
      </c>
      <c r="S1" s="223" t="s">
        <v>12</v>
      </c>
      <c r="T1" s="223" t="s">
        <v>100</v>
      </c>
      <c r="U1" s="223" t="s">
        <v>174</v>
      </c>
      <c r="V1" s="223" t="s">
        <v>13</v>
      </c>
      <c r="W1" s="223" t="s">
        <v>14</v>
      </c>
    </row>
    <row r="2" spans="1:25" x14ac:dyDescent="0.2">
      <c r="A2" s="225">
        <v>1995</v>
      </c>
      <c r="B2" s="226">
        <f>D2+E2+F2</f>
        <v>1237.3427163405304</v>
      </c>
      <c r="C2" s="226">
        <f>SUM(G2:I2)</f>
        <v>3833.8585877322721</v>
      </c>
      <c r="D2" s="227">
        <f>'OD Efficiencies'!B$54*'OD StructuralVars'!$Q2*('OD Shares'!B2/'OD Efficiencies'!B2)/('OD Shares'!B$12/'OD Efficiencies'!B$12)</f>
        <v>874.02875168053595</v>
      </c>
      <c r="E2" s="227">
        <f>'OD Efficiencies'!C$54*'OD StructuralVars'!$Q2*('OD Shares'!D2/'OD Efficiencies'!C2)/('OD Shares'!D$12/'OD Efficiencies'!C$12)</f>
        <v>363.31396465999438</v>
      </c>
      <c r="F2" s="227"/>
      <c r="G2" s="227">
        <f>'OD Efficiencies'!E$54*'OD StructuralVars'!$Q2*('OD Shares'!H2/(1/'OD Efficiencies'!E2))/('OD Shares'!H$12/(1/'OD Efficiencies'!E$12))</f>
        <v>108.88795397933713</v>
      </c>
      <c r="H2" s="227">
        <f>'OD Efficiencies'!F$54*'OD StructuralVars'!$R2*('OD Shares'!J2/'OD Efficiencies'!F2)/('OD Shares'!J$12/'OD Efficiencies'!F$12)</f>
        <v>2998.8337525402389</v>
      </c>
      <c r="I2" s="227">
        <f>'OD Efficiencies'!G$54*'OD StructuralVars'!$R2*('OD Shares'!L2/'OD Efficiencies'!G2)/('OD Shares'!L$12/'OD Efficiencies'!G$12)</f>
        <v>726.13688121269615</v>
      </c>
      <c r="J2" s="227"/>
      <c r="K2" s="227">
        <f>'OD Efficiencies'!I$54*'OD StructuralVars'!$R2*('OD Shares'!P2/'OD Efficiencies'!I2)/('OD Shares'!P$12/'OD Efficiencies'!I$12)</f>
        <v>650.30286124276813</v>
      </c>
      <c r="L2" s="227">
        <f>'OD Efficiencies'!J$54*('OD Shares'!R2/'OD Efficiencies'!J2)/('OD Shares'!R$12/'OD Efficiencies'!J$12)</f>
        <v>2192.8915836291339</v>
      </c>
      <c r="M2" s="227">
        <f>'OD Efficiencies'!K$54*('OD Shares'!T2/(1/'OD Efficiencies'!K2))/('OD Shares'!T$12/(1/'OD Efficiencies'!K$12))</f>
        <v>533.91040663061847</v>
      </c>
      <c r="N2" s="227">
        <f>'OD Efficiencies'!L$54*('OD Shares'!U2/(1/'OD Efficiencies'!L2))/('OD Shares'!U$12/(1/'OD Efficiencies'!L$12))</f>
        <v>828.42931342085274</v>
      </c>
      <c r="O2" s="227">
        <f>'OD Efficiencies'!M$54*('OD Shares'!W2/(1/'OD Efficiencies'!M2))/('OD Shares'!W$12/(1/'OD Efficiencies'!M$12))</f>
        <v>149.11727641575334</v>
      </c>
      <c r="P2" s="227">
        <f>'OD Efficiencies'!N$54*('OD Shares'!Y2/(1/'OD Efficiencies'!N2))/('OD Shares'!Y$12/(1/'OD Efficiencies'!N$12))</f>
        <v>289.1818086899674</v>
      </c>
      <c r="Q2" s="227">
        <f>'OD Efficiencies'!O$54*('OD Shares'!AA2/(1/'OD Efficiencies'!O2))/('OD Shares'!AA$12/(1/'OD Efficiencies'!O$12))</f>
        <v>309.46556570033476</v>
      </c>
      <c r="R2" s="227">
        <f>'OD Efficiencies'!P$54*('OD Shares'!AC2/(1/'OD Efficiencies'!P2))/('OD Shares'!AC$12/(1/'OD Efficiencies'!P$12))</f>
        <v>110.93956592638811</v>
      </c>
      <c r="S2" s="227">
        <f>'OD Efficiencies'!Q$54*('OD Shares'!AE2/(1/'OD Efficiencies'!Q2))/('OD Shares'!AE$12/(1/'OD Efficiencies'!Q$12))</f>
        <v>844.00584843044226</v>
      </c>
      <c r="T2" s="227">
        <f>'OD Efficiencies'!R$54*('OD Shares'!AG2/(1/'OD Efficiencies'!R2))/('OD Shares'!AG$12/(1/'OD Efficiencies'!R$12))</f>
        <v>623.09495680708721</v>
      </c>
      <c r="U2" s="227">
        <f>'OD Efficiencies'!S$54*('OD Shares'!AH2/(1/'OD Efficiencies'!S2))/('OD Shares'!AH$12/(1/'OD Efficiencies'!S$12))</f>
        <v>211.02719168409553</v>
      </c>
      <c r="V2" s="227">
        <f>'OD Efficiencies'!T$54*('OD Shares'!AI2/(1/'OD Efficiencies'!T2))/('OD Shares'!AI$12/(1/'OD Efficiencies'!T$12))</f>
        <v>2103.645759810177</v>
      </c>
      <c r="W2" s="227">
        <f>'OD Efficiencies'!V$54*('OD Shares'!AJ2/(1/'OD Efficiencies'!X2))/('OD Shares'!AJ$12/(1/'OD Efficiencies'!X$12))</f>
        <v>2274.6630860842311</v>
      </c>
    </row>
    <row r="3" spans="1:25" x14ac:dyDescent="0.2">
      <c r="A3" s="225">
        <v>1996</v>
      </c>
      <c r="B3" s="226">
        <f t="shared" ref="B3" si="0">D3+E3+F3</f>
        <v>1243.3889016947765</v>
      </c>
      <c r="C3" s="226">
        <f t="shared" ref="C3:C7" si="1">SUM(G3:I3)</f>
        <v>3803.0938329222822</v>
      </c>
      <c r="D3" s="227">
        <f>'OD Efficiencies'!B$54*'OD StructuralVars'!$Q3*('OD Shares'!B3/'OD Efficiencies'!B3)/('OD Shares'!B$12/'OD Efficiencies'!B$12)</f>
        <v>879.92217751085229</v>
      </c>
      <c r="E3" s="227">
        <f>'OD Efficiencies'!C$54*'OD StructuralVars'!$Q3*('OD Shares'!D3/'OD Efficiencies'!C3)/('OD Shares'!D$12/'OD Efficiencies'!C$12)</f>
        <v>363.46672418392416</v>
      </c>
      <c r="F3" s="227"/>
      <c r="G3" s="227">
        <f>'OD Efficiencies'!E$54*'OD StructuralVars'!$Q3*('OD Shares'!H3/(1/'OD Efficiencies'!E3))/('OD Shares'!H$12/(1/'OD Efficiencies'!E$12))</f>
        <v>108.06770339636712</v>
      </c>
      <c r="H3" s="227">
        <f>'OD Efficiencies'!F$54*'OD StructuralVars'!$R3*('OD Shares'!J3/'OD Efficiencies'!F3)/('OD Shares'!J$12/'OD Efficiencies'!F$12)</f>
        <v>2975.9057892570268</v>
      </c>
      <c r="I3" s="227">
        <f>'OD Efficiencies'!G$54*'OD StructuralVars'!$R3*('OD Shares'!L3/'OD Efficiencies'!G3)/('OD Shares'!L$12/'OD Efficiencies'!G$12)</f>
        <v>719.12034026888853</v>
      </c>
      <c r="J3" s="227"/>
      <c r="K3" s="227">
        <f>'OD Efficiencies'!I$54*'OD StructuralVars'!$R3*('OD Shares'!P3/'OD Efficiencies'!I3)/('OD Shares'!P$12/'OD Efficiencies'!I$12)</f>
        <v>643.19654412754812</v>
      </c>
      <c r="L3" s="227">
        <f>'OD Efficiencies'!J$54*('OD Shares'!R3/'OD Efficiencies'!J3)/('OD Shares'!R$12/'OD Efficiencies'!J$12)</f>
        <v>2187.4848630736292</v>
      </c>
      <c r="M3" s="227">
        <f>'OD Efficiencies'!K$54*('OD Shares'!T3/(1/'OD Efficiencies'!K3))/('OD Shares'!T$12/(1/'OD Efficiencies'!K$12))</f>
        <v>538.24956934516081</v>
      </c>
      <c r="N3" s="227">
        <f>'OD Efficiencies'!L$54*('OD Shares'!U3/(1/'OD Efficiencies'!L3))/('OD Shares'!U$12/(1/'OD Efficiencies'!L$12))</f>
        <v>815.85237651723071</v>
      </c>
      <c r="O3" s="227">
        <f>'OD Efficiencies'!M$54*('OD Shares'!W3/(1/'OD Efficiencies'!M3))/('OD Shares'!W$12/(1/'OD Efficiencies'!M$12))</f>
        <v>146.8534277731014</v>
      </c>
      <c r="P3" s="227">
        <f>'OD Efficiencies'!N$54*('OD Shares'!Y3/(1/'OD Efficiencies'!N3))/('OD Shares'!Y$12/(1/'OD Efficiencies'!N$12))</f>
        <v>286.1756825571623</v>
      </c>
      <c r="Q3" s="227">
        <f>'OD Efficiencies'!O$54*('OD Shares'!AA3/(1/'OD Efficiencies'!O3))/('OD Shares'!AA$12/(1/'OD Efficiencies'!O$12))</f>
        <v>305.72282217757123</v>
      </c>
      <c r="R3" s="227">
        <f>'OD Efficiencies'!P$54*('OD Shares'!AC3/(1/'OD Efficiencies'!P3))/('OD Shares'!AC$12/(1/'OD Efficiencies'!P$12))</f>
        <v>110.36415191550667</v>
      </c>
      <c r="S3" s="227">
        <f>'OD Efficiencies'!Q$54*('OD Shares'!AE3/(1/'OD Efficiencies'!Q3))/('OD Shares'!AE$12/(1/'OD Efficiencies'!Q$12))</f>
        <v>839.52817507164264</v>
      </c>
      <c r="T3" s="227">
        <f>'OD Efficiencies'!R$54*('OD Shares'!AG3/(1/'OD Efficiencies'!R3))/('OD Shares'!AG$12/(1/'OD Efficiencies'!R$12))</f>
        <v>632.79051236921896</v>
      </c>
      <c r="U3" s="227">
        <f>'OD Efficiencies'!S$54*('OD Shares'!AH3/(1/'OD Efficiencies'!S3))/('OD Shares'!AH$12/(1/'OD Efficiencies'!S$12))</f>
        <v>213.98985421270288</v>
      </c>
      <c r="V3" s="227">
        <f>'OD Efficiencies'!T$54*('OD Shares'!AI3/(1/'OD Efficiencies'!T3))/('OD Shares'!AI$12/(1/'OD Efficiencies'!T$12))</f>
        <v>2105.2237528737173</v>
      </c>
      <c r="W3" s="227">
        <f>'OD Efficiencies'!V$54*('OD Shares'!AJ3/(1/'OD Efficiencies'!X3))/('OD Shares'!AJ$12/(1/'OD Efficiencies'!X$12))</f>
        <v>2354.2820919365377</v>
      </c>
    </row>
    <row r="4" spans="1:25" x14ac:dyDescent="0.2">
      <c r="A4" s="225">
        <v>1997</v>
      </c>
      <c r="B4" s="226">
        <f t="shared" ref="B4:B19" si="2">D4+E4+F4+G4</f>
        <v>1356.6781559959131</v>
      </c>
      <c r="C4" s="226">
        <f t="shared" si="1"/>
        <v>3773.8647544399537</v>
      </c>
      <c r="D4" s="227">
        <f>'OD Efficiencies'!B$54*'OD StructuralVars'!$Q4*('OD Shares'!B4/'OD Efficiencies'!B4)/('OD Shares'!B$12/'OD Efficiencies'!B$12)</f>
        <v>885.45360050147474</v>
      </c>
      <c r="E4" s="227">
        <f>'OD Efficiencies'!C$54*'OD StructuralVars'!$Q4*('OD Shares'!D4/'OD Efficiencies'!C4)/('OD Shares'!D$12/'OD Efficiencies'!C$12)</f>
        <v>364.01939891383608</v>
      </c>
      <c r="F4" s="227"/>
      <c r="G4" s="227">
        <f>'OD Efficiencies'!E$54*'OD StructuralVars'!$Q4*('OD Shares'!H4/(1/'OD Efficiencies'!E4))/('OD Shares'!H$12/(1/'OD Efficiencies'!E$12))</f>
        <v>107.20515658060232</v>
      </c>
      <c r="H4" s="227">
        <f>'OD Efficiencies'!F$54*'OD StructuralVars'!$R4*('OD Shares'!J4/'OD Efficiencies'!F4)/('OD Shares'!J$12/'OD Efficiencies'!F$12)</f>
        <v>2954.3454036595458</v>
      </c>
      <c r="I4" s="227">
        <f>'OD Efficiencies'!G$54*'OD StructuralVars'!$R4*('OD Shares'!L4/'OD Efficiencies'!G4)/('OD Shares'!L$12/'OD Efficiencies'!G$12)</f>
        <v>712.31419419980568</v>
      </c>
      <c r="J4" s="227"/>
      <c r="K4" s="227">
        <f>'OD Efficiencies'!I$54*'OD StructuralVars'!$R4*('OD Shares'!P4/'OD Efficiencies'!I4)/('OD Shares'!P$12/'OD Efficiencies'!I$12)</f>
        <v>619.33565050968366</v>
      </c>
      <c r="L4" s="227">
        <f>'OD Efficiencies'!J$54*('OD Shares'!R4/'OD Efficiencies'!J4)/('OD Shares'!R$12/'OD Efficiencies'!J$12)</f>
        <v>2182.104738205443</v>
      </c>
      <c r="M4" s="227">
        <f>'OD Efficiencies'!K$54*('OD Shares'!T4/(1/'OD Efficiencies'!K4))/('OD Shares'!T$12/(1/'OD Efficiencies'!K$12))</f>
        <v>542.5863665476021</v>
      </c>
      <c r="N4" s="227">
        <f>'OD Efficiencies'!L$54*('OD Shares'!U4/(1/'OD Efficiencies'!L4))/('OD Shares'!U$12/(1/'OD Efficiencies'!L$12))</f>
        <v>803.27543961360846</v>
      </c>
      <c r="O4" s="227">
        <f>'OD Efficiencies'!M$54*('OD Shares'!W4/(1/'OD Efficiencies'!M4))/('OD Shares'!W$12/(1/'OD Efficiencies'!M$12))</f>
        <v>144.58957913044941</v>
      </c>
      <c r="P4" s="227">
        <f>'OD Efficiencies'!N$54*('OD Shares'!Y4/(1/'OD Efficiencies'!N4))/('OD Shares'!Y$12/(1/'OD Efficiencies'!N$12))</f>
        <v>283.16955642435727</v>
      </c>
      <c r="Q4" s="227">
        <f>'OD Efficiencies'!O$54*('OD Shares'!AA4/(1/'OD Efficiencies'!O4))/('OD Shares'!AA$12/(1/'OD Efficiencies'!O$12))</f>
        <v>301.94154485411684</v>
      </c>
      <c r="R4" s="227">
        <f>'OD Efficiencies'!P$54*('OD Shares'!AC4/(1/'OD Efficiencies'!P4))/('OD Shares'!AC$12/(1/'OD Efficiencies'!P$12))</f>
        <v>109.7807090478378</v>
      </c>
      <c r="S4" s="227">
        <f>'OD Efficiencies'!Q$54*('OD Shares'!AE4/(1/'OD Efficiencies'!Q4))/('OD Shares'!AE$12/(1/'OD Efficiencies'!Q$12))</f>
        <v>835.05050171284302</v>
      </c>
      <c r="T4" s="227">
        <f>'OD Efficiencies'!R$54*('OD Shares'!AG4/(1/'OD Efficiencies'!R4))/('OD Shares'!AG$12/(1/'OD Efficiencies'!R$12))</f>
        <v>642.54827338923212</v>
      </c>
      <c r="U4" s="227">
        <f>'OD Efficiencies'!S$54*('OD Shares'!AH4/(1/'OD Efficiencies'!S4))/('OD Shares'!AH$12/(1/'OD Efficiencies'!S$12))</f>
        <v>216.94250216663121</v>
      </c>
      <c r="V4" s="227">
        <f>'OD Efficiencies'!T$54*('OD Shares'!AI4/(1/'OD Efficiencies'!T4))/('OD Shares'!AI$12/(1/'OD Efficiencies'!T$12))</f>
        <v>2106.8017459372586</v>
      </c>
      <c r="W4" s="227">
        <f>'OD Efficiencies'!V$54*('OD Shares'!AJ4/(1/'OD Efficiencies'!X4))/('OD Shares'!AJ$12/(1/'OD Efficiencies'!X$12))</f>
        <v>2433.9010977888443</v>
      </c>
    </row>
    <row r="5" spans="1:25" x14ac:dyDescent="0.2">
      <c r="A5" s="225">
        <v>1998</v>
      </c>
      <c r="B5" s="226">
        <f t="shared" si="2"/>
        <v>1372.0021671327547</v>
      </c>
      <c r="C5" s="226">
        <f t="shared" si="1"/>
        <v>3746.0754912178277</v>
      </c>
      <c r="D5" s="227">
        <f>'OD Efficiencies'!B$54*'OD StructuralVars'!$Q5*('OD Shares'!B5/'OD Efficiencies'!B5)/('OD Shares'!B$12/'OD Efficiencies'!B$12)</f>
        <v>890.62808902797633</v>
      </c>
      <c r="E5" s="227">
        <f>'OD Efficiencies'!C$54*'OD StructuralVars'!$Q5*('OD Shares'!D5/'OD Efficiencies'!C5)/('OD Shares'!D$12/'OD Efficiencies'!C$12)</f>
        <v>375.07132793729556</v>
      </c>
      <c r="F5" s="227"/>
      <c r="G5" s="227">
        <f>'OD Efficiencies'!E$54*'OD StructuralVars'!$Q5*('OD Shares'!H5/(1/'OD Efficiencies'!E5))/('OD Shares'!H$12/(1/'OD Efficiencies'!E$12))</f>
        <v>106.30275016748291</v>
      </c>
      <c r="H5" s="227">
        <f>'OD Efficiencies'!F$54*'OD StructuralVars'!$R5*('OD Shares'!J5/'OD Efficiencies'!F5)/('OD Shares'!J$12/'OD Efficiencies'!F$12)</f>
        <v>2934.062722503008</v>
      </c>
      <c r="I5" s="227">
        <f>'OD Efficiencies'!G$54*'OD StructuralVars'!$R5*('OD Shares'!L5/'OD Efficiencies'!G5)/('OD Shares'!L$12/'OD Efficiencies'!G$12)</f>
        <v>705.71001854733674</v>
      </c>
      <c r="J5" s="227"/>
      <c r="K5" s="227">
        <f>'OD Efficiencies'!I$54*'OD StructuralVars'!$R5*('OD Shares'!P5/'OD Efficiencies'!I5)/('OD Shares'!P$12/'OD Efficiencies'!I$12)</f>
        <v>612.82586609508587</v>
      </c>
      <c r="L5" s="227">
        <f>'OD Efficiencies'!J$54*('OD Shares'!R5/'OD Efficiencies'!J5)/('OD Shares'!R$12/'OD Efficiencies'!J$12)</f>
        <v>2176.7510132695429</v>
      </c>
      <c r="M5" s="227">
        <f>'OD Efficiencies'!K$54*('OD Shares'!T5/(1/'OD Efficiencies'!K5))/('OD Shares'!T$12/(1/'OD Efficiencies'!K$12))</f>
        <v>546.92079823794188</v>
      </c>
      <c r="N5" s="227">
        <f>'OD Efficiencies'!L$54*('OD Shares'!U5/(1/'OD Efficiencies'!L5))/('OD Shares'!U$12/(1/'OD Efficiencies'!L$12))</f>
        <v>790.69850270998643</v>
      </c>
      <c r="O5" s="227">
        <f>'OD Efficiencies'!M$54*('OD Shares'!W5/(1/'OD Efficiencies'!M5))/('OD Shares'!W$12/(1/'OD Efficiencies'!M$12))</f>
        <v>142.32573048779747</v>
      </c>
      <c r="P5" s="227">
        <f>'OD Efficiencies'!N$54*('OD Shares'!Y5/(1/'OD Efficiencies'!N5))/('OD Shares'!Y$12/(1/'OD Efficiencies'!N$12))</f>
        <v>280.16343029155229</v>
      </c>
      <c r="Q5" s="227">
        <f>'OD Efficiencies'!O$54*('OD Shares'!AA5/(1/'OD Efficiencies'!O5))/('OD Shares'!AA$12/(1/'OD Efficiencies'!O$12))</f>
        <v>298.12173372997154</v>
      </c>
      <c r="R5" s="227">
        <f>'OD Efficiencies'!P$54*('OD Shares'!AC5/(1/'OD Efficiencies'!P5))/('OD Shares'!AC$12/(1/'OD Efficiencies'!P$12))</f>
        <v>109.18923732338159</v>
      </c>
      <c r="S5" s="227">
        <f>'OD Efficiencies'!Q$54*('OD Shares'!AE5/(1/'OD Efficiencies'!Q5))/('OD Shares'!AE$12/(1/'OD Efficiencies'!Q$12))</f>
        <v>830.57282835404339</v>
      </c>
      <c r="T5" s="227">
        <f>'OD Efficiencies'!R$54*('OD Shares'!AG5/(1/'OD Efficiencies'!R5))/('OD Shares'!AG$12/(1/'OD Efficiencies'!R$12))</f>
        <v>652.36823986712648</v>
      </c>
      <c r="U5" s="227">
        <f>'OD Efficiencies'!S$54*('OD Shares'!AH5/(1/'OD Efficiencies'!S5))/('OD Shares'!AH$12/(1/'OD Efficiencies'!S$12))</f>
        <v>219.88513554588056</v>
      </c>
      <c r="V5" s="227">
        <f>'OD Efficiencies'!T$54*('OD Shares'!AI5/(1/'OD Efficiencies'!T5))/('OD Shares'!AI$12/(1/'OD Efficiencies'!T$12))</f>
        <v>2108.3797390007985</v>
      </c>
      <c r="W5" s="227">
        <f>'OD Efficiencies'!V$54*('OD Shares'!AJ5/(1/'OD Efficiencies'!X5))/('OD Shares'!AJ$12/(1/'OD Efficiencies'!X$12))</f>
        <v>2513.5201036411499</v>
      </c>
    </row>
    <row r="6" spans="1:25" x14ac:dyDescent="0.2">
      <c r="A6" s="225">
        <v>1999</v>
      </c>
      <c r="B6" s="226">
        <f t="shared" si="2"/>
        <v>1386.6242632497992</v>
      </c>
      <c r="C6" s="226">
        <f t="shared" si="1"/>
        <v>3719.639481968416</v>
      </c>
      <c r="D6" s="227">
        <f>'OD Efficiencies'!B$54*'OD StructuralVars'!$Q6*('OD Shares'!B6/'OD Efficiencies'!B6)/('OD Shares'!B$12/'OD Efficiencies'!B$12)</f>
        <v>895.45934843077202</v>
      </c>
      <c r="E6" s="227">
        <f>'OD Efficiencies'!C$54*'OD StructuralVars'!$Q6*('OD Shares'!D6/'OD Efficiencies'!C6)/('OD Shares'!D$12/'OD Efficiencies'!C$12)</f>
        <v>385.80106367100939</v>
      </c>
      <c r="F6" s="227"/>
      <c r="G6" s="227">
        <f>'OD Efficiencies'!E$54*'OD StructuralVars'!$Q6*('OD Shares'!H6/(1/'OD Efficiencies'!E6))/('OD Shares'!H$12/(1/'OD Efficiencies'!E$12))</f>
        <v>105.36385114801772</v>
      </c>
      <c r="H6" s="227">
        <f>'OD Efficiencies'!F$54*'OD StructuralVars'!$R6*('OD Shares'!J6/'OD Efficiencies'!F6)/('OD Shares'!J$12/'OD Efficiencies'!F$12)</f>
        <v>2914.975793364787</v>
      </c>
      <c r="I6" s="227">
        <f>'OD Efficiencies'!G$54*'OD StructuralVars'!$R6*('OD Shares'!L6/'OD Efficiencies'!G6)/('OD Shares'!L$12/'OD Efficiencies'!G$12)</f>
        <v>699.29983745561128</v>
      </c>
      <c r="J6" s="227"/>
      <c r="K6" s="227">
        <f>'OD Efficiencies'!I$54*'OD StructuralVars'!$R6*('OD Shares'!P6/'OD Efficiencies'!I6)/('OD Shares'!P$12/'OD Efficiencies'!I$12)</f>
        <v>562.36919526487009</v>
      </c>
      <c r="L6" s="227">
        <f>'OD Efficiencies'!J$54*('OD Shares'!R6/'OD Efficiencies'!J6)/('OD Shares'!R$12/'OD Efficiencies'!J$12)</f>
        <v>2171.4234944273103</v>
      </c>
      <c r="M6" s="227">
        <f>'OD Efficiencies'!K$54*('OD Shares'!T6/(1/'OD Efficiencies'!K6))/('OD Shares'!T$12/(1/'OD Efficiencies'!K$12))</f>
        <v>551.25286441618039</v>
      </c>
      <c r="N6" s="227">
        <f>'OD Efficiencies'!L$54*('OD Shares'!U6/(1/'OD Efficiencies'!L6))/('OD Shares'!U$12/(1/'OD Efficiencies'!L$12))</f>
        <v>778.1215658063644</v>
      </c>
      <c r="O6" s="227">
        <f>'OD Efficiencies'!M$54*('OD Shares'!W6/(1/'OD Efficiencies'!M6))/('OD Shares'!W$12/(1/'OD Efficiencies'!M$12))</f>
        <v>140.06188184514551</v>
      </c>
      <c r="P6" s="227">
        <f>'OD Efficiencies'!N$54*('OD Shares'!Y6/(1/'OD Efficiencies'!N6))/('OD Shares'!Y$12/(1/'OD Efficiencies'!N$12))</f>
        <v>277.15730415874725</v>
      </c>
      <c r="Q6" s="227">
        <f>'OD Efficiencies'!O$54*('OD Shares'!AA6/(1/'OD Efficiencies'!O6))/('OD Shares'!AA$12/(1/'OD Efficiencies'!O$12))</f>
        <v>294.26338880513538</v>
      </c>
      <c r="R6" s="227">
        <f>'OD Efficiencies'!P$54*('OD Shares'!AC6/(1/'OD Efficiencies'!P6))/('OD Shares'!AC$12/(1/'OD Efficiencies'!P$12))</f>
        <v>108.58973674213796</v>
      </c>
      <c r="S6" s="227">
        <f>'OD Efficiencies'!Q$54*('OD Shares'!AE6/(1/'OD Efficiencies'!Q6))/('OD Shares'!AE$12/(1/'OD Efficiencies'!Q$12))</f>
        <v>826.09515499524389</v>
      </c>
      <c r="T6" s="227">
        <f>'OD Efficiencies'!R$54*('OD Shares'!AG6/(1/'OD Efficiencies'!R6))/('OD Shares'!AG$12/(1/'OD Efficiencies'!R$12))</f>
        <v>662.25041180290259</v>
      </c>
      <c r="U6" s="227">
        <f>'OD Efficiencies'!S$54*('OD Shares'!AH6/(1/'OD Efficiencies'!S6))/('OD Shares'!AH$12/(1/'OD Efficiencies'!S$12))</f>
        <v>222.81775435045088</v>
      </c>
      <c r="V6" s="227">
        <f>'OD Efficiencies'!T$54*('OD Shares'!AI6/(1/'OD Efficiencies'!T6))/('OD Shares'!AI$12/(1/'OD Efficiencies'!T$12))</f>
        <v>2109.9577320643389</v>
      </c>
      <c r="W6" s="227">
        <f>'OD Efficiencies'!V$54*('OD Shares'!AJ6/(1/'OD Efficiencies'!X6))/('OD Shares'!AJ$12/(1/'OD Efficiencies'!X$12))</f>
        <v>2593.1391094934565</v>
      </c>
    </row>
    <row r="7" spans="1:25" x14ac:dyDescent="0.2">
      <c r="A7" s="225">
        <v>2000</v>
      </c>
      <c r="B7" s="226">
        <f t="shared" si="2"/>
        <v>1400.5759755549477</v>
      </c>
      <c r="C7" s="226">
        <f t="shared" si="1"/>
        <v>3694.4785730483909</v>
      </c>
      <c r="D7" s="227">
        <f>'OD Efficiencies'!B$54*'OD StructuralVars'!$Q7*('OD Shares'!B7/'OD Efficiencies'!B7)/('OD Shares'!B$12/'OD Efficiencies'!B$12)</f>
        <v>899.97023045106596</v>
      </c>
      <c r="E7" s="227">
        <f>'OD Efficiencies'!C$54*'OD StructuralVars'!$Q7*('OD Shares'!D7/'OD Efficiencies'!C7)/('OD Shares'!D$12/'OD Efficiencies'!C$12)</f>
        <v>396.21299820593111</v>
      </c>
      <c r="F7" s="227"/>
      <c r="G7" s="227">
        <f>'OD Efficiencies'!E$54*'OD StructuralVars'!$Q7*('OD Shares'!H7/(1/'OD Efficiencies'!E7))/('OD Shares'!H$12/(1/'OD Efficiencies'!E$12))</f>
        <v>104.39274689795076</v>
      </c>
      <c r="H7" s="227">
        <f>'OD Efficiencies'!F$54*'OD StructuralVars'!$R7*('OD Shares'!J7/'OD Efficiencies'!F7)/('OD Shares'!J$12/'OD Efficiencies'!F$12)</f>
        <v>2897.0097319419265</v>
      </c>
      <c r="I7" s="227">
        <f>'OD Efficiencies'!G$54*'OD StructuralVars'!$R7*('OD Shares'!L7/'OD Efficiencies'!G7)/('OD Shares'!L$12/'OD Efficiencies'!G$12)</f>
        <v>693.07609420851361</v>
      </c>
      <c r="J7" s="227"/>
      <c r="K7" s="227">
        <f>'OD Efficiencies'!I$54*'OD StructuralVars'!$R7*('OD Shares'!P7/'OD Efficiencies'!I7)/('OD Shares'!P$12/'OD Efficiencies'!I$12)</f>
        <v>512.98885349956447</v>
      </c>
      <c r="L7" s="227">
        <f>'OD Efficiencies'!J$54*('OD Shares'!R7/'OD Efficiencies'!J7)/('OD Shares'!R$12/'OD Efficiencies'!J$12)</f>
        <v>2166.1219897331453</v>
      </c>
      <c r="M7" s="227">
        <f>'OD Efficiencies'!K$54*('OD Shares'!T7/(1/'OD Efficiencies'!K7))/('OD Shares'!T$12/(1/'OD Efficiencies'!K$12))</f>
        <v>555.58256508231739</v>
      </c>
      <c r="N7" s="227">
        <f>'OD Efficiencies'!L$54*('OD Shares'!U7/(1/'OD Efficiencies'!L7))/('OD Shares'!U$12/(1/'OD Efficiencies'!L$12))</f>
        <v>765.54462890274226</v>
      </c>
      <c r="O7" s="227">
        <f>'OD Efficiencies'!M$54*('OD Shares'!W7/(1/'OD Efficiencies'!M7))/('OD Shares'!W$12/(1/'OD Efficiencies'!M$12))</f>
        <v>137.79803320249354</v>
      </c>
      <c r="P7" s="227">
        <f>'OD Efficiencies'!N$54*('OD Shares'!Y7/(1/'OD Efficiencies'!N7))/('OD Shares'!Y$12/(1/'OD Efficiencies'!N$12))</f>
        <v>274.15117802594227</v>
      </c>
      <c r="Q7" s="227">
        <f>'OD Efficiencies'!O$54*('OD Shares'!AA7/(1/'OD Efficiencies'!O7))/('OD Shares'!AA$12/(1/'OD Efficiencies'!O$12))</f>
        <v>290.3665100796083</v>
      </c>
      <c r="R7" s="227">
        <f>'OD Efficiencies'!P$54*('OD Shares'!AC7/(1/'OD Efficiencies'!P7))/('OD Shares'!AC$12/(1/'OD Efficiencies'!P$12))</f>
        <v>107.98220730410696</v>
      </c>
      <c r="S7" s="227">
        <f>'OD Efficiencies'!Q$54*('OD Shares'!AE7/(1/'OD Efficiencies'!Q7))/('OD Shares'!AE$12/(1/'OD Efficiencies'!Q$12))</f>
        <v>821.61748163644415</v>
      </c>
      <c r="T7" s="227">
        <f>'OD Efficiencies'!R$54*('OD Shares'!AG7/(1/'OD Efficiencies'!R7))/('OD Shares'!AG$12/(1/'OD Efficiencies'!R$12))</f>
        <v>672.19478919656001</v>
      </c>
      <c r="U7" s="227">
        <f>'OD Efficiencies'!S$54*('OD Shares'!AH7/(1/'OD Efficiencies'!S7))/('OD Shares'!AH$12/(1/'OD Efficiencies'!S$12))</f>
        <v>225.74035858034216</v>
      </c>
      <c r="V7" s="227">
        <f>'OD Efficiencies'!T$54*('OD Shares'!AI7/(1/'OD Efficiencies'!T7))/('OD Shares'!AI$12/(1/'OD Efficiencies'!T$12))</f>
        <v>2111.5357251278797</v>
      </c>
      <c r="W7" s="227">
        <f>'OD Efficiencies'!V$54*('OD Shares'!AJ7/(1/'OD Efficiencies'!X7))/('OD Shares'!AJ$12/(1/'OD Efficiencies'!X$12))</f>
        <v>2672.7581153457627</v>
      </c>
    </row>
    <row r="8" spans="1:25" x14ac:dyDescent="0.2">
      <c r="A8" s="225">
        <v>2001</v>
      </c>
      <c r="B8" s="226">
        <f t="shared" si="2"/>
        <v>1413.9044290757115</v>
      </c>
      <c r="C8" s="226">
        <f>SUM(H8:K8)</f>
        <v>4031.7667091802941</v>
      </c>
      <c r="D8" s="227">
        <f>'OD Efficiencies'!B$54*'OD StructuralVars'!$Q8*('OD Shares'!B8/'OD Efficiencies'!B8)/('OD Shares'!B$12/'OD Efficiencies'!B$12)</f>
        <v>904.19284539372086</v>
      </c>
      <c r="E8" s="227">
        <f>'OD Efficiencies'!C$54*'OD StructuralVars'!$Q8*('OD Shares'!D8/'OD Efficiencies'!C8)/('OD Shares'!D$12/'OD Efficiencies'!C$12)</f>
        <v>406.31699605571418</v>
      </c>
      <c r="F8" s="227"/>
      <c r="G8" s="227">
        <f>'OD Efficiencies'!E$54*'OD StructuralVars'!$Q8*('OD Shares'!H8/(1/'OD Efficiencies'!E8))/('OD Shares'!H$12/(1/'OD Efficiencies'!E$12))</f>
        <v>103.39458762627653</v>
      </c>
      <c r="H8" s="227">
        <f>'OD Efficiencies'!F$54*'OD StructuralVars'!$R8*('OD Shares'!J8/'OD Efficiencies'!F8)/('OD Shares'!J$12/'OD Efficiencies'!F$12)</f>
        <v>2880.0959771781645</v>
      </c>
      <c r="I8" s="227">
        <f>'OD Efficiencies'!G$54*'OD StructuralVars'!$R8*('OD Shares'!L8/'OD Efficiencies'!G8)/('OD Shares'!L$12/'OD Efficiencies'!G$12)</f>
        <v>687.0316240587116</v>
      </c>
      <c r="J8" s="227"/>
      <c r="K8" s="227">
        <f>'OD Efficiencies'!I$54*'OD StructuralVars'!$R8*('OD Shares'!P8/'OD Efficiencies'!I8)/('OD Shares'!P$12/'OD Efficiencies'!I$12)</f>
        <v>464.63910794341774</v>
      </c>
      <c r="L8" s="227">
        <f>'OD Efficiencies'!J$54*('OD Shares'!R8/'OD Efficiencies'!J8)/('OD Shares'!R$12/'OD Efficiencies'!J$12)</f>
        <v>2160.8463091114127</v>
      </c>
      <c r="M8" s="227">
        <f>'OD Efficiencies'!K$54*('OD Shares'!T8/(1/'OD Efficiencies'!K8))/('OD Shares'!T$12/(1/'OD Efficiencies'!K$12))</f>
        <v>559.90990023635334</v>
      </c>
      <c r="N8" s="227">
        <f>'OD Efficiencies'!L$54*('OD Shares'!U8/(1/'OD Efficiencies'!L8))/('OD Shares'!U$12/(1/'OD Efficiencies'!L$12))</f>
        <v>752.96769199912012</v>
      </c>
      <c r="O8" s="227">
        <f>'OD Efficiencies'!M$54*('OD Shares'!W8/(1/'OD Efficiencies'!M8))/('OD Shares'!W$12/(1/'OD Efficiencies'!M$12))</f>
        <v>135.53418455984155</v>
      </c>
      <c r="P8" s="227">
        <f>'OD Efficiencies'!N$54*('OD Shares'!Y8/(1/'OD Efficiencies'!N8))/('OD Shares'!Y$12/(1/'OD Efficiencies'!N$12))</f>
        <v>271.14505189313718</v>
      </c>
      <c r="Q8" s="227">
        <f>'OD Efficiencies'!O$54*('OD Shares'!AA8/(1/'OD Efficiencies'!O8))/('OD Shares'!AA$12/(1/'OD Efficiencies'!O$12))</f>
        <v>286.43109755339026</v>
      </c>
      <c r="R8" s="227">
        <f>'OD Efficiencies'!P$54*('OD Shares'!AC8/(1/'OD Efficiencies'!P8))/('OD Shares'!AC$12/(1/'OD Efficiencies'!P$12))</f>
        <v>107.36664900928854</v>
      </c>
      <c r="S8" s="227">
        <f>'OD Efficiencies'!Q$54*('OD Shares'!AE8/(1/'OD Efficiencies'!Q8))/('OD Shares'!AE$12/(1/'OD Efficiencies'!Q$12))</f>
        <v>817.13980827764465</v>
      </c>
      <c r="T8" s="227">
        <f>'OD Efficiencies'!R$54*('OD Shares'!AG8/(1/'OD Efficiencies'!R8))/('OD Shares'!AG$12/(1/'OD Efficiencies'!R$12))</f>
        <v>682.41753217865892</v>
      </c>
      <c r="U8" s="227">
        <f>'OD Efficiencies'!S$54*('OD Shares'!AH8/(1/'OD Efficiencies'!S8))/('OD Shares'!AH$12/(1/'OD Efficiencies'!S$12))</f>
        <v>228.65294823555445</v>
      </c>
      <c r="V8" s="227">
        <f>'OD Efficiencies'!T$54*('OD Shares'!AI8/(1/'OD Efficiencies'!T8))/('OD Shares'!AI$12/(1/'OD Efficiencies'!T$12))</f>
        <v>2113.11371819142</v>
      </c>
      <c r="W8" s="227">
        <f>'OD Efficiencies'!V$54*('OD Shares'!AJ8/(1/'OD Efficiencies'!X8))/('OD Shares'!AJ$12/(1/'OD Efficiencies'!X$12))</f>
        <v>2752.3771211980693</v>
      </c>
    </row>
    <row r="9" spans="1:25" x14ac:dyDescent="0.2">
      <c r="A9" s="225">
        <v>2002</v>
      </c>
      <c r="B9" s="226">
        <f t="shared" si="2"/>
        <v>1426.6720501211598</v>
      </c>
      <c r="C9" s="226">
        <f t="shared" ref="C9:C49" si="3">SUM(H9:K9)</f>
        <v>3962.6078916777305</v>
      </c>
      <c r="D9" s="227">
        <f>'OD Efficiencies'!B$54*'OD StructuralVars'!$Q9*('OD Shares'!B9/'OD Efficiencies'!B9)/('OD Shares'!B$12/'OD Efficiencies'!B$12)</f>
        <v>908.16821710562249</v>
      </c>
      <c r="E9" s="227">
        <f>'OD Efficiencies'!C$54*'OD StructuralVars'!$Q9*('OD Shares'!D9/'OD Efficiencies'!C9)/('OD Shares'!D$12/'OD Efficiencies'!C$12)</f>
        <v>416.12855390895044</v>
      </c>
      <c r="F9" s="227"/>
      <c r="G9" s="227">
        <f>'OD Efficiencies'!E$54*'OD StructuralVars'!$Q9*('OD Shares'!H9/(1/'OD Efficiencies'!E9))/('OD Shares'!H$12/(1/'OD Efficiencies'!E$12))</f>
        <v>102.37527910658685</v>
      </c>
      <c r="H9" s="227">
        <f>'OD Efficiencies'!F$54*'OD StructuralVars'!$R9*('OD Shares'!J9/'OD Efficiencies'!F9)/('OD Shares'!J$12/'OD Efficiencies'!F$12)</f>
        <v>2864.1716386403059</v>
      </c>
      <c r="I9" s="227">
        <f>'OD Efficiencies'!G$54*'OD StructuralVars'!$R9*('OD Shares'!L9/'OD Efficiencies'!G9)/('OD Shares'!L$12/'OD Efficiencies'!G$12)</f>
        <v>681.15962914292004</v>
      </c>
      <c r="J9" s="227"/>
      <c r="K9" s="227">
        <f>'OD Efficiencies'!I$54*'OD StructuralVars'!$R9*('OD Shares'!P9/'OD Efficiencies'!I9)/('OD Shares'!P$12/'OD Efficiencies'!I$12)</f>
        <v>417.27662389450444</v>
      </c>
      <c r="L9" s="227">
        <f>'OD Efficiencies'!J$54*('OD Shares'!R9/'OD Efficiencies'!J9)/('OD Shares'!R$12/'OD Efficiencies'!J$12)</f>
        <v>2155.5962643337293</v>
      </c>
      <c r="M9" s="227">
        <f>'OD Efficiencies'!K$54*('OD Shares'!T9/(1/'OD Efficiencies'!K9))/('OD Shares'!T$12/(1/'OD Efficiencies'!K$12))</f>
        <v>564.23486987828778</v>
      </c>
      <c r="N9" s="227">
        <f>'OD Efficiencies'!L$54*('OD Shares'!U9/(1/'OD Efficiencies'!L9))/('OD Shares'!U$12/(1/'OD Efficiencies'!L$12))</f>
        <v>740.39075509549787</v>
      </c>
      <c r="O9" s="227">
        <f>'OD Efficiencies'!M$54*('OD Shares'!W9/(1/'OD Efficiencies'!M9))/('OD Shares'!W$12/(1/'OD Efficiencies'!M$12))</f>
        <v>133.27033591718958</v>
      </c>
      <c r="P9" s="227">
        <f>'OD Efficiencies'!N$54*('OD Shares'!Y9/(1/'OD Efficiencies'!N9))/('OD Shares'!Y$12/(1/'OD Efficiencies'!N$12))</f>
        <v>268.1389257603322</v>
      </c>
      <c r="Q9" s="227">
        <f>'OD Efficiencies'!O$54*('OD Shares'!AA9/(1/'OD Efficiencies'!O9))/('OD Shares'!AA$12/(1/'OD Efficiencies'!O$12))</f>
        <v>282.45715122648147</v>
      </c>
      <c r="R9" s="227">
        <f>'OD Efficiencies'!P$54*('OD Shares'!AC9/(1/'OD Efficiencies'!P9))/('OD Shares'!AC$12/(1/'OD Efficiencies'!P$12))</f>
        <v>106.74306185768275</v>
      </c>
      <c r="S9" s="227">
        <f>'OD Efficiencies'!Q$54*('OD Shares'!AE9/(1/'OD Efficiencies'!Q9))/('OD Shares'!AE$12/(1/'OD Efficiencies'!Q$12))</f>
        <v>812.66213491884503</v>
      </c>
      <c r="T9" s="227">
        <f>'OD Efficiencies'!R$54*('OD Shares'!AG9/(1/'OD Efficiencies'!R9))/('OD Shares'!AG$12/(1/'OD Efficiencies'!R$12))</f>
        <v>692.48854211157504</v>
      </c>
      <c r="U9" s="227">
        <f>'OD Efficiencies'!S$54*('OD Shares'!AH9/(1/'OD Efficiencies'!S9))/('OD Shares'!AH$12/(1/'OD Efficiencies'!S$12))</f>
        <v>231.55552331608774</v>
      </c>
      <c r="V9" s="227">
        <f>'OD Efficiencies'!T$54*('OD Shares'!AI9/(1/'OD Efficiencies'!T9))/('OD Shares'!AI$12/(1/'OD Efficiencies'!T$12))</f>
        <v>2114.6917112549604</v>
      </c>
      <c r="W9" s="227">
        <f>'OD Efficiencies'!V$54*('OD Shares'!AJ9/(1/'OD Efficiencies'!X9))/('OD Shares'!AJ$12/(1/'OD Efficiencies'!X$12))</f>
        <v>2831.9961270503759</v>
      </c>
    </row>
    <row r="10" spans="1:25" x14ac:dyDescent="0.2">
      <c r="A10" s="225">
        <v>2003</v>
      </c>
      <c r="B10" s="226">
        <f t="shared" si="2"/>
        <v>1438.9554697463077</v>
      </c>
      <c r="C10" s="226">
        <f t="shared" si="3"/>
        <v>3937.9197058634481</v>
      </c>
      <c r="D10" s="227">
        <f>'OD Efficiencies'!B$54*'OD StructuralVars'!$Q10*('OD Shares'!B10/'OD Efficiencies'!B10)/('OD Shares'!B$12/'OD Efficiencies'!B$12)</f>
        <v>911.94545632577376</v>
      </c>
      <c r="E10" s="227">
        <f>'OD Efficiencies'!C$54*'OD StructuralVars'!$Q10*('OD Shares'!D10/'OD Efficiencies'!C10)/('OD Shares'!D$12/'OD Efficiencies'!C$12)</f>
        <v>425.66868541019488</v>
      </c>
      <c r="F10" s="227"/>
      <c r="G10" s="227">
        <f>'OD Efficiencies'!E$54*'OD StructuralVars'!$Q10*('OD Shares'!H10/(1/'OD Efficiencies'!E10))/('OD Shares'!H$12/(1/'OD Efficiencies'!E$12))</f>
        <v>101.34132801033904</v>
      </c>
      <c r="H10" s="227">
        <f>'OD Efficiencies'!F$54*'OD StructuralVars'!$R10*('OD Shares'!J10/'OD Efficiencies'!F10)/('OD Shares'!J$12/'OD Efficiencies'!F$12)</f>
        <v>2849.1789230844988</v>
      </c>
      <c r="I10" s="227">
        <f>'OD Efficiencies'!G$54*'OD StructuralVars'!$R10*('OD Shares'!L10/'OD Efficiencies'!G10)/('OD Shares'!L$12/'OD Efficiencies'!G$12)</f>
        <v>675.4536552988701</v>
      </c>
      <c r="J10" s="227"/>
      <c r="K10" s="227">
        <f>'OD Efficiencies'!I$54*'OD StructuralVars'!$R10*('OD Shares'!P10/'OD Efficiencies'!I10)/('OD Shares'!P$12/'OD Efficiencies'!I$12)</f>
        <v>413.28712748007905</v>
      </c>
      <c r="L10" s="227">
        <f>'OD Efficiencies'!J$54*('OD Shares'!R10/'OD Efficiencies'!J10)/('OD Shares'!R$12/'OD Efficiencies'!J$12)</f>
        <v>2150.3716689965731</v>
      </c>
      <c r="M10" s="227">
        <f>'OD Efficiencies'!K$54*('OD Shares'!T10/(1/'OD Efficiencies'!K10))/('OD Shares'!T$12/(1/'OD Efficiencies'!K$12))</f>
        <v>568.55747400812072</v>
      </c>
      <c r="N10" s="227">
        <f>'OD Efficiencies'!L$54*('OD Shares'!U10/(1/'OD Efficiencies'!L10))/('OD Shares'!U$12/(1/'OD Efficiencies'!L$12))</f>
        <v>727.81381819187584</v>
      </c>
      <c r="O10" s="227">
        <f>'OD Efficiencies'!M$54*('OD Shares'!W10/(1/'OD Efficiencies'!M10))/('OD Shares'!W$12/(1/'OD Efficiencies'!M$12))</f>
        <v>131.00648727453762</v>
      </c>
      <c r="P10" s="227">
        <f>'OD Efficiencies'!N$54*('OD Shares'!Y10/(1/'OD Efficiencies'!N10))/('OD Shares'!Y$12/(1/'OD Efficiencies'!N$12))</f>
        <v>265.13279962752716</v>
      </c>
      <c r="Q10" s="227">
        <f>'OD Efficiencies'!O$54*('OD Shares'!AA10/(1/'OD Efficiencies'!O10))/('OD Shares'!AA$12/(1/'OD Efficiencies'!O$12))</f>
        <v>278.44467109888166</v>
      </c>
      <c r="R10" s="227">
        <f>'OD Efficiencies'!P$54*('OD Shares'!AC10/(1/'OD Efficiencies'!P10))/('OD Shares'!AC$12/(1/'OD Efficiencies'!P$12))</f>
        <v>106.11144584928955</v>
      </c>
      <c r="S10" s="227">
        <f>'OD Efficiencies'!Q$54*('OD Shares'!AE10/(1/'OD Efficiencies'!Q10))/('OD Shares'!AE$12/(1/'OD Efficiencies'!Q$12))</f>
        <v>808.18446156004541</v>
      </c>
      <c r="T10" s="227">
        <f>'OD Efficiencies'!R$54*('OD Shares'!AG10/(1/'OD Efficiencies'!R10))/('OD Shares'!AG$12/(1/'OD Efficiencies'!R$12))</f>
        <v>702.62175750237259</v>
      </c>
      <c r="U10" s="227">
        <f>'OD Efficiencies'!S$54*('OD Shares'!AH10/(1/'OD Efficiencies'!S10))/('OD Shares'!AH$12/(1/'OD Efficiencies'!S$12))</f>
        <v>234.44808382194199</v>
      </c>
      <c r="V10" s="227">
        <f>'OD Efficiencies'!T$54*('OD Shares'!AI10/(1/'OD Efficiencies'!T10))/('OD Shares'!AI$12/(1/'OD Efficiencies'!T$12))</f>
        <v>2116.2697043185008</v>
      </c>
      <c r="W10" s="227">
        <f>'OD Efficiencies'!V$54*('OD Shares'!AJ10/(1/'OD Efficiencies'!X10))/('OD Shares'!AJ$12/(1/'OD Efficiencies'!X$12))</f>
        <v>2911.6151329026825</v>
      </c>
    </row>
    <row r="11" spans="1:25" x14ac:dyDescent="0.2">
      <c r="A11" s="225">
        <v>2004</v>
      </c>
      <c r="B11" s="226">
        <f t="shared" si="2"/>
        <v>1438.1496427648058</v>
      </c>
      <c r="C11" s="226">
        <f t="shared" si="3"/>
        <v>3932.18102899209</v>
      </c>
      <c r="D11" s="227">
        <f>'OD Efficiencies'!B$54*'OD StructuralVars'!$Q11*('OD Shares'!B11/'OD Efficiencies'!B11)/('OD Shares'!B$12/'OD Efficiencies'!B$12)</f>
        <v>915.58047134601532</v>
      </c>
      <c r="E11" s="227">
        <f>'OD Efficiencies'!C$54*'OD StructuralVars'!$Q11*('OD Shares'!D11/'OD Efficiencies'!C11)/('OD Shares'!D$12/'OD Efficiencies'!C$12)</f>
        <v>422.26952447046921</v>
      </c>
      <c r="F11" s="227"/>
      <c r="G11" s="227">
        <f>'OD Efficiencies'!E$54*'OD StructuralVars'!$Q11*('OD Shares'!H11/(1/'OD Efficiencies'!E11))/('OD Shares'!H$12/(1/'OD Efficiencies'!E$12))</f>
        <v>100.29964694832127</v>
      </c>
      <c r="H11" s="227">
        <f>'OD Efficiencies'!F$54*'OD StructuralVars'!$R11*('OD Shares'!J11/'OD Efficiencies'!F11)/('OD Shares'!J$12/'OD Efficiencies'!F$12)</f>
        <v>2835.0646292239621</v>
      </c>
      <c r="I11" s="227">
        <f>'OD Efficiencies'!G$54*'OD StructuralVars'!$R11*('OD Shares'!L11/'OD Efficiencies'!G11)/('OD Shares'!L$12/'OD Efficiencies'!G$12)</f>
        <v>669.90757061788065</v>
      </c>
      <c r="J11" s="227"/>
      <c r="K11" s="227">
        <f>'OD Efficiencies'!I$54*'OD StructuralVars'!$R11*('OD Shares'!P11/'OD Efficiencies'!I11)/('OD Shares'!P$12/'OD Efficiencies'!I$12)</f>
        <v>427.20882915024748</v>
      </c>
      <c r="L11" s="227">
        <f>'OD Efficiencies'!J$54*('OD Shares'!R11/'OD Efficiencies'!J11)/('OD Shares'!R$12/'OD Efficiencies'!J$12)</f>
        <v>2145.172338499226</v>
      </c>
      <c r="M11" s="227">
        <f>'OD Efficiencies'!K$54*('OD Shares'!T11/(1/'OD Efficiencies'!K11))/('OD Shares'!T$12/(1/'OD Efficiencies'!K$12))</f>
        <v>572.87771262585261</v>
      </c>
      <c r="N11" s="227">
        <f>'OD Efficiencies'!L$54*('OD Shares'!U11/(1/'OD Efficiencies'!L11))/('OD Shares'!U$12/(1/'OD Efficiencies'!L$12))</f>
        <v>715.2368812882537</v>
      </c>
      <c r="O11" s="227">
        <f>'OD Efficiencies'!M$54*('OD Shares'!W11/(1/'OD Efficiencies'!M11))/('OD Shares'!W$12/(1/'OD Efficiencies'!M$12))</f>
        <v>128.74263863188568</v>
      </c>
      <c r="P11" s="227">
        <f>'OD Efficiencies'!N$54*('OD Shares'!Y11/(1/'OD Efficiencies'!N11))/('OD Shares'!Y$12/(1/'OD Efficiencies'!N$12))</f>
        <v>262.12667349472218</v>
      </c>
      <c r="Q11" s="227">
        <f>'OD Efficiencies'!O$54*('OD Shares'!AA11/(1/'OD Efficiencies'!O11))/('OD Shares'!AA$12/(1/'OD Efficiencies'!O$12))</f>
        <v>274.39365717059104</v>
      </c>
      <c r="R11" s="227">
        <f>'OD Efficiencies'!P$54*('OD Shares'!AC11/(1/'OD Efficiencies'!P11))/('OD Shares'!AC$12/(1/'OD Efficiencies'!P$12))</f>
        <v>105.47180098410895</v>
      </c>
      <c r="S11" s="227">
        <f>'OD Efficiencies'!Q$54*('OD Shares'!AE11/(1/'OD Efficiencies'!Q11))/('OD Shares'!AE$12/(1/'OD Efficiencies'!Q$12))</f>
        <v>803.70678820124567</v>
      </c>
      <c r="T11" s="227">
        <f>'OD Efficiencies'!R$54*('OD Shares'!AG11/(1/'OD Efficiencies'!R11))/('OD Shares'!AG$12/(1/'OD Efficiencies'!R$12))</f>
        <v>712.81717835105144</v>
      </c>
      <c r="U11" s="227">
        <f>'OD Efficiencies'!S$54*('OD Shares'!AH11/(1/'OD Efficiencies'!S11))/('OD Shares'!AH$12/(1/'OD Efficiencies'!S$12))</f>
        <v>237.33062975311722</v>
      </c>
      <c r="V11" s="227">
        <f>'OD Efficiencies'!T$54*('OD Shares'!AI11/(1/'OD Efficiencies'!T11))/('OD Shares'!AI$12/(1/'OD Efficiencies'!T$12))</f>
        <v>2117.8476973820416</v>
      </c>
      <c r="W11" s="227">
        <f>'OD Efficiencies'!V$54*('OD Shares'!AJ11/(1/'OD Efficiencies'!X11))/('OD Shares'!AJ$12/(1/'OD Efficiencies'!X$12))</f>
        <v>2991.2341387549882</v>
      </c>
    </row>
    <row r="12" spans="1:25" x14ac:dyDescent="0.2">
      <c r="A12" s="225">
        <v>2005</v>
      </c>
      <c r="B12" s="226">
        <f t="shared" si="2"/>
        <v>1437.2812981450743</v>
      </c>
      <c r="C12" s="226">
        <f t="shared" si="3"/>
        <v>3927.2044205631373</v>
      </c>
      <c r="D12" s="227">
        <f>'OD Efficiencies'!B$54*'OD StructuralVars'!$Q12*('OD Shares'!B12/'OD Efficiencies'!B12)/('OD Shares'!B$12/'OD Efficiencies'!B$12)</f>
        <v>919.1342806402406</v>
      </c>
      <c r="E12" s="227">
        <f>'OD Efficiencies'!C$54*'OD StructuralVars'!$Q12*('OD Shares'!D12/'OD Efficiencies'!C12)/('OD Shares'!D$12/'OD Efficiencies'!C$12)</f>
        <v>418.88968674901764</v>
      </c>
      <c r="F12" s="227"/>
      <c r="G12" s="227">
        <f>'OD Efficiencies'!E$54*'OD StructuralVars'!$Q12*('OD Shares'!H12/(1/'OD Efficiencies'!E12))/('OD Shares'!H$12/(1/'OD Efficiencies'!E$12))</f>
        <v>99.2573307558159</v>
      </c>
      <c r="H12" s="227">
        <f>'OD Efficiencies'!F$54*'OD StructuralVars'!$R12*('OD Shares'!J12/'OD Efficiencies'!F12)/('OD Shares'!J$12/'OD Efficiencies'!F$12)</f>
        <v>2821.7797014184434</v>
      </c>
      <c r="I12" s="227">
        <f>'OD Efficiencies'!G$54*'OD StructuralVars'!$R12*('OD Shares'!L12/'OD Efficiencies'!G12)/('OD Shares'!L$12/'OD Efficiencies'!G$12)</f>
        <v>664.51554558329576</v>
      </c>
      <c r="J12" s="227"/>
      <c r="K12" s="227">
        <f>'OD Efficiencies'!I$54*'OD StructuralVars'!$R12*('OD Shares'!P12/'OD Efficiencies'!I12)/('OD Shares'!P$12/'OD Efficiencies'!I$12)</f>
        <v>440.90917356139818</v>
      </c>
      <c r="L12" s="227">
        <f>'OD Efficiencies'!J$54*('OD Shares'!R12/'OD Efficiencies'!J12)/('OD Shares'!R$12/'OD Efficiencies'!J$12)</f>
        <v>2139.998090022028</v>
      </c>
      <c r="M12" s="227">
        <f>'OD Efficiencies'!K$54*('OD Shares'!T12/(1/'OD Efficiencies'!K12))/('OD Shares'!T$12/(1/'OD Efficiencies'!K$12))</f>
        <v>577.19558573148345</v>
      </c>
      <c r="N12" s="227">
        <f>'OD Efficiencies'!L$54*('OD Shares'!U12/(1/'OD Efficiencies'!L12))/('OD Shares'!U$12/(1/'OD Efficiencies'!L$12))</f>
        <v>702.65994438463133</v>
      </c>
      <c r="O12" s="227">
        <f>'OD Efficiencies'!M$54*('OD Shares'!W12/(1/'OD Efficiencies'!M12))/('OD Shares'!W$12/(1/'OD Efficiencies'!M$12))</f>
        <v>127.37087069516286</v>
      </c>
      <c r="P12" s="227">
        <f>'OD Efficiencies'!N$54*('OD Shares'!Y12/(1/'OD Efficiencies'!N12))/('OD Shares'!Y$12/(1/'OD Efficiencies'!N$12))</f>
        <v>259.12054736191692</v>
      </c>
      <c r="Q12" s="227">
        <f>'OD Efficiencies'!O$54*('OD Shares'!AA12/(1/'OD Efficiencies'!O12))/('OD Shares'!AA$12/(1/'OD Efficiencies'!O$12))</f>
        <v>270.30410944160957</v>
      </c>
      <c r="R12" s="227">
        <f>'OD Efficiencies'!P$54*('OD Shares'!AC12/(1/'OD Efficiencies'!P12))/('OD Shares'!AC$12/(1/'OD Efficiencies'!P$12))</f>
        <v>104.82412726214095</v>
      </c>
      <c r="S12" s="227">
        <f>'OD Efficiencies'!Q$54*('OD Shares'!AE12/(1/'OD Efficiencies'!Q12))/('OD Shares'!AE$12/(1/'OD Efficiencies'!Q$12))</f>
        <v>799.22911484244662</v>
      </c>
      <c r="T12" s="227">
        <f>'OD Efficiencies'!R$54*('OD Shares'!AG12/(1/'OD Efficiencies'!R12))/('OD Shares'!AG$12/(1/'OD Efficiencies'!R$12))</f>
        <v>725.96154439582835</v>
      </c>
      <c r="U12" s="227">
        <f>'OD Efficiencies'!S$54*('OD Shares'!AH12/(1/'OD Efficiencies'!S12))/('OD Shares'!AH$12/(1/'OD Efficiencies'!S$12))</f>
        <v>240.20316110961355</v>
      </c>
      <c r="V12" s="227">
        <f>'OD Efficiencies'!T$54*('OD Shares'!AI12/(1/'OD Efficiencies'!T12))/('OD Shares'!AI$12/(1/'OD Efficiencies'!T$12))</f>
        <v>2119.4256904455815</v>
      </c>
      <c r="W12" s="227">
        <f>'OD Efficiencies'!V$54*('OD Shares'!AJ12/(1/'OD Efficiencies'!X12))/('OD Shares'!AJ$12/(1/'OD Efficiencies'!X$12))</f>
        <v>3129.8778002153022</v>
      </c>
      <c r="Y12" s="228"/>
    </row>
    <row r="13" spans="1:25" x14ac:dyDescent="0.2">
      <c r="A13" s="225">
        <v>2006</v>
      </c>
      <c r="B13" s="226">
        <f t="shared" si="2"/>
        <v>1424.9944191066897</v>
      </c>
      <c r="C13" s="226">
        <f t="shared" si="3"/>
        <v>3873.9026409473572</v>
      </c>
      <c r="D13" s="227">
        <f>'OD Efficiencies'!B$54*'OD StructuralVars'!$Q13*('OD Shares'!B13/'OD Efficiencies'!B13)/('OD Shares'!B$12/'OD Efficiencies'!B$12)</f>
        <v>918.1651193390237</v>
      </c>
      <c r="E13" s="227">
        <f>'OD Efficiencies'!C$54*'OD StructuralVars'!$Q13*('OD Shares'!D13/'OD Efficiencies'!C13)/('OD Shares'!D$12/'OD Efficiencies'!C$12)</f>
        <v>411.06821103621905</v>
      </c>
      <c r="F13" s="227"/>
      <c r="G13" s="227">
        <f>'OD Efficiencies'!E$54*'OD StructuralVars'!$Q13*('OD Shares'!H13/(1/'OD Efficiencies'!E13))/('OD Shares'!H$12/(1/'OD Efficiencies'!E$12))</f>
        <v>95.761088731446918</v>
      </c>
      <c r="H13" s="227">
        <f>'OD Efficiencies'!F$54*'OD StructuralVars'!$R13*('OD Shares'!J13/'OD Efficiencies'!F13)/('OD Shares'!J$12/'OD Efficiencies'!F$12)</f>
        <v>2774.6183126933261</v>
      </c>
      <c r="I13" s="227">
        <f>'OD Efficiencies'!G$54*'OD StructuralVars'!$R13*('OD Shares'!L13/'OD Efficiencies'!G13)/('OD Shares'!L$12/'OD Efficiencies'!G$12)</f>
        <v>647.99869583107329</v>
      </c>
      <c r="J13" s="227"/>
      <c r="K13" s="227">
        <f>'OD Efficiencies'!I$54*'OD StructuralVars'!$R13*('OD Shares'!P13/'OD Efficiencies'!I13)/('OD Shares'!P$12/'OD Efficiencies'!I$12)</f>
        <v>451.28563242295803</v>
      </c>
      <c r="L13" s="227">
        <f>'OD Efficiencies'!J$54*('OD Shares'!R13/'OD Efficiencies'!J13)/('OD Shares'!R$12/'OD Efficiencies'!J$12)</f>
        <v>2133.953598962974</v>
      </c>
      <c r="M13" s="227">
        <f>'OD Efficiencies'!K$54*('OD Shares'!T13/(1/'OD Efficiencies'!K13))/('OD Shares'!T$12/(1/'OD Efficiencies'!K$12))</f>
        <v>581.15103101077602</v>
      </c>
      <c r="N13" s="227">
        <f>'OD Efficiencies'!L$54*('OD Shares'!U13/(1/'OD Efficiencies'!L13))/('OD Shares'!U$12/(1/'OD Efficiencies'!L$12))</f>
        <v>689.63685689656893</v>
      </c>
      <c r="O13" s="227">
        <f>'OD Efficiencies'!M$54*('OD Shares'!W13/(1/'OD Efficiencies'!M13))/('OD Shares'!W$12/(1/'OD Efficiencies'!M$12))</f>
        <v>124.06479632082252</v>
      </c>
      <c r="P13" s="227">
        <f>'OD Efficiencies'!N$54*('OD Shares'!Y13/(1/'OD Efficiencies'!N13))/('OD Shares'!Y$12/(1/'OD Efficiencies'!N$12))</f>
        <v>256.54093959866611</v>
      </c>
      <c r="Q13" s="227">
        <f>'OD Efficiencies'!O$54*('OD Shares'!AA13/(1/'OD Efficiencies'!O13))/('OD Shares'!AA$12/(1/'OD Efficiencies'!O$12))</f>
        <v>270.60812033912282</v>
      </c>
      <c r="R13" s="227">
        <f>'OD Efficiencies'!P$54*('OD Shares'!AC13/(1/'OD Efficiencies'!P13))/('OD Shares'!AC$12/(1/'OD Efficiencies'!P$12))</f>
        <v>103.09485396534758</v>
      </c>
      <c r="S13" s="227">
        <f>'OD Efficiencies'!Q$54*('OD Shares'!AE13/(1/'OD Efficiencies'!Q13))/('OD Shares'!AE$12/(1/'OD Efficiencies'!Q$12))</f>
        <v>787.49319502207243</v>
      </c>
      <c r="T13" s="227">
        <f>'OD Efficiencies'!R$54*('OD Shares'!AG13/(1/'OD Efficiencies'!R13))/('OD Shares'!AG$12/(1/'OD Efficiencies'!R$12))</f>
        <v>765.48113533998401</v>
      </c>
      <c r="U13" s="227">
        <f>'OD Efficiencies'!S$54*('OD Shares'!AH13/(1/'OD Efficiencies'!S13))/('OD Shares'!AH$12/(1/'OD Efficiencies'!S$12))</f>
        <v>245.16228603977791</v>
      </c>
      <c r="V13" s="227">
        <f>'OD Efficiencies'!T$54*('OD Shares'!AI13/(1/'OD Efficiencies'!T13))/('OD Shares'!AI$12/(1/'OD Efficiencies'!T$12))</f>
        <v>2093.8772627174935</v>
      </c>
      <c r="W13" s="227">
        <f>'OD Efficiencies'!V$54*('OD Shares'!AJ13/(1/'OD Efficiencies'!X13))/('OD Shares'!AJ$12/(1/'OD Efficiencies'!X$12))</f>
        <v>3325.8025461897214</v>
      </c>
      <c r="Y13" s="228"/>
    </row>
    <row r="14" spans="1:25" x14ac:dyDescent="0.2">
      <c r="A14" s="225">
        <v>2007</v>
      </c>
      <c r="B14" s="226">
        <f t="shared" si="2"/>
        <v>1409.761084306791</v>
      </c>
      <c r="C14" s="226">
        <f t="shared" si="3"/>
        <v>3873.1192116020061</v>
      </c>
      <c r="D14" s="227">
        <f>'OD Efficiencies'!B$54*'OD StructuralVars'!$Q14*('OD Shares'!B14/'OD Efficiencies'!B14)/('OD Shares'!B$12/'OD Efficiencies'!B$12)</f>
        <v>915.1433862498485</v>
      </c>
      <c r="E14" s="227">
        <f>'OD Efficiencies'!C$54*'OD StructuralVars'!$Q14*('OD Shares'!D14/'OD Efficiencies'!C14)/('OD Shares'!D$12/'OD Efficiencies'!C$12)</f>
        <v>402.5071125732801</v>
      </c>
      <c r="F14" s="227"/>
      <c r="G14" s="227">
        <f>'OD Efficiencies'!E$54*'OD StructuralVars'!$Q14*('OD Shares'!H14/(1/'OD Efficiencies'!E14))/('OD Shares'!H$12/(1/'OD Efficiencies'!E$12))</f>
        <v>92.110585483662391</v>
      </c>
      <c r="H14" s="227">
        <f>'OD Efficiencies'!F$54*'OD StructuralVars'!$R14*('OD Shares'!J14/'OD Efficiencies'!F14)/('OD Shares'!J$12/'OD Efficiencies'!F$12)</f>
        <v>2782.4025940511137</v>
      </c>
      <c r="I14" s="227">
        <f>'OD Efficiencies'!G$54*'OD StructuralVars'!$R14*('OD Shares'!L14/'OD Efficiencies'!G14)/('OD Shares'!L$12/'OD Efficiencies'!G$12)</f>
        <v>630.50556141137361</v>
      </c>
      <c r="J14" s="227"/>
      <c r="K14" s="227">
        <f>'OD Efficiencies'!I$54*'OD StructuralVars'!$R14*('OD Shares'!P14/'OD Efficiencies'!I14)/('OD Shares'!P$12/'OD Efficiencies'!I$12)</f>
        <v>460.21105613951886</v>
      </c>
      <c r="L14" s="227">
        <f>'OD Efficiencies'!J$54*('OD Shares'!R14/'OD Efficiencies'!J14)/('OD Shares'!R$12/'OD Efficiencies'!J$12)</f>
        <v>2130.0975340022874</v>
      </c>
      <c r="M14" s="227">
        <f>'OD Efficiencies'!K$54*('OD Shares'!T14/(1/'OD Efficiencies'!K14))/('OD Shares'!T$12/(1/'OD Efficiencies'!K$12))</f>
        <v>585.26602622370081</v>
      </c>
      <c r="N14" s="227">
        <f>'OD Efficiencies'!L$54*('OD Shares'!U14/(1/'OD Efficiencies'!L14))/('OD Shares'!U$12/(1/'OD Efficiencies'!L$12))</f>
        <v>676.85513909106351</v>
      </c>
      <c r="O14" s="227">
        <f>'OD Efficiencies'!M$54*('OD Shares'!W14/(1/'OD Efficiencies'!M14))/('OD Shares'!W$12/(1/'OD Efficiencies'!M$12))</f>
        <v>121.84954009919778</v>
      </c>
      <c r="P14" s="227">
        <f>'OD Efficiencies'!N$54*('OD Shares'!Y14/(1/'OD Efficiencies'!N14))/('OD Shares'!Y$12/(1/'OD Efficiencies'!N$12))</f>
        <v>362.83858922147743</v>
      </c>
      <c r="Q14" s="227">
        <f>'OD Efficiencies'!O$54*('OD Shares'!AA14/(1/'OD Efficiencies'!O14))/('OD Shares'!AA$12/(1/'OD Efficiencies'!O$12))</f>
        <v>182.43334213116299</v>
      </c>
      <c r="R14" s="227">
        <f>'OD Efficiencies'!P$54*('OD Shares'!AC14/(1/'OD Efficiencies'!P14))/('OD Shares'!AC$12/(1/'OD Efficiencies'!P$12))</f>
        <v>96.742597422438806</v>
      </c>
      <c r="S14" s="227">
        <f>'OD Efficiencies'!Q$54*('OD Shares'!AE14/(1/'OD Efficiencies'!Q14))/('OD Shares'!AE$12/(1/'OD Efficiencies'!Q$12))</f>
        <v>749.28365567568403</v>
      </c>
      <c r="T14" s="227">
        <f>'OD Efficiencies'!R$54*('OD Shares'!AG14/(1/'OD Efficiencies'!R14))/('OD Shares'!AG$12/(1/'OD Efficiencies'!R$12))</f>
        <v>823.22572188146478</v>
      </c>
      <c r="U14" s="227">
        <f>'OD Efficiencies'!S$54*('OD Shares'!AH14/(1/'OD Efficiencies'!S14))/('OD Shares'!AH$12/(1/'OD Efficiencies'!S$12))</f>
        <v>249.82009723556976</v>
      </c>
      <c r="V14" s="227">
        <f>'OD Efficiencies'!T$54*('OD Shares'!AI14/(1/'OD Efficiencies'!T14))/('OD Shares'!AI$12/(1/'OD Efficiencies'!T$12))</f>
        <v>2046.1536762452954</v>
      </c>
      <c r="W14" s="227">
        <f>'OD Efficiencies'!V$54*('OD Shares'!AJ14/(1/'OD Efficiencies'!X14))/('OD Shares'!AJ$12/(1/'OD Efficiencies'!X$12))</f>
        <v>3578.9198414099505</v>
      </c>
      <c r="Y14" s="228"/>
    </row>
    <row r="15" spans="1:25" x14ac:dyDescent="0.2">
      <c r="A15" s="225">
        <v>2008</v>
      </c>
      <c r="B15" s="226">
        <f t="shared" si="2"/>
        <v>1592.8440506595416</v>
      </c>
      <c r="C15" s="226">
        <f t="shared" si="3"/>
        <v>3746.3089562082478</v>
      </c>
      <c r="D15" s="227">
        <f>'OD Efficiencies'!B$54*'OD StructuralVars'!$Q15*('OD Shares'!B15/'OD Efficiencies'!B15)/('OD Shares'!B$12/'OD Efficiencies'!B$12)</f>
        <v>1107.3179000607995</v>
      </c>
      <c r="E15" s="227">
        <f>'OD Efficiencies'!C$54*'OD StructuralVars'!$Q15*('OD Shares'!D15/'OD Efficiencies'!C15)/('OD Shares'!D$12/'OD Efficiencies'!C$12)</f>
        <v>402.73110852908485</v>
      </c>
      <c r="F15" s="227"/>
      <c r="G15" s="227">
        <f>'OD Efficiencies'!E$54*'OD StructuralVars'!$Q15*('OD Shares'!H15/(1/'OD Efficiencies'!E15))/('OD Shares'!H$12/(1/'OD Efficiencies'!E$12))</f>
        <v>82.79504206965737</v>
      </c>
      <c r="H15" s="227">
        <f>'OD Efficiencies'!F$54*'OD StructuralVars'!$R15*('OD Shares'!J15/'OD Efficiencies'!F15)/('OD Shares'!J$12/'OD Efficiencies'!F$12)</f>
        <v>2651.7606506470252</v>
      </c>
      <c r="I15" s="227">
        <f>'OD Efficiencies'!G$54*'OD StructuralVars'!$R15*('OD Shares'!L15/'OD Efficiencies'!G15)/('OD Shares'!L$12/'OD Efficiencies'!G$12)</f>
        <v>628.47519809618484</v>
      </c>
      <c r="J15" s="227"/>
      <c r="K15" s="227">
        <f>'OD Efficiencies'!I$54*'OD StructuralVars'!$R15*('OD Shares'!P15/'OD Efficiencies'!I15)/('OD Shares'!P$12/'OD Efficiencies'!I$12)</f>
        <v>466.07310746503759</v>
      </c>
      <c r="L15" s="227">
        <f>'OD Efficiencies'!J$54*('OD Shares'!R15/'OD Efficiencies'!J15)/('OD Shares'!R$12/'OD Efficiencies'!J$12)</f>
        <v>2127.9462880367878</v>
      </c>
      <c r="M15" s="227">
        <f>'OD Efficiencies'!K$54*('OD Shares'!T15/(1/'OD Efficiencies'!K15))/('OD Shares'!T$12/(1/'OD Efficiencies'!K$12))</f>
        <v>599.22573164891219</v>
      </c>
      <c r="N15" s="227">
        <f>'OD Efficiencies'!L$54*('OD Shares'!U15/(1/'OD Efficiencies'!L15))/('OD Shares'!U$12/(1/'OD Efficiencies'!L$12))</f>
        <v>665.57728780466834</v>
      </c>
      <c r="O15" s="227">
        <f>'OD Efficiencies'!M$54*('OD Shares'!W15/(1/'OD Efficiencies'!M15))/('OD Shares'!W$12/(1/'OD Efficiencies'!M$12))</f>
        <v>119.73831431462803</v>
      </c>
      <c r="P15" s="227">
        <f>'OD Efficiencies'!N$54*('OD Shares'!Y15/(1/'OD Efficiencies'!N15))/('OD Shares'!Y$12/(1/'OD Efficiencies'!N$12))</f>
        <v>347.55574003495639</v>
      </c>
      <c r="Q15" s="227">
        <f>'OD Efficiencies'!O$54*('OD Shares'!AA15/(1/'OD Efficiencies'!O15))/('OD Shares'!AA$12/(1/'OD Efficiencies'!O$12))</f>
        <v>185.78403249977438</v>
      </c>
      <c r="R15" s="227">
        <f>'OD Efficiencies'!P$54*('OD Shares'!AC15/(1/'OD Efficiencies'!P15))/('OD Shares'!AC$12/(1/'OD Efficiencies'!P$12))</f>
        <v>98.460320444399557</v>
      </c>
      <c r="S15" s="227">
        <f>'OD Efficiencies'!Q$54*('OD Shares'!AE15/(1/'OD Efficiencies'!Q15))/('OD Shares'!AE$12/(1/'OD Efficiencies'!Q$12))</f>
        <v>739.00169706997474</v>
      </c>
      <c r="T15" s="227">
        <f>'OD Efficiencies'!R$54*('OD Shares'!AG15/(1/'OD Efficiencies'!R15))/('OD Shares'!AG$12/(1/'OD Efficiencies'!R$12))</f>
        <v>882.26780057381688</v>
      </c>
      <c r="U15" s="227">
        <f>'OD Efficiencies'!S$54*('OD Shares'!AH15/(1/'OD Efficiencies'!S15))/('OD Shares'!AH$12/(1/'OD Efficiencies'!S$12))</f>
        <v>254.46849954674735</v>
      </c>
      <c r="V15" s="227">
        <f>'OD Efficiencies'!T$54*('OD Shares'!AI15/(1/'OD Efficiencies'!T15))/('OD Shares'!AI$12/(1/'OD Efficiencies'!T$12))</f>
        <v>2006.5582988027245</v>
      </c>
      <c r="W15" s="227">
        <f>'OD Efficiencies'!V$54*('OD Shares'!AJ15/(1/'OD Efficiencies'!X15))/('OD Shares'!AJ$12/(1/'OD Efficiencies'!X$12))</f>
        <v>3764.1438437851161</v>
      </c>
      <c r="Y15" s="228"/>
    </row>
    <row r="16" spans="1:25" x14ac:dyDescent="0.2">
      <c r="A16" s="225">
        <v>2009</v>
      </c>
      <c r="B16" s="226">
        <f t="shared" si="2"/>
        <v>1593.7257182693904</v>
      </c>
      <c r="C16" s="226">
        <f t="shared" si="3"/>
        <v>3570.7908574553962</v>
      </c>
      <c r="D16" s="227">
        <f>'OD Efficiencies'!B$54*'OD StructuralVars'!$Q16*('OD Shares'!B16/'OD Efficiencies'!B16)/('OD Shares'!B$12/'OD Efficiencies'!B$12)</f>
        <v>1113.2856806622708</v>
      </c>
      <c r="E16" s="227">
        <f>'OD Efficiencies'!C$54*'OD StructuralVars'!$Q16*('OD Shares'!D16/'OD Efficiencies'!C16)/('OD Shares'!D$12/'OD Efficiencies'!C$12)</f>
        <v>397.72756326950167</v>
      </c>
      <c r="F16" s="227"/>
      <c r="G16" s="227">
        <f>'OD Efficiencies'!E$54*'OD StructuralVars'!$Q16*('OD Shares'!H16/(1/'OD Efficiencies'!E16))/('OD Shares'!H$12/(1/'OD Efficiencies'!E$12))</f>
        <v>82.712474337617934</v>
      </c>
      <c r="H16" s="227">
        <f>'OD Efficiencies'!F$54*'OD StructuralVars'!$R16*('OD Shares'!J16/'OD Efficiencies'!F16)/('OD Shares'!J$12/'OD Efficiencies'!F$12)</f>
        <v>2485.7558347446989</v>
      </c>
      <c r="I16" s="227">
        <f>'OD Efficiencies'!G$54*'OD StructuralVars'!$R16*('OD Shares'!L16/'OD Efficiencies'!G16)/('OD Shares'!L$12/'OD Efficiencies'!G$12)</f>
        <v>614.36895986000059</v>
      </c>
      <c r="J16" s="227"/>
      <c r="K16" s="227">
        <f>'OD Efficiencies'!I$54*'OD StructuralVars'!$R16*('OD Shares'!P16/'OD Efficiencies'!I16)/('OD Shares'!P$12/'OD Efficiencies'!I$12)</f>
        <v>470.66606285069651</v>
      </c>
      <c r="L16" s="227">
        <f>'OD Efficiencies'!J$54*('OD Shares'!R16/'OD Efficiencies'!J16)/('OD Shares'!R$12/'OD Efficiencies'!J$12)</f>
        <v>2125.1513588773432</v>
      </c>
      <c r="M16" s="227">
        <f>'OD Efficiencies'!K$54*('OD Shares'!T16/(1/'OD Efficiencies'!K16))/('OD Shares'!T$12/(1/'OD Efficiencies'!K$12))</f>
        <v>610.3125588976169</v>
      </c>
      <c r="N16" s="227">
        <f>'OD Efficiencies'!L$54*('OD Shares'!U16/(1/'OD Efficiencies'!L16))/('OD Shares'!U$12/(1/'OD Efficiencies'!L$12))</f>
        <v>655.17255832937224</v>
      </c>
      <c r="O16" s="227">
        <f>'OD Efficiencies'!M$54*('OD Shares'!W16/(1/'OD Efficiencies'!M16))/('OD Shares'!W$12/(1/'OD Efficiencies'!M$12))</f>
        <v>117.95238861837264</v>
      </c>
      <c r="P16" s="227">
        <f>'OD Efficiencies'!N$54*('OD Shares'!Y16/(1/'OD Efficiencies'!N16))/('OD Shares'!Y$12/(1/'OD Efficiencies'!N$12))</f>
        <v>333.13784977584959</v>
      </c>
      <c r="Q16" s="227">
        <f>'OD Efficiencies'!O$54*('OD Shares'!AA16/(1/'OD Efficiencies'!O16))/('OD Shares'!AA$12/(1/'OD Efficiencies'!O$12))</f>
        <v>188.49072299867387</v>
      </c>
      <c r="R16" s="227">
        <f>'OD Efficiencies'!P$54*('OD Shares'!AC16/(1/'OD Efficiencies'!P16))/('OD Shares'!AC$12/(1/'OD Efficiencies'!P$12))</f>
        <v>100.01611453970024</v>
      </c>
      <c r="S16" s="227">
        <f>'OD Efficiencies'!Q$54*('OD Shares'!AE16/(1/'OD Efficiencies'!Q16))/('OD Shares'!AE$12/(1/'OD Efficiencies'!Q$12))</f>
        <v>728.68737467296489</v>
      </c>
      <c r="T16" s="227">
        <f>'OD Efficiencies'!R$54*('OD Shares'!AG16/(1/'OD Efficiencies'!R16))/('OD Shares'!AG$12/(1/'OD Efficiencies'!R$12))</f>
        <v>924.25643620816902</v>
      </c>
      <c r="U16" s="227">
        <f>'OD Efficiencies'!S$54*('OD Shares'!AH16/(1/'OD Efficiencies'!S16))/('OD Shares'!AH$12/(1/'OD Efficiencies'!S$12))</f>
        <v>259.07165440302265</v>
      </c>
      <c r="V16" s="227">
        <f>'OD Efficiencies'!T$54*('OD Shares'!AI16/(1/'OD Efficiencies'!T16))/('OD Shares'!AI$12/(1/'OD Efficiencies'!T$12))</f>
        <v>1951.7035463311204</v>
      </c>
      <c r="W16" s="227">
        <f>'OD Efficiencies'!V$54*('OD Shares'!AJ16/(1/'OD Efficiencies'!X16))/('OD Shares'!AJ$12/(1/'OD Efficiencies'!X$12))</f>
        <v>3656.967815130095</v>
      </c>
      <c r="Y16" s="228"/>
    </row>
    <row r="17" spans="1:25" x14ac:dyDescent="0.2">
      <c r="A17" s="225">
        <v>2010</v>
      </c>
      <c r="B17" s="226">
        <f t="shared" si="2"/>
        <v>1590.6282602242043</v>
      </c>
      <c r="C17" s="226">
        <f t="shared" si="3"/>
        <v>3271.0253312414566</v>
      </c>
      <c r="D17" s="227">
        <f>'OD Efficiencies'!B$54*'OD StructuralVars'!$Q17*('OD Shares'!B17/'OD Efficiencies'!B17)/('OD Shares'!B$12/'OD Efficiencies'!B$12)</f>
        <v>1118.9835133443034</v>
      </c>
      <c r="E17" s="227">
        <f>'OD Efficiencies'!C$54*'OD StructuralVars'!$Q17*('OD Shares'!D17/'OD Efficiencies'!C17)/('OD Shares'!D$12/'OD Efficiencies'!C$12)</f>
        <v>397.48374736497902</v>
      </c>
      <c r="F17" s="227"/>
      <c r="G17" s="227">
        <f>'OD Efficiencies'!E$54*'OD StructuralVars'!$Q17*('OD Shares'!H17/(1/'OD Efficiencies'!E17))/('OD Shares'!H$12/(1/'OD Efficiencies'!E$12))</f>
        <v>74.160999514921727</v>
      </c>
      <c r="H17" s="227">
        <f>'OD Efficiencies'!F$54*'OD StructuralVars'!$R17*('OD Shares'!J17/'OD Efficiencies'!F17)/('OD Shares'!J$12/'OD Efficiencies'!F$12)</f>
        <v>2183.539813176636</v>
      </c>
      <c r="I17" s="227">
        <f>'OD Efficiencies'!G$54*'OD StructuralVars'!$R17*('OD Shares'!L17/'OD Efficiencies'!G17)/('OD Shares'!L$12/'OD Efficiencies'!G$12)</f>
        <v>612.91274717359795</v>
      </c>
      <c r="J17" s="227"/>
      <c r="K17" s="227">
        <f>'OD Efficiencies'!I$54*'OD StructuralVars'!$R17*('OD Shares'!P17/'OD Efficiencies'!I17)/('OD Shares'!P$12/'OD Efficiencies'!I$12)</f>
        <v>474.57277089122272</v>
      </c>
      <c r="L17" s="227">
        <f>'OD Efficiencies'!J$54*('OD Shares'!R17/'OD Efficiencies'!J17)/('OD Shares'!R$12/'OD Efficiencies'!J$12)</f>
        <v>2123.5537711065863</v>
      </c>
      <c r="M17" s="227">
        <f>'OD Efficiencies'!K$54*('OD Shares'!T17/(1/'OD Efficiencies'!K17))/('OD Shares'!T$12/(1/'OD Efficiencies'!K$12))</f>
        <v>623.52289439153469</v>
      </c>
      <c r="N17" s="227">
        <f>'OD Efficiencies'!L$54*('OD Shares'!U17/(1/'OD Efficiencies'!L17))/('OD Shares'!U$12/(1/'OD Efficiencies'!L$12))</f>
        <v>646.24737230840537</v>
      </c>
      <c r="O17" s="227">
        <f>'OD Efficiencies'!M$54*('OD Shares'!W17/(1/'OD Efficiencies'!M17))/('OD Shares'!W$12/(1/'OD Efficiencies'!M$12))</f>
        <v>116.51318714968953</v>
      </c>
      <c r="P17" s="227">
        <f>'OD Efficiencies'!N$54*('OD Shares'!Y17/(1/'OD Efficiencies'!N17))/('OD Shares'!Y$12/(1/'OD Efficiencies'!N$12))</f>
        <v>319.55553853843367</v>
      </c>
      <c r="Q17" s="227">
        <f>'OD Efficiencies'!O$54*('OD Shares'!AA17/(1/'OD Efficiencies'!O17))/('OD Shares'!AA$12/(1/'OD Efficiencies'!O$12))</f>
        <v>188.35401314812145</v>
      </c>
      <c r="R17" s="227">
        <f>'OD Efficiencies'!P$54*('OD Shares'!AC17/(1/'OD Efficiencies'!P17))/('OD Shares'!AC$12/(1/'OD Efficiencies'!P$12))</f>
        <v>101.40997970834081</v>
      </c>
      <c r="S17" s="227">
        <f>'OD Efficiencies'!Q$54*('OD Shares'!AE17/(1/'OD Efficiencies'!Q17))/('OD Shares'!AE$12/(1/'OD Efficiencies'!Q$12))</f>
        <v>718.34068848465438</v>
      </c>
      <c r="T17" s="227">
        <f>'OD Efficiencies'!R$54*('OD Shares'!AG17/(1/'OD Efficiencies'!R17))/('OD Shares'!AG$12/(1/'OD Efficiencies'!R$12))</f>
        <v>957.79521065626932</v>
      </c>
      <c r="U17" s="227">
        <f>'OD Efficiencies'!S$54*('OD Shares'!AH17/(1/'OD Efficiencies'!S17))/('OD Shares'!AH$12/(1/'OD Efficiencies'!S$12))</f>
        <v>263.82856820064166</v>
      </c>
      <c r="V17" s="227">
        <f>'OD Efficiencies'!T$54*('OD Shares'!AI17/(1/'OD Efficiencies'!T17))/('OD Shares'!AI$12/(1/'OD Efficiencies'!T$12))</f>
        <v>1908.341992840747</v>
      </c>
      <c r="W17" s="227">
        <f>'OD Efficiencies'!V$54*('OD Shares'!AJ17/(1/'OD Efficiencies'!X17))/('OD Shares'!AJ$12/(1/'OD Efficiencies'!X$12))</f>
        <v>3774.4859904035739</v>
      </c>
      <c r="Y17" s="228"/>
    </row>
    <row r="18" spans="1:25" x14ac:dyDescent="0.2">
      <c r="A18" s="225">
        <v>2011</v>
      </c>
      <c r="B18" s="226">
        <f t="shared" si="2"/>
        <v>1571.4073713365735</v>
      </c>
      <c r="C18" s="226">
        <f t="shared" si="3"/>
        <v>3264.598301064148</v>
      </c>
      <c r="D18" s="227">
        <f>'OD Efficiencies'!B$54*'OD StructuralVars'!$Q18*('OD Shares'!B18/'OD Efficiencies'!B18)/('OD Shares'!B$12/'OD Efficiencies'!B$12)</f>
        <v>1103.9394012204468</v>
      </c>
      <c r="E18" s="227">
        <f>'OD Efficiencies'!C$54*'OD StructuralVars'!$Q18*('OD Shares'!D18/'OD Efficiencies'!C18)/('OD Shares'!D$12/'OD Efficiencies'!C$12)</f>
        <v>397.65911486181875</v>
      </c>
      <c r="F18" s="227"/>
      <c r="G18" s="227">
        <f>'OD Efficiencies'!E$54*'OD StructuralVars'!$Q18*('OD Shares'!H18/(1/'OD Efficiencies'!E18))/('OD Shares'!H$12/(1/'OD Efficiencies'!E$12))</f>
        <v>69.808855254307872</v>
      </c>
      <c r="H18" s="227">
        <f>'OD Efficiencies'!F$54*'OD StructuralVars'!$R18*('OD Shares'!J18/'OD Efficiencies'!F18)/('OD Shares'!J$12/'OD Efficiencies'!F$12)</f>
        <v>2179.6307828264562</v>
      </c>
      <c r="I18" s="227">
        <f>'OD Efficiencies'!G$54*'OD StructuralVars'!$R18*('OD Shares'!L18/'OD Efficiencies'!G18)/('OD Shares'!L$12/'OD Efficiencies'!G$12)</f>
        <v>615.49696743453944</v>
      </c>
      <c r="J18" s="227"/>
      <c r="K18" s="227">
        <f>'OD Efficiencies'!I$54*'OD StructuralVars'!$R18*('OD Shares'!P18/'OD Efficiencies'!I18)/('OD Shares'!P$12/'OD Efficiencies'!I$12)</f>
        <v>469.47055080315255</v>
      </c>
      <c r="L18" s="227">
        <f>'OD Efficiencies'!J$54*('OD Shares'!R18/'OD Efficiencies'!J18)/('OD Shares'!R$12/'OD Efficiencies'!J$12)</f>
        <v>2122.2318990452363</v>
      </c>
      <c r="M18" s="227">
        <f>'OD Efficiencies'!K$54*('OD Shares'!T18/(1/'OD Efficiencies'!K18))/('OD Shares'!T$12/(1/'OD Efficiencies'!K$12))</f>
        <v>621.90495778891852</v>
      </c>
      <c r="N18" s="227">
        <f>'OD Efficiencies'!L$54*('OD Shares'!U18/(1/'OD Efficiencies'!L18))/('OD Shares'!U$12/(1/'OD Efficiencies'!L$12))</f>
        <v>640.36316440541725</v>
      </c>
      <c r="O18" s="227">
        <f>'OD Efficiencies'!M$54*('OD Shares'!W18/(1/'OD Efficiencies'!M18))/('OD Shares'!W$12/(1/'OD Efficiencies'!M$12))</f>
        <v>115.65318537770028</v>
      </c>
      <c r="P18" s="227">
        <f>'OD Efficiencies'!N$54*('OD Shares'!Y18/(1/'OD Efficiencies'!N18))/('OD Shares'!Y$12/(1/'OD Efficiencies'!N$12))</f>
        <v>318.85349787856899</v>
      </c>
      <c r="Q18" s="227">
        <f>'OD Efficiencies'!O$54*('OD Shares'!AA18/(1/'OD Efficiencies'!O18))/('OD Shares'!AA$12/(1/'OD Efficiencies'!O$12))</f>
        <v>187.71763173633124</v>
      </c>
      <c r="R18" s="227">
        <f>'OD Efficiencies'!P$54*('OD Shares'!AC18/(1/'OD Efficiencies'!P18))/('OD Shares'!AC$12/(1/'OD Efficiencies'!P$12))</f>
        <v>102.63639129817042</v>
      </c>
      <c r="S18" s="227">
        <f>'OD Efficiencies'!Q$54*('OD Shares'!AE18/(1/'OD Efficiencies'!Q18))/('OD Shares'!AE$12/(1/'OD Efficiencies'!Q$12))</f>
        <v>708.38690711089203</v>
      </c>
      <c r="T18" s="227">
        <f>'OD Efficiencies'!R$54*('OD Shares'!AG18/(1/'OD Efficiencies'!R18))/('OD Shares'!AG$12/(1/'OD Efficiencies'!R$12))</f>
        <v>957.06873278044179</v>
      </c>
      <c r="U18" s="227">
        <f>'OD Efficiencies'!S$54*('OD Shares'!AH18/(1/'OD Efficiencies'!S18))/('OD Shares'!AH$12/(1/'OD Efficiencies'!S$12))</f>
        <v>268.37431218124556</v>
      </c>
      <c r="V18" s="227">
        <f>'OD Efficiencies'!T$54*('OD Shares'!AI18/(1/'OD Efficiencies'!T18))/('OD Shares'!AI$12/(1/'OD Efficiencies'!T$12))</f>
        <v>1826.5150765667127</v>
      </c>
      <c r="W18" s="227">
        <f>'OD Efficiencies'!V$54*('OD Shares'!AJ18/(1/'OD Efficiencies'!X18))/('OD Shares'!AJ$12/(1/'OD Efficiencies'!X$12))</f>
        <v>3721.721007554891</v>
      </c>
      <c r="Y18" s="228"/>
    </row>
    <row r="19" spans="1:25" x14ac:dyDescent="0.2">
      <c r="A19" s="225">
        <v>2012</v>
      </c>
      <c r="B19" s="226">
        <f t="shared" si="2"/>
        <v>1551.9154239792206</v>
      </c>
      <c r="C19" s="226">
        <f t="shared" si="3"/>
        <v>3220.268719304896</v>
      </c>
      <c r="D19" s="227">
        <f>'OD Efficiencies'!B$54*'OD StructuralVars'!$Q19*('OD Shares'!B19/'OD Efficiencies'!B19)/('OD Shares'!B$12/'OD Efficiencies'!B$12)</f>
        <v>1084.0131377934285</v>
      </c>
      <c r="E19" s="227">
        <f>'OD Efficiencies'!C$54*'OD StructuralVars'!$Q19*('OD Shares'!D19/'OD Efficiencies'!C19)/('OD Shares'!D$12/'OD Efficiencies'!C$12)</f>
        <v>398.44255250026498</v>
      </c>
      <c r="F19" s="227"/>
      <c r="G19" s="227">
        <f>'OD Efficiencies'!E$54*'OD StructuralVars'!$Q19*('OD Shares'!H19/(1/'OD Efficiencies'!E19))/('OD Shares'!H$12/(1/'OD Efficiencies'!E$12))</f>
        <v>69.459733685526956</v>
      </c>
      <c r="H19" s="227">
        <f>'OD Efficiencies'!F$54*'OD StructuralVars'!$R19*('OD Shares'!J19/'OD Efficiencies'!F19)/('OD Shares'!J$12/'OD Efficiencies'!F$12)</f>
        <v>2137.1155665376009</v>
      </c>
      <c r="I19" s="227">
        <f>'OD Efficiencies'!G$54*'OD StructuralVars'!$R19*('OD Shares'!L19/'OD Efficiencies'!G19)/('OD Shares'!L$12/'OD Efficiencies'!G$12)</f>
        <v>618.51472293434199</v>
      </c>
      <c r="J19" s="227"/>
      <c r="K19" s="227">
        <f>'OD Efficiencies'!I$54*'OD StructuralVars'!$R19*('OD Shares'!P19/'OD Efficiencies'!I19)/('OD Shares'!P$12/'OD Efficiencies'!I$12)</f>
        <v>464.63842983295291</v>
      </c>
      <c r="L19" s="227">
        <f>'OD Efficiencies'!J$54*('OD Shares'!R19/'OD Efficiencies'!J19)/('OD Shares'!R$12/'OD Efficiencies'!J$12)</f>
        <v>2120.9660412082458</v>
      </c>
      <c r="M19" s="227">
        <f>'OD Efficiencies'!K$54*('OD Shares'!T19/(1/'OD Efficiencies'!K19))/('OD Shares'!T$12/(1/'OD Efficiencies'!K$12))</f>
        <v>624.69626248592783</v>
      </c>
      <c r="N19" s="227">
        <f>'OD Efficiencies'!L$54*('OD Shares'!U19/(1/'OD Efficiencies'!L19))/('OD Shares'!U$12/(1/'OD Efficiencies'!L$12))</f>
        <v>635.01964747909551</v>
      </c>
      <c r="O19" s="227">
        <f>'OD Efficiencies'!M$54*('OD Shares'!W19/(1/'OD Efficiencies'!M19))/('OD Shares'!W$12/(1/'OD Efficiencies'!M$12))</f>
        <v>114.81805267284038</v>
      </c>
      <c r="P19" s="227">
        <f>'OD Efficiencies'!N$54*('OD Shares'!Y19/(1/'OD Efficiencies'!N19))/('OD Shares'!Y$12/(1/'OD Efficiencies'!N$12))</f>
        <v>318.79691461925682</v>
      </c>
      <c r="Q19" s="227">
        <f>'OD Efficiencies'!O$54*('OD Shares'!AA19/(1/'OD Efficiencies'!O19))/('OD Shares'!AA$12/(1/'OD Efficiencies'!O$12))</f>
        <v>188.28871561999566</v>
      </c>
      <c r="R19" s="227">
        <f>'OD Efficiencies'!P$54*('OD Shares'!AC19/(1/'OD Efficiencies'!P19))/('OD Shares'!AC$12/(1/'OD Efficiencies'!P$12))</f>
        <v>102.61021124509614</v>
      </c>
      <c r="S19" s="227">
        <f>'OD Efficiencies'!Q$54*('OD Shares'!AE19/(1/'OD Efficiencies'!Q19))/('OD Shares'!AE$12/(1/'OD Efficiencies'!Q$12))</f>
        <v>736.37482081295673</v>
      </c>
      <c r="T19" s="227">
        <f>'OD Efficiencies'!R$54*('OD Shares'!AG19/(1/'OD Efficiencies'!R19))/('OD Shares'!AG$12/(1/'OD Efficiencies'!R$12))</f>
        <v>814.14476268550573</v>
      </c>
      <c r="U19" s="227">
        <f>'OD Efficiencies'!S$54*('OD Shares'!AH19/(1/'OD Efficiencies'!S19))/('OD Shares'!AH$12/(1/'OD Efficiencies'!S$12))</f>
        <v>267.68778238641084</v>
      </c>
      <c r="V19" s="227">
        <f>'OD Efficiencies'!T$54*('OD Shares'!AI19/(1/'OD Efficiencies'!T19))/('OD Shares'!AI$12/(1/'OD Efficiencies'!T$12))</f>
        <v>1786.8529595316215</v>
      </c>
      <c r="W19" s="227">
        <f>'OD Efficiencies'!V$54*('OD Shares'!AJ19/(1/'OD Efficiencies'!X19))/('OD Shares'!AJ$12/(1/'OD Efficiencies'!X$12))</f>
        <v>3751.7303588675254</v>
      </c>
      <c r="Y19" s="228"/>
    </row>
    <row r="20" spans="1:25" x14ac:dyDescent="0.2">
      <c r="A20" s="225">
        <v>2013</v>
      </c>
      <c r="B20" s="226">
        <f>D20+E20+F20+G20</f>
        <v>1537.3357137129112</v>
      </c>
      <c r="C20" s="226">
        <f t="shared" si="3"/>
        <v>3214.9157693976531</v>
      </c>
      <c r="D20" s="227">
        <f>'OD Efficiencies'!B$54*'OD StructuralVars'!$Q20*('OD Shares'!B20/'OD Efficiencies'!B20)/('OD Shares'!B$12/'OD Efficiencies'!B$12)</f>
        <v>1072.7337551712517</v>
      </c>
      <c r="E20" s="227">
        <f>'OD Efficiencies'!C$54*'OD StructuralVars'!$Q20*('OD Shares'!D20/'OD Efficiencies'!C20)/('OD Shares'!D$12/'OD Efficiencies'!C$12)</f>
        <v>398.14442997411737</v>
      </c>
      <c r="F20" s="227"/>
      <c r="G20" s="227">
        <f>'OD Efficiencies'!E$54*'OD StructuralVars'!$Q20*('OD Shares'!H20/(1/'OD Efficiencies'!E20))/('OD Shares'!H$12/(1/'OD Efficiencies'!E$12))</f>
        <v>66.457528567542099</v>
      </c>
      <c r="H20" s="227">
        <f>'OD Efficiencies'!F$54*'OD StructuralVars'!$R20*('OD Shares'!J20/'OD Efficiencies'!F20)/('OD Shares'!J$12/'OD Efficiencies'!F$12)</f>
        <v>2134.8315837185651</v>
      </c>
      <c r="I20" s="227">
        <f>'OD Efficiencies'!G$54*'OD StructuralVars'!$R20*('OD Shares'!L20/'OD Efficiencies'!G20)/('OD Shares'!L$12/'OD Efficiencies'!G$12)</f>
        <v>619.79465237703357</v>
      </c>
      <c r="J20" s="227"/>
      <c r="K20" s="227">
        <f>'OD Efficiencies'!I$54*'OD StructuralVars'!$R20*('OD Shares'!P20/'OD Efficiencies'!I20)/('OD Shares'!P$12/'OD Efficiencies'!I$12)</f>
        <v>460.28953330205417</v>
      </c>
      <c r="L20" s="227">
        <f>'OD Efficiencies'!J$54*('OD Shares'!R20/'OD Efficiencies'!J20)/('OD Shares'!R$12/'OD Efficiencies'!J$12)</f>
        <v>2119.6421313626138</v>
      </c>
      <c r="M20" s="227">
        <f>'OD Efficiencies'!K$54*('OD Shares'!T20/(1/'OD Efficiencies'!K20))/('OD Shares'!T$12/(1/'OD Efficiencies'!K$12))</f>
        <v>623.16035659623822</v>
      </c>
      <c r="N20" s="227">
        <f>'OD Efficiencies'!L$54*('OD Shares'!U20/(1/'OD Efficiencies'!L20))/('OD Shares'!U$12/(1/'OD Efficiencies'!L$12))</f>
        <v>631.00791927501734</v>
      </c>
      <c r="O20" s="227">
        <f>'OD Efficiencies'!M$54*('OD Shares'!W20/(1/'OD Efficiencies'!M20))/('OD Shares'!W$12/(1/'OD Efficiencies'!M$12))</f>
        <v>114.09998316831808</v>
      </c>
      <c r="P20" s="227">
        <f>'OD Efficiencies'!N$54*('OD Shares'!Y20/(1/'OD Efficiencies'!N20))/('OD Shares'!Y$12/(1/'OD Efficiencies'!N$12))</f>
        <v>318.1181524848293</v>
      </c>
      <c r="Q20" s="227">
        <f>'OD Efficiencies'!O$54*('OD Shares'!AA20/(1/'OD Efficiencies'!O20))/('OD Shares'!AA$12/(1/'OD Efficiencies'!O$12))</f>
        <v>185.79678250194632</v>
      </c>
      <c r="R20" s="227">
        <f>'OD Efficiencies'!P$54*('OD Shares'!AC20/(1/'OD Efficiencies'!P20))/('OD Shares'!AC$12/(1/'OD Efficiencies'!P$12))</f>
        <v>101.99861257317309</v>
      </c>
      <c r="S20" s="227">
        <f>'OD Efficiencies'!Q$54*('OD Shares'!AE20/(1/'OD Efficiencies'!Q20))/('OD Shares'!AE$12/(1/'OD Efficiencies'!Q$12))</f>
        <v>733.45435730164593</v>
      </c>
      <c r="T20" s="227">
        <f>'OD Efficiencies'!R$54*('OD Shares'!AG20/(1/'OD Efficiencies'!R20))/('OD Shares'!AG$12/(1/'OD Efficiencies'!R$12))</f>
        <v>805.1828010697285</v>
      </c>
      <c r="U20" s="227">
        <f>'OD Efficiencies'!S$54*('OD Shares'!AH20/(1/'OD Efficiencies'!S20))/('OD Shares'!AH$12/(1/'OD Efficiencies'!S$12))</f>
        <v>264.64379138770693</v>
      </c>
      <c r="V20" s="229">
        <f>'OD Efficiencies'!T$54*('OD Shares'!AI20/(1/'OD Efficiencies'!T20))/('OD Shares'!AI$12/(1/'OD Efficiencies'!T$12))</f>
        <v>1555.9497441393216</v>
      </c>
      <c r="W20" s="227">
        <f>'OD Efficiencies'!V$54*('OD Shares'!AJ20/(1/'OD Efficiencies'!X20))/('OD Shares'!AJ$12/(1/'OD Efficiencies'!X$12))</f>
        <v>3771.8061341942553</v>
      </c>
      <c r="Y20" s="228"/>
    </row>
    <row r="21" spans="1:25" x14ac:dyDescent="0.2">
      <c r="A21" s="225">
        <v>2014</v>
      </c>
      <c r="B21" s="226">
        <f t="shared" ref="B21:B50" si="4">D21+E21+F21+G21</f>
        <v>1522.8875801303313</v>
      </c>
      <c r="C21" s="226">
        <f t="shared" si="3"/>
        <v>3189.1889752447796</v>
      </c>
      <c r="D21" s="227">
        <f>'OD Efficiencies'!B$54*'OD StructuralVars'!$Q21*('OD Shares'!B21/'OD Efficiencies'!B21)/('OD Shares'!B$12/'OD Efficiencies'!B$12)</f>
        <v>1059.4586232298013</v>
      </c>
      <c r="E21" s="227">
        <f>'OD Efficiencies'!C$54*'OD StructuralVars'!$Q21*('OD Shares'!D21/'OD Efficiencies'!C21)/('OD Shares'!D$12/'OD Efficiencies'!C$12)</f>
        <v>398.65461426235288</v>
      </c>
      <c r="F21" s="227"/>
      <c r="G21" s="227">
        <f>'OD Efficiencies'!E$54*'OD StructuralVars'!$Q21*('OD Shares'!H21/(1/'OD Efficiencies'!E21))/('OD Shares'!H$12/(1/'OD Efficiencies'!E$12))</f>
        <v>64.774342638177075</v>
      </c>
      <c r="H21" s="227">
        <f>'OD Efficiencies'!F$54*'OD StructuralVars'!$R21*('OD Shares'!J21/'OD Efficiencies'!F21)/('OD Shares'!J$12/'OD Efficiencies'!F$12)</f>
        <v>2116.2603922625863</v>
      </c>
      <c r="I21" s="227">
        <f>'OD Efficiencies'!G$54*'OD StructuralVars'!$R21*('OD Shares'!L21/'OD Efficiencies'!G21)/('OD Shares'!L$12/'OD Efficiencies'!G$12)</f>
        <v>622.4516424730607</v>
      </c>
      <c r="J21" s="227"/>
      <c r="K21" s="227">
        <f>'OD Efficiencies'!I$54*'OD StructuralVars'!$R21*('OD Shares'!P21/'OD Efficiencies'!I21)/('OD Shares'!P$12/'OD Efficiencies'!I$12)</f>
        <v>450.4769405091331</v>
      </c>
      <c r="L21" s="227">
        <f>'OD Efficiencies'!J$54*('OD Shares'!R21/'OD Efficiencies'!J21)/('OD Shares'!R$12/'OD Efficiencies'!J$12)</f>
        <v>2118.1903937388788</v>
      </c>
      <c r="M21" s="227">
        <f>'OD Efficiencies'!K$54*('OD Shares'!T21/(1/'OD Efficiencies'!K21))/('OD Shares'!T$12/(1/'OD Efficiencies'!K$12))</f>
        <v>623.17927592025103</v>
      </c>
      <c r="N21" s="227">
        <f>'OD Efficiencies'!L$54*('OD Shares'!U21/(1/'OD Efficiencies'!L21))/('OD Shares'!U$12/(1/'OD Efficiencies'!L$12))</f>
        <v>618.82651387697592</v>
      </c>
      <c r="O21" s="227">
        <f>'OD Efficiencies'!M$54*('OD Shares'!W21/(1/'OD Efficiencies'!M21))/('OD Shares'!W$12/(1/'OD Efficiencies'!M$12))</f>
        <v>111.87055889931112</v>
      </c>
      <c r="P21" s="227">
        <f>'OD Efficiencies'!N$54*('OD Shares'!Y21/(1/'OD Efficiencies'!N21))/('OD Shares'!Y$12/(1/'OD Efficiencies'!N$12))</f>
        <v>309.34312014006213</v>
      </c>
      <c r="Q21" s="227">
        <f>'OD Efficiencies'!O$54*('OD Shares'!AA21/(1/'OD Efficiencies'!O21))/('OD Shares'!AA$12/(1/'OD Efficiencies'!O$12))</f>
        <v>184.2229120462018</v>
      </c>
      <c r="R21" s="227">
        <f>'OD Efficiencies'!P$54*('OD Shares'!AC21/(1/'OD Efficiencies'!P21))/('OD Shares'!AC$12/(1/'OD Efficiencies'!P$12))</f>
        <v>101.67319428785891</v>
      </c>
      <c r="S21" s="227">
        <f>'OD Efficiencies'!Q$54*('OD Shares'!AE21/(1/'OD Efficiencies'!Q21))/('OD Shares'!AE$12/(1/'OD Efficiencies'!Q$12))</f>
        <v>731.0810045890853</v>
      </c>
      <c r="T21" s="227">
        <f>'OD Efficiencies'!R$54*('OD Shares'!AG21/(1/'OD Efficiencies'!R21))/('OD Shares'!AG$12/(1/'OD Efficiencies'!R$12))</f>
        <v>797.2496296421017</v>
      </c>
      <c r="U21" s="227">
        <f>'OD Efficiencies'!S$54*('OD Shares'!AH21/(1/'OD Efficiencies'!S21))/('OD Shares'!AH$12/(1/'OD Efficiencies'!S$12))</f>
        <v>265.25316051731937</v>
      </c>
      <c r="V21" s="227">
        <f>'OD Efficiencies'!T$54*('OD Shares'!AI21/(1/'OD Efficiencies'!T21))/('OD Shares'!AI$12/(1/'OD Efficiencies'!T$12))</f>
        <v>1455.3203400262073</v>
      </c>
      <c r="W21" s="227">
        <f>'OD Efficiencies'!V$54*('OD Shares'!AJ21/(1/'OD Efficiencies'!X21))/('OD Shares'!AJ$12/(1/'OD Efficiencies'!X$12))</f>
        <v>3825.6397648521374</v>
      </c>
      <c r="Y21" s="228"/>
    </row>
    <row r="22" spans="1:25" x14ac:dyDescent="0.2">
      <c r="A22" s="225">
        <v>2015</v>
      </c>
      <c r="B22" s="226">
        <f t="shared" si="4"/>
        <v>1505.1269860570301</v>
      </c>
      <c r="C22" s="226">
        <f t="shared" si="3"/>
        <v>3143.1864391730164</v>
      </c>
      <c r="D22" s="227">
        <f>'OD Efficiencies'!B$54*'OD StructuralVars'!$Q22*('OD Shares'!B22/'OD Efficiencies'!B22)/('OD Shares'!B$12/'OD Efficiencies'!B$12)</f>
        <v>1045.1333268783389</v>
      </c>
      <c r="E22" s="227">
        <f>'OD Efficiencies'!C$54*'OD StructuralVars'!$Q22*('OD Shares'!D22/'OD Efficiencies'!C22)/('OD Shares'!D$12/'OD Efficiencies'!C$12)</f>
        <v>396.91330539098811</v>
      </c>
      <c r="F22" s="227"/>
      <c r="G22" s="227">
        <f>'OD Efficiencies'!E$54*'OD StructuralVars'!$Q22*('OD Shares'!H22/(1/'OD Efficiencies'!E22))/('OD Shares'!H$12/(1/'OD Efficiencies'!E$12))</f>
        <v>63.080353787703046</v>
      </c>
      <c r="H22" s="227">
        <f>'OD Efficiencies'!F$54*'OD StructuralVars'!$R22*('OD Shares'!J22/'OD Efficiencies'!F22)/('OD Shares'!J$12/'OD Efficiencies'!F$12)</f>
        <v>2080.3226734977347</v>
      </c>
      <c r="I22" s="227">
        <f>'OD Efficiencies'!G$54*'OD StructuralVars'!$R22*('OD Shares'!L22/'OD Efficiencies'!G22)/('OD Shares'!L$12/'OD Efficiencies'!G$12)</f>
        <v>618.35885032135582</v>
      </c>
      <c r="J22" s="227"/>
      <c r="K22" s="227">
        <f>'OD Efficiencies'!I$54*'OD StructuralVars'!$R22*('OD Shares'!P22/'OD Efficiencies'!I22)/('OD Shares'!P$12/'OD Efficiencies'!I$12)</f>
        <v>444.5049153539257</v>
      </c>
      <c r="L22" s="227">
        <f>'OD Efficiencies'!J$54*('OD Shares'!R22/'OD Efficiencies'!J22)/('OD Shares'!R$12/'OD Efficiencies'!J$12)</f>
        <v>2087.2929409195544</v>
      </c>
      <c r="M22" s="227">
        <f>'OD Efficiencies'!K$54*('OD Shares'!T22/(1/'OD Efficiencies'!K22))/('OD Shares'!T$12/(1/'OD Efficiencies'!K$12))</f>
        <v>623.31170337171329</v>
      </c>
      <c r="N22" s="227">
        <f>'OD Efficiencies'!L$54*('OD Shares'!U22/(1/'OD Efficiencies'!L22))/('OD Shares'!U$12/(1/'OD Efficiencies'!L$12))</f>
        <v>611.94459986574839</v>
      </c>
      <c r="O22" s="227">
        <f>'OD Efficiencies'!M$54*('OD Shares'!W22/(1/'OD Efficiencies'!M22))/('OD Shares'!W$12/(1/'OD Efficiencies'!M$12))</f>
        <v>110.5344165445361</v>
      </c>
      <c r="P22" s="227">
        <f>'OD Efficiencies'!N$54*('OD Shares'!Y22/(1/'OD Efficiencies'!N22))/('OD Shares'!Y$12/(1/'OD Efficiencies'!N$12))</f>
        <v>305.37861367452325</v>
      </c>
      <c r="Q22" s="227">
        <f>'OD Efficiencies'!O$54*('OD Shares'!AA22/(1/'OD Efficiencies'!O22))/('OD Shares'!AA$12/(1/'OD Efficiencies'!O$12))</f>
        <v>182.97074982522253</v>
      </c>
      <c r="R22" s="227">
        <f>'OD Efficiencies'!P$54*('OD Shares'!AC22/(1/'OD Efficiencies'!P22))/('OD Shares'!AC$12/(1/'OD Efficiencies'!P$12))</f>
        <v>97.968426708190506</v>
      </c>
      <c r="S22" s="227">
        <f>'OD Efficiencies'!Q$54*('OD Shares'!AE22/(1/'OD Efficiencies'!Q22))/('OD Shares'!AE$12/(1/'OD Efficiencies'!Q$12))</f>
        <v>714.03748482902347</v>
      </c>
      <c r="T22" s="227">
        <f>'OD Efficiencies'!R$54*('OD Shares'!AG22/(1/'OD Efficiencies'!R22))/('OD Shares'!AG$12/(1/'OD Efficiencies'!R$12))</f>
        <v>790.18936785240965</v>
      </c>
      <c r="U22" s="227">
        <f>'OD Efficiencies'!S$54*('OD Shares'!AH22/(1/'OD Efficiencies'!S22))/('OD Shares'!AH$12/(1/'OD Efficiencies'!S$12))</f>
        <v>265.20351138988639</v>
      </c>
      <c r="V22" s="227">
        <f>'OD Efficiencies'!T$54*('OD Shares'!AI22/(1/'OD Efficiencies'!T22))/('OD Shares'!AI$12/(1/'OD Efficiencies'!T$12))</f>
        <v>1392.7936548362388</v>
      </c>
      <c r="W22" s="227">
        <f>'OD Efficiencies'!V$54*('OD Shares'!AJ22/(1/'OD Efficiencies'!X22))/('OD Shares'!AJ$12/(1/'OD Efficiencies'!X$12))</f>
        <v>3876.9075468311426</v>
      </c>
      <c r="Y22" s="228"/>
    </row>
    <row r="23" spans="1:25" x14ac:dyDescent="0.2">
      <c r="A23" s="225">
        <v>2016</v>
      </c>
      <c r="B23" s="226">
        <f t="shared" si="4"/>
        <v>1490.3247970298116</v>
      </c>
      <c r="C23" s="226">
        <f t="shared" si="3"/>
        <v>3108.9009967958532</v>
      </c>
      <c r="D23" s="227">
        <f>'OD Efficiencies'!B$54*'OD StructuralVars'!$Q23*('OD Shares'!B23/'OD Efficiencies'!B23)/('OD Shares'!B$12/'OD Efficiencies'!B$12)</f>
        <v>1032.1392931317075</v>
      </c>
      <c r="E23" s="227">
        <f>'OD Efficiencies'!C$54*'OD StructuralVars'!$Q23*('OD Shares'!D23/'OD Efficiencies'!C23)/('OD Shares'!D$12/'OD Efficiencies'!C$12)</f>
        <v>396.64252229664987</v>
      </c>
      <c r="F23" s="227"/>
      <c r="G23" s="227">
        <f>'OD Efficiencies'!E$54*'OD StructuralVars'!$Q23*('OD Shares'!H23/(1/'OD Efficiencies'!E23))/('OD Shares'!H$12/(1/'OD Efficiencies'!E$12))</f>
        <v>61.542981601454365</v>
      </c>
      <c r="H23" s="227">
        <f>'OD Efficiencies'!F$54*'OD StructuralVars'!$R23*('OD Shares'!J23/'OD Efficiencies'!F23)/('OD Shares'!J$12/'OD Efficiencies'!F$12)</f>
        <v>2050.8043077214948</v>
      </c>
      <c r="I23" s="227">
        <f>'OD Efficiencies'!G$54*'OD StructuralVars'!$R23*('OD Shares'!L23/'OD Efficiencies'!G23)/('OD Shares'!L$12/'OD Efficiencies'!G$12)</f>
        <v>618.80815437595129</v>
      </c>
      <c r="J23" s="227"/>
      <c r="K23" s="227">
        <f>'OD Efficiencies'!I$54*'OD StructuralVars'!$R23*('OD Shares'!P23/'OD Efficiencies'!I23)/('OD Shares'!P$12/'OD Efficiencies'!I$12)</f>
        <v>439.28853469840732</v>
      </c>
      <c r="L23" s="227">
        <f>'OD Efficiencies'!J$54*('OD Shares'!R23/'OD Efficiencies'!J23)/('OD Shares'!R$12/'OD Efficiencies'!J$12)</f>
        <v>2073.4838680182597</v>
      </c>
      <c r="M23" s="227">
        <f>'OD Efficiencies'!K$54*('OD Shares'!T23/(1/'OD Efficiencies'!K23))/('OD Shares'!T$12/(1/'OD Efficiencies'!K$12))</f>
        <v>623.84425625819881</v>
      </c>
      <c r="N23" s="227">
        <f>'OD Efficiencies'!L$54*('OD Shares'!U23/(1/'OD Efficiencies'!L23))/('OD Shares'!U$12/(1/'OD Efficiencies'!L$12))</f>
        <v>605.94621895850787</v>
      </c>
      <c r="O23" s="227">
        <f>'OD Efficiencies'!M$54*('OD Shares'!W23/(1/'OD Efficiencies'!M23))/('OD Shares'!W$12/(1/'OD Efficiencies'!M$12))</f>
        <v>109.23363747282662</v>
      </c>
      <c r="P23" s="227">
        <f>'OD Efficiencies'!N$54*('OD Shares'!Y23/(1/'OD Efficiencies'!N23))/('OD Shares'!Y$12/(1/'OD Efficiencies'!N$12))</f>
        <v>301.75100589544616</v>
      </c>
      <c r="Q23" s="227">
        <f>'OD Efficiencies'!O$54*('OD Shares'!AA23/(1/'OD Efficiencies'!O23))/('OD Shares'!AA$12/(1/'OD Efficiencies'!O$12))</f>
        <v>182.02396291043539</v>
      </c>
      <c r="R23" s="227">
        <f>'OD Efficiencies'!P$54*('OD Shares'!AC23/(1/'OD Efficiencies'!P23))/('OD Shares'!AC$12/(1/'OD Efficiencies'!P$12))</f>
        <v>94.062641727844905</v>
      </c>
      <c r="S23" s="227">
        <f>'OD Efficiencies'!Q$54*('OD Shares'!AE23/(1/'OD Efficiencies'!Q23))/('OD Shares'!AE$12/(1/'OD Efficiencies'!Q$12))</f>
        <v>698.64712940265827</v>
      </c>
      <c r="T23" s="227">
        <f>'OD Efficiencies'!R$54*('OD Shares'!AG23/(1/'OD Efficiencies'!R23))/('OD Shares'!AG$12/(1/'OD Efficiencies'!R$12))</f>
        <v>785.95493522564232</v>
      </c>
      <c r="U23" s="227">
        <f>'OD Efficiencies'!S$54*('OD Shares'!AH23/(1/'OD Efficiencies'!S23))/('OD Shares'!AH$12/(1/'OD Efficiencies'!S$12))</f>
        <v>264.61937574533363</v>
      </c>
      <c r="V23" s="227">
        <f>'OD Efficiencies'!T$54*('OD Shares'!AI23/(1/'OD Efficiencies'!T23))/('OD Shares'!AI$12/(1/'OD Efficiencies'!T$12))</f>
        <v>1350.2718579032801</v>
      </c>
      <c r="W23" s="227">
        <f>'OD Efficiencies'!V$54*('OD Shares'!AJ23/(1/'OD Efficiencies'!X23))/('OD Shares'!AJ$12/(1/'OD Efficiencies'!X$12))</f>
        <v>3951.968410482179</v>
      </c>
      <c r="Y23" s="228"/>
    </row>
    <row r="24" spans="1:25" x14ac:dyDescent="0.2">
      <c r="A24" s="225">
        <v>2017</v>
      </c>
      <c r="B24" s="226">
        <f t="shared" si="4"/>
        <v>1477.7317842161585</v>
      </c>
      <c r="C24" s="226">
        <f t="shared" si="3"/>
        <v>3083.683187089116</v>
      </c>
      <c r="D24" s="227">
        <f>'OD Efficiencies'!B$54*'OD StructuralVars'!$Q24*('OD Shares'!B24/'OD Efficiencies'!B24)/('OD Shares'!B$12/'OD Efficiencies'!B$12)</f>
        <v>1021.0483210711224</v>
      </c>
      <c r="E24" s="227">
        <f>'OD Efficiencies'!C$54*'OD StructuralVars'!$Q24*('OD Shares'!D24/'OD Efficiencies'!C24)/('OD Shares'!D$12/'OD Efficiencies'!C$12)</f>
        <v>396.63634622172174</v>
      </c>
      <c r="F24" s="227"/>
      <c r="G24" s="227">
        <f>'OD Efficiencies'!E$54*'OD StructuralVars'!$Q24*('OD Shares'!H24/(1/'OD Efficiencies'!E24))/('OD Shares'!H$12/(1/'OD Efficiencies'!E$12))</f>
        <v>60.047116923314412</v>
      </c>
      <c r="H24" s="227">
        <f>'OD Efficiencies'!F$54*'OD StructuralVars'!$R24*('OD Shares'!J24/'OD Efficiencies'!F24)/('OD Shares'!J$12/'OD Efficiencies'!F$12)</f>
        <v>2029.0074307514055</v>
      </c>
      <c r="I24" s="227">
        <f>'OD Efficiencies'!G$54*'OD StructuralVars'!$R24*('OD Shares'!L24/'OD Efficiencies'!G24)/('OD Shares'!L$12/'OD Efficiencies'!G$12)</f>
        <v>619.97099597595309</v>
      </c>
      <c r="J24" s="227"/>
      <c r="K24" s="227">
        <f>'OD Efficiencies'!I$54*'OD StructuralVars'!$R24*('OD Shares'!P24/'OD Efficiencies'!I24)/('OD Shares'!P$12/'OD Efficiencies'!I$12)</f>
        <v>434.70476036175756</v>
      </c>
      <c r="L24" s="227">
        <f>'OD Efficiencies'!J$54*('OD Shares'!R24/'OD Efficiencies'!J24)/('OD Shares'!R$12/'OD Efficiencies'!J$12)</f>
        <v>2061.2400651496887</v>
      </c>
      <c r="M24" s="227">
        <f>'OD Efficiencies'!K$54*('OD Shares'!T24/(1/'OD Efficiencies'!K24))/('OD Shares'!T$12/(1/'OD Efficiencies'!K$12))</f>
        <v>624.48943676877434</v>
      </c>
      <c r="N24" s="227">
        <f>'OD Efficiencies'!L$54*('OD Shares'!U24/(1/'OD Efficiencies'!L24))/('OD Shares'!U$12/(1/'OD Efficiencies'!L$12))</f>
        <v>600.79025231191804</v>
      </c>
      <c r="O24" s="227">
        <f>'OD Efficiencies'!M$54*('OD Shares'!W24/(1/'OD Efficiencies'!M24))/('OD Shares'!W$12/(1/'OD Efficiencies'!M$12))</f>
        <v>108.00195233918161</v>
      </c>
      <c r="P24" s="227">
        <f>'OD Efficiencies'!N$54*('OD Shares'!Y24/(1/'OD Efficiencies'!N24))/('OD Shares'!Y$12/(1/'OD Efficiencies'!N$12))</f>
        <v>298.49942201776253</v>
      </c>
      <c r="Q24" s="227">
        <f>'OD Efficiencies'!O$54*('OD Shares'!AA24/(1/'OD Efficiencies'!O24))/('OD Shares'!AA$12/(1/'OD Efficiencies'!O$12))</f>
        <v>181.28334937279956</v>
      </c>
      <c r="R24" s="227">
        <f>'OD Efficiencies'!P$54*('OD Shares'!AC24/(1/'OD Efficiencies'!P24))/('OD Shares'!AC$12/(1/'OD Efficiencies'!P$12))</f>
        <v>90.150885103516998</v>
      </c>
      <c r="S24" s="227">
        <f>'OD Efficiencies'!Q$54*('OD Shares'!AE24/(1/'OD Efficiencies'!Q24))/('OD Shares'!AE$12/(1/'OD Efficiencies'!Q$12))</f>
        <v>683.87100877262526</v>
      </c>
      <c r="T24" s="227">
        <f>'OD Efficiencies'!R$54*('OD Shares'!AG24/(1/'OD Efficiencies'!R24))/('OD Shares'!AG$12/(1/'OD Efficiencies'!R$12))</f>
        <v>783.59566998775006</v>
      </c>
      <c r="U24" s="227">
        <f>'OD Efficiencies'!S$54*('OD Shares'!AH24/(1/'OD Efficiencies'!S24))/('OD Shares'!AH$12/(1/'OD Efficiencies'!S$12))</f>
        <v>263.45918990756621</v>
      </c>
      <c r="V24" s="227">
        <f>'OD Efficiencies'!T$54*('OD Shares'!AI24/(1/'OD Efficiencies'!T24))/('OD Shares'!AI$12/(1/'OD Efficiencies'!T$12))</f>
        <v>1319.4499547731796</v>
      </c>
      <c r="W24" s="227">
        <f>'OD Efficiencies'!V$54*('OD Shares'!AJ24/(1/'OD Efficiencies'!X24))/('OD Shares'!AJ$12/(1/'OD Efficiencies'!X$12))</f>
        <v>4024.6734877522636</v>
      </c>
      <c r="Y24" s="228"/>
    </row>
    <row r="25" spans="1:25" x14ac:dyDescent="0.2">
      <c r="A25" s="225">
        <v>2018</v>
      </c>
      <c r="B25" s="226">
        <f t="shared" si="4"/>
        <v>1466.338128463615</v>
      </c>
      <c r="C25" s="226">
        <f t="shared" si="3"/>
        <v>3066.5204861195984</v>
      </c>
      <c r="D25" s="227">
        <f>'OD Efficiencies'!B$54*'OD StructuralVars'!$Q25*('OD Shares'!B25/'OD Efficiencies'!B25)/('OD Shares'!B$12/'OD Efficiencies'!B$12)</f>
        <v>1011.1038007184736</v>
      </c>
      <c r="E25" s="227">
        <f>'OD Efficiencies'!C$54*'OD StructuralVars'!$Q25*('OD Shares'!D25/'OD Efficiencies'!C25)/('OD Shares'!D$12/'OD Efficiencies'!C$12)</f>
        <v>396.68324271229312</v>
      </c>
      <c r="F25" s="227"/>
      <c r="G25" s="227">
        <f>'OD Efficiencies'!E$54*'OD StructuralVars'!$Q25*('OD Shares'!H25/(1/'OD Efficiencies'!E25))/('OD Shares'!H$12/(1/'OD Efficiencies'!E$12))</f>
        <v>58.551085032848185</v>
      </c>
      <c r="H25" s="227">
        <f>'OD Efficiencies'!F$54*'OD StructuralVars'!$R25*('OD Shares'!J25/'OD Efficiencies'!F25)/('OD Shares'!J$12/'OD Efficiencies'!F$12)</f>
        <v>2014.6980430125759</v>
      </c>
      <c r="I25" s="227">
        <f>'OD Efficiencies'!G$54*'OD StructuralVars'!$R25*('OD Shares'!L25/'OD Efficiencies'!G25)/('OD Shares'!L$12/'OD Efficiencies'!G$12)</f>
        <v>621.44327089257888</v>
      </c>
      <c r="J25" s="227"/>
      <c r="K25" s="227">
        <f>'OD Efficiencies'!I$54*'OD StructuralVars'!$R25*('OD Shares'!P25/'OD Efficiencies'!I25)/('OD Shares'!P$12/'OD Efficiencies'!I$12)</f>
        <v>430.37917221444383</v>
      </c>
      <c r="L25" s="227">
        <f>'OD Efficiencies'!J$54*('OD Shares'!R25/'OD Efficiencies'!J25)/('OD Shares'!R$12/'OD Efficiencies'!J$12)</f>
        <v>2049.7352973985203</v>
      </c>
      <c r="M25" s="227">
        <f>'OD Efficiencies'!K$54*('OD Shares'!T25/(1/'OD Efficiencies'!K25))/('OD Shares'!T$12/(1/'OD Efficiencies'!K$12))</f>
        <v>625.09611464991065</v>
      </c>
      <c r="N25" s="227">
        <f>'OD Efficiencies'!L$54*('OD Shares'!U25/(1/'OD Efficiencies'!L25))/('OD Shares'!U$12/(1/'OD Efficiencies'!L$12))</f>
        <v>596.29191469341379</v>
      </c>
      <c r="O25" s="227">
        <f>'OD Efficiencies'!M$54*('OD Shares'!W25/(1/'OD Efficiencies'!M25))/('OD Shares'!W$12/(1/'OD Efficiencies'!M$12))</f>
        <v>106.87039387710081</v>
      </c>
      <c r="P25" s="227">
        <f>'OD Efficiencies'!N$54*('OD Shares'!Y25/(1/'OD Efficiencies'!N25))/('OD Shares'!Y$12/(1/'OD Efficiencies'!N$12))</f>
        <v>295.51489736381683</v>
      </c>
      <c r="Q25" s="227">
        <f>'OD Efficiencies'!O$54*('OD Shares'!AA25/(1/'OD Efficiencies'!O25))/('OD Shares'!AA$12/(1/'OD Efficiencies'!O$12))</f>
        <v>180.38661704424325</v>
      </c>
      <c r="R25" s="227">
        <f>'OD Efficiencies'!P$54*('OD Shares'!AC25/(1/'OD Efficiencies'!P25))/('OD Shares'!AC$12/(1/'OD Efficiencies'!P$12))</f>
        <v>86.259056868160854</v>
      </c>
      <c r="S25" s="227">
        <f>'OD Efficiencies'!Q$54*('OD Shares'!AE25/(1/'OD Efficiencies'!Q25))/('OD Shares'!AE$12/(1/'OD Efficiencies'!Q$12))</f>
        <v>669.79142995516315</v>
      </c>
      <c r="T25" s="227">
        <f>'OD Efficiencies'!R$54*('OD Shares'!AG25/(1/'OD Efficiencies'!R25))/('OD Shares'!AG$12/(1/'OD Efficiencies'!R$12))</f>
        <v>782.07887152051296</v>
      </c>
      <c r="U25" s="227">
        <f>'OD Efficiencies'!S$54*('OD Shares'!AH25/(1/'OD Efficiencies'!S25))/('OD Shares'!AH$12/(1/'OD Efficiencies'!S$12))</f>
        <v>262.1169594831</v>
      </c>
      <c r="V25" s="227">
        <f>'OD Efficiencies'!T$54*('OD Shares'!AI25/(1/'OD Efficiencies'!T25))/('OD Shares'!AI$12/(1/'OD Efficiencies'!T$12))</f>
        <v>1294.9258898385308</v>
      </c>
      <c r="W25" s="227">
        <f>'OD Efficiencies'!V$54*('OD Shares'!AJ25/(1/'OD Efficiencies'!X25))/('OD Shares'!AJ$12/(1/'OD Efficiencies'!X$12))</f>
        <v>4103.463080319294</v>
      </c>
      <c r="Y25" s="228"/>
    </row>
    <row r="26" spans="1:25" x14ac:dyDescent="0.2">
      <c r="A26" s="225">
        <v>2019</v>
      </c>
      <c r="B26" s="226">
        <f t="shared" si="4"/>
        <v>1455.8029659460237</v>
      </c>
      <c r="C26" s="226">
        <f t="shared" si="3"/>
        <v>3054.7730783984948</v>
      </c>
      <c r="D26" s="227">
        <f>'OD Efficiencies'!B$54*'OD StructuralVars'!$Q26*('OD Shares'!B26/'OD Efficiencies'!B26)/('OD Shares'!B$12/'OD Efficiencies'!B$12)</f>
        <v>1001.873351650424</v>
      </c>
      <c r="E26" s="227">
        <f>'OD Efficiencies'!C$54*'OD StructuralVars'!$Q26*('OD Shares'!D26/'OD Efficiencies'!C26)/('OD Shares'!D$12/'OD Efficiencies'!C$12)</f>
        <v>396.8356348805774</v>
      </c>
      <c r="F26" s="227"/>
      <c r="G26" s="227">
        <f>'OD Efficiencies'!E$54*'OD StructuralVars'!$Q26*('OD Shares'!H26/(1/'OD Efficiencies'!E26))/('OD Shares'!H$12/(1/'OD Efficiencies'!E$12))</f>
        <v>57.093979415022368</v>
      </c>
      <c r="H26" s="227">
        <f>'OD Efficiencies'!F$54*'OD StructuralVars'!$R26*('OD Shares'!J26/'OD Efficiencies'!F26)/('OD Shares'!J$12/'OD Efficiencies'!F$12)</f>
        <v>2005.1165081208724</v>
      </c>
      <c r="I26" s="227">
        <f>'OD Efficiencies'!G$54*'OD StructuralVars'!$R26*('OD Shares'!L26/'OD Efficiencies'!G26)/('OD Shares'!L$12/'OD Efficiencies'!G$12)</f>
        <v>623.16447852809983</v>
      </c>
      <c r="J26" s="227"/>
      <c r="K26" s="227">
        <f>'OD Efficiencies'!I$54*'OD StructuralVars'!$R26*('OD Shares'!P26/'OD Efficiencies'!I26)/('OD Shares'!P$12/'OD Efficiencies'!I$12)</f>
        <v>426.49209174952227</v>
      </c>
      <c r="L26" s="227">
        <f>'OD Efficiencies'!J$54*('OD Shares'!R26/'OD Efficiencies'!J26)/('OD Shares'!R$12/'OD Efficiencies'!J$12)</f>
        <v>2038.9938150395251</v>
      </c>
      <c r="M26" s="227">
        <f>'OD Efficiencies'!K$54*('OD Shares'!T26/(1/'OD Efficiencies'!K26))/('OD Shares'!T$12/(1/'OD Efficiencies'!K$12))</f>
        <v>625.75220256205557</v>
      </c>
      <c r="N26" s="227">
        <f>'OD Efficiencies'!L$54*('OD Shares'!U26/(1/'OD Efficiencies'!L26))/('OD Shares'!U$12/(1/'OD Efficiencies'!L$12))</f>
        <v>592.32591256628587</v>
      </c>
      <c r="O26" s="227">
        <f>'OD Efficiencies'!M$54*('OD Shares'!W26/(1/'OD Efficiencies'!M26))/('OD Shares'!W$12/(1/'OD Efficiencies'!M$12))</f>
        <v>105.84715007441547</v>
      </c>
      <c r="P26" s="227">
        <f>'OD Efficiencies'!N$54*('OD Shares'!Y26/(1/'OD Efficiencies'!N26))/('OD Shares'!Y$12/(1/'OD Efficiencies'!N$12))</f>
        <v>292.66918639897085</v>
      </c>
      <c r="Q26" s="227">
        <f>'OD Efficiencies'!O$54*('OD Shares'!AA26/(1/'OD Efficiencies'!O26))/('OD Shares'!AA$12/(1/'OD Efficiencies'!O$12))</f>
        <v>179.28281924563916</v>
      </c>
      <c r="R26" s="227">
        <f>'OD Efficiencies'!P$54*('OD Shares'!AC26/(1/'OD Efficiencies'!P26))/('OD Shares'!AC$12/(1/'OD Efficiencies'!P$12))</f>
        <v>82.499405940142495</v>
      </c>
      <c r="S26" s="227">
        <f>'OD Efficiencies'!Q$54*('OD Shares'!AE26/(1/'OD Efficiencies'!Q26))/('OD Shares'!AE$12/(1/'OD Efficiencies'!Q$12))</f>
        <v>656.70450447734675</v>
      </c>
      <c r="T26" s="227">
        <f>'OD Efficiencies'!R$54*('OD Shares'!AG26/(1/'OD Efficiencies'!R26))/('OD Shares'!AG$12/(1/'OD Efficiencies'!R$12))</f>
        <v>782.14046303609018</v>
      </c>
      <c r="U26" s="227">
        <f>'OD Efficiencies'!S$54*('OD Shares'!AH26/(1/'OD Efficiencies'!S26))/('OD Shares'!AH$12/(1/'OD Efficiencies'!S$12))</f>
        <v>257.51565936807594</v>
      </c>
      <c r="V26" s="227">
        <f>'OD Efficiencies'!T$54*('OD Shares'!AI26/(1/'OD Efficiencies'!T26))/('OD Shares'!AI$12/(1/'OD Efficiencies'!T$12))</f>
        <v>1275.4504621636438</v>
      </c>
      <c r="W26" s="227">
        <f>'OD Efficiencies'!V$54*('OD Shares'!AJ26/(1/'OD Efficiencies'!X26))/('OD Shares'!AJ$12/(1/'OD Efficiencies'!X$12))</f>
        <v>4185.8657199417103</v>
      </c>
      <c r="Y26" s="228"/>
    </row>
    <row r="27" spans="1:25" x14ac:dyDescent="0.2">
      <c r="A27" s="225">
        <v>2020</v>
      </c>
      <c r="B27" s="226">
        <f t="shared" si="4"/>
        <v>1445.7023048228627</v>
      </c>
      <c r="C27" s="226">
        <f t="shared" si="3"/>
        <v>3044.9096252772374</v>
      </c>
      <c r="D27" s="227">
        <f>'OD Efficiencies'!B$54*'OD StructuralVars'!$Q27*('OD Shares'!B27/'OD Efficiencies'!B27)/('OD Shares'!B$12/'OD Efficiencies'!B$12)</f>
        <v>993.05541243614721</v>
      </c>
      <c r="E27" s="227">
        <f>'OD Efficiencies'!C$54*'OD StructuralVars'!$Q27*('OD Shares'!D27/'OD Efficiencies'!C27)/('OD Shares'!D$12/'OD Efficiencies'!C$12)</f>
        <v>396.97061384602591</v>
      </c>
      <c r="F27" s="227"/>
      <c r="G27" s="227">
        <f>'OD Efficiencies'!E$54*'OD StructuralVars'!$Q27*('OD Shares'!H27/(1/'OD Efficiencies'!E27))/('OD Shares'!H$12/(1/'OD Efficiencies'!E$12))</f>
        <v>55.676278540689772</v>
      </c>
      <c r="H27" s="227">
        <f>'OD Efficiencies'!F$54*'OD StructuralVars'!$R27*('OD Shares'!J27/'OD Efficiencies'!F27)/('OD Shares'!J$12/'OD Efficiencies'!F$12)</f>
        <v>1997.5827029159309</v>
      </c>
      <c r="I27" s="227">
        <f>'OD Efficiencies'!G$54*'OD StructuralVars'!$R27*('OD Shares'!L27/'OD Efficiencies'!G27)/('OD Shares'!L$12/'OD Efficiencies'!G$12)</f>
        <v>625.13429879748924</v>
      </c>
      <c r="J27" s="227"/>
      <c r="K27" s="227">
        <f>'OD Efficiencies'!I$54*'OD StructuralVars'!$R27*('OD Shares'!P27/'OD Efficiencies'!I27)/('OD Shares'!P$12/'OD Efficiencies'!I$12)</f>
        <v>422.19262356381716</v>
      </c>
      <c r="L27" s="227">
        <f>'OD Efficiencies'!J$54*('OD Shares'!R27/'OD Efficiencies'!J27)/('OD Shares'!R$12/'OD Efficiencies'!J$12)</f>
        <v>2029.0157217768178</v>
      </c>
      <c r="M27" s="227">
        <f>'OD Efficiencies'!K$54*('OD Shares'!T27/(1/'OD Efficiencies'!K27))/('OD Shares'!T$12/(1/'OD Efficiencies'!K$12))</f>
        <v>626.35070165482057</v>
      </c>
      <c r="N27" s="227">
        <f>'OD Efficiencies'!L$54*('OD Shares'!U27/(1/'OD Efficiencies'!L27))/('OD Shares'!U$12/(1/'OD Efficiencies'!L$12))</f>
        <v>588.55422219293143</v>
      </c>
      <c r="O27" s="227">
        <f>'OD Efficiencies'!M$54*('OD Shares'!W27/(1/'OD Efficiencies'!M27))/('OD Shares'!W$12/(1/'OD Efficiencies'!M$12))</f>
        <v>104.88512126978124</v>
      </c>
      <c r="P27" s="227">
        <f>'OD Efficiencies'!N$54*('OD Shares'!Y27/(1/'OD Efficiencies'!N27))/('OD Shares'!Y$12/(1/'OD Efficiencies'!N$12))</f>
        <v>290.00290735786405</v>
      </c>
      <c r="Q27" s="227">
        <f>'OD Efficiencies'!O$54*('OD Shares'!AA27/(1/'OD Efficiencies'!O27))/('OD Shares'!AA$12/(1/'OD Efficiencies'!O$12))</f>
        <v>177.94316142962538</v>
      </c>
      <c r="R27" s="227">
        <f>'OD Efficiencies'!P$54*('OD Shares'!AC27/(1/'OD Efficiencies'!P27))/('OD Shares'!AC$12/(1/'OD Efficiencies'!P$12))</f>
        <v>79.139825991950303</v>
      </c>
      <c r="S27" s="227">
        <f>'OD Efficiencies'!Q$54*('OD Shares'!AE27/(1/'OD Efficiencies'!Q27))/('OD Shares'!AE$12/(1/'OD Efficiencies'!Q$12))</f>
        <v>644.22541700048021</v>
      </c>
      <c r="T27" s="227">
        <f>'OD Efficiencies'!R$54*('OD Shares'!AG27/(1/'OD Efficiencies'!R27))/('OD Shares'!AG$12/(1/'OD Efficiencies'!R$12))</f>
        <v>782.9019882327965</v>
      </c>
      <c r="U27" s="227">
        <f>'OD Efficiencies'!S$54*('OD Shares'!AH27/(1/'OD Efficiencies'!S27))/('OD Shares'!AH$12/(1/'OD Efficiencies'!S$12))</f>
        <v>255.43067484557434</v>
      </c>
      <c r="V27" s="227">
        <f>'OD Efficiencies'!T$54*('OD Shares'!AI27/(1/'OD Efficiencies'!T27))/('OD Shares'!AI$12/(1/'OD Efficiencies'!T$12))</f>
        <v>1219.437973335891</v>
      </c>
      <c r="W27" s="227">
        <f>'OD Efficiencies'!V$54*('OD Shares'!AJ27/(1/'OD Efficiencies'!X27))/('OD Shares'!AJ$12/(1/'OD Efficiencies'!X$12))</f>
        <v>4263.3830952289118</v>
      </c>
      <c r="Y27" s="228"/>
    </row>
    <row r="28" spans="1:25" x14ac:dyDescent="0.2">
      <c r="A28" s="198">
        <v>2021</v>
      </c>
      <c r="B28" s="226">
        <f t="shared" si="4"/>
        <v>1435.9958894811268</v>
      </c>
      <c r="C28" s="226">
        <f t="shared" si="3"/>
        <v>3041.704742533997</v>
      </c>
      <c r="D28" s="227">
        <f>'OD Efficiencies'!B$54*'OD StructuralVars'!$Q28*('OD Shares'!B28/'OD Efficiencies'!B28)/('OD Shares'!B$12/'OD Efficiencies'!B$12)</f>
        <v>984.57840504511512</v>
      </c>
      <c r="E28" s="227">
        <f>'OD Efficiencies'!C$54*'OD StructuralVars'!$Q28*('OD Shares'!D28/'OD Efficiencies'!C28)/('OD Shares'!D$12/'OD Efficiencies'!C$12)</f>
        <v>397.14145353177605</v>
      </c>
      <c r="F28" s="227"/>
      <c r="G28" s="227">
        <f>'OD Efficiencies'!E$54*'OD StructuralVars'!$Q28*('OD Shares'!H28/(1/'OD Efficiencies'!E28))/('OD Shares'!H$12/(1/'OD Efficiencies'!E$12))</f>
        <v>54.276030904235704</v>
      </c>
      <c r="H28" s="227">
        <f>'OD Efficiencies'!F$54*'OD StructuralVars'!$R28*('OD Shares'!J28/'OD Efficiencies'!F28)/('OD Shares'!J$12/'OD Efficiencies'!F$12)</f>
        <v>1995.5172055882836</v>
      </c>
      <c r="I28" s="227">
        <f>'OD Efficiencies'!G$54*'OD StructuralVars'!$R28*('OD Shares'!L28/'OD Efficiencies'!G28)/('OD Shares'!L$12/'OD Efficiencies'!G$12)</f>
        <v>627.13482037627284</v>
      </c>
      <c r="J28" s="227"/>
      <c r="K28" s="227">
        <f>'OD Efficiencies'!I$54*'OD StructuralVars'!$R28*('OD Shares'!P28/'OD Efficiencies'!I28)/('OD Shares'!P$12/'OD Efficiencies'!I$12)</f>
        <v>419.05271656944075</v>
      </c>
      <c r="L28" s="227">
        <f>'OD Efficiencies'!J$54*('OD Shares'!R28/'OD Efficiencies'!J28)/('OD Shares'!R$12/'OD Efficiencies'!J$12)</f>
        <v>2019.5060791209899</v>
      </c>
      <c r="M28" s="227">
        <f>'OD Efficiencies'!K$54*('OD Shares'!T28/(1/'OD Efficiencies'!K28))/('OD Shares'!T$12/(1/'OD Efficiencies'!K$12))</f>
        <v>626.9473738423485</v>
      </c>
      <c r="N28" s="227">
        <f>'OD Efficiencies'!L$54*('OD Shares'!U28/(1/'OD Efficiencies'!L28))/('OD Shares'!U$12/(1/'OD Efficiencies'!L$12))</f>
        <v>585.05635404387829</v>
      </c>
      <c r="O28" s="227">
        <f>'OD Efficiencies'!M$54*('OD Shares'!W28/(1/'OD Efficiencies'!M28))/('OD Shares'!W$12/(1/'OD Efficiencies'!M$12))</f>
        <v>104.00074494133425</v>
      </c>
      <c r="P28" s="227">
        <f>'OD Efficiencies'!N$54*('OD Shares'!Y28/(1/'OD Efficiencies'!N28))/('OD Shares'!Y$12/(1/'OD Efficiencies'!N$12))</f>
        <v>287.4201707287661</v>
      </c>
      <c r="Q28" s="227">
        <f>'OD Efficiencies'!O$54*('OD Shares'!AA28/(1/'OD Efficiencies'!O28))/('OD Shares'!AA$12/(1/'OD Efficiencies'!O$12))</f>
        <v>176.31665010392894</v>
      </c>
      <c r="R28" s="227">
        <f>'OD Efficiencies'!P$54*('OD Shares'!AC28/(1/'OD Efficiencies'!P28))/('OD Shares'!AC$12/(1/'OD Efficiencies'!P$12))</f>
        <v>76.247467073681236</v>
      </c>
      <c r="S28" s="227">
        <f>'OD Efficiencies'!Q$54*('OD Shares'!AE28/(1/'OD Efficiencies'!Q28))/('OD Shares'!AE$12/(1/'OD Efficiencies'!Q$12))</f>
        <v>632.85794404028945</v>
      </c>
      <c r="T28" s="227">
        <f>'OD Efficiencies'!R$54*('OD Shares'!AG28/(1/'OD Efficiencies'!R28))/('OD Shares'!AG$12/(1/'OD Efficiencies'!R$12))</f>
        <v>785.02969862992461</v>
      </c>
      <c r="U28" s="227">
        <f>'OD Efficiencies'!S$54*('OD Shares'!AH28/(1/'OD Efficiencies'!S28))/('OD Shares'!AH$12/(1/'OD Efficiencies'!S$12))</f>
        <v>251.04357167057768</v>
      </c>
      <c r="V28" s="227">
        <f>'OD Efficiencies'!T$54*('OD Shares'!AI28/(1/'OD Efficiencies'!T28))/('OD Shares'!AI$12/(1/'OD Efficiencies'!T$12))</f>
        <v>1190.9081045694013</v>
      </c>
      <c r="W28" s="227">
        <f>'OD Efficiencies'!V$54*('OD Shares'!AJ28/(1/'OD Efficiencies'!X28))/('OD Shares'!AJ$12/(1/'OD Efficiencies'!X$12))</f>
        <v>4337.0927277738783</v>
      </c>
      <c r="Y28" s="228"/>
    </row>
    <row r="29" spans="1:25" x14ac:dyDescent="0.2">
      <c r="A29" s="198">
        <v>2022</v>
      </c>
      <c r="B29" s="226">
        <f t="shared" si="4"/>
        <v>1426.1107340225997</v>
      </c>
      <c r="C29" s="226">
        <f t="shared" si="3"/>
        <v>3040.9714380444079</v>
      </c>
      <c r="D29" s="227">
        <f>'OD Efficiencies'!B$54*'OD StructuralVars'!$Q29*('OD Shares'!B29/'OD Efficiencies'!B29)/('OD Shares'!B$12/'OD Efficiencies'!B$12)</f>
        <v>975.96942685920931</v>
      </c>
      <c r="E29" s="227">
        <f>'OD Efficiencies'!C$54*'OD StructuralVars'!$Q29*('OD Shares'!D29/'OD Efficiencies'!C29)/('OD Shares'!D$12/'OD Efficiencies'!C$12)</f>
        <v>397.26592651280157</v>
      </c>
      <c r="F29" s="227"/>
      <c r="G29" s="227">
        <f>'OD Efficiencies'!E$54*'OD StructuralVars'!$Q29*('OD Shares'!H29/(1/'OD Efficiencies'!E29))/('OD Shares'!H$12/(1/'OD Efficiencies'!E$12))</f>
        <v>52.875380650588767</v>
      </c>
      <c r="H29" s="227">
        <f>'OD Efficiencies'!F$54*'OD StructuralVars'!$R29*('OD Shares'!J29/'OD Efficiencies'!F29)/('OD Shares'!J$12/'OD Efficiencies'!F$12)</f>
        <v>1995.5942765473974</v>
      </c>
      <c r="I29" s="227">
        <f>'OD Efficiencies'!G$54*'OD StructuralVars'!$R29*('OD Shares'!L29/'OD Efficiencies'!G29)/('OD Shares'!L$12/'OD Efficiencies'!G$12)</f>
        <v>629.1438255880978</v>
      </c>
      <c r="J29" s="227"/>
      <c r="K29" s="227">
        <f>'OD Efficiencies'!I$54*'OD StructuralVars'!$R29*('OD Shares'!P29/'OD Efficiencies'!I29)/('OD Shares'!P$12/'OD Efficiencies'!I$12)</f>
        <v>416.23333590891309</v>
      </c>
      <c r="L29" s="227">
        <f>'OD Efficiencies'!J$54*('OD Shares'!R29/'OD Efficiencies'!J29)/('OD Shares'!R$12/'OD Efficiencies'!J$12)</f>
        <v>2010.4215582143722</v>
      </c>
      <c r="M29" s="227">
        <f>'OD Efficiencies'!K$54*('OD Shares'!T29/(1/'OD Efficiencies'!K29))/('OD Shares'!T$12/(1/'OD Efficiencies'!K$12))</f>
        <v>627.5122731052162</v>
      </c>
      <c r="N29" s="227">
        <f>'OD Efficiencies'!L$54*('OD Shares'!U29/(1/'OD Efficiencies'!L29))/('OD Shares'!U$12/(1/'OD Efficiencies'!L$12))</f>
        <v>581.93805999698759</v>
      </c>
      <c r="O29" s="227">
        <f>'OD Efficiencies'!M$54*('OD Shares'!W29/(1/'OD Efficiencies'!M29))/('OD Shares'!W$12/(1/'OD Efficiencies'!M$12))</f>
        <v>103.21435299283351</v>
      </c>
      <c r="P29" s="227">
        <f>'OD Efficiencies'!N$54*('OD Shares'!Y29/(1/'OD Efficiencies'!N29))/('OD Shares'!Y$12/(1/'OD Efficiencies'!N$12))</f>
        <v>284.89485769847767</v>
      </c>
      <c r="Q29" s="227">
        <f>'OD Efficiencies'!O$54*('OD Shares'!AA29/(1/'OD Efficiencies'!O29))/('OD Shares'!AA$12/(1/'OD Efficiencies'!O$12))</f>
        <v>174.92066483684917</v>
      </c>
      <c r="R29" s="227">
        <f>'OD Efficiencies'!P$54*('OD Shares'!AC29/(1/'OD Efficiencies'!P29))/('OD Shares'!AC$12/(1/'OD Efficiencies'!P$12))</f>
        <v>73.864975081322058</v>
      </c>
      <c r="S29" s="227">
        <f>'OD Efficiencies'!Q$54*('OD Shares'!AE29/(1/'OD Efficiencies'!Q29))/('OD Shares'!AE$12/(1/'OD Efficiencies'!Q$12))</f>
        <v>622.17320976969484</v>
      </c>
      <c r="T29" s="227">
        <f>'OD Efficiencies'!R$54*('OD Shares'!AG29/(1/'OD Efficiencies'!R29))/('OD Shares'!AG$12/(1/'OD Efficiencies'!R$12))</f>
        <v>787.87866863641875</v>
      </c>
      <c r="U29" s="227">
        <f>'OD Efficiencies'!S$54*('OD Shares'!AH29/(1/'OD Efficiencies'!S29))/('OD Shares'!AH$12/(1/'OD Efficiencies'!S$12))</f>
        <v>247.95168769004783</v>
      </c>
      <c r="V29" s="227">
        <f>'OD Efficiencies'!T$54*('OD Shares'!AI29/(1/'OD Efficiencies'!T29))/('OD Shares'!AI$12/(1/'OD Efficiencies'!T$12))</f>
        <v>1168.9136198859158</v>
      </c>
      <c r="W29" s="227">
        <f>'OD Efficiencies'!V$54*('OD Shares'!AJ29/(1/'OD Efficiencies'!X29))/('OD Shares'!AJ$12/(1/'OD Efficiencies'!X$12))</f>
        <v>4418.980320462455</v>
      </c>
    </row>
    <row r="30" spans="1:25" x14ac:dyDescent="0.2">
      <c r="A30" s="198">
        <v>2023</v>
      </c>
      <c r="B30" s="226">
        <f t="shared" si="4"/>
        <v>1416.1845163017349</v>
      </c>
      <c r="C30" s="226">
        <f t="shared" si="3"/>
        <v>3041.5039923025515</v>
      </c>
      <c r="D30" s="227">
        <f>'OD Efficiencies'!B$54*'OD StructuralVars'!$Q30*('OD Shares'!B30/'OD Efficiencies'!B30)/('OD Shares'!B$12/'OD Efficiencies'!B$12)</f>
        <v>967.07255103132525</v>
      </c>
      <c r="E30" s="227">
        <f>'OD Efficiencies'!C$54*'OD StructuralVars'!$Q30*('OD Shares'!D30/'OD Efficiencies'!C30)/('OD Shares'!D$12/'OD Efficiencies'!C$12)</f>
        <v>397.61131362580545</v>
      </c>
      <c r="F30" s="227"/>
      <c r="G30" s="227">
        <f>'OD Efficiencies'!E$54*'OD StructuralVars'!$Q30*('OD Shares'!H30/(1/'OD Efficiencies'!E30))/('OD Shares'!H$12/(1/'OD Efficiencies'!E$12))</f>
        <v>51.500651644604126</v>
      </c>
      <c r="H30" s="227">
        <f>'OD Efficiencies'!F$54*'OD StructuralVars'!$R30*('OD Shares'!J30/'OD Efficiencies'!F30)/('OD Shares'!J$12/'OD Efficiencies'!F$12)</f>
        <v>1996.3689324531379</v>
      </c>
      <c r="I30" s="227">
        <f>'OD Efficiencies'!G$54*'OD StructuralVars'!$R30*('OD Shares'!L30/'OD Efficiencies'!G30)/('OD Shares'!L$12/'OD Efficiencies'!G$12)</f>
        <v>631.60551755933977</v>
      </c>
      <c r="J30" s="227"/>
      <c r="K30" s="227">
        <f>'OD Efficiencies'!I$54*'OD StructuralVars'!$R30*('OD Shares'!P30/'OD Efficiencies'!I30)/('OD Shares'!P$12/'OD Efficiencies'!I$12)</f>
        <v>413.52954229007423</v>
      </c>
      <c r="L30" s="227">
        <f>'OD Efficiencies'!J$54*('OD Shares'!R30/'OD Efficiencies'!J30)/('OD Shares'!R$12/'OD Efficiencies'!J$12)</f>
        <v>2001.68678541947</v>
      </c>
      <c r="M30" s="227">
        <f>'OD Efficiencies'!K$54*('OD Shares'!T30/(1/'OD Efficiencies'!K30))/('OD Shares'!T$12/(1/'OD Efficiencies'!K$12))</f>
        <v>628.08388972474415</v>
      </c>
      <c r="N30" s="227">
        <f>'OD Efficiencies'!L$54*('OD Shares'!U30/(1/'OD Efficiencies'!L30))/('OD Shares'!U$12/(1/'OD Efficiencies'!L$12))</f>
        <v>579.23243156263243</v>
      </c>
      <c r="O30" s="227">
        <f>'OD Efficiencies'!M$54*('OD Shares'!W30/(1/'OD Efficiencies'!M30))/('OD Shares'!W$12/(1/'OD Efficiencies'!M$12))</f>
        <v>102.54663976455659</v>
      </c>
      <c r="P30" s="227">
        <f>'OD Efficiencies'!N$54*('OD Shares'!Y30/(1/'OD Efficiencies'!N30))/('OD Shares'!Y$12/(1/'OD Efficiencies'!N$12))</f>
        <v>282.48382774496315</v>
      </c>
      <c r="Q30" s="227">
        <f>'OD Efficiencies'!O$54*('OD Shares'!AA30/(1/'OD Efficiencies'!O30))/('OD Shares'!AA$12/(1/'OD Efficiencies'!O$12))</f>
        <v>173.66816056760192</v>
      </c>
      <c r="R30" s="227">
        <f>'OD Efficiencies'!P$54*('OD Shares'!AC30/(1/'OD Efficiencies'!P30))/('OD Shares'!AC$12/(1/'OD Efficiencies'!P$12))</f>
        <v>71.859536090587156</v>
      </c>
      <c r="S30" s="227">
        <f>'OD Efficiencies'!Q$54*('OD Shares'!AE30/(1/'OD Efficiencies'!Q30))/('OD Shares'!AE$12/(1/'OD Efficiencies'!Q$12))</f>
        <v>612.23836674764516</v>
      </c>
      <c r="T30" s="227">
        <f>'OD Efficiencies'!R$54*('OD Shares'!AG30/(1/'OD Efficiencies'!R30))/('OD Shares'!AG$12/(1/'OD Efficiencies'!R$12))</f>
        <v>791.50229891177992</v>
      </c>
      <c r="U30" s="227">
        <f>'OD Efficiencies'!S$54*('OD Shares'!AH30/(1/'OD Efficiencies'!S30))/('OD Shares'!AH$12/(1/'OD Efficiencies'!S$12))</f>
        <v>243.70358327595437</v>
      </c>
      <c r="V30" s="227">
        <f>'OD Efficiencies'!T$54*('OD Shares'!AI30/(1/'OD Efficiencies'!T30))/('OD Shares'!AI$12/(1/'OD Efficiencies'!T$12))</f>
        <v>1151.5081740756818</v>
      </c>
      <c r="W30" s="227">
        <f>'OD Efficiencies'!V$54*('OD Shares'!AJ30/(1/'OD Efficiencies'!X30))/('OD Shares'!AJ$12/(1/'OD Efficiencies'!X$12))</f>
        <v>4503.4415610392907</v>
      </c>
    </row>
    <row r="31" spans="1:25" x14ac:dyDescent="0.2">
      <c r="A31" s="198">
        <v>2024</v>
      </c>
      <c r="B31" s="226">
        <f t="shared" si="4"/>
        <v>1406.4613946962054</v>
      </c>
      <c r="C31" s="226">
        <f t="shared" si="3"/>
        <v>3043.1802886630926</v>
      </c>
      <c r="D31" s="227">
        <f>'OD Efficiencies'!B$54*'OD StructuralVars'!$Q31*('OD Shares'!B31/'OD Efficiencies'!B31)/('OD Shares'!B$12/'OD Efficiencies'!B$12)</f>
        <v>958.10716518141658</v>
      </c>
      <c r="E31" s="227">
        <f>'OD Efficiencies'!C$54*'OD StructuralVars'!$Q31*('OD Shares'!D31/'OD Efficiencies'!C31)/('OD Shares'!D$12/'OD Efficiencies'!C$12)</f>
        <v>398.20753315201989</v>
      </c>
      <c r="F31" s="227"/>
      <c r="G31" s="227">
        <f>'OD Efficiencies'!E$54*'OD StructuralVars'!$Q31*('OD Shares'!H31/(1/'OD Efficiencies'!E31))/('OD Shares'!H$12/(1/'OD Efficiencies'!E$12))</f>
        <v>50.146696362768992</v>
      </c>
      <c r="H31" s="227">
        <f>'OD Efficiencies'!F$54*'OD StructuralVars'!$R31*('OD Shares'!J31/'OD Efficiencies'!F31)/('OD Shares'!J$12/'OD Efficiencies'!F$12)</f>
        <v>1997.6063558442431</v>
      </c>
      <c r="I31" s="227">
        <f>'OD Efficiencies'!G$54*'OD StructuralVars'!$R31*('OD Shares'!L31/'OD Efficiencies'!G31)/('OD Shares'!L$12/'OD Efficiencies'!G$12)</f>
        <v>634.50230856712119</v>
      </c>
      <c r="J31" s="227"/>
      <c r="K31" s="227">
        <f>'OD Efficiencies'!I$54*'OD StructuralVars'!$R31*('OD Shares'!P31/'OD Efficiencies'!I31)/('OD Shares'!P$12/'OD Efficiencies'!I$12)</f>
        <v>411.07162425172839</v>
      </c>
      <c r="L31" s="227">
        <f>'OD Efficiencies'!J$54*('OD Shares'!R31/'OD Efficiencies'!J31)/('OD Shares'!R$12/'OD Efficiencies'!J$12)</f>
        <v>1993.2869453986041</v>
      </c>
      <c r="M31" s="227">
        <f>'OD Efficiencies'!K$54*('OD Shares'!T31/(1/'OD Efficiencies'!K31))/('OD Shares'!T$12/(1/'OD Efficiencies'!K$12))</f>
        <v>628.59397447356946</v>
      </c>
      <c r="N31" s="227">
        <f>'OD Efficiencies'!L$54*('OD Shares'!U31/(1/'OD Efficiencies'!L31))/('OD Shares'!U$12/(1/'OD Efficiencies'!L$12))</f>
        <v>576.94255574684121</v>
      </c>
      <c r="O31" s="227">
        <f>'OD Efficiencies'!M$54*('OD Shares'!W31/(1/'OD Efficiencies'!M31))/('OD Shares'!W$12/(1/'OD Efficiencies'!M$12))</f>
        <v>101.98632707878008</v>
      </c>
      <c r="P31" s="227">
        <f>'OD Efficiencies'!N$54*('OD Shares'!Y31/(1/'OD Efficiencies'!N31))/('OD Shares'!Y$12/(1/'OD Efficiencies'!N$12))</f>
        <v>280.14285230569999</v>
      </c>
      <c r="Q31" s="227">
        <f>'OD Efficiencies'!O$54*('OD Shares'!AA31/(1/'OD Efficiencies'!O31))/('OD Shares'!AA$12/(1/'OD Efficiencies'!O$12))</f>
        <v>172.54530749495765</v>
      </c>
      <c r="R31" s="227">
        <f>'OD Efficiencies'!P$54*('OD Shares'!AC31/(1/'OD Efficiencies'!P31))/('OD Shares'!AC$12/(1/'OD Efficiencies'!P$12))</f>
        <v>69.97654605988329</v>
      </c>
      <c r="S31" s="227">
        <f>'OD Efficiencies'!Q$54*('OD Shares'!AE31/(1/'OD Efficiencies'!Q31))/('OD Shares'!AE$12/(1/'OD Efficiencies'!Q$12))</f>
        <v>602.61573844701627</v>
      </c>
      <c r="T31" s="227">
        <f>'OD Efficiencies'!R$54*('OD Shares'!AG31/(1/'OD Efficiencies'!R31))/('OD Shares'!AG$12/(1/'OD Efficiencies'!R$12))</f>
        <v>795.47179068203002</v>
      </c>
      <c r="U31" s="227">
        <f>'OD Efficiencies'!S$54*('OD Shares'!AH31/(1/'OD Efficiencies'!S31))/('OD Shares'!AH$12/(1/'OD Efficiencies'!S$12))</f>
        <v>239.88786914477984</v>
      </c>
      <c r="V31" s="227">
        <f>'OD Efficiencies'!T$54*('OD Shares'!AI31/(1/'OD Efficiencies'!T31))/('OD Shares'!AI$12/(1/'OD Efficiencies'!T$12))</f>
        <v>1136.7273452200893</v>
      </c>
      <c r="W31" s="227">
        <f>'OD Efficiencies'!V$54*('OD Shares'!AJ31/(1/'OD Efficiencies'!X31))/('OD Shares'!AJ$12/(1/'OD Efficiencies'!X$12))</f>
        <v>4591.0009553320333</v>
      </c>
    </row>
    <row r="32" spans="1:25" x14ac:dyDescent="0.2">
      <c r="A32" s="198">
        <v>2025</v>
      </c>
      <c r="B32" s="226">
        <f t="shared" si="4"/>
        <v>1396.8440867282632</v>
      </c>
      <c r="C32" s="226">
        <f t="shared" si="3"/>
        <v>3045.5848839677615</v>
      </c>
      <c r="D32" s="227">
        <f>'OD Efficiencies'!B$54*'OD StructuralVars'!$Q32*('OD Shares'!B32/'OD Efficiencies'!B32)/('OD Shares'!B$12/'OD Efficiencies'!B$12)</f>
        <v>949.07659395163466</v>
      </c>
      <c r="E32" s="227">
        <f>'OD Efficiencies'!C$54*'OD StructuralVars'!$Q32*('OD Shares'!D32/'OD Efficiencies'!C32)/('OD Shares'!D$12/'OD Efficiencies'!C$12)</f>
        <v>398.96169476901048</v>
      </c>
      <c r="F32" s="227"/>
      <c r="G32" s="227">
        <f>'OD Efficiencies'!E$54*'OD StructuralVars'!$Q32*('OD Shares'!H32/(1/'OD Efficiencies'!E32))/('OD Shares'!H$12/(1/'OD Efficiencies'!E$12))</f>
        <v>48.805798007617916</v>
      </c>
      <c r="H32" s="227">
        <f>'OD Efficiencies'!F$54*'OD StructuralVars'!$R32*('OD Shares'!J32/'OD Efficiencies'!F32)/('OD Shares'!J$12/'OD Efficiencies'!F$12)</f>
        <v>1999.0715660646488</v>
      </c>
      <c r="I32" s="227">
        <f>'OD Efficiencies'!G$54*'OD StructuralVars'!$R32*('OD Shares'!L32/'OD Efficiencies'!G32)/('OD Shares'!L$12/'OD Efficiencies'!G$12)</f>
        <v>637.68298592982899</v>
      </c>
      <c r="J32" s="227"/>
      <c r="K32" s="227">
        <f>'OD Efficiencies'!I$54*'OD StructuralVars'!$R32*('OD Shares'!P32/'OD Efficiencies'!I32)/('OD Shares'!P$12/'OD Efficiencies'!I$12)</f>
        <v>408.83033197328353</v>
      </c>
      <c r="L32" s="227">
        <f>'OD Efficiencies'!J$54*('OD Shares'!R32/'OD Efficiencies'!J32)/('OD Shares'!R$12/'OD Efficiencies'!J$12)</f>
        <v>1985.3911250263093</v>
      </c>
      <c r="M32" s="227">
        <f>'OD Efficiencies'!K$54*('OD Shares'!T32/(1/'OD Efficiencies'!K32))/('OD Shares'!T$12/(1/'OD Efficiencies'!K$12))</f>
        <v>629.0317224864101</v>
      </c>
      <c r="N32" s="227">
        <f>'OD Efficiencies'!L$54*('OD Shares'!U32/(1/'OD Efficiencies'!L32))/('OD Shares'!U$12/(1/'OD Efficiencies'!L$12))</f>
        <v>575.07235132209826</v>
      </c>
      <c r="O32" s="227">
        <f>'OD Efficiencies'!M$54*('OD Shares'!W32/(1/'OD Efficiencies'!M32))/('OD Shares'!W$12/(1/'OD Efficiencies'!M$12))</f>
        <v>101.52197907375911</v>
      </c>
      <c r="P32" s="227">
        <f>'OD Efficiencies'!N$54*('OD Shares'!Y32/(1/'OD Efficiencies'!N32))/('OD Shares'!Y$12/(1/'OD Efficiencies'!N$12))</f>
        <v>277.74384610022275</v>
      </c>
      <c r="Q32" s="227">
        <f>'OD Efficiencies'!O$54*('OD Shares'!AA32/(1/'OD Efficiencies'!O32))/('OD Shares'!AA$12/(1/'OD Efficiencies'!O$12))</f>
        <v>172.07127378938532</v>
      </c>
      <c r="R32" s="227">
        <f>'OD Efficiencies'!P$54*('OD Shares'!AC32/(1/'OD Efficiencies'!P32))/('OD Shares'!AC$12/(1/'OD Efficiencies'!P$12))</f>
        <v>68.134463798965172</v>
      </c>
      <c r="S32" s="227">
        <f>'OD Efficiencies'!Q$54*('OD Shares'!AE32/(1/'OD Efficiencies'!Q32))/('OD Shares'!AE$12/(1/'OD Efficiencies'!Q$12))</f>
        <v>593.57202743028586</v>
      </c>
      <c r="T32" s="227">
        <f>'OD Efficiencies'!R$54*('OD Shares'!AG32/(1/'OD Efficiencies'!R32))/('OD Shares'!AG$12/(1/'OD Efficiencies'!R$12))</f>
        <v>799.62171395288271</v>
      </c>
      <c r="U32" s="227">
        <f>'OD Efficiencies'!S$54*('OD Shares'!AH32/(1/'OD Efficiencies'!S32))/('OD Shares'!AH$12/(1/'OD Efficiencies'!S$12))</f>
        <v>236.27984320911676</v>
      </c>
      <c r="V32" s="227">
        <f>'OD Efficiencies'!T$54*('OD Shares'!AI32/(1/'OD Efficiencies'!T32))/('OD Shares'!AI$12/(1/'OD Efficiencies'!T$12))</f>
        <v>1123.7507872972535</v>
      </c>
      <c r="W32" s="227">
        <f>'OD Efficiencies'!V$54*('OD Shares'!AJ32/(1/'OD Efficiencies'!X32))/('OD Shares'!AJ$12/(1/'OD Efficiencies'!X$12))</f>
        <v>4683.2561647303328</v>
      </c>
    </row>
    <row r="33" spans="1:23" x14ac:dyDescent="0.2">
      <c r="A33" s="198">
        <f t="shared" ref="A33:A50" si="5">A32+1</f>
        <v>2026</v>
      </c>
      <c r="B33" s="226">
        <f t="shared" si="4"/>
        <v>1387.4137622528285</v>
      </c>
      <c r="C33" s="226">
        <f t="shared" si="3"/>
        <v>3049.3881529752448</v>
      </c>
      <c r="D33" s="227">
        <f>'OD Efficiencies'!B$54*'OD StructuralVars'!$Q33*('OD Shares'!B33/'OD Efficiencies'!B33)/('OD Shares'!B$12/'OD Efficiencies'!B$12)</f>
        <v>940.15557910127882</v>
      </c>
      <c r="E33" s="227">
        <f>'OD Efficiencies'!C$54*'OD StructuralVars'!$Q33*('OD Shares'!D33/'OD Efficiencies'!C33)/('OD Shares'!D$12/'OD Efficiencies'!C$12)</f>
        <v>399.77410441901759</v>
      </c>
      <c r="F33" s="227"/>
      <c r="G33" s="227">
        <f>'OD Efficiencies'!E$54*'OD StructuralVars'!$Q33*('OD Shares'!H33/(1/'OD Efficiencies'!E33))/('OD Shares'!H$12/(1/'OD Efficiencies'!E$12))</f>
        <v>47.484078732532147</v>
      </c>
      <c r="H33" s="227">
        <f>'OD Efficiencies'!F$54*'OD StructuralVars'!$R33*('OD Shares'!J33/'OD Efficiencies'!F33)/('OD Shares'!J$12/'OD Efficiencies'!F$12)</f>
        <v>2001.4771320450031</v>
      </c>
      <c r="I33" s="227">
        <f>'OD Efficiencies'!G$54*'OD StructuralVars'!$R33*('OD Shares'!L33/'OD Efficiencies'!G33)/('OD Shares'!L$12/'OD Efficiencies'!G$12)</f>
        <v>641.08227736847141</v>
      </c>
      <c r="J33" s="227"/>
      <c r="K33" s="227">
        <f>'OD Efficiencies'!I$54*'OD StructuralVars'!$R33*('OD Shares'!P33/'OD Efficiencies'!I33)/('OD Shares'!P$12/'OD Efficiencies'!I$12)</f>
        <v>406.82874356177018</v>
      </c>
      <c r="L33" s="227">
        <f>'OD Efficiencies'!J$54*('OD Shares'!R33/'OD Efficiencies'!J33)/('OD Shares'!R$12/'OD Efficiencies'!J$12)</f>
        <v>1978.4919360407287</v>
      </c>
      <c r="M33" s="227">
        <f>'OD Efficiencies'!K$54*('OD Shares'!T33/(1/'OD Efficiencies'!K33))/('OD Shares'!T$12/(1/'OD Efficiencies'!K$12))</f>
        <v>629.40007554853082</v>
      </c>
      <c r="N33" s="227">
        <f>'OD Efficiencies'!L$54*('OD Shares'!U33/(1/'OD Efficiencies'!L33))/('OD Shares'!U$12/(1/'OD Efficiencies'!L$12))</f>
        <v>573.64285235436159</v>
      </c>
      <c r="O33" s="227">
        <f>'OD Efficiencies'!M$54*('OD Shares'!W33/(1/'OD Efficiencies'!M33))/('OD Shares'!W$12/(1/'OD Efficiencies'!M$12))</f>
        <v>101.14431090926981</v>
      </c>
      <c r="P33" s="227">
        <f>'OD Efficiencies'!N$54*('OD Shares'!Y33/(1/'OD Efficiencies'!N33))/('OD Shares'!Y$12/(1/'OD Efficiencies'!N$12))</f>
        <v>275.44297437217733</v>
      </c>
      <c r="Q33" s="227">
        <f>'OD Efficiencies'!O$54*('OD Shares'!AA33/(1/'OD Efficiencies'!O33))/('OD Shares'!AA$12/(1/'OD Efficiencies'!O$12))</f>
        <v>172.26473422043551</v>
      </c>
      <c r="R33" s="227">
        <f>'OD Efficiencies'!P$54*('OD Shares'!AC33/(1/'OD Efficiencies'!P33))/('OD Shares'!AC$12/(1/'OD Efficiencies'!P$12))</f>
        <v>66.333111587571253</v>
      </c>
      <c r="S33" s="227">
        <f>'OD Efficiencies'!Q$54*('OD Shares'!AE33/(1/'OD Efficiencies'!Q33))/('OD Shares'!AE$12/(1/'OD Efficiencies'!Q$12))</f>
        <v>585.04450941878008</v>
      </c>
      <c r="T33" s="227">
        <f>'OD Efficiencies'!R$54*('OD Shares'!AG33/(1/'OD Efficiencies'!R33))/('OD Shares'!AG$12/(1/'OD Efficiencies'!R$12))</f>
        <v>804.01732039148385</v>
      </c>
      <c r="U33" s="227">
        <f>'OD Efficiencies'!S$54*('OD Shares'!AH33/(1/'OD Efficiencies'!S33))/('OD Shares'!AH$12/(1/'OD Efficiencies'!S$12))</f>
        <v>231.74872423997607</v>
      </c>
      <c r="V33" s="227">
        <f>'OD Efficiencies'!T$54*('OD Shares'!AI33/(1/'OD Efficiencies'!T33))/('OD Shares'!AI$12/(1/'OD Efficiencies'!T$12))</f>
        <v>1112.1648571325104</v>
      </c>
      <c r="W33" s="227">
        <f>'OD Efficiencies'!V$54*('OD Shares'!AJ33/(1/'OD Efficiencies'!X33))/('OD Shares'!AJ$12/(1/'OD Efficiencies'!X$12))</f>
        <v>4770.2894172582692</v>
      </c>
    </row>
    <row r="34" spans="1:23" x14ac:dyDescent="0.2">
      <c r="A34" s="198">
        <f t="shared" si="5"/>
        <v>2027</v>
      </c>
      <c r="B34" s="226">
        <f t="shared" si="4"/>
        <v>1378.3314849011733</v>
      </c>
      <c r="C34" s="226">
        <f t="shared" si="3"/>
        <v>3055.1870086816307</v>
      </c>
      <c r="D34" s="227">
        <f>'OD Efficiencies'!B$54*'OD StructuralVars'!$Q34*('OD Shares'!B34/'OD Efficiencies'!B34)/('OD Shares'!B$12/'OD Efficiencies'!B$12)</f>
        <v>931.59043842028655</v>
      </c>
      <c r="E34" s="227">
        <f>'OD Efficiencies'!C$54*'OD StructuralVars'!$Q34*('OD Shares'!D34/'OD Efficiencies'!C34)/('OD Shares'!D$12/'OD Efficiencies'!C$12)</f>
        <v>400.58514985135616</v>
      </c>
      <c r="F34" s="227"/>
      <c r="G34" s="227">
        <f>'OD Efficiencies'!E$54*'OD StructuralVars'!$Q34*('OD Shares'!H34/(1/'OD Efficiencies'!E34))/('OD Shares'!H$12/(1/'OD Efficiencies'!E$12))</f>
        <v>46.15589662953051</v>
      </c>
      <c r="H34" s="227">
        <f>'OD Efficiencies'!F$54*'OD StructuralVars'!$R34*('OD Shares'!J34/'OD Efficiencies'!F34)/('OD Shares'!J$12/'OD Efficiencies'!F$12)</f>
        <v>2005.6109181120601</v>
      </c>
      <c r="I34" s="227">
        <f>'OD Efficiencies'!G$54*'OD StructuralVars'!$R34*('OD Shares'!L34/'OD Efficiencies'!G34)/('OD Shares'!L$12/'OD Efficiencies'!G$12)</f>
        <v>644.55278319517458</v>
      </c>
      <c r="J34" s="227"/>
      <c r="K34" s="227">
        <f>'OD Efficiencies'!I$54*'OD StructuralVars'!$R34*('OD Shares'!P34/'OD Efficiencies'!I34)/('OD Shares'!P$12/'OD Efficiencies'!I$12)</f>
        <v>405.02330737439615</v>
      </c>
      <c r="L34" s="227">
        <f>'OD Efficiencies'!J$54*('OD Shares'!R34/'OD Efficiencies'!J34)/('OD Shares'!R$12/'OD Efficiencies'!J$12)</f>
        <v>1972.6255080207463</v>
      </c>
      <c r="M34" s="227">
        <f>'OD Efficiencies'!K$54*('OD Shares'!T34/(1/'OD Efficiencies'!K34))/('OD Shares'!T$12/(1/'OD Efficiencies'!K$12))</f>
        <v>629.68811328638685</v>
      </c>
      <c r="N34" s="227">
        <f>'OD Efficiencies'!L$54*('OD Shares'!U34/(1/'OD Efficiencies'!L34))/('OD Shares'!U$12/(1/'OD Efficiencies'!L$12))</f>
        <v>572.6778057083352</v>
      </c>
      <c r="O34" s="227">
        <f>'OD Efficiencies'!M$54*('OD Shares'!W34/(1/'OD Efficiencies'!M34))/('OD Shares'!W$12/(1/'OD Efficiencies'!M$12))</f>
        <v>100.85092569561874</v>
      </c>
      <c r="P34" s="227">
        <f>'OD Efficiencies'!N$54*('OD Shares'!Y34/(1/'OD Efficiencies'!N34))/('OD Shares'!Y$12/(1/'OD Efficiencies'!N$12))</f>
        <v>273.20624727237896</v>
      </c>
      <c r="Q34" s="227">
        <f>'OD Efficiencies'!O$54*('OD Shares'!AA34/(1/'OD Efficiencies'!O34))/('OD Shares'!AA$12/(1/'OD Efficiencies'!O$12))</f>
        <v>172.99982486617611</v>
      </c>
      <c r="R34" s="227">
        <f>'OD Efficiencies'!P$54*('OD Shares'!AC34/(1/'OD Efficiencies'!P34))/('OD Shares'!AC$12/(1/'OD Efficiencies'!P$12))</f>
        <v>64.678209769325349</v>
      </c>
      <c r="S34" s="227">
        <f>'OD Efficiencies'!Q$54*('OD Shares'!AE34/(1/'OD Efficiencies'!Q34))/('OD Shares'!AE$12/(1/'OD Efficiencies'!Q$12))</f>
        <v>577.63791239576142</v>
      </c>
      <c r="T34" s="227">
        <f>'OD Efficiencies'!R$54*('OD Shares'!AG34/(1/'OD Efficiencies'!R34))/('OD Shares'!AG$12/(1/'OD Efficiencies'!R$12))</f>
        <v>808.57141054642909</v>
      </c>
      <c r="U34" s="227">
        <f>'OD Efficiencies'!S$54*('OD Shares'!AH34/(1/'OD Efficiencies'!S34))/('OD Shares'!AH$12/(1/'OD Efficiencies'!S$12))</f>
        <v>228.66313796325844</v>
      </c>
      <c r="V34" s="227">
        <f>'OD Efficiencies'!T$54*('OD Shares'!AI34/(1/'OD Efficiencies'!T34))/('OD Shares'!AI$12/(1/'OD Efficiencies'!T$12))</f>
        <v>1101.6097313953412</v>
      </c>
      <c r="W34" s="227">
        <f>'OD Efficiencies'!V$54*('OD Shares'!AJ34/(1/'OD Efficiencies'!X34))/('OD Shares'!AJ$12/(1/'OD Efficiencies'!X$12))</f>
        <v>4860.6547698084069</v>
      </c>
    </row>
    <row r="35" spans="1:23" x14ac:dyDescent="0.2">
      <c r="A35" s="198">
        <f t="shared" si="5"/>
        <v>2028</v>
      </c>
      <c r="B35" s="226">
        <f t="shared" si="4"/>
        <v>1369.8140573737323</v>
      </c>
      <c r="C35" s="226">
        <f t="shared" si="3"/>
        <v>3062.469457451044</v>
      </c>
      <c r="D35" s="227">
        <f>'OD Efficiencies'!B$54*'OD StructuralVars'!$Q35*('OD Shares'!B35/'OD Efficiencies'!B35)/('OD Shares'!B$12/'OD Efficiencies'!B$12)</f>
        <v>923.53714896572126</v>
      </c>
      <c r="E35" s="227">
        <f>'OD Efficiencies'!C$54*'OD StructuralVars'!$Q35*('OD Shares'!D35/'OD Efficiencies'!C35)/('OD Shares'!D$12/'OD Efficiencies'!C$12)</f>
        <v>401.41274398731809</v>
      </c>
      <c r="F35" s="227"/>
      <c r="G35" s="227">
        <f>'OD Efficiencies'!E$54*'OD StructuralVars'!$Q35*('OD Shares'!H35/(1/'OD Efficiencies'!E35))/('OD Shares'!H$12/(1/'OD Efficiencies'!E$12))</f>
        <v>44.864164420692873</v>
      </c>
      <c r="H35" s="227">
        <f>'OD Efficiencies'!F$54*'OD StructuralVars'!$R35*('OD Shares'!J35/'OD Efficiencies'!F35)/('OD Shares'!J$12/'OD Efficiencies'!F$12)</f>
        <v>2010.9746319279268</v>
      </c>
      <c r="I35" s="227">
        <f>'OD Efficiencies'!G$54*'OD StructuralVars'!$R35*('OD Shares'!L35/'OD Efficiencies'!G35)/('OD Shares'!L$12/'OD Efficiencies'!G$12)</f>
        <v>648.02666801963528</v>
      </c>
      <c r="J35" s="227"/>
      <c r="K35" s="227">
        <f>'OD Efficiencies'!I$54*'OD StructuralVars'!$R35*('OD Shares'!P35/'OD Efficiencies'!I35)/('OD Shares'!P$12/'OD Efficiencies'!I$12)</f>
        <v>403.46815750348202</v>
      </c>
      <c r="L35" s="227">
        <f>'OD Efficiencies'!J$54*('OD Shares'!R35/'OD Efficiencies'!J35)/('OD Shares'!R$12/'OD Efficiencies'!J$12)</f>
        <v>1967.6598272945007</v>
      </c>
      <c r="M35" s="227">
        <f>'OD Efficiencies'!K$54*('OD Shares'!T35/(1/'OD Efficiencies'!K35))/('OD Shares'!T$12/(1/'OD Efficiencies'!K$12))</f>
        <v>629.99601234042552</v>
      </c>
      <c r="N35" s="227">
        <f>'OD Efficiencies'!L$54*('OD Shares'!U35/(1/'OD Efficiencies'!L35))/('OD Shares'!U$12/(1/'OD Efficiencies'!L$12))</f>
        <v>571.82009510002104</v>
      </c>
      <c r="O35" s="227">
        <f>'OD Efficiencies'!M$54*('OD Shares'!W35/(1/'OD Efficiencies'!M35))/('OD Shares'!W$12/(1/'OD Efficiencies'!M$12))</f>
        <v>100.57822766614211</v>
      </c>
      <c r="P35" s="227">
        <f>'OD Efficiencies'!N$54*('OD Shares'!Y35/(1/'OD Efficiencies'!N35))/('OD Shares'!Y$12/(1/'OD Efficiencies'!N$12))</f>
        <v>271.03221337644811</v>
      </c>
      <c r="Q35" s="227">
        <f>'OD Efficiencies'!O$54*('OD Shares'!AA35/(1/'OD Efficiencies'!O35))/('OD Shares'!AA$12/(1/'OD Efficiencies'!O$12))</f>
        <v>174.27006584165443</v>
      </c>
      <c r="R35" s="227">
        <f>'OD Efficiencies'!P$54*('OD Shares'!AC35/(1/'OD Efficiencies'!P35))/('OD Shares'!AC$12/(1/'OD Efficiencies'!P$12))</f>
        <v>63.154505371969236</v>
      </c>
      <c r="S35" s="227">
        <f>'OD Efficiencies'!Q$54*('OD Shares'!AE35/(1/'OD Efficiencies'!Q35))/('OD Shares'!AE$12/(1/'OD Efficiencies'!Q$12))</f>
        <v>571.78093108820985</v>
      </c>
      <c r="T35" s="227">
        <f>'OD Efficiencies'!R$54*('OD Shares'!AG35/(1/'OD Efficiencies'!R35))/('OD Shares'!AG$12/(1/'OD Efficiencies'!R$12))</f>
        <v>813.85238751807788</v>
      </c>
      <c r="U35" s="227">
        <f>'OD Efficiencies'!S$54*('OD Shares'!AH35/(1/'OD Efficiencies'!S35))/('OD Shares'!AH$12/(1/'OD Efficiencies'!S$12))</f>
        <v>223.76907417574455</v>
      </c>
      <c r="V35" s="227">
        <f>'OD Efficiencies'!T$54*('OD Shares'!AI35/(1/'OD Efficiencies'!T35))/('OD Shares'!AI$12/(1/'OD Efficiencies'!T$12))</f>
        <v>1092.6090021244163</v>
      </c>
      <c r="W35" s="227">
        <f>'OD Efficiencies'!V$54*('OD Shares'!AJ35/(1/'OD Efficiencies'!X35))/('OD Shares'!AJ$12/(1/'OD Efficiencies'!X$12))</f>
        <v>4951.1279487646489</v>
      </c>
    </row>
    <row r="36" spans="1:23" x14ac:dyDescent="0.2">
      <c r="A36" s="198">
        <f t="shared" si="5"/>
        <v>2029</v>
      </c>
      <c r="B36" s="226">
        <f t="shared" si="4"/>
        <v>1361.909771372784</v>
      </c>
      <c r="C36" s="226">
        <f t="shared" si="3"/>
        <v>3071.1365352759694</v>
      </c>
      <c r="D36" s="227">
        <f>'OD Efficiencies'!B$54*'OD StructuralVars'!$Q36*('OD Shares'!B36/'OD Efficiencies'!B36)/('OD Shares'!B$12/'OD Efficiencies'!B$12)</f>
        <v>915.93821207879319</v>
      </c>
      <c r="E36" s="227">
        <f>'OD Efficiencies'!C$54*'OD StructuralVars'!$Q36*('OD Shares'!D36/'OD Efficiencies'!C36)/('OD Shares'!D$12/'OD Efficiencies'!C$12)</f>
        <v>402.35399546293496</v>
      </c>
      <c r="F36" s="227"/>
      <c r="G36" s="227">
        <f>'OD Efficiencies'!E$54*'OD StructuralVars'!$Q36*('OD Shares'!H36/(1/'OD Efficiencies'!E36))/('OD Shares'!H$12/(1/'OD Efficiencies'!E$12))</f>
        <v>43.617563831055897</v>
      </c>
      <c r="H36" s="227">
        <f>'OD Efficiencies'!F$54*'OD StructuralVars'!$R36*('OD Shares'!J36/'OD Efficiencies'!F36)/('OD Shares'!J$12/'OD Efficiencies'!F$12)</f>
        <v>2017.1834293774552</v>
      </c>
      <c r="I36" s="227">
        <f>'OD Efficiencies'!G$54*'OD StructuralVars'!$R36*('OD Shares'!L36/'OD Efficiencies'!G36)/('OD Shares'!L$12/'OD Efficiencies'!G$12)</f>
        <v>651.6563733157451</v>
      </c>
      <c r="J36" s="227"/>
      <c r="K36" s="227">
        <f>'OD Efficiencies'!I$54*'OD StructuralVars'!$R36*('OD Shares'!P36/'OD Efficiencies'!I36)/('OD Shares'!P$12/'OD Efficiencies'!I$12)</f>
        <v>402.29673258276893</v>
      </c>
      <c r="L36" s="227">
        <f>'OD Efficiencies'!J$54*('OD Shares'!R36/'OD Efficiencies'!J36)/('OD Shares'!R$12/'OD Efficiencies'!J$12)</f>
        <v>1963.4000551992938</v>
      </c>
      <c r="M36" s="227">
        <f>'OD Efficiencies'!K$54*('OD Shares'!T36/(1/'OD Efficiencies'!K36))/('OD Shares'!T$12/(1/'OD Efficiencies'!K$12))</f>
        <v>630.35568041485351</v>
      </c>
      <c r="N36" s="227">
        <f>'OD Efficiencies'!L$54*('OD Shares'!U36/(1/'OD Efficiencies'!L36))/('OD Shares'!U$12/(1/'OD Efficiencies'!L$12))</f>
        <v>570.95610279841981</v>
      </c>
      <c r="O36" s="227">
        <f>'OD Efficiencies'!M$54*('OD Shares'!W36/(1/'OD Efficiencies'!M36))/('OD Shares'!W$12/(1/'OD Efficiencies'!M$12))</f>
        <v>100.31203566665351</v>
      </c>
      <c r="P36" s="227">
        <f>'OD Efficiencies'!N$54*('OD Shares'!Y36/(1/'OD Efficiencies'!N36))/('OD Shares'!Y$12/(1/'OD Efficiencies'!N$12))</f>
        <v>268.93158566386012</v>
      </c>
      <c r="Q36" s="227">
        <f>'OD Efficiencies'!O$54*('OD Shares'!AA36/(1/'OD Efficiencies'!O36))/('OD Shares'!AA$12/(1/'OD Efficiencies'!O$12))</f>
        <v>175.64582861329862</v>
      </c>
      <c r="R36" s="227">
        <f>'OD Efficiencies'!P$54*('OD Shares'!AC36/(1/'OD Efficiencies'!P36))/('OD Shares'!AC$12/(1/'OD Efficiencies'!P$12))</f>
        <v>61.756009806550132</v>
      </c>
      <c r="S36" s="227">
        <f>'OD Efficiencies'!Q$54*('OD Shares'!AE36/(1/'OD Efficiencies'!Q36))/('OD Shares'!AE$12/(1/'OD Efficiencies'!Q$12))</f>
        <v>567.50103999316707</v>
      </c>
      <c r="T36" s="227">
        <f>'OD Efficiencies'!R$54*('OD Shares'!AG36/(1/'OD Efficiencies'!R36))/('OD Shares'!AG$12/(1/'OD Efficiencies'!R$12))</f>
        <v>819.9613343283512</v>
      </c>
      <c r="U36" s="227">
        <f>'OD Efficiencies'!S$54*('OD Shares'!AH36/(1/'OD Efficiencies'!S36))/('OD Shares'!AH$12/(1/'OD Efficiencies'!S$12))</f>
        <v>221.92669772443145</v>
      </c>
      <c r="V36" s="227">
        <f>'OD Efficiencies'!T$54*('OD Shares'!AI36/(1/'OD Efficiencies'!T36))/('OD Shares'!AI$12/(1/'OD Efficiencies'!T$12))</f>
        <v>1085.2043944378738</v>
      </c>
      <c r="W36" s="227">
        <f>'OD Efficiencies'!V$54*('OD Shares'!AJ36/(1/'OD Efficiencies'!X36))/('OD Shares'!AJ$12/(1/'OD Efficiencies'!X$12))</f>
        <v>5038.7416284967558</v>
      </c>
    </row>
    <row r="37" spans="1:23" x14ac:dyDescent="0.2">
      <c r="A37" s="198">
        <f t="shared" si="5"/>
        <v>2030</v>
      </c>
      <c r="B37" s="226">
        <f t="shared" si="4"/>
        <v>1354.0064315295811</v>
      </c>
      <c r="C37" s="226">
        <f t="shared" si="3"/>
        <v>3078.9982589455935</v>
      </c>
      <c r="D37" s="227">
        <f>'OD Efficiencies'!B$54*'OD StructuralVars'!$Q37*('OD Shares'!B37/'OD Efficiencies'!B37)/('OD Shares'!B$12/'OD Efficiencies'!B$12)</f>
        <v>908.32749749294271</v>
      </c>
      <c r="E37" s="227">
        <f>'OD Efficiencies'!C$54*'OD StructuralVars'!$Q37*('OD Shares'!D37/'OD Efficiencies'!C37)/('OD Shares'!D$12/'OD Efficiencies'!C$12)</f>
        <v>403.29083135572148</v>
      </c>
      <c r="F37" s="227"/>
      <c r="G37" s="227">
        <f>'OD Efficiencies'!E$54*'OD StructuralVars'!$Q37*('OD Shares'!H37/(1/'OD Efficiencies'!E37))/('OD Shares'!H$12/(1/'OD Efficiencies'!E$12))</f>
        <v>42.38810268091698</v>
      </c>
      <c r="H37" s="227">
        <f>'OD Efficiencies'!F$54*'OD StructuralVars'!$R37*('OD Shares'!J37/'OD Efficiencies'!F37)/('OD Shares'!J$12/'OD Efficiencies'!F$12)</f>
        <v>2023.1495002564741</v>
      </c>
      <c r="I37" s="227">
        <f>'OD Efficiencies'!G$54*'OD StructuralVars'!$R37*('OD Shares'!L37/'OD Efficiencies'!G37)/('OD Shares'!L$12/'OD Efficiencies'!G$12)</f>
        <v>655.27984698861735</v>
      </c>
      <c r="J37" s="227"/>
      <c r="K37" s="227">
        <f>'OD Efficiencies'!I$54*'OD StructuralVars'!$R37*('OD Shares'!P37/'OD Efficiencies'!I37)/('OD Shares'!P$12/'OD Efficiencies'!I$12)</f>
        <v>400.56891170050204</v>
      </c>
      <c r="L37" s="227">
        <f>'OD Efficiencies'!J$54*('OD Shares'!R37/'OD Efficiencies'!J37)/('OD Shares'!R$12/'OD Efficiencies'!J$12)</f>
        <v>1959.9777452689898</v>
      </c>
      <c r="M37" s="227">
        <f>'OD Efficiencies'!K$54*('OD Shares'!T37/(1/'OD Efficiencies'!K37))/('OD Shares'!T$12/(1/'OD Efficiencies'!K$12))</f>
        <v>630.75316910958054</v>
      </c>
      <c r="N37" s="227">
        <f>'OD Efficiencies'!L$54*('OD Shares'!U37/(1/'OD Efficiencies'!L37))/('OD Shares'!U$12/(1/'OD Efficiencies'!L$12))</f>
        <v>570.06415061512087</v>
      </c>
      <c r="O37" s="227">
        <f>'OD Efficiencies'!M$54*('OD Shares'!W37/(1/'OD Efficiencies'!M37))/('OD Shares'!W$12/(1/'OD Efficiencies'!M$12))</f>
        <v>100.05263884647238</v>
      </c>
      <c r="P37" s="227">
        <f>'OD Efficiencies'!N$54*('OD Shares'!Y37/(1/'OD Efficiencies'!N37))/('OD Shares'!Y$12/(1/'OD Efficiencies'!N$12))</f>
        <v>266.92376738887663</v>
      </c>
      <c r="Q37" s="227">
        <f>'OD Efficiencies'!O$54*('OD Shares'!AA37/(1/'OD Efficiencies'!O37))/('OD Shares'!AA$12/(1/'OD Efficiencies'!O$12))</f>
        <v>177.15669386339061</v>
      </c>
      <c r="R37" s="227">
        <f>'OD Efficiencies'!P$54*('OD Shares'!AC37/(1/'OD Efficiencies'!P37))/('OD Shares'!AC$12/(1/'OD Efficiencies'!P$12))</f>
        <v>60.678460733827293</v>
      </c>
      <c r="S37" s="227">
        <f>'OD Efficiencies'!Q$54*('OD Shares'!AE37/(1/'OD Efficiencies'!Q37))/('OD Shares'!AE$12/(1/'OD Efficiencies'!Q$12))</f>
        <v>564.58862796391861</v>
      </c>
      <c r="T37" s="227">
        <f>'OD Efficiencies'!R$54*('OD Shares'!AG37/(1/'OD Efficiencies'!R37))/('OD Shares'!AG$12/(1/'OD Efficiencies'!R$12))</f>
        <v>826.70591060252605</v>
      </c>
      <c r="U37" s="227">
        <f>'OD Efficiencies'!S$54*('OD Shares'!AH37/(1/'OD Efficiencies'!S37))/('OD Shares'!AH$12/(1/'OD Efficiencies'!S$12))</f>
        <v>216.35286772764073</v>
      </c>
      <c r="V37" s="227">
        <f>'OD Efficiencies'!T$54*('OD Shares'!AI37/(1/'OD Efficiencies'!T37))/('OD Shares'!AI$12/(1/'OD Efficiencies'!T$12))</f>
        <v>1078.9100266001583</v>
      </c>
      <c r="W37" s="227">
        <f>'OD Efficiencies'!V$54*('OD Shares'!AJ37/(1/'OD Efficiencies'!X37))/('OD Shares'!AJ$12/(1/'OD Efficiencies'!X$12))</f>
        <v>5133.3811512112679</v>
      </c>
    </row>
    <row r="38" spans="1:23" x14ac:dyDescent="0.2">
      <c r="A38" s="198">
        <f t="shared" si="5"/>
        <v>2031</v>
      </c>
      <c r="B38" s="226">
        <f t="shared" si="4"/>
        <v>1345.8853546036794</v>
      </c>
      <c r="C38" s="226">
        <f t="shared" si="3"/>
        <v>3086.5960127163598</v>
      </c>
      <c r="D38" s="227">
        <f>'OD Efficiencies'!B$54*'OD StructuralVars'!$Q38*('OD Shares'!B38/'OD Efficiencies'!B38)/('OD Shares'!B$12/'OD Efficiencies'!B$12)</f>
        <v>900.67480286184184</v>
      </c>
      <c r="E38" s="227">
        <f>'OD Efficiencies'!C$54*'OD StructuralVars'!$Q38*('OD Shares'!D38/'OD Efficiencies'!C38)/('OD Shares'!D$12/'OD Efficiencies'!C$12)</f>
        <v>404.06553625399829</v>
      </c>
      <c r="F38" s="227"/>
      <c r="G38" s="227">
        <f>'OD Efficiencies'!E$54*'OD StructuralVars'!$Q38*('OD Shares'!H38/(1/'OD Efficiencies'!E38))/('OD Shares'!H$12/(1/'OD Efficiencies'!E$12))</f>
        <v>41.145015487839345</v>
      </c>
      <c r="H38" s="227">
        <f>'OD Efficiencies'!F$54*'OD StructuralVars'!$R38*('OD Shares'!J38/'OD Efficiencies'!F38)/('OD Shares'!J$12/'OD Efficiencies'!F$12)</f>
        <v>2028.5252422519955</v>
      </c>
      <c r="I38" s="227">
        <f>'OD Efficiencies'!G$54*'OD StructuralVars'!$R38*('OD Shares'!L38/'OD Efficiencies'!G38)/('OD Shares'!L$12/'OD Efficiencies'!G$12)</f>
        <v>658.71952231712703</v>
      </c>
      <c r="J38" s="227"/>
      <c r="K38" s="227">
        <f>'OD Efficiencies'!I$54*'OD StructuralVars'!$R38*('OD Shares'!P38/'OD Efficiencies'!I38)/('OD Shares'!P$12/'OD Efficiencies'!I$12)</f>
        <v>399.35124814723736</v>
      </c>
      <c r="L38" s="227">
        <f>'OD Efficiencies'!J$54*('OD Shares'!R38/'OD Efficiencies'!J38)/('OD Shares'!R$12/'OD Efficiencies'!J$12)</f>
        <v>1957.2583577246921</v>
      </c>
      <c r="M38" s="227">
        <f>'OD Efficiencies'!K$54*('OD Shares'!T38/(1/'OD Efficiencies'!K38))/('OD Shares'!T$12/(1/'OD Efficiencies'!K$12))</f>
        <v>631.10503333230656</v>
      </c>
      <c r="N38" s="227">
        <f>'OD Efficiencies'!L$54*('OD Shares'!U38/(1/'OD Efficiencies'!L38))/('OD Shares'!U$12/(1/'OD Efficiencies'!L$12))</f>
        <v>569.10062047913743</v>
      </c>
      <c r="O38" s="227">
        <f>'OD Efficiencies'!M$54*('OD Shares'!W38/(1/'OD Efficiencies'!M38))/('OD Shares'!W$12/(1/'OD Efficiencies'!M$12))</f>
        <v>99.786894897038508</v>
      </c>
      <c r="P38" s="227">
        <f>'OD Efficiencies'!N$54*('OD Shares'!Y38/(1/'OD Efficiencies'!N38))/('OD Shares'!Y$12/(1/'OD Efficiencies'!N$12))</f>
        <v>265.02181338937282</v>
      </c>
      <c r="Q38" s="227">
        <f>'OD Efficiencies'!O$54*('OD Shares'!AA38/(1/'OD Efficiencies'!O38))/('OD Shares'!AA$12/(1/'OD Efficiencies'!O$12))</f>
        <v>178.81613475201439</v>
      </c>
      <c r="R38" s="227">
        <f>'OD Efficiencies'!P$54*('OD Shares'!AC38/(1/'OD Efficiencies'!P38))/('OD Shares'!AC$12/(1/'OD Efficiencies'!P$12))</f>
        <v>59.991115596451408</v>
      </c>
      <c r="S38" s="227">
        <f>'OD Efficiencies'!Q$54*('OD Shares'!AE38/(1/'OD Efficiencies'!Q38))/('OD Shares'!AE$12/(1/'OD Efficiencies'!Q$12))</f>
        <v>562.58050619759035</v>
      </c>
      <c r="T38" s="227">
        <f>'OD Efficiencies'!R$54*('OD Shares'!AG38/(1/'OD Efficiencies'!R38))/('OD Shares'!AG$12/(1/'OD Efficiencies'!R$12))</f>
        <v>833.57452269672297</v>
      </c>
      <c r="U38" s="227">
        <f>'OD Efficiencies'!S$54*('OD Shares'!AH38/(1/'OD Efficiencies'!S38))/('OD Shares'!AH$12/(1/'OD Efficiencies'!S$12))</f>
        <v>215.1109551984824</v>
      </c>
      <c r="V38" s="227">
        <f>'OD Efficiencies'!T$54*('OD Shares'!AI38/(1/'OD Efficiencies'!T38))/('OD Shares'!AI$12/(1/'OD Efficiencies'!T$12))</f>
        <v>1074.1971761602467</v>
      </c>
      <c r="W38" s="227">
        <f>'OD Efficiencies'!V$54*('OD Shares'!AJ38/(1/'OD Efficiencies'!X38))/('OD Shares'!AJ$12/(1/'OD Efficiencies'!X$12))</f>
        <v>5220.6796701968206</v>
      </c>
    </row>
    <row r="39" spans="1:23" x14ac:dyDescent="0.2">
      <c r="A39" s="198">
        <f t="shared" si="5"/>
        <v>2032</v>
      </c>
      <c r="B39" s="226">
        <f t="shared" si="4"/>
        <v>1337.5203595189018</v>
      </c>
      <c r="C39" s="226">
        <f t="shared" si="3"/>
        <v>3093.7085400921546</v>
      </c>
      <c r="D39" s="227">
        <f>'OD Efficiencies'!B$54*'OD StructuralVars'!$Q39*('OD Shares'!B39/'OD Efficiencies'!B39)/('OD Shares'!B$12/'OD Efficiencies'!B$12)</f>
        <v>893.03789518208032</v>
      </c>
      <c r="E39" s="227">
        <f>'OD Efficiencies'!C$54*'OD StructuralVars'!$Q39*('OD Shares'!D39/'OD Efficiencies'!C39)/('OD Shares'!D$12/'OD Efficiencies'!C$12)</f>
        <v>404.61876427901655</v>
      </c>
      <c r="F39" s="227"/>
      <c r="G39" s="227">
        <f>'OD Efficiencies'!E$54*'OD StructuralVars'!$Q39*('OD Shares'!H39/(1/'OD Efficiencies'!E39))/('OD Shares'!H$12/(1/'OD Efficiencies'!E$12))</f>
        <v>39.863700057805083</v>
      </c>
      <c r="H39" s="227">
        <f>'OD Efficiencies'!F$54*'OD StructuralVars'!$R39*('OD Shares'!J39/'OD Efficiencies'!F39)/('OD Shares'!J$12/'OD Efficiencies'!F$12)</f>
        <v>2033.7128359242565</v>
      </c>
      <c r="I39" s="227">
        <f>'OD Efficiencies'!G$54*'OD StructuralVars'!$R39*('OD Shares'!L39/'OD Efficiencies'!G39)/('OD Shares'!L$12/'OD Efficiencies'!G$12)</f>
        <v>661.8902558308497</v>
      </c>
      <c r="J39" s="227"/>
      <c r="K39" s="227">
        <f>'OD Efficiencies'!I$54*'OD StructuralVars'!$R39*('OD Shares'!P39/'OD Efficiencies'!I39)/('OD Shares'!P$12/'OD Efficiencies'!I$12)</f>
        <v>398.10544833704853</v>
      </c>
      <c r="L39" s="227">
        <f>'OD Efficiencies'!J$54*('OD Shares'!R39/'OD Efficiencies'!J39)/('OD Shares'!R$12/'OD Efficiencies'!J$12)</f>
        <v>1955.2386563913713</v>
      </c>
      <c r="M39" s="227">
        <f>'OD Efficiencies'!K$54*('OD Shares'!T39/(1/'OD Efficiencies'!K39))/('OD Shares'!T$12/(1/'OD Efficiencies'!K$12))</f>
        <v>631.35292058248956</v>
      </c>
      <c r="N39" s="227">
        <f>'OD Efficiencies'!L$54*('OD Shares'!U39/(1/'OD Efficiencies'!L39))/('OD Shares'!U$12/(1/'OD Efficiencies'!L$12))</f>
        <v>568.03927203988712</v>
      </c>
      <c r="O39" s="227">
        <f>'OD Efficiencies'!M$54*('OD Shares'!W39/(1/'OD Efficiencies'!M39))/('OD Shares'!W$12/(1/'OD Efficiencies'!M$12))</f>
        <v>99.503638349400276</v>
      </c>
      <c r="P39" s="227">
        <f>'OD Efficiencies'!N$54*('OD Shares'!Y39/(1/'OD Efficiencies'!N39))/('OD Shares'!Y$12/(1/'OD Efficiencies'!N$12))</f>
        <v>263.21433752485467</v>
      </c>
      <c r="Q39" s="227">
        <f>'OD Efficiencies'!O$54*('OD Shares'!AA39/(1/'OD Efficiencies'!O39))/('OD Shares'!AA$12/(1/'OD Efficiencies'!O$12))</f>
        <v>180.41572686476911</v>
      </c>
      <c r="R39" s="227">
        <f>'OD Efficiencies'!P$54*('OD Shares'!AC39/(1/'OD Efficiencies'!P39))/('OD Shares'!AC$12/(1/'OD Efficiencies'!P$12))</f>
        <v>59.646252153884106</v>
      </c>
      <c r="S39" s="227">
        <f>'OD Efficiencies'!Q$54*('OD Shares'!AE39/(1/'OD Efficiencies'!Q39))/('OD Shares'!AE$12/(1/'OD Efficiencies'!Q$12))</f>
        <v>561.34332518527049</v>
      </c>
      <c r="T39" s="227">
        <f>'OD Efficiencies'!R$54*('OD Shares'!AG39/(1/'OD Efficiencies'!R39))/('OD Shares'!AG$12/(1/'OD Efficiencies'!R$12))</f>
        <v>840.25024874904545</v>
      </c>
      <c r="U39" s="227">
        <f>'OD Efficiencies'!S$54*('OD Shares'!AH39/(1/'OD Efficiencies'!S39))/('OD Shares'!AH$12/(1/'OD Efficiencies'!S$12))</f>
        <v>213.60966528106684</v>
      </c>
      <c r="V39" s="227">
        <f>'OD Efficiencies'!T$54*('OD Shares'!AI39/(1/'OD Efficiencies'!T39))/('OD Shares'!AI$12/(1/'OD Efficiencies'!T$12))</f>
        <v>1070.0692847796925</v>
      </c>
      <c r="W39" s="227">
        <f>'OD Efficiencies'!V$54*('OD Shares'!AJ39/(1/'OD Efficiencies'!X39))/('OD Shares'!AJ$12/(1/'OD Efficiencies'!X$12))</f>
        <v>5298.7762117648126</v>
      </c>
    </row>
    <row r="40" spans="1:23" x14ac:dyDescent="0.2">
      <c r="A40" s="198">
        <f t="shared" si="5"/>
        <v>2033</v>
      </c>
      <c r="B40" s="226">
        <f t="shared" si="4"/>
        <v>1329.1492736200619</v>
      </c>
      <c r="C40" s="226">
        <f t="shared" si="3"/>
        <v>3100.4325448265745</v>
      </c>
      <c r="D40" s="227">
        <f>'OD Efficiencies'!B$54*'OD StructuralVars'!$Q40*('OD Shares'!B40/'OD Efficiencies'!B40)/('OD Shares'!B$12/'OD Efficiencies'!B$12)</f>
        <v>885.44565955993914</v>
      </c>
      <c r="E40" s="227">
        <f>'OD Efficiencies'!C$54*'OD StructuralVars'!$Q40*('OD Shares'!D40/'OD Efficiencies'!C40)/('OD Shares'!D$12/'OD Efficiencies'!C$12)</f>
        <v>405.13127198233178</v>
      </c>
      <c r="F40" s="227"/>
      <c r="G40" s="227">
        <f>'OD Efficiencies'!E$54*'OD StructuralVars'!$Q40*('OD Shares'!H40/(1/'OD Efficiencies'!E40))/('OD Shares'!H$12/(1/'OD Efficiencies'!E$12))</f>
        <v>38.572342077790964</v>
      </c>
      <c r="H40" s="227">
        <f>'OD Efficiencies'!F$54*'OD StructuralVars'!$R40*('OD Shares'!J40/'OD Efficiencies'!F40)/('OD Shares'!J$12/'OD Efficiencies'!F$12)</f>
        <v>2038.520316365531</v>
      </c>
      <c r="I40" s="227">
        <f>'OD Efficiencies'!G$54*'OD StructuralVars'!$R40*('OD Shares'!L40/'OD Efficiencies'!G40)/('OD Shares'!L$12/'OD Efficiencies'!G$12)</f>
        <v>665.03071196175438</v>
      </c>
      <c r="J40" s="227"/>
      <c r="K40" s="227">
        <f>'OD Efficiencies'!I$54*'OD StructuralVars'!$R40*('OD Shares'!P40/'OD Efficiencies'!I40)/('OD Shares'!P$12/'OD Efficiencies'!I$12)</f>
        <v>396.88151649928943</v>
      </c>
      <c r="L40" s="227">
        <f>'OD Efficiencies'!J$54*('OD Shares'!R40/'OD Efficiencies'!J40)/('OD Shares'!R$12/'OD Efficiencies'!J$12)</f>
        <v>1954.0104351282052</v>
      </c>
      <c r="M40" s="227">
        <f>'OD Efficiencies'!K$54*('OD Shares'!T40/(1/'OD Efficiencies'!K40))/('OD Shares'!T$12/(1/'OD Efficiencies'!K$12))</f>
        <v>631.45599279632449</v>
      </c>
      <c r="N40" s="227">
        <f>'OD Efficiencies'!L$54*('OD Shares'!U40/(1/'OD Efficiencies'!L40))/('OD Shares'!U$12/(1/'OD Efficiencies'!L$12))</f>
        <v>567.10119969701395</v>
      </c>
      <c r="O40" s="227">
        <f>'OD Efficiencies'!M$54*('OD Shares'!W40/(1/'OD Efficiencies'!M40))/('OD Shares'!W$12/(1/'OD Efficiencies'!M$12))</f>
        <v>99.249581510436244</v>
      </c>
      <c r="P40" s="227">
        <f>'OD Efficiencies'!N$54*('OD Shares'!Y40/(1/'OD Efficiencies'!N40))/('OD Shares'!Y$12/(1/'OD Efficiencies'!N$12))</f>
        <v>261.48396175080319</v>
      </c>
      <c r="Q40" s="227">
        <f>'OD Efficiencies'!O$54*('OD Shares'!AA40/(1/'OD Efficiencies'!O40))/('OD Shares'!AA$12/(1/'OD Efficiencies'!O$12))</f>
        <v>181.9820209123499</v>
      </c>
      <c r="R40" s="227">
        <f>'OD Efficiencies'!P$54*('OD Shares'!AC40/(1/'OD Efficiencies'!P40))/('OD Shares'!AC$12/(1/'OD Efficiencies'!P$12))</f>
        <v>59.655746564048819</v>
      </c>
      <c r="S40" s="227">
        <f>'OD Efficiencies'!Q$54*('OD Shares'!AE40/(1/'OD Efficiencies'!Q40))/('OD Shares'!AE$12/(1/'OD Efficiencies'!Q$12))</f>
        <v>560.70346850612293</v>
      </c>
      <c r="T40" s="227">
        <f>'OD Efficiencies'!R$54*('OD Shares'!AG40/(1/'OD Efficiencies'!R40))/('OD Shares'!AG$12/(1/'OD Efficiencies'!R$12))</f>
        <v>846.21242150180751</v>
      </c>
      <c r="U40" s="227">
        <f>'OD Efficiencies'!S$54*('OD Shares'!AH40/(1/'OD Efficiencies'!S40))/('OD Shares'!AH$12/(1/'OD Efficiencies'!S$12))</f>
        <v>212.24683225019928</v>
      </c>
      <c r="V40" s="227">
        <f>'OD Efficiencies'!T$54*('OD Shares'!AI40/(1/'OD Efficiencies'!T40))/('OD Shares'!AI$12/(1/'OD Efficiencies'!T$12))</f>
        <v>1065.7162464199123</v>
      </c>
      <c r="W40" s="227">
        <f>'OD Efficiencies'!V$54*('OD Shares'!AJ40/(1/'OD Efficiencies'!X40))/('OD Shares'!AJ$12/(1/'OD Efficiencies'!X$12))</f>
        <v>5369.8535517253786</v>
      </c>
    </row>
    <row r="41" spans="1:23" x14ac:dyDescent="0.2">
      <c r="A41" s="198">
        <f t="shared" si="5"/>
        <v>2034</v>
      </c>
      <c r="B41" s="226">
        <f t="shared" si="4"/>
        <v>1320.945707133259</v>
      </c>
      <c r="C41" s="226">
        <f t="shared" si="3"/>
        <v>3107.0279042715938</v>
      </c>
      <c r="D41" s="227">
        <f>'OD Efficiencies'!B$54*'OD StructuralVars'!$Q41*('OD Shares'!B41/'OD Efficiencies'!B41)/('OD Shares'!B$12/'OD Efficiencies'!B$12)</f>
        <v>877.93925933536218</v>
      </c>
      <c r="E41" s="227">
        <f>'OD Efficiencies'!C$54*'OD StructuralVars'!$Q41*('OD Shares'!D41/'OD Efficiencies'!C41)/('OD Shares'!D$12/'OD Efficiencies'!C$12)</f>
        <v>405.72059616477736</v>
      </c>
      <c r="F41" s="227"/>
      <c r="G41" s="227">
        <f>'OD Efficiencies'!E$54*'OD StructuralVars'!$Q41*('OD Shares'!H41/(1/'OD Efficiencies'!E41))/('OD Shares'!H$12/(1/'OD Efficiencies'!E$12))</f>
        <v>37.285851633119329</v>
      </c>
      <c r="H41" s="227">
        <f>'OD Efficiencies'!F$54*'OD StructuralVars'!$R41*('OD Shares'!J41/'OD Efficiencies'!F41)/('OD Shares'!J$12/'OD Efficiencies'!F$12)</f>
        <v>2042.9113614761989</v>
      </c>
      <c r="I41" s="227">
        <f>'OD Efficiencies'!G$54*'OD StructuralVars'!$R41*('OD Shares'!L41/'OD Efficiencies'!G41)/('OD Shares'!L$12/'OD Efficiencies'!G$12)</f>
        <v>668.35402536435686</v>
      </c>
      <c r="J41" s="227"/>
      <c r="K41" s="227">
        <f>'OD Efficiencies'!I$54*'OD StructuralVars'!$R41*('OD Shares'!P41/'OD Efficiencies'!I41)/('OD Shares'!P$12/'OD Efficiencies'!I$12)</f>
        <v>395.76251743103768</v>
      </c>
      <c r="L41" s="227">
        <f>'OD Efficiencies'!J$54*('OD Shares'!R41/'OD Efficiencies'!J41)/('OD Shares'!R$12/'OD Efficiencies'!J$12)</f>
        <v>1953.2670826250403</v>
      </c>
      <c r="M41" s="227">
        <f>'OD Efficiencies'!K$54*('OD Shares'!T41/(1/'OD Efficiencies'!K41))/('OD Shares'!T$12/(1/'OD Efficiencies'!K$12))</f>
        <v>631.46499924592888</v>
      </c>
      <c r="N41" s="227">
        <f>'OD Efficiencies'!L$54*('OD Shares'!U41/(1/'OD Efficiencies'!L41))/('OD Shares'!U$12/(1/'OD Efficiencies'!L$12))</f>
        <v>566.29896325139157</v>
      </c>
      <c r="O41" s="227">
        <f>'OD Efficiencies'!M$54*('OD Shares'!W41/(1/'OD Efficiencies'!M41))/('OD Shares'!W$12/(1/'OD Efficiencies'!M$12))</f>
        <v>99.029970393275335</v>
      </c>
      <c r="P41" s="227">
        <f>'OD Efficiencies'!N$54*('OD Shares'!Y41/(1/'OD Efficiencies'!N41))/('OD Shares'!Y$12/(1/'OD Efficiencies'!N$12))</f>
        <v>259.84929854104615</v>
      </c>
      <c r="Q41" s="227">
        <f>'OD Efficiencies'!O$54*('OD Shares'!AA41/(1/'OD Efficiencies'!O41))/('OD Shares'!AA$12/(1/'OD Efficiencies'!O$12))</f>
        <v>183.52948045114528</v>
      </c>
      <c r="R41" s="227">
        <f>'OD Efficiencies'!P$54*('OD Shares'!AC41/(1/'OD Efficiencies'!P41))/('OD Shares'!AC$12/(1/'OD Efficiencies'!P$12))</f>
        <v>59.677761937479609</v>
      </c>
      <c r="S41" s="227">
        <f>'OD Efficiencies'!Q$54*('OD Shares'!AE41/(1/'OD Efficiencies'!Q41))/('OD Shares'!AE$12/(1/'OD Efficiencies'!Q$12))</f>
        <v>560.72276743234113</v>
      </c>
      <c r="T41" s="227">
        <f>'OD Efficiencies'!R$54*('OD Shares'!AG41/(1/'OD Efficiencies'!R41))/('OD Shares'!AG$12/(1/'OD Efficiencies'!R$12))</f>
        <v>851.90103695682535</v>
      </c>
      <c r="U41" s="227">
        <f>'OD Efficiencies'!S$54*('OD Shares'!AH41/(1/'OD Efficiencies'!S41))/('OD Shares'!AH$12/(1/'OD Efficiencies'!S$12))</f>
        <v>210.90073326274137</v>
      </c>
      <c r="V41" s="227">
        <f>'OD Efficiencies'!T$54*('OD Shares'!AI41/(1/'OD Efficiencies'!T41))/('OD Shares'!AI$12/(1/'OD Efficiencies'!T$12))</f>
        <v>1061.3461516007064</v>
      </c>
      <c r="W41" s="227">
        <f>'OD Efficiencies'!V$54*('OD Shares'!AJ41/(1/'OD Efficiencies'!X41))/('OD Shares'!AJ$12/(1/'OD Efficiencies'!X$12))</f>
        <v>5435.3804264195096</v>
      </c>
    </row>
    <row r="42" spans="1:23" x14ac:dyDescent="0.2">
      <c r="A42" s="198">
        <f t="shared" si="5"/>
        <v>2035</v>
      </c>
      <c r="B42" s="226">
        <f t="shared" si="4"/>
        <v>1312.6563800727165</v>
      </c>
      <c r="C42" s="226">
        <f t="shared" si="3"/>
        <v>3112.6566282657727</v>
      </c>
      <c r="D42" s="227">
        <f>'OD Efficiencies'!B$54*'OD StructuralVars'!$Q42*('OD Shares'!B42/'OD Efficiencies'!B42)/('OD Shares'!B$12/'OD Efficiencies'!B$12)</f>
        <v>870.36335643177324</v>
      </c>
      <c r="E42" s="227">
        <f>'OD Efficiencies'!C$54*'OD StructuralVars'!$Q42*('OD Shares'!D42/'OD Efficiencies'!C42)/('OD Shares'!D$12/'OD Efficiencies'!C$12)</f>
        <v>406.28616603655024</v>
      </c>
      <c r="F42" s="227"/>
      <c r="G42" s="227">
        <f>'OD Efficiencies'!E$54*'OD StructuralVars'!$Q42*('OD Shares'!H42/(1/'OD Efficiencies'!E42))/('OD Shares'!H$12/(1/'OD Efficiencies'!E$12))</f>
        <v>36.006857604392891</v>
      </c>
      <c r="H42" s="227">
        <f>'OD Efficiencies'!F$54*'OD StructuralVars'!$R42*('OD Shares'!J42/'OD Efficiencies'!F42)/('OD Shares'!J$12/'OD Efficiencies'!F$12)</f>
        <v>2046.4078800832344</v>
      </c>
      <c r="I42" s="227">
        <f>'OD Efficiencies'!G$54*'OD StructuralVars'!$R42*('OD Shares'!L42/'OD Efficiencies'!G42)/('OD Shares'!L$12/'OD Efficiencies'!G$12)</f>
        <v>671.58842475180938</v>
      </c>
      <c r="J42" s="227"/>
      <c r="K42" s="227">
        <f>'OD Efficiencies'!I$54*'OD StructuralVars'!$R42*('OD Shares'!P42/'OD Efficiencies'!I42)/('OD Shares'!P$12/'OD Efficiencies'!I$12)</f>
        <v>394.66032343072891</v>
      </c>
      <c r="L42" s="227">
        <f>'OD Efficiencies'!J$54*('OD Shares'!R42/'OD Efficiencies'!J42)/('OD Shares'!R$12/'OD Efficiencies'!J$12)</f>
        <v>1953.3230591611002</v>
      </c>
      <c r="M42" s="227">
        <f>'OD Efficiencies'!K$54*('OD Shares'!T42/(1/'OD Efficiencies'!K42))/('OD Shares'!T$12/(1/'OD Efficiencies'!K$12))</f>
        <v>631.4677381519557</v>
      </c>
      <c r="N42" s="227">
        <f>'OD Efficiencies'!L$54*('OD Shares'!U42/(1/'OD Efficiencies'!L42))/('OD Shares'!U$12/(1/'OD Efficiencies'!L$12))</f>
        <v>565.62080311254908</v>
      </c>
      <c r="O42" s="227">
        <f>'OD Efficiencies'!M$54*('OD Shares'!W42/(1/'OD Efficiencies'!M42))/('OD Shares'!W$12/(1/'OD Efficiencies'!M$12))</f>
        <v>98.839685542935541</v>
      </c>
      <c r="P42" s="227">
        <f>'OD Efficiencies'!N$54*('OD Shares'!Y42/(1/'OD Efficiencies'!N42))/('OD Shares'!Y$12/(1/'OD Efficiencies'!N$12))</f>
        <v>258.30132700777989</v>
      </c>
      <c r="Q42" s="227">
        <f>'OD Efficiencies'!O$54*('OD Shares'!AA42/(1/'OD Efficiencies'!O42))/('OD Shares'!AA$12/(1/'OD Efficiencies'!O$12))</f>
        <v>185.06152066384109</v>
      </c>
      <c r="R42" s="227">
        <f>'OD Efficiencies'!P$54*('OD Shares'!AC42/(1/'OD Efficiencies'!P42))/('OD Shares'!AC$12/(1/'OD Efficiencies'!P$12))</f>
        <v>59.712788805034684</v>
      </c>
      <c r="S42" s="227">
        <f>'OD Efficiencies'!Q$54*('OD Shares'!AE42/(1/'OD Efficiencies'!Q42))/('OD Shares'!AE$12/(1/'OD Efficiencies'!Q$12))</f>
        <v>561.88954379455186</v>
      </c>
      <c r="T42" s="227">
        <f>'OD Efficiencies'!R$54*('OD Shares'!AG42/(1/'OD Efficiencies'!R42))/('OD Shares'!AG$12/(1/'OD Efficiencies'!R$12))</f>
        <v>857.79390910068753</v>
      </c>
      <c r="U42" s="227">
        <f>'OD Efficiencies'!S$54*('OD Shares'!AH42/(1/'OD Efficiencies'!S42))/('OD Shares'!AH$12/(1/'OD Efficiencies'!S$12))</f>
        <v>209.5324238392264</v>
      </c>
      <c r="V42" s="227">
        <f>'OD Efficiencies'!T$54*('OD Shares'!AI42/(1/'OD Efficiencies'!T42))/('OD Shares'!AI$12/(1/'OD Efficiencies'!T$12))</f>
        <v>1057.629380394337</v>
      </c>
      <c r="W42" s="227">
        <f>'OD Efficiencies'!V$54*('OD Shares'!AJ42/(1/'OD Efficiencies'!X42))/('OD Shares'!AJ$12/(1/'OD Efficiencies'!X$12))</f>
        <v>5500.868268609499</v>
      </c>
    </row>
    <row r="43" spans="1:23" x14ac:dyDescent="0.2">
      <c r="A43" s="198">
        <f t="shared" si="5"/>
        <v>2036</v>
      </c>
      <c r="B43" s="226">
        <f t="shared" si="4"/>
        <v>1308.7642698075233</v>
      </c>
      <c r="C43" s="226">
        <f t="shared" si="3"/>
        <v>3117.4044858806092</v>
      </c>
      <c r="D43" s="227">
        <f>'OD Efficiencies'!B$54*'OD StructuralVars'!$Q43*('OD Shares'!B43/'OD Efficiencies'!B43)/('OD Shares'!B$12/'OD Efficiencies'!B$12)</f>
        <v>865.68706486892677</v>
      </c>
      <c r="E43" s="227">
        <f>'OD Efficiencies'!C$54*'OD StructuralVars'!$Q43*('OD Shares'!D43/'OD Efficiencies'!C43)/('OD Shares'!D$12/'OD Efficiencies'!C$12)</f>
        <v>408.19024600155564</v>
      </c>
      <c r="F43" s="227"/>
      <c r="G43" s="227">
        <f>'OD Efficiencies'!E$54*'OD StructuralVars'!$Q43*('OD Shares'!H43/(1/'OD Efficiencies'!E43))/('OD Shares'!H$12/(1/'OD Efficiencies'!E$12))</f>
        <v>34.886958937040731</v>
      </c>
      <c r="H43" s="227">
        <f>'OD Efficiencies'!F$54*'OD StructuralVars'!$R43*('OD Shares'!J43/'OD Efficiencies'!F43)/('OD Shares'!J$12/'OD Efficiencies'!F$12)</f>
        <v>2049.3249333177928</v>
      </c>
      <c r="I43" s="227">
        <f>'OD Efficiencies'!G$54*'OD StructuralVars'!$R43*('OD Shares'!L43/'OD Efficiencies'!G43)/('OD Shares'!L$12/'OD Efficiencies'!G$12)</f>
        <v>674.63045602148463</v>
      </c>
      <c r="J43" s="227"/>
      <c r="K43" s="227">
        <f>'OD Efficiencies'!I$54*'OD StructuralVars'!$R43*('OD Shares'!P43/'OD Efficiencies'!I43)/('OD Shares'!P$12/'OD Efficiencies'!I$12)</f>
        <v>393.4490965413317</v>
      </c>
      <c r="L43" s="227">
        <f>'OD Efficiencies'!J$54*('OD Shares'!R43/'OD Efficiencies'!J43)/('OD Shares'!R$12/'OD Efficiencies'!J$12)</f>
        <v>1953.3789561831591</v>
      </c>
      <c r="M43" s="227">
        <f>'OD Efficiencies'!K$54*('OD Shares'!T43/(1/'OD Efficiencies'!K43))/('OD Shares'!T$12/(1/'OD Efficiencies'!K$12))</f>
        <v>631.47027070309844</v>
      </c>
      <c r="N43" s="227">
        <f t="shared" ref="N43:N50" si="6">N42</f>
        <v>565.62080311254908</v>
      </c>
      <c r="O43" s="227">
        <f>'OD Efficiencies'!M$54*('OD Shares'!W43/(1/'OD Efficiencies'!M43))/('OD Shares'!W$12/(1/'OD Efficiencies'!M$12))</f>
        <v>98.649581052806198</v>
      </c>
      <c r="P43" s="227">
        <f>'OD Efficiencies'!N$54*('OD Shares'!Y43/(1/'OD Efficiencies'!N43))/('OD Shares'!Y$12/(1/'OD Efficiencies'!N$12))</f>
        <v>256.75578750057974</v>
      </c>
      <c r="Q43" s="227">
        <f>'OD Efficiencies'!O$54*('OD Shares'!AA43/(1/'OD Efficiencies'!O43))/('OD Shares'!AA$12/(1/'OD Efficiencies'!O$12))</f>
        <v>186.59356071326232</v>
      </c>
      <c r="R43" s="227">
        <f>'OD Efficiencies'!P$54*('OD Shares'!AC43/(1/'OD Efficiencies'!P43))/('OD Shares'!AC$12/(1/'OD Efficiencies'!P$12))</f>
        <v>59.747797093472933</v>
      </c>
      <c r="S43" s="227">
        <f>'OD Efficiencies'!Q$54*('OD Shares'!AE43/(1/'OD Efficiencies'!Q43))/('OD Shares'!AE$12/(1/'OD Efficiencies'!Q$12))</f>
        <v>563.05750168039481</v>
      </c>
      <c r="T43" s="227">
        <f>'OD Efficiencies'!R$54*('OD Shares'!AG43/(1/'OD Efficiencies'!R43))/('OD Shares'!AG$12/(1/'OD Efficiencies'!R$12))</f>
        <v>863.72754412732309</v>
      </c>
      <c r="U43" s="227">
        <f>'OD Efficiencies'!S$54*('OD Shares'!AH43/(1/'OD Efficiencies'!S43))/('OD Shares'!AH$12/(1/'OD Efficiencies'!S$12))</f>
        <v>208.17299191295635</v>
      </c>
      <c r="V43" s="227">
        <f>'OD Efficiencies'!T$54*('OD Shares'!AI43/(1/'OD Efficiencies'!T43))/('OD Shares'!AI$12/(1/'OD Efficiencies'!T$12))</f>
        <v>1053.925625100052</v>
      </c>
      <c r="W43" s="227">
        <f>'OD Efficiencies'!V$54*('OD Shares'!AJ43/(1/'OD Efficiencies'!X43))/('OD Shares'!AJ$12/(1/'OD Efficiencies'!X$12))</f>
        <v>5567.1451369831648</v>
      </c>
    </row>
    <row r="44" spans="1:23" x14ac:dyDescent="0.2">
      <c r="A44" s="198">
        <f t="shared" si="5"/>
        <v>2037</v>
      </c>
      <c r="B44" s="226">
        <f t="shared" si="4"/>
        <v>1304.9055103478681</v>
      </c>
      <c r="C44" s="226">
        <f t="shared" si="3"/>
        <v>3122.1473447446861</v>
      </c>
      <c r="D44" s="227">
        <f>'OD Efficiencies'!B$54*'OD StructuralVars'!$Q44*('OD Shares'!B44/'OD Efficiencies'!B44)/('OD Shares'!B$12/'OD Efficiencies'!B$12)</f>
        <v>861.01077330608007</v>
      </c>
      <c r="E44" s="227">
        <f>'OD Efficiencies'!C$54*'OD StructuralVars'!$Q44*('OD Shares'!D44/'OD Efficiencies'!C44)/('OD Shares'!D$12/'OD Efficiencies'!C$12)</f>
        <v>410.09284526753129</v>
      </c>
      <c r="F44" s="227"/>
      <c r="G44" s="227">
        <f>'OD Efficiencies'!E$54*'OD StructuralVars'!$Q44*('OD Shares'!H44/(1/'OD Efficiencies'!E44))/('OD Shares'!H$12/(1/'OD Efficiencies'!E$12))</f>
        <v>33.801891774256852</v>
      </c>
      <c r="H44" s="227">
        <f>'OD Efficiencies'!F$54*'OD StructuralVars'!$R44*('OD Shares'!J44/'OD Efficiencies'!F44)/('OD Shares'!J$12/'OD Efficiencies'!F$12)</f>
        <v>2052.2384179372134</v>
      </c>
      <c r="I44" s="227">
        <f>'OD Efficiencies'!G$54*'OD StructuralVars'!$R44*('OD Shares'!L44/'OD Efficiencies'!G44)/('OD Shares'!L$12/'OD Efficiencies'!G$12)</f>
        <v>677.66853376361416</v>
      </c>
      <c r="J44" s="227"/>
      <c r="K44" s="227">
        <f>'OD Efficiencies'!I$54*'OD StructuralVars'!$R44*('OD Shares'!P44/'OD Efficiencies'!I44)/('OD Shares'!P$12/'OD Efficiencies'!I$12)</f>
        <v>392.2403930438586</v>
      </c>
      <c r="L44" s="227">
        <f>'OD Efficiencies'!J$54*('OD Shares'!R44/'OD Efficiencies'!J44)/('OD Shares'!R$12/'OD Efficiencies'!J$12)</f>
        <v>1953.4347738605202</v>
      </c>
      <c r="M44" s="227">
        <f>'OD Efficiencies'!K$54*('OD Shares'!T44/(1/'OD Efficiencies'!K44))/('OD Shares'!T$12/(1/'OD Efficiencies'!K$12))</f>
        <v>631.47259713261883</v>
      </c>
      <c r="N44" s="227">
        <f t="shared" si="6"/>
        <v>565.62080311254908</v>
      </c>
      <c r="O44" s="227">
        <f>'OD Efficiencies'!M$54*('OD Shares'!W44/(1/'OD Efficiencies'!M44))/('OD Shares'!W$12/(1/'OD Efficiencies'!M$12))</f>
        <v>98.459656891483533</v>
      </c>
      <c r="P44" s="227">
        <f>'OD Efficiencies'!N$54*('OD Shares'!Y44/(1/'OD Efficiencies'!N44))/('OD Shares'!Y$12/(1/'OD Efficiencies'!N$12))</f>
        <v>255.21268001944563</v>
      </c>
      <c r="Q44" s="227">
        <f>'OD Efficiencies'!O$54*('OD Shares'!AA44/(1/'OD Efficiencies'!O44))/('OD Shares'!AA$12/(1/'OD Efficiencies'!O$12))</f>
        <v>188.12560059940904</v>
      </c>
      <c r="R44" s="227">
        <f>'OD Efficiencies'!P$54*('OD Shares'!AC44/(1/'OD Efficiencies'!P44))/('OD Shares'!AC$12/(1/'OD Efficiencies'!P$12))</f>
        <v>59.782786809336443</v>
      </c>
      <c r="S44" s="227">
        <f>'OD Efficiencies'!Q$54*('OD Shares'!AE44/(1/'OD Efficiencies'!Q44))/('OD Shares'!AE$12/(1/'OD Efficiencies'!Q$12))</f>
        <v>564.22664207786272</v>
      </c>
      <c r="T44" s="227">
        <f>'OD Efficiencies'!R$54*('OD Shares'!AG44/(1/'OD Efficiencies'!R44))/('OD Shares'!AG$12/(1/'OD Efficiencies'!R$12))</f>
        <v>869.7022240066392</v>
      </c>
      <c r="U44" s="227">
        <f>'OD Efficiencies'!S$54*('OD Shares'!AH44/(1/'OD Efficiencies'!S44))/('OD Shares'!AH$12/(1/'OD Efficiencies'!S$12))</f>
        <v>206.82237988734076</v>
      </c>
      <c r="V44" s="227">
        <f>'OD Efficiencies'!T$54*('OD Shares'!AI44/(1/'OD Efficiencies'!T44))/('OD Shares'!AI$12/(1/'OD Efficiencies'!T$12))</f>
        <v>1050.2348401369002</v>
      </c>
      <c r="W44" s="227">
        <f>'OD Efficiencies'!V$54*('OD Shares'!AJ44/(1/'OD Efficiencies'!X44))/('OD Shares'!AJ$12/(1/'OD Efficiencies'!X$12))</f>
        <v>5634.2205380732912</v>
      </c>
    </row>
    <row r="45" spans="1:23" x14ac:dyDescent="0.2">
      <c r="A45" s="198">
        <f t="shared" si="5"/>
        <v>2038</v>
      </c>
      <c r="B45" s="226">
        <f t="shared" si="4"/>
        <v>1301.0790200778686</v>
      </c>
      <c r="C45" s="226">
        <f t="shared" si="3"/>
        <v>3126.8852112273703</v>
      </c>
      <c r="D45" s="227">
        <f>'OD Efficiencies'!B$54*'OD StructuralVars'!$Q45*('OD Shares'!B45/'OD Efficiencies'!B45)/('OD Shares'!B$12/'OD Efficiencies'!B$12)</f>
        <v>856.33448174323348</v>
      </c>
      <c r="E45" s="227">
        <f>'OD Efficiencies'!C$54*'OD StructuralVars'!$Q45*('OD Shares'!D45/'OD Efficiencies'!C45)/('OD Shares'!D$12/'OD Efficiencies'!C$12)</f>
        <v>411.99396556099407</v>
      </c>
      <c r="F45" s="227"/>
      <c r="G45" s="227">
        <f>'OD Efficiencies'!E$54*'OD StructuralVars'!$Q45*('OD Shares'!H45/(1/'OD Efficiencies'!E45))/('OD Shares'!H$12/(1/'OD Efficiencies'!E$12))</f>
        <v>32.750572773640862</v>
      </c>
      <c r="H45" s="227">
        <f>'OD Efficiencies'!F$54*'OD StructuralVars'!$R45*('OD Shares'!J45/'OD Efficiencies'!F45)/('OD Shares'!J$12/'OD Efficiencies'!F$12)</f>
        <v>2055.148340486061</v>
      </c>
      <c r="I45" s="227">
        <f>'OD Efficiencies'!G$54*'OD StructuralVars'!$R45*('OD Shares'!L45/'OD Efficiencies'!G45)/('OD Shares'!L$12/'OD Efficiencies'!G$12)</f>
        <v>680.70266568040199</v>
      </c>
      <c r="J45" s="227"/>
      <c r="K45" s="227">
        <f>'OD Efficiencies'!I$54*'OD StructuralVars'!$R45*('OD Shares'!P45/'OD Efficiencies'!I45)/('OD Shares'!P$12/'OD Efficiencies'!I$12)</f>
        <v>391.03420506090754</v>
      </c>
      <c r="L45" s="227">
        <f>'OD Efficiencies'!J$54*('OD Shares'!R45/'OD Efficiencies'!J45)/('OD Shares'!R$12/'OD Efficiencies'!J$12)</f>
        <v>1953.4905123620065</v>
      </c>
      <c r="M45" s="227">
        <f>'OD Efficiencies'!K$54*('OD Shares'!T45/(1/'OD Efficiencies'!K45))/('OD Shares'!T$12/(1/'OD Efficiencies'!K$12))</f>
        <v>631.47471767358138</v>
      </c>
      <c r="N45" s="227">
        <f t="shared" si="6"/>
        <v>565.62080311254908</v>
      </c>
      <c r="O45" s="227">
        <f>'OD Efficiencies'!M$54*('OD Shares'!W45/(1/'OD Efficiencies'!M45))/('OD Shares'!W$12/(1/'OD Efficiencies'!M$12))</f>
        <v>98.269913027568776</v>
      </c>
      <c r="P45" s="227">
        <f>'OD Efficiencies'!N$54*('OD Shares'!Y45/(1/'OD Efficiencies'!N45))/('OD Shares'!Y$12/(1/'OD Efficiencies'!N$12))</f>
        <v>253.67200456437757</v>
      </c>
      <c r="Q45" s="227">
        <f>'OD Efficiencies'!O$54*('OD Shares'!AA45/(1/'OD Efficiencies'!O45))/('OD Shares'!AA$12/(1/'OD Efficiencies'!O$12))</f>
        <v>189.65764032228114</v>
      </c>
      <c r="R45" s="227">
        <f>'OD Efficiencies'!P$54*('OD Shares'!AC45/(1/'OD Efficiencies'!P45))/('OD Shares'!AC$12/(1/'OD Efficiencies'!P$12))</f>
        <v>59.81775795916527</v>
      </c>
      <c r="S45" s="227">
        <f>'OD Efficiencies'!Q$54*('OD Shares'!AE45/(1/'OD Efficiencies'!Q45))/('OD Shares'!AE$12/(1/'OD Efficiencies'!Q$12))</f>
        <v>565.39696597570276</v>
      </c>
      <c r="T45" s="227">
        <f>'OD Efficiencies'!R$54*('OD Shares'!AG45/(1/'OD Efficiencies'!R45))/('OD Shares'!AG$12/(1/'OD Efficiencies'!R$12))</f>
        <v>875.71823265901946</v>
      </c>
      <c r="U45" s="227">
        <f>'OD Efficiencies'!S$54*('OD Shares'!AH45/(1/'OD Efficiencies'!S45))/('OD Shares'!AH$12/(1/'OD Efficiencies'!S$12))</f>
        <v>205.48053053947214</v>
      </c>
      <c r="V45" s="227">
        <f>'OD Efficiencies'!T$54*('OD Shares'!AI45/(1/'OD Efficiencies'!T45))/('OD Shares'!AI$12/(1/'OD Efficiencies'!T$12))</f>
        <v>1046.5569800835522</v>
      </c>
      <c r="W45" s="227">
        <f>'OD Efficiencies'!V$54*('OD Shares'!AJ45/(1/'OD Efficiencies'!X45))/('OD Shares'!AJ$12/(1/'OD Efficiencies'!X$12))</f>
        <v>5702.1040929515275</v>
      </c>
    </row>
    <row r="46" spans="1:23" x14ac:dyDescent="0.2">
      <c r="A46" s="198">
        <f t="shared" si="5"/>
        <v>2039</v>
      </c>
      <c r="B46" s="226">
        <f t="shared" si="4"/>
        <v>1299.9003314613028</v>
      </c>
      <c r="C46" s="226">
        <f t="shared" si="3"/>
        <v>3131.6180916947947</v>
      </c>
      <c r="D46" s="227">
        <f>'OD Efficiencies'!B$54*'OD StructuralVars'!$Q46*('OD Shares'!B46/'OD Efficiencies'!B46)/('OD Shares'!B$12/'OD Efficiencies'!B$12)</f>
        <v>856.33448174323348</v>
      </c>
      <c r="E46" s="227">
        <f>'OD Efficiencies'!C$54*'OD StructuralVars'!$Q46*('OD Shares'!D46/'OD Efficiencies'!C46)/('OD Shares'!D$12/'OD Efficiencies'!C$12)</f>
        <v>411.83389743075895</v>
      </c>
      <c r="F46" s="227"/>
      <c r="G46" s="227">
        <f>'OD Efficiencies'!E$54*'OD StructuralVars'!$Q46*('OD Shares'!H46/(1/'OD Efficiencies'!E46))/('OD Shares'!H$12/(1/'OD Efficiencies'!E$12))</f>
        <v>31.731952287310342</v>
      </c>
      <c r="H46" s="227">
        <f>'OD Efficiencies'!F$54*'OD StructuralVars'!$R46*('OD Shares'!J46/'OD Efficiencies'!F46)/('OD Shares'!J$12/'OD Efficiencies'!F$12)</f>
        <v>2058.0547074929063</v>
      </c>
      <c r="I46" s="227">
        <f>'OD Efficiencies'!G$54*'OD StructuralVars'!$R46*('OD Shares'!L46/'OD Efficiencies'!G46)/('OD Shares'!L$12/'OD Efficiencies'!G$12)</f>
        <v>683.73285945405746</v>
      </c>
      <c r="J46" s="227"/>
      <c r="K46" s="227">
        <f>'OD Efficiencies'!I$54*'OD StructuralVars'!$R46*('OD Shares'!P46/'OD Efficiencies'!I46)/('OD Shares'!P$12/'OD Efficiencies'!I$12)</f>
        <v>389.83052474783062</v>
      </c>
      <c r="L46" s="227">
        <f>'OD Efficiencies'!J$54*('OD Shares'!R46/'OD Efficiencies'!J46)/('OD Shares'!R$12/'OD Efficiencies'!J$12)</f>
        <v>1953.5461718559609</v>
      </c>
      <c r="M46" s="227">
        <f>'OD Efficiencies'!K$54*('OD Shares'!T46/(1/'OD Efficiencies'!K46))/('OD Shares'!T$12/(1/'OD Efficiencies'!K$12))</f>
        <v>631.47663255885095</v>
      </c>
      <c r="N46" s="227">
        <f t="shared" si="6"/>
        <v>565.62080311254908</v>
      </c>
      <c r="O46" s="227">
        <f>'OD Efficiencies'!M$54*('OD Shares'!W46/(1/'OD Efficiencies'!M46))/('OD Shares'!W$12/(1/'OD Efficiencies'!M$12))</f>
        <v>98.08034942966782</v>
      </c>
      <c r="P46" s="227">
        <f>'OD Efficiencies'!N$54*('OD Shares'!Y46/(1/'OD Efficiencies'!N46))/('OD Shares'!Y$12/(1/'OD Efficiencies'!N$12))</f>
        <v>252.13376113537566</v>
      </c>
      <c r="Q46" s="227">
        <f>'OD Efficiencies'!O$54*('OD Shares'!AA46/(1/'OD Efficiencies'!O46))/('OD Shares'!AA$12/(1/'OD Efficiencies'!O$12))</f>
        <v>191.1896798818787</v>
      </c>
      <c r="R46" s="227">
        <f>'OD Efficiencies'!P$54*('OD Shares'!AC46/(1/'OD Efficiencies'!P46))/('OD Shares'!AC$12/(1/'OD Efficiencies'!P$12))</f>
        <v>59.85271054949753</v>
      </c>
      <c r="S46" s="227">
        <f>'OD Efficiencies'!Q$54*('OD Shares'!AE46/(1/'OD Efficiencies'!Q46))/('OD Shares'!AE$12/(1/'OD Efficiencies'!Q$12))</f>
        <v>566.5684743634182</v>
      </c>
      <c r="T46" s="227">
        <f>'OD Efficiencies'!R$54*('OD Shares'!AG46/(1/'OD Efficiencies'!R46))/('OD Shares'!AG$12/(1/'OD Efficiencies'!R$12))</f>
        <v>881.77585596881511</v>
      </c>
      <c r="U46" s="227">
        <f>'OD Efficiencies'!S$54*('OD Shares'!AH46/(1/'OD Efficiencies'!S46))/('OD Shares'!AH$12/(1/'OD Efficiencies'!S$12))</f>
        <v>204.14738701770096</v>
      </c>
      <c r="V46" s="227">
        <f>'OD Efficiencies'!T$54*('OD Shares'!AI46/(1/'OD Efficiencies'!T46))/('OD Shares'!AI$12/(1/'OD Efficiencies'!T$12))</f>
        <v>1042.8919996777408</v>
      </c>
      <c r="W46" s="227">
        <f>'OD Efficiencies'!V$54*('OD Shares'!AJ46/(1/'OD Efficiencies'!X46))/('OD Shares'!AJ$12/(1/'OD Efficiencies'!X$12))</f>
        <v>5770.8055386083997</v>
      </c>
    </row>
    <row r="47" spans="1:23" x14ac:dyDescent="0.2">
      <c r="A47" s="198">
        <f t="shared" si="5"/>
        <v>2040</v>
      </c>
      <c r="B47" s="226">
        <f t="shared" si="4"/>
        <v>1298.7534486888958</v>
      </c>
      <c r="C47" s="226">
        <f t="shared" si="3"/>
        <v>3136.3459925098014</v>
      </c>
      <c r="D47" s="227">
        <f>'OD Efficiencies'!B$54*'OD StructuralVars'!$Q47*('OD Shares'!B47/'OD Efficiencies'!B47)/('OD Shares'!B$12/'OD Efficiencies'!B$12)</f>
        <v>856.33448174323348</v>
      </c>
      <c r="E47" s="227">
        <f>'OD Efficiencies'!C$54*'OD StructuralVars'!$Q47*('OD Shares'!D47/'OD Efficiencies'!C47)/('OD Shares'!D$12/'OD Efficiencies'!C$12)</f>
        <v>411.67395363174086</v>
      </c>
      <c r="F47" s="227"/>
      <c r="G47" s="227">
        <f>'OD Efficiencies'!E$54*'OD StructuralVars'!$Q47*('OD Shares'!H47/(1/'OD Efficiencies'!E47))/('OD Shares'!H$12/(1/'OD Efficiencies'!E$12))</f>
        <v>30.745013313921397</v>
      </c>
      <c r="H47" s="227">
        <f>'OD Efficiencies'!F$54*'OD StructuralVars'!$R47*('OD Shares'!J47/'OD Efficiencies'!F47)/('OD Shares'!J$12/'OD Efficiencies'!F$12)</f>
        <v>2060.9575254703764</v>
      </c>
      <c r="I47" s="227">
        <f>'OD Efficiencies'!G$54*'OD StructuralVars'!$R47*('OD Shares'!L47/'OD Efficiencies'!G47)/('OD Shares'!L$12/'OD Efficiencies'!G$12)</f>
        <v>686.75912274686118</v>
      </c>
      <c r="J47" s="227"/>
      <c r="K47" s="227">
        <f>'OD Efficiencies'!I$54*'OD StructuralVars'!$R47*('OD Shares'!P47/'OD Efficiencies'!I47)/('OD Shares'!P$12/'OD Efficiencies'!I$12)</f>
        <v>388.6293442925641</v>
      </c>
      <c r="L47" s="227">
        <f>'OD Efficiencies'!J$54*('OD Shares'!R47/'OD Efficiencies'!J47)/('OD Shares'!R$12/'OD Efficiencies'!J$12)</f>
        <v>1953.6017525102518</v>
      </c>
      <c r="M47" s="227">
        <f>'OD Efficiencies'!K$54*('OD Shares'!T47/(1/'OD Efficiencies'!K47))/('OD Shares'!T$12/(1/'OD Efficiencies'!K$12))</f>
        <v>631.47834202109584</v>
      </c>
      <c r="N47" s="227">
        <f t="shared" si="6"/>
        <v>565.62080311254908</v>
      </c>
      <c r="O47" s="227">
        <f>'OD Efficiencies'!M$54*('OD Shares'!W47/(1/'OD Efficiencies'!M47))/('OD Shares'!W$12/(1/'OD Efficiencies'!M$12))</f>
        <v>97.890966066391726</v>
      </c>
      <c r="P47" s="227">
        <f>'OD Efficiencies'!N$54*('OD Shares'!Y47/(1/'OD Efficiencies'!N47))/('OD Shares'!Y$12/(1/'OD Efficiencies'!N$12))</f>
        <v>250.59794973243976</v>
      </c>
      <c r="Q47" s="227">
        <f>'OD Efficiencies'!O$54*('OD Shares'!AA47/(1/'OD Efficiencies'!O47))/('OD Shares'!AA$12/(1/'OD Efficiencies'!O$12))</f>
        <v>192.72171927820173</v>
      </c>
      <c r="R47" s="227">
        <f>'OD Efficiencies'!P$54*('OD Shares'!AC47/(1/'OD Efficiencies'!P47))/('OD Shares'!AC$12/(1/'OD Efficiencies'!P$12))</f>
        <v>59.887644586869314</v>
      </c>
      <c r="S47" s="227">
        <f>'OD Efficiencies'!Q$54*('OD Shares'!AE47/(1/'OD Efficiencies'!Q47))/('OD Shares'!AE$12/(1/'OD Efficiencies'!Q$12))</f>
        <v>567.74116823126678</v>
      </c>
      <c r="T47" s="227">
        <f>'OD Efficiencies'!R$54*('OD Shares'!AG47/(1/'OD Efficiencies'!R47))/('OD Shares'!AG$12/(1/'OD Efficiencies'!R$12))</f>
        <v>887.87538179793125</v>
      </c>
      <c r="U47" s="227">
        <f>'OD Efficiencies'!S$54*('OD Shares'!AH47/(1/'OD Efficiencies'!S47))/('OD Shares'!AH$12/(1/'OD Efficiencies'!S$12))</f>
        <v>202.82289283922762</v>
      </c>
      <c r="V47" s="227">
        <f>'OD Efficiencies'!T$54*('OD Shares'!AI47/(1/'OD Efficiencies'!T47))/('OD Shares'!AI$12/(1/'OD Efficiencies'!T$12))</f>
        <v>1039.2398538157058</v>
      </c>
      <c r="W47" s="227">
        <f>'OD Efficiencies'!V$54*('OD Shares'!AJ47/(1/'OD Efficiencies'!X47))/('OD Shares'!AJ$12/(1/'OD Efficiencies'!X$12))</f>
        <v>5840.3347293499655</v>
      </c>
    </row>
    <row r="48" spans="1:23" x14ac:dyDescent="0.2">
      <c r="A48" s="198">
        <f t="shared" si="5"/>
        <v>2041</v>
      </c>
      <c r="B48" s="226">
        <f t="shared" si="4"/>
        <v>1297.6373862456542</v>
      </c>
      <c r="C48" s="226">
        <f t="shared" si="3"/>
        <v>3141.0689200318925</v>
      </c>
      <c r="D48" s="227">
        <f>'OD Efficiencies'!B$54*'OD StructuralVars'!$Q48*('OD Shares'!B48/'OD Efficiencies'!B48)/('OD Shares'!B$12/'OD Efficiencies'!B$12)</f>
        <v>856.33448174323348</v>
      </c>
      <c r="E48" s="227">
        <f>'OD Efficiencies'!C$54*'OD StructuralVars'!$Q48*('OD Shares'!D48/'OD Efficiencies'!C48)/('OD Shares'!D$12/'OD Efficiencies'!C$12)</f>
        <v>411.51413401913675</v>
      </c>
      <c r="F48" s="227"/>
      <c r="G48" s="227">
        <f>'OD Efficiencies'!E$54*'OD StructuralVars'!$Q48*('OD Shares'!H48/(1/'OD Efficiencies'!E48))/('OD Shares'!H$12/(1/'OD Efficiencies'!E$12))</f>
        <v>29.788770483283912</v>
      </c>
      <c r="H48" s="227">
        <f>'OD Efficiencies'!F$54*'OD StructuralVars'!$R48*('OD Shares'!J48/'OD Efficiencies'!F48)/('OD Shares'!J$12/'OD Efficiencies'!F$12)</f>
        <v>2063.8568009152041</v>
      </c>
      <c r="I48" s="227">
        <f>'OD Efficiencies'!G$54*'OD StructuralVars'!$R48*('OD Shares'!L48/'OD Efficiencies'!G48)/('OD Shares'!L$12/'OD Efficiencies'!G$12)</f>
        <v>689.78146320122869</v>
      </c>
      <c r="J48" s="227"/>
      <c r="K48" s="227">
        <f>'OD Efficiencies'!I$54*'OD StructuralVars'!$R48*('OD Shares'!P48/'OD Efficiencies'!I48)/('OD Shares'!P$12/'OD Efficiencies'!I$12)</f>
        <v>387.43065591545974</v>
      </c>
      <c r="L48" s="227">
        <f>'OD Efficiencies'!J$54*('OD Shares'!R48/'OD Efficiencies'!J48)/('OD Shares'!R$12/'OD Efficiencies'!J$12)</f>
        <v>1953.6572544922697</v>
      </c>
      <c r="M48" s="227">
        <f>'OD Efficiencies'!K$54*('OD Shares'!T48/(1/'OD Efficiencies'!K48))/('OD Shares'!T$12/(1/'OD Efficiencies'!K$12))</f>
        <v>631.47984629278574</v>
      </c>
      <c r="N48" s="227">
        <f t="shared" si="6"/>
        <v>565.62080311254908</v>
      </c>
      <c r="O48" s="227">
        <f>'OD Efficiencies'!M$54*('OD Shares'!W48/(1/'OD Efficiencies'!M48))/('OD Shares'!W$12/(1/'OD Efficiencies'!M$12))</f>
        <v>97.701762906356251</v>
      </c>
      <c r="P48" s="227">
        <f>'OD Efficiencies'!N$54*('OD Shares'!Y48/(1/'OD Efficiencies'!N48))/('OD Shares'!Y$12/(1/'OD Efficiencies'!N$12))</f>
        <v>249.06457035556991</v>
      </c>
      <c r="Q48" s="227">
        <f>'OD Efficiencies'!O$54*('OD Shares'!AA48/(1/'OD Efficiencies'!O48))/('OD Shares'!AA$12/(1/'OD Efficiencies'!O$12))</f>
        <v>194.25375851125028</v>
      </c>
      <c r="R48" s="227">
        <f>'OD Efficiencies'!P$54*('OD Shares'!AC48/(1/'OD Efficiencies'!P48))/('OD Shares'!AC$12/(1/'OD Efficiencies'!P$12))</f>
        <v>59.922560077814708</v>
      </c>
      <c r="S48" s="227">
        <f>'OD Efficiencies'!Q$54*('OD Shares'!AE48/(1/'OD Efficiencies'!Q48))/('OD Shares'!AE$12/(1/'OD Efficiencies'!Q$12))</f>
        <v>568.9150485702628</v>
      </c>
      <c r="T48" s="227">
        <f>'OD Efficiencies'!R$54*('OD Shares'!AG48/(1/'OD Efficiencies'!R48))/('OD Shares'!AG$12/(1/'OD Efficiencies'!R$12))</f>
        <v>894.01709999950594</v>
      </c>
      <c r="U48" s="227">
        <f>'OD Efficiencies'!S$54*('OD Shares'!AH48/(1/'OD Efficiencies'!S48))/('OD Shares'!AH$12/(1/'OD Efficiencies'!S$12))</f>
        <v>201.50699188770866</v>
      </c>
      <c r="V48" s="227">
        <f>'OD Efficiencies'!T$54*('OD Shares'!AI48/(1/'OD Efficiencies'!T48))/('OD Shares'!AI$12/(1/'OD Efficiencies'!T$12))</f>
        <v>1035.6004975516366</v>
      </c>
      <c r="W48" s="227">
        <f>'OD Efficiencies'!V$54*('OD Shares'!AJ48/(1/'OD Efficiencies'!X48))/('OD Shares'!AJ$12/(1/'OD Efficiencies'!X$12))</f>
        <v>5910.7016382112697</v>
      </c>
    </row>
    <row r="49" spans="1:23" x14ac:dyDescent="0.2">
      <c r="A49" s="198">
        <f t="shared" si="5"/>
        <v>2042</v>
      </c>
      <c r="B49" s="226">
        <f t="shared" si="4"/>
        <v>1296.5511892641591</v>
      </c>
      <c r="C49" s="226">
        <f t="shared" si="3"/>
        <v>3145.7868806171637</v>
      </c>
      <c r="D49" s="227">
        <f>'OD Efficiencies'!B$54*'OD StructuralVars'!$Q49*('OD Shares'!B49/'OD Efficiencies'!B49)/('OD Shares'!B$12/'OD Efficiencies'!B$12)</f>
        <v>856.33448174323348</v>
      </c>
      <c r="E49" s="227">
        <f>'OD Efficiencies'!C$54*'OD StructuralVars'!$Q49*('OD Shares'!D49/'OD Efficiencies'!C49)/('OD Shares'!D$12/'OD Efficiencies'!C$12)</f>
        <v>411.354438448368</v>
      </c>
      <c r="F49" s="227"/>
      <c r="G49" s="227">
        <f>'OD Efficiencies'!E$54*'OD StructuralVars'!$Q49*('OD Shares'!H49/(1/'OD Efficiencies'!E49))/('OD Shares'!H$12/(1/'OD Efficiencies'!E$12))</f>
        <v>28.86226907255767</v>
      </c>
      <c r="H49" s="227">
        <f>'OD Efficiencies'!F$54*'OD StructuralVars'!$R49*('OD Shares'!J49/'OD Efficiencies'!F49)/('OD Shares'!J$12/'OD Efficiencies'!F$12)</f>
        <v>2066.7525403082718</v>
      </c>
      <c r="I49" s="227">
        <f>'OD Efficiencies'!G$54*'OD StructuralVars'!$R49*('OD Shares'!L49/'OD Efficiencies'!G49)/('OD Shares'!L$12/'OD Efficiencies'!G$12)</f>
        <v>692.79988843977549</v>
      </c>
      <c r="J49" s="227"/>
      <c r="K49" s="227">
        <f>'OD Efficiencies'!I$54*'OD StructuralVars'!$R49*('OD Shares'!P49/'OD Efficiencies'!I49)/('OD Shares'!P$12/'OD Efficiencies'!I$12)</f>
        <v>386.23445186911636</v>
      </c>
      <c r="L49" s="227">
        <f>'OD Efficiencies'!J$54*('OD Shares'!R49/'OD Efficiencies'!J49)/('OD Shares'!R$12/'OD Efficiencies'!J$12)</f>
        <v>1953.7126779689336</v>
      </c>
      <c r="M49" s="227">
        <f>'OD Efficiencies'!K$54*('OD Shares'!T49/(1/'OD Efficiencies'!K49))/('OD Shares'!T$12/(1/'OD Efficiencies'!K$12))</f>
        <v>631.48114560619308</v>
      </c>
      <c r="N49" s="227">
        <f t="shared" si="6"/>
        <v>565.62080311254908</v>
      </c>
      <c r="O49" s="227">
        <f>'OD Efficiencies'!M$54*('OD Shares'!W49/(1/'OD Efficiencies'!M49))/('OD Shares'!W$12/(1/'OD Efficiencies'!M$12))</f>
        <v>97.512739918182191</v>
      </c>
      <c r="P49" s="227">
        <f>'OD Efficiencies'!N$54*('OD Shares'!Y49/(1/'OD Efficiencies'!N49))/('OD Shares'!Y$12/(1/'OD Efficiencies'!N$12))</f>
        <v>247.53362300476618</v>
      </c>
      <c r="Q49" s="227">
        <f>'OD Efficiencies'!O$54*('OD Shares'!AA49/(1/'OD Efficiencies'!O49))/('OD Shares'!AA$12/(1/'OD Efficiencies'!O$12))</f>
        <v>195.78579758102427</v>
      </c>
      <c r="R49" s="227">
        <f>'OD Efficiencies'!P$54*('OD Shares'!AC49/(1/'OD Efficiencies'!P49))/('OD Shares'!AC$12/(1/'OD Efficiencies'!P$12))</f>
        <v>59.957457028865861</v>
      </c>
      <c r="S49" s="227">
        <f>'OD Efficiencies'!Q$54*('OD Shares'!AE49/(1/'OD Efficiencies'!Q49))/('OD Shares'!AE$12/(1/'OD Efficiencies'!Q$12))</f>
        <v>570.09011637217725</v>
      </c>
      <c r="T49" s="227">
        <f>'OD Efficiencies'!R$54*('OD Shares'!AG49/(1/'OD Efficiencies'!R49))/('OD Shares'!AG$12/(1/'OD Efficiencies'!R$12))</f>
        <v>900.20130243168444</v>
      </c>
      <c r="U49" s="227">
        <f>'OD Efficiencies'!S$54*('OD Shares'!AH49/(1/'OD Efficiencies'!S49))/('OD Shares'!AH$12/(1/'OD Efficiencies'!S$12))</f>
        <v>200.19962841087988</v>
      </c>
      <c r="V49" s="227">
        <f>'OD Efficiencies'!T$54*('OD Shares'!AI49/(1/'OD Efficiencies'!T49))/('OD Shares'!AI$12/(1/'OD Efficiencies'!T$12))</f>
        <v>1031.9738860971204</v>
      </c>
      <c r="W49" s="227">
        <f>'OD Efficiencies'!V$54*('OD Shares'!AJ49/(1/'OD Efficiencies'!X49))/('OD Shares'!AJ$12/(1/'OD Efficiencies'!X$12))</f>
        <v>5981.9163583868485</v>
      </c>
    </row>
    <row r="50" spans="1:23" x14ac:dyDescent="0.2">
      <c r="A50" s="198">
        <f t="shared" si="5"/>
        <v>2043</v>
      </c>
      <c r="B50" s="226">
        <f t="shared" si="4"/>
        <v>1295.9961815342604</v>
      </c>
      <c r="C50" s="226">
        <f t="shared" ref="C50" si="7">SUM(H50:K50)</f>
        <v>3150.4998806182598</v>
      </c>
      <c r="D50" s="227">
        <f>'OD Efficiencies'!B$54*'OD StructuralVars'!$Q50*('OD Shares'!B50/'OD Efficiencies'!B50)/('OD Shares'!B$12/'OD Efficiencies'!B$12)</f>
        <v>856.83673070613258</v>
      </c>
      <c r="E50" s="227">
        <f>'OD Efficiencies'!C$54*'OD StructuralVars'!$Q50*('OD Shares'!D50/'OD Efficiencies'!C50)/('OD Shares'!D$12/'OD Efficiencies'!C$12)</f>
        <v>411.19486677508075</v>
      </c>
      <c r="F50" s="227"/>
      <c r="G50" s="227">
        <f>'OD Efficiencies'!E$54*'OD StructuralVars'!$Q50*('OD Shares'!H50/(1/'OD Efficiencies'!E50))/('OD Shares'!H$12/(1/'OD Efficiencies'!E$12))</f>
        <v>27.964584053046998</v>
      </c>
      <c r="H50" s="227">
        <f>'OD Efficiencies'!F$54*'OD StructuralVars'!$R50*('OD Shares'!J50/'OD Efficiencies'!F50)/('OD Shares'!J$12/'OD Efficiencies'!F$12)</f>
        <v>2069.6447501146663</v>
      </c>
      <c r="I50" s="227">
        <f>'OD Efficiencies'!G$54*'OD StructuralVars'!$R50*('OD Shares'!L50/'OD Efficiencies'!G50)/('OD Shares'!L$12/'OD Efficiencies'!G$12)</f>
        <v>695.81440606538024</v>
      </c>
      <c r="J50" s="227"/>
      <c r="K50" s="227">
        <f>'OD Efficiencies'!I$54*'OD StructuralVars'!$R50*('OD Shares'!P50/'OD Efficiencies'!I50)/('OD Shares'!P$12/'OD Efficiencies'!I$12)</f>
        <v>385.0407244382132</v>
      </c>
      <c r="L50" s="227">
        <f>'OD Efficiencies'!J$54*('OD Shares'!R50/'OD Efficiencies'!J50)/('OD Shares'!R$12/'OD Efficiencies'!J$12)</f>
        <v>1953.768023106689</v>
      </c>
      <c r="M50" s="227">
        <f>'OD Efficiencies'!K$54*('OD Shares'!T50/(1/'OD Efficiencies'!K50))/('OD Shares'!T$12/(1/'OD Efficiencies'!K$12))</f>
        <v>631.48224019339261</v>
      </c>
      <c r="N50" s="227">
        <f t="shared" si="6"/>
        <v>565.62080311254908</v>
      </c>
      <c r="O50" s="227">
        <f>'OD Efficiencies'!M$54*('OD Shares'!W50/(1/'OD Efficiencies'!M50))/('OD Shares'!W$12/(1/'OD Efficiencies'!M$12))</f>
        <v>97.323897070495192</v>
      </c>
      <c r="P50" s="227">
        <f>'OD Efficiencies'!N$54*('OD Shares'!Y50/(1/'OD Efficiencies'!N50))/('OD Shares'!Y$12/(1/'OD Efficiencies'!N$12))</f>
        <v>246.00510768002852</v>
      </c>
      <c r="Q50" s="227">
        <f>'OD Efficiencies'!O$54*('OD Shares'!AA50/(1/'OD Efficiencies'!O50))/('OD Shares'!AA$12/(1/'OD Efficiencies'!O$12))</f>
        <v>197.31783648752381</v>
      </c>
      <c r="R50" s="227">
        <f>'OD Efficiencies'!P$54*('OD Shares'!AC50/(1/'OD Efficiencies'!P50))/('OD Shares'!AC$12/(1/'OD Efficiencies'!P$12))</f>
        <v>59.992335446552879</v>
      </c>
      <c r="S50" s="227">
        <f>'OD Efficiencies'!Q$54*('OD Shares'!AE50/(1/'OD Efficiencies'!Q50))/('OD Shares'!AE$12/(1/'OD Efficiencies'!Q$12))</f>
        <v>571.2663726295383</v>
      </c>
      <c r="T50" s="227">
        <f>'OD Efficiencies'!R$54*('OD Shares'!AG50/(1/'OD Efficiencies'!R50))/('OD Shares'!AG$12/(1/'OD Efficiencies'!R$12))</f>
        <v>906.42828297148742</v>
      </c>
      <c r="U50" s="227">
        <f>'OD Efficiencies'!S$54*('OD Shares'!AH50/(1/'OD Efficiencies'!S50))/('OD Shares'!AH$12/(1/'OD Efficiencies'!S$12))</f>
        <v>198.90074701819395</v>
      </c>
      <c r="V50" s="227">
        <f>'OD Efficiencies'!T$54*('OD Shares'!AI50/(1/'OD Efficiencies'!T50))/('OD Shares'!AI$12/(1/'OD Efficiencies'!T$12))</f>
        <v>1028.3599748205907</v>
      </c>
      <c r="W50" s="227">
        <f>'OD Efficiencies'!V$54*('OD Shares'!AJ50/(1/'OD Efficiencies'!X50))/('OD Shares'!AJ$12/(1/'OD Efficiencies'!X$12))</f>
        <v>6053.9891046784633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9"/>
  <sheetViews>
    <sheetView tabSelected="1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5.140625" style="170" bestFit="1" customWidth="1"/>
    <col min="2" max="2" width="7.28515625" style="170" bestFit="1" customWidth="1"/>
    <col min="3" max="3" width="12.28515625" style="170" hidden="1" customWidth="1"/>
    <col min="4" max="4" width="7.7109375" style="170" bestFit="1" customWidth="1"/>
    <col min="5" max="5" width="12.85546875" style="170" hidden="1" customWidth="1"/>
    <col min="6" max="6" width="9.140625" style="170" hidden="1" customWidth="1"/>
    <col min="7" max="7" width="11.42578125" style="170" hidden="1" customWidth="1"/>
    <col min="8" max="8" width="7.7109375" style="170" customWidth="1"/>
    <col min="9" max="9" width="10" style="170" hidden="1" customWidth="1"/>
    <col min="10" max="10" width="6.28515625" style="170" customWidth="1"/>
    <col min="11" max="11" width="12.85546875" style="170" hidden="1" customWidth="1"/>
    <col min="12" max="12" width="7.7109375" style="170" customWidth="1"/>
    <col min="13" max="13" width="12.85546875" style="170" hidden="1" customWidth="1"/>
    <col min="14" max="14" width="9.140625" style="170" hidden="1" customWidth="1"/>
    <col min="15" max="15" width="9.42578125" style="170" hidden="1" customWidth="1"/>
    <col min="16" max="16" width="7.42578125" style="170" customWidth="1"/>
    <col min="17" max="17" width="12" style="170" hidden="1" customWidth="1"/>
    <col min="18" max="18" width="8.140625" style="170" customWidth="1"/>
    <col min="19" max="19" width="10.28515625" style="170" hidden="1" customWidth="1"/>
    <col min="20" max="20" width="7.28515625" style="170" customWidth="1"/>
    <col min="21" max="21" width="7.28515625" style="170" bestFit="1" customWidth="1"/>
    <col min="22" max="22" width="9.28515625" style="170" hidden="1" customWidth="1"/>
    <col min="23" max="23" width="7.28515625" style="170" customWidth="1"/>
    <col min="24" max="24" width="8.28515625" style="170" hidden="1" customWidth="1"/>
    <col min="25" max="25" width="6.28515625" style="170" customWidth="1"/>
    <col min="26" max="26" width="9.28515625" style="170" hidden="1" customWidth="1"/>
    <col min="27" max="27" width="6.28515625" style="170" customWidth="1"/>
    <col min="28" max="28" width="7.28515625" style="170" hidden="1" customWidth="1"/>
    <col min="29" max="29" width="7.28515625" style="170" customWidth="1"/>
    <col min="30" max="30" width="6.28515625" style="170" hidden="1" customWidth="1"/>
    <col min="31" max="31" width="6.28515625" style="170" customWidth="1"/>
    <col min="32" max="32" width="7.28515625" style="170" hidden="1" customWidth="1"/>
    <col min="33" max="33" width="7.28515625" style="170" customWidth="1"/>
    <col min="34" max="34" width="8.5703125" style="170" bestFit="1" customWidth="1"/>
    <col min="35" max="36" width="7.28515625" style="170" bestFit="1" customWidth="1"/>
    <col min="37" max="37" width="8.140625" style="199" bestFit="1" customWidth="1"/>
    <col min="38" max="38" width="10.28515625" style="170" customWidth="1"/>
    <col min="39" max="40" width="8.85546875" style="170" customWidth="1"/>
    <col min="41" max="41" width="9.28515625" style="170" customWidth="1"/>
    <col min="42" max="43" width="8.85546875" style="170" customWidth="1"/>
    <col min="44" max="44" width="9.28515625" style="170" customWidth="1"/>
    <col min="45" max="47" width="8.85546875" style="170" customWidth="1"/>
    <col min="48" max="48" width="9" style="170" customWidth="1"/>
    <col min="49" max="56" width="8.85546875" style="170" customWidth="1"/>
    <col min="57" max="16384" width="8.85546875" style="170"/>
  </cols>
  <sheetData>
    <row r="1" spans="1:65" x14ac:dyDescent="0.2">
      <c r="A1" s="182"/>
      <c r="B1" s="183" t="s">
        <v>0</v>
      </c>
      <c r="C1" s="183" t="s">
        <v>299</v>
      </c>
      <c r="D1" s="183" t="s">
        <v>1</v>
      </c>
      <c r="E1" s="183" t="s">
        <v>270</v>
      </c>
      <c r="F1" s="183"/>
      <c r="G1" s="183" t="s">
        <v>271</v>
      </c>
      <c r="H1" s="183" t="s">
        <v>147</v>
      </c>
      <c r="I1" s="183" t="s">
        <v>272</v>
      </c>
      <c r="J1" s="183" t="s">
        <v>2</v>
      </c>
      <c r="K1" s="183" t="s">
        <v>273</v>
      </c>
      <c r="L1" s="183" t="s">
        <v>3</v>
      </c>
      <c r="M1" s="183"/>
      <c r="N1" s="183" t="s">
        <v>166</v>
      </c>
      <c r="O1" s="183" t="s">
        <v>275</v>
      </c>
      <c r="P1" s="183" t="s">
        <v>4</v>
      </c>
      <c r="Q1" s="183" t="s">
        <v>276</v>
      </c>
      <c r="R1" s="183" t="s">
        <v>5</v>
      </c>
      <c r="S1" s="183" t="s">
        <v>277</v>
      </c>
      <c r="T1" s="183" t="s">
        <v>6</v>
      </c>
      <c r="U1" s="183" t="s">
        <v>7</v>
      </c>
      <c r="V1" s="183" t="s">
        <v>278</v>
      </c>
      <c r="W1" s="183" t="s">
        <v>8</v>
      </c>
      <c r="X1" s="183" t="s">
        <v>279</v>
      </c>
      <c r="Y1" s="183" t="s">
        <v>9</v>
      </c>
      <c r="Z1" s="183" t="s">
        <v>280</v>
      </c>
      <c r="AA1" s="183" t="s">
        <v>10</v>
      </c>
      <c r="AB1" s="183" t="s">
        <v>281</v>
      </c>
      <c r="AC1" s="183" t="s">
        <v>11</v>
      </c>
      <c r="AD1" s="183" t="s">
        <v>282</v>
      </c>
      <c r="AE1" s="183" t="s">
        <v>12</v>
      </c>
      <c r="AF1" s="184" t="s">
        <v>283</v>
      </c>
      <c r="AG1" s="184" t="s">
        <v>100</v>
      </c>
      <c r="AH1" s="184" t="s">
        <v>174</v>
      </c>
      <c r="AI1" s="183" t="s">
        <v>13</v>
      </c>
      <c r="AJ1" s="183" t="s">
        <v>14</v>
      </c>
      <c r="AK1" s="184"/>
      <c r="AL1" s="184" t="s">
        <v>190</v>
      </c>
      <c r="AM1" s="184"/>
      <c r="AN1" s="184" t="s">
        <v>191</v>
      </c>
      <c r="AO1" s="184" t="s">
        <v>1</v>
      </c>
      <c r="AP1" s="184" t="s">
        <v>147</v>
      </c>
      <c r="AQ1" s="185" t="s">
        <v>300</v>
      </c>
      <c r="AR1" s="184" t="s">
        <v>2</v>
      </c>
      <c r="AT1" s="184" t="s">
        <v>3</v>
      </c>
      <c r="AV1" s="185" t="s">
        <v>4</v>
      </c>
      <c r="AX1" s="185" t="s">
        <v>5</v>
      </c>
      <c r="AY1" s="185"/>
      <c r="AZ1" s="183" t="s">
        <v>6</v>
      </c>
      <c r="BA1" s="185"/>
      <c r="BB1" s="185" t="s">
        <v>192</v>
      </c>
      <c r="BC1" s="185"/>
      <c r="BD1" s="183" t="s">
        <v>9</v>
      </c>
      <c r="BE1" s="183"/>
      <c r="BF1" s="183" t="s">
        <v>10</v>
      </c>
      <c r="BG1" s="183"/>
      <c r="BH1" s="183" t="s">
        <v>11</v>
      </c>
      <c r="BI1" s="183"/>
      <c r="BJ1" s="183" t="s">
        <v>12</v>
      </c>
      <c r="BK1" s="185"/>
      <c r="BL1" s="185"/>
      <c r="BM1" s="185"/>
    </row>
    <row r="2" spans="1:65" x14ac:dyDescent="0.2">
      <c r="A2" s="186">
        <v>1995</v>
      </c>
      <c r="B2" s="187">
        <f>AN2</f>
        <v>0.13799999999999998</v>
      </c>
      <c r="C2" s="188">
        <v>0.13799999999999998</v>
      </c>
      <c r="D2" s="189">
        <f t="shared" ref="D2:D17" si="0">AO2</f>
        <v>0.49400000000000005</v>
      </c>
      <c r="E2" s="188">
        <v>0.64400000000000002</v>
      </c>
      <c r="F2" s="190"/>
      <c r="G2" s="188">
        <v>0.14347257439869704</v>
      </c>
      <c r="H2" s="187">
        <f t="shared" ref="H2:H16" si="1">AP2</f>
        <v>0.1</v>
      </c>
      <c r="I2" s="188">
        <v>0.15599999999999997</v>
      </c>
      <c r="J2" s="236">
        <f t="shared" ref="J2:J12" si="2">I2</f>
        <v>0.15599999999999997</v>
      </c>
      <c r="K2" s="188">
        <v>0.58899999999999997</v>
      </c>
      <c r="L2" s="196">
        <f t="shared" ref="L2:L12" si="3">L3-0.05%</f>
        <v>0.60800000000000065</v>
      </c>
      <c r="M2" s="190"/>
      <c r="N2" s="187">
        <f>F2</f>
        <v>0</v>
      </c>
      <c r="O2" s="190">
        <v>0.28600000000000003</v>
      </c>
      <c r="P2" s="187">
        <f t="shared" ref="P2:P17" si="4">AV2</f>
        <v>0.3</v>
      </c>
      <c r="Q2" s="190">
        <v>0.98</v>
      </c>
      <c r="R2" s="187">
        <f>Q2</f>
        <v>0.98</v>
      </c>
      <c r="S2" s="190">
        <v>0.96599999999999997</v>
      </c>
      <c r="T2" s="202">
        <f t="shared" ref="T2:T12" si="5">T3-1.4%</f>
        <v>1.6679999999999997</v>
      </c>
      <c r="U2" s="190">
        <v>1</v>
      </c>
      <c r="V2" s="190">
        <v>0.21480000000000013</v>
      </c>
      <c r="W2" s="190">
        <v>0.2</v>
      </c>
      <c r="X2" s="190">
        <v>6.5000000000000002E-2</v>
      </c>
      <c r="Y2" s="190">
        <v>0.35</v>
      </c>
      <c r="Z2" s="190">
        <v>0.99</v>
      </c>
      <c r="AA2" s="190">
        <v>0.64</v>
      </c>
      <c r="AB2" s="190">
        <v>0.99</v>
      </c>
      <c r="AC2" s="190">
        <v>0.84</v>
      </c>
      <c r="AD2" s="190">
        <v>0.96699999999999997</v>
      </c>
      <c r="AE2" s="202">
        <f>AD2</f>
        <v>0.96699999999999997</v>
      </c>
      <c r="AF2" s="190">
        <v>2.0296122627882225</v>
      </c>
      <c r="AG2" s="193">
        <v>3.0720000000000001</v>
      </c>
      <c r="AH2" s="190">
        <v>0.4790597755265889</v>
      </c>
      <c r="AI2" s="190">
        <v>1</v>
      </c>
      <c r="AJ2" s="190">
        <v>1</v>
      </c>
      <c r="AK2" s="191"/>
      <c r="AL2" s="192">
        <v>0.65</v>
      </c>
      <c r="AM2" s="192"/>
      <c r="AN2" s="367">
        <f>C2</f>
        <v>0.13799999999999998</v>
      </c>
      <c r="AO2" s="193">
        <f>76%*AL2</f>
        <v>0.49400000000000005</v>
      </c>
      <c r="AP2" s="193">
        <v>0.1</v>
      </c>
      <c r="AR2" s="193">
        <v>0.184</v>
      </c>
      <c r="AT2" s="201">
        <v>0.36</v>
      </c>
      <c r="AV2" s="193">
        <v>0.3</v>
      </c>
    </row>
    <row r="3" spans="1:65" x14ac:dyDescent="0.2">
      <c r="A3" s="186">
        <v>1996</v>
      </c>
      <c r="B3" s="187">
        <f t="shared" ref="B3:B17" si="6">AN3</f>
        <v>0.13899999999999998</v>
      </c>
      <c r="C3" s="188">
        <v>0.13899999999999998</v>
      </c>
      <c r="D3" s="189">
        <f t="shared" si="0"/>
        <v>0.49780000000000002</v>
      </c>
      <c r="E3" s="188">
        <v>0.64700000000000002</v>
      </c>
      <c r="F3" s="190"/>
      <c r="G3" s="188">
        <v>0.14219922430887486</v>
      </c>
      <c r="H3" s="187">
        <f t="shared" si="1"/>
        <v>0.1</v>
      </c>
      <c r="I3" s="188">
        <v>0.15799999999999997</v>
      </c>
      <c r="J3" s="236">
        <f t="shared" si="2"/>
        <v>0.15799999999999997</v>
      </c>
      <c r="K3" s="188">
        <v>0.59199999999999997</v>
      </c>
      <c r="L3" s="196">
        <f t="shared" si="3"/>
        <v>0.6085000000000006</v>
      </c>
      <c r="M3" s="190"/>
      <c r="N3" s="187">
        <f t="shared" ref="N3:N42" si="7">F3</f>
        <v>0</v>
      </c>
      <c r="O3" s="190">
        <v>0.28300000000000003</v>
      </c>
      <c r="P3" s="187">
        <f t="shared" si="4"/>
        <v>0.3</v>
      </c>
      <c r="Q3" s="190">
        <v>0.98</v>
      </c>
      <c r="R3" s="187">
        <f t="shared" ref="R3:R13" si="8">Q3</f>
        <v>0.98</v>
      </c>
      <c r="S3" s="190">
        <v>0.96599999999999997</v>
      </c>
      <c r="T3" s="202">
        <f t="shared" si="5"/>
        <v>1.6819999999999997</v>
      </c>
      <c r="U3" s="190">
        <f t="shared" ref="U3:AH11" si="9">U2+((U$12-U$2)/10)</f>
        <v>1</v>
      </c>
      <c r="V3" s="190">
        <v>0.21490000000000012</v>
      </c>
      <c r="W3" s="187">
        <f>W2</f>
        <v>0.2</v>
      </c>
      <c r="X3" s="190">
        <v>6.5000000000000002E-2</v>
      </c>
      <c r="Y3" s="187">
        <f>Y2</f>
        <v>0.35</v>
      </c>
      <c r="Z3" s="190">
        <v>0.99</v>
      </c>
      <c r="AA3" s="203">
        <f>AA2+3%/12</f>
        <v>0.64249999999999996</v>
      </c>
      <c r="AB3" s="190">
        <v>0.99</v>
      </c>
      <c r="AC3" s="203">
        <f>AC2+4%/12</f>
        <v>0.84333333333333327</v>
      </c>
      <c r="AD3" s="190">
        <v>0.96699999999999997</v>
      </c>
      <c r="AE3" s="202">
        <f t="shared" ref="AE3:AE13" si="10">AD3</f>
        <v>0.96699999999999997</v>
      </c>
      <c r="AF3" s="190">
        <v>2.0734332018352153</v>
      </c>
      <c r="AG3" s="193">
        <v>3.0859999999999999</v>
      </c>
      <c r="AH3" s="190">
        <f t="shared" si="9"/>
        <v>0.47833042722836155</v>
      </c>
      <c r="AI3" s="190">
        <v>1</v>
      </c>
      <c r="AJ3" s="190">
        <v>1</v>
      </c>
      <c r="AK3" s="191"/>
      <c r="AL3" s="192">
        <v>0.65500000000000003</v>
      </c>
      <c r="AM3" s="192"/>
      <c r="AN3" s="367">
        <f t="shared" ref="AN3:AN14" si="11">C3</f>
        <v>0.13899999999999998</v>
      </c>
      <c r="AO3" s="193">
        <f t="shared" ref="AO3:AO17" si="12">76%*AL3</f>
        <v>0.49780000000000002</v>
      </c>
      <c r="AP3" s="193">
        <v>0.1</v>
      </c>
      <c r="AR3" s="193">
        <v>0.184</v>
      </c>
      <c r="AT3" s="201">
        <v>0.37</v>
      </c>
      <c r="AV3" s="194">
        <f>AV2+$AW$6/4</f>
        <v>0.3</v>
      </c>
    </row>
    <row r="4" spans="1:65" s="195" customFormat="1" x14ac:dyDescent="0.2">
      <c r="A4" s="186">
        <v>1997</v>
      </c>
      <c r="B4" s="187">
        <f t="shared" si="6"/>
        <v>0.13999999999999999</v>
      </c>
      <c r="C4" s="188">
        <v>0.13999999999999999</v>
      </c>
      <c r="D4" s="189">
        <f t="shared" si="0"/>
        <v>0.50236000000000003</v>
      </c>
      <c r="E4" s="188">
        <v>0.65</v>
      </c>
      <c r="F4" s="190"/>
      <c r="G4" s="188">
        <v>0.14093717547616083</v>
      </c>
      <c r="H4" s="187">
        <f t="shared" si="1"/>
        <v>0.1</v>
      </c>
      <c r="I4" s="188">
        <v>0.15999999999999998</v>
      </c>
      <c r="J4" s="236">
        <f t="shared" si="2"/>
        <v>0.15999999999999998</v>
      </c>
      <c r="K4" s="188">
        <v>0.59499999999999997</v>
      </c>
      <c r="L4" s="196">
        <f t="shared" si="3"/>
        <v>0.60900000000000054</v>
      </c>
      <c r="M4" s="190"/>
      <c r="N4" s="187">
        <f t="shared" si="7"/>
        <v>0</v>
      </c>
      <c r="O4" s="190">
        <v>0.28000000000000003</v>
      </c>
      <c r="P4" s="187">
        <f t="shared" si="4"/>
        <v>0.29199999999999998</v>
      </c>
      <c r="Q4" s="190">
        <v>0.98</v>
      </c>
      <c r="R4" s="187">
        <f t="shared" si="8"/>
        <v>0.98</v>
      </c>
      <c r="S4" s="190">
        <v>0.96599999999999997</v>
      </c>
      <c r="T4" s="202">
        <f t="shared" si="5"/>
        <v>1.6959999999999997</v>
      </c>
      <c r="U4" s="190">
        <f t="shared" si="9"/>
        <v>1</v>
      </c>
      <c r="V4" s="190">
        <v>0.215</v>
      </c>
      <c r="W4" s="187">
        <f t="shared" ref="W4:Y13" si="13">W3</f>
        <v>0.2</v>
      </c>
      <c r="X4" s="190">
        <v>6.5000000000000002E-2</v>
      </c>
      <c r="Y4" s="187">
        <f t="shared" si="13"/>
        <v>0.35</v>
      </c>
      <c r="Z4" s="190">
        <v>0.99</v>
      </c>
      <c r="AA4" s="203">
        <f t="shared" ref="AA4:AA13" si="14">AA3+3%/12</f>
        <v>0.64499999999999991</v>
      </c>
      <c r="AB4" s="190">
        <v>0.99</v>
      </c>
      <c r="AC4" s="203">
        <f t="shared" ref="AC4:AC13" si="15">AC3+4%/12</f>
        <v>0.84666666666666657</v>
      </c>
      <c r="AD4" s="190">
        <v>0.96699999999999997</v>
      </c>
      <c r="AE4" s="202">
        <f t="shared" si="10"/>
        <v>0.96699999999999997</v>
      </c>
      <c r="AF4" s="190">
        <v>2.1058214536112612</v>
      </c>
      <c r="AG4" s="193">
        <v>3.1</v>
      </c>
      <c r="AH4" s="190">
        <f t="shared" si="9"/>
        <v>0.4776010789301342</v>
      </c>
      <c r="AI4" s="190">
        <v>1</v>
      </c>
      <c r="AJ4" s="190">
        <v>1</v>
      </c>
      <c r="AK4" s="191"/>
      <c r="AL4" s="192">
        <v>0.66100000000000003</v>
      </c>
      <c r="AM4" s="192"/>
      <c r="AN4" s="367">
        <f t="shared" si="11"/>
        <v>0.13999999999999999</v>
      </c>
      <c r="AO4" s="193">
        <f t="shared" si="12"/>
        <v>0.50236000000000003</v>
      </c>
      <c r="AP4" s="193">
        <v>0.1</v>
      </c>
      <c r="AR4" s="193">
        <v>0.184</v>
      </c>
      <c r="AT4" s="193">
        <v>0.38200000000000001</v>
      </c>
      <c r="AV4" s="194">
        <v>0.29199999999999998</v>
      </c>
    </row>
    <row r="5" spans="1:65" x14ac:dyDescent="0.2">
      <c r="A5" s="186">
        <v>1998</v>
      </c>
      <c r="B5" s="187">
        <f t="shared" si="6"/>
        <v>0.14099999999999999</v>
      </c>
      <c r="C5" s="188">
        <v>0.14099999999999999</v>
      </c>
      <c r="D5" s="189">
        <f t="shared" si="0"/>
        <v>0.52173999999999998</v>
      </c>
      <c r="E5" s="188">
        <v>0.65300000000000002</v>
      </c>
      <c r="F5" s="190"/>
      <c r="G5" s="188">
        <v>0.1396863275994569</v>
      </c>
      <c r="H5" s="187">
        <f t="shared" si="1"/>
        <v>0.1</v>
      </c>
      <c r="I5" s="188">
        <v>0.16199999999999998</v>
      </c>
      <c r="J5" s="236">
        <f t="shared" si="2"/>
        <v>0.16199999999999998</v>
      </c>
      <c r="K5" s="188">
        <v>0.59799999999999998</v>
      </c>
      <c r="L5" s="196">
        <f t="shared" si="3"/>
        <v>0.60950000000000049</v>
      </c>
      <c r="M5" s="190"/>
      <c r="N5" s="187">
        <f t="shared" si="7"/>
        <v>0</v>
      </c>
      <c r="O5" s="190">
        <v>0.27700000000000002</v>
      </c>
      <c r="P5" s="187">
        <f t="shared" si="4"/>
        <v>0.29199999999999998</v>
      </c>
      <c r="Q5" s="190">
        <v>0.98</v>
      </c>
      <c r="R5" s="187">
        <f t="shared" si="8"/>
        <v>0.98</v>
      </c>
      <c r="S5" s="190">
        <v>0.96599999999999997</v>
      </c>
      <c r="T5" s="202">
        <f t="shared" si="5"/>
        <v>1.7099999999999997</v>
      </c>
      <c r="U5" s="190">
        <f t="shared" si="9"/>
        <v>1</v>
      </c>
      <c r="V5" s="190">
        <v>0.2151000000000001</v>
      </c>
      <c r="W5" s="187">
        <f t="shared" si="13"/>
        <v>0.2</v>
      </c>
      <c r="X5" s="190">
        <v>6.5000000000000002E-2</v>
      </c>
      <c r="Y5" s="187">
        <f t="shared" si="13"/>
        <v>0.35</v>
      </c>
      <c r="Z5" s="190">
        <v>0.99</v>
      </c>
      <c r="AA5" s="203">
        <f t="shared" si="14"/>
        <v>0.64749999999999985</v>
      </c>
      <c r="AB5" s="190">
        <v>0.99</v>
      </c>
      <c r="AC5" s="203">
        <f t="shared" si="15"/>
        <v>0.84999999999999987</v>
      </c>
      <c r="AD5" s="190">
        <v>0.96699999999999997</v>
      </c>
      <c r="AE5" s="202">
        <f t="shared" si="10"/>
        <v>0.96699999999999997</v>
      </c>
      <c r="AF5" s="190">
        <v>2.138209705387307</v>
      </c>
      <c r="AG5" s="193">
        <v>3.1139999999999999</v>
      </c>
      <c r="AH5" s="190">
        <f t="shared" si="9"/>
        <v>0.47687173063190685</v>
      </c>
      <c r="AI5" s="190">
        <v>1</v>
      </c>
      <c r="AJ5" s="190">
        <v>1</v>
      </c>
      <c r="AK5" s="191"/>
      <c r="AL5" s="192">
        <f>AL4+$AM$10/6</f>
        <v>0.6865</v>
      </c>
      <c r="AM5" s="192"/>
      <c r="AN5" s="367">
        <f t="shared" si="11"/>
        <v>0.14099999999999999</v>
      </c>
      <c r="AO5" s="193">
        <f t="shared" si="12"/>
        <v>0.52173999999999998</v>
      </c>
      <c r="AP5" s="193">
        <v>0.1</v>
      </c>
      <c r="AR5" s="193">
        <v>0.184</v>
      </c>
      <c r="AT5" s="193">
        <f t="shared" ref="AT5:AT8" si="16">AT4+$AU$10/6</f>
        <v>0.41599999999999998</v>
      </c>
      <c r="AV5" s="194">
        <f t="shared" ref="AV5" si="17">AV4+$AW$6/4</f>
        <v>0.29199999999999998</v>
      </c>
    </row>
    <row r="6" spans="1:65" x14ac:dyDescent="0.2">
      <c r="A6" s="186">
        <v>1999</v>
      </c>
      <c r="B6" s="187">
        <f t="shared" si="6"/>
        <v>0.14199999999999999</v>
      </c>
      <c r="C6" s="188">
        <v>0.14199999999999999</v>
      </c>
      <c r="D6" s="189">
        <f t="shared" si="0"/>
        <v>0.54111999999999993</v>
      </c>
      <c r="E6" s="188">
        <v>0.65600000000000003</v>
      </c>
      <c r="F6" s="190"/>
      <c r="G6" s="188">
        <v>0.13844658126785894</v>
      </c>
      <c r="H6" s="187">
        <f t="shared" si="1"/>
        <v>0.1</v>
      </c>
      <c r="I6" s="188">
        <v>0.16399999999999998</v>
      </c>
      <c r="J6" s="236">
        <f t="shared" si="2"/>
        <v>0.16399999999999998</v>
      </c>
      <c r="K6" s="188">
        <v>0.60099999999999998</v>
      </c>
      <c r="L6" s="196">
        <f t="shared" si="3"/>
        <v>0.61000000000000043</v>
      </c>
      <c r="M6" s="190"/>
      <c r="N6" s="187">
        <f t="shared" si="7"/>
        <v>0</v>
      </c>
      <c r="O6" s="190">
        <v>0.27400000000000002</v>
      </c>
      <c r="P6" s="187">
        <f t="shared" si="4"/>
        <v>0.27074999999999999</v>
      </c>
      <c r="Q6" s="190">
        <v>0.98</v>
      </c>
      <c r="R6" s="187">
        <f t="shared" si="8"/>
        <v>0.98</v>
      </c>
      <c r="S6" s="190">
        <v>0.96599999999999997</v>
      </c>
      <c r="T6" s="202">
        <f t="shared" si="5"/>
        <v>1.7239999999999998</v>
      </c>
      <c r="U6" s="190">
        <f t="shared" si="9"/>
        <v>1</v>
      </c>
      <c r="V6" s="190">
        <v>0.21520000000000009</v>
      </c>
      <c r="W6" s="187">
        <f t="shared" si="13"/>
        <v>0.2</v>
      </c>
      <c r="X6" s="190">
        <v>6.5000000000000002E-2</v>
      </c>
      <c r="Y6" s="187">
        <f t="shared" si="13"/>
        <v>0.35</v>
      </c>
      <c r="Z6" s="190">
        <v>0.99</v>
      </c>
      <c r="AA6" s="203">
        <f t="shared" si="14"/>
        <v>0.6499999999999998</v>
      </c>
      <c r="AB6" s="190">
        <v>0.99</v>
      </c>
      <c r="AC6" s="203">
        <f t="shared" si="15"/>
        <v>0.85333333333333317</v>
      </c>
      <c r="AD6" s="190">
        <v>0.96699999999999997</v>
      </c>
      <c r="AE6" s="202">
        <f t="shared" si="10"/>
        <v>0.96699999999999997</v>
      </c>
      <c r="AF6" s="190">
        <v>2.1705979571633529</v>
      </c>
      <c r="AG6" s="193">
        <v>3.1280000000000001</v>
      </c>
      <c r="AH6" s="190">
        <f t="shared" si="9"/>
        <v>0.4761423823336795</v>
      </c>
      <c r="AI6" s="190">
        <v>1</v>
      </c>
      <c r="AJ6" s="190">
        <v>1</v>
      </c>
      <c r="AK6" s="191"/>
      <c r="AL6" s="192">
        <f t="shared" ref="AL6:AL9" si="18">AL5+$AM$10/6</f>
        <v>0.71199999999999997</v>
      </c>
      <c r="AM6" s="192"/>
      <c r="AN6" s="367">
        <f t="shared" si="11"/>
        <v>0.14199999999999999</v>
      </c>
      <c r="AO6" s="193">
        <f t="shared" si="12"/>
        <v>0.54111999999999993</v>
      </c>
      <c r="AP6" s="193">
        <v>0.1</v>
      </c>
      <c r="AR6" s="193">
        <v>0.184</v>
      </c>
      <c r="AS6" s="193">
        <f>AR6-$AR$2</f>
        <v>0</v>
      </c>
      <c r="AT6" s="193">
        <f t="shared" si="16"/>
        <v>0.44999999999999996</v>
      </c>
      <c r="AV6" s="194">
        <f>AV5+$AW$10/4</f>
        <v>0.27074999999999999</v>
      </c>
      <c r="AW6" s="193"/>
    </row>
    <row r="7" spans="1:65" x14ac:dyDescent="0.2">
      <c r="A7" s="186">
        <v>2000</v>
      </c>
      <c r="B7" s="187">
        <f t="shared" si="6"/>
        <v>0.14299999999999999</v>
      </c>
      <c r="C7" s="188">
        <v>0.14299999999999999</v>
      </c>
      <c r="D7" s="189">
        <f t="shared" si="0"/>
        <v>0.5605</v>
      </c>
      <c r="E7" s="188">
        <v>0.65900000000000003</v>
      </c>
      <c r="F7" s="190"/>
      <c r="G7" s="188">
        <v>0.13721783795275602</v>
      </c>
      <c r="H7" s="187">
        <f t="shared" si="1"/>
        <v>0.1</v>
      </c>
      <c r="I7" s="188">
        <v>0.16599999999999998</v>
      </c>
      <c r="J7" s="236">
        <f t="shared" si="2"/>
        <v>0.16599999999999998</v>
      </c>
      <c r="K7" s="188">
        <v>0.60399999999999998</v>
      </c>
      <c r="L7" s="196">
        <f t="shared" si="3"/>
        <v>0.61050000000000038</v>
      </c>
      <c r="M7" s="190"/>
      <c r="N7" s="187">
        <f t="shared" si="7"/>
        <v>0</v>
      </c>
      <c r="O7" s="190">
        <v>0.27100000000000002</v>
      </c>
      <c r="P7" s="187">
        <f t="shared" si="4"/>
        <v>0.2495</v>
      </c>
      <c r="Q7" s="190">
        <v>0.98</v>
      </c>
      <c r="R7" s="187">
        <f t="shared" si="8"/>
        <v>0.98</v>
      </c>
      <c r="S7" s="190">
        <v>0.96599999999999997</v>
      </c>
      <c r="T7" s="202">
        <f t="shared" si="5"/>
        <v>1.7379999999999998</v>
      </c>
      <c r="U7" s="190">
        <f t="shared" si="9"/>
        <v>1</v>
      </c>
      <c r="V7" s="190">
        <v>0.21530000000000007</v>
      </c>
      <c r="W7" s="187">
        <f t="shared" si="13"/>
        <v>0.2</v>
      </c>
      <c r="X7" s="190">
        <v>6.5000000000000002E-2</v>
      </c>
      <c r="Y7" s="187">
        <f t="shared" si="13"/>
        <v>0.35</v>
      </c>
      <c r="Z7" s="190">
        <v>0.99</v>
      </c>
      <c r="AA7" s="203">
        <f t="shared" si="14"/>
        <v>0.65249999999999975</v>
      </c>
      <c r="AB7" s="190">
        <v>0.99</v>
      </c>
      <c r="AC7" s="203">
        <f t="shared" si="15"/>
        <v>0.85666666666666647</v>
      </c>
      <c r="AD7" s="190">
        <v>0.96699999999999997</v>
      </c>
      <c r="AE7" s="202">
        <f t="shared" si="10"/>
        <v>0.96699999999999997</v>
      </c>
      <c r="AF7" s="190">
        <v>2.2029862089393988</v>
      </c>
      <c r="AG7" s="193">
        <v>3.1419999999999999</v>
      </c>
      <c r="AH7" s="190">
        <f t="shared" si="9"/>
        <v>0.47541303403545215</v>
      </c>
      <c r="AI7" s="190">
        <v>1</v>
      </c>
      <c r="AJ7" s="190">
        <v>1</v>
      </c>
      <c r="AK7" s="191"/>
      <c r="AL7" s="192">
        <f t="shared" si="18"/>
        <v>0.73749999999999993</v>
      </c>
      <c r="AM7" s="192"/>
      <c r="AN7" s="367">
        <f t="shared" si="11"/>
        <v>0.14299999999999999</v>
      </c>
      <c r="AO7" s="193">
        <f t="shared" si="12"/>
        <v>0.5605</v>
      </c>
      <c r="AP7" s="193">
        <v>0.1</v>
      </c>
      <c r="AR7" s="193">
        <v>0.184</v>
      </c>
      <c r="AT7" s="193">
        <f t="shared" si="16"/>
        <v>0.48399999999999993</v>
      </c>
      <c r="AV7" s="194">
        <f>AV6+$AW$10/4</f>
        <v>0.2495</v>
      </c>
    </row>
    <row r="8" spans="1:65" x14ac:dyDescent="0.2">
      <c r="A8" s="186">
        <v>2001</v>
      </c>
      <c r="B8" s="187">
        <f t="shared" si="6"/>
        <v>0.14399999999999999</v>
      </c>
      <c r="C8" s="188">
        <v>0.14399999999999999</v>
      </c>
      <c r="D8" s="189">
        <f t="shared" si="0"/>
        <v>0.57987999999999995</v>
      </c>
      <c r="E8" s="188">
        <v>0.66200000000000003</v>
      </c>
      <c r="F8" s="190"/>
      <c r="G8" s="188">
        <v>0.13600000000000001</v>
      </c>
      <c r="H8" s="187">
        <f t="shared" si="1"/>
        <v>0.1</v>
      </c>
      <c r="I8" s="188">
        <v>0.16799999999999998</v>
      </c>
      <c r="J8" s="236">
        <f t="shared" si="2"/>
        <v>0.16799999999999998</v>
      </c>
      <c r="K8" s="188">
        <v>0.60699999999999998</v>
      </c>
      <c r="L8" s="196">
        <f t="shared" si="3"/>
        <v>0.61100000000000032</v>
      </c>
      <c r="M8" s="190"/>
      <c r="N8" s="187">
        <f t="shared" si="7"/>
        <v>0</v>
      </c>
      <c r="O8" s="190">
        <v>0.26800000000000002</v>
      </c>
      <c r="P8" s="187">
        <f t="shared" si="4"/>
        <v>0.22825000000000001</v>
      </c>
      <c r="Q8" s="190">
        <v>0.98</v>
      </c>
      <c r="R8" s="187">
        <f t="shared" si="8"/>
        <v>0.98</v>
      </c>
      <c r="S8" s="190">
        <v>0.96599999999999997</v>
      </c>
      <c r="T8" s="202">
        <f t="shared" si="5"/>
        <v>1.7519999999999998</v>
      </c>
      <c r="U8" s="190">
        <f t="shared" si="9"/>
        <v>1</v>
      </c>
      <c r="V8" s="190">
        <v>0.21540000000000006</v>
      </c>
      <c r="W8" s="187">
        <f t="shared" si="13"/>
        <v>0.2</v>
      </c>
      <c r="X8" s="190">
        <v>6.5000000000000002E-2</v>
      </c>
      <c r="Y8" s="187">
        <f t="shared" si="13"/>
        <v>0.35</v>
      </c>
      <c r="Z8" s="190">
        <v>0.99</v>
      </c>
      <c r="AA8" s="203">
        <f t="shared" si="14"/>
        <v>0.65499999999999969</v>
      </c>
      <c r="AB8" s="190">
        <v>0.99</v>
      </c>
      <c r="AC8" s="203">
        <f t="shared" si="15"/>
        <v>0.85999999999999976</v>
      </c>
      <c r="AD8" s="190">
        <v>0.96699999999999997</v>
      </c>
      <c r="AE8" s="202">
        <f t="shared" si="10"/>
        <v>0.96699999999999997</v>
      </c>
      <c r="AF8" s="190">
        <v>2.2353744607154451</v>
      </c>
      <c r="AG8" s="193">
        <v>3.157</v>
      </c>
      <c r="AH8" s="190">
        <f t="shared" si="9"/>
        <v>0.4746836857372248</v>
      </c>
      <c r="AI8" s="190">
        <v>1</v>
      </c>
      <c r="AJ8" s="190">
        <v>1</v>
      </c>
      <c r="AK8" s="191"/>
      <c r="AL8" s="192">
        <f t="shared" si="18"/>
        <v>0.7629999999999999</v>
      </c>
      <c r="AM8" s="192"/>
      <c r="AN8" s="367">
        <f t="shared" si="11"/>
        <v>0.14399999999999999</v>
      </c>
      <c r="AO8" s="193">
        <f t="shared" si="12"/>
        <v>0.57987999999999995</v>
      </c>
      <c r="AP8" s="193">
        <v>0.1</v>
      </c>
      <c r="AR8" s="193">
        <v>0.184</v>
      </c>
      <c r="AT8" s="193">
        <f t="shared" si="16"/>
        <v>0.5179999999999999</v>
      </c>
      <c r="AV8" s="194">
        <f t="shared" ref="AV8:AV9" si="19">AV7+$AW$10/4</f>
        <v>0.22825000000000001</v>
      </c>
    </row>
    <row r="9" spans="1:65" x14ac:dyDescent="0.2">
      <c r="A9" s="186">
        <v>2002</v>
      </c>
      <c r="B9" s="187">
        <f t="shared" si="6"/>
        <v>0.14499999999999999</v>
      </c>
      <c r="C9" s="188">
        <v>0.14499999999999999</v>
      </c>
      <c r="D9" s="189">
        <f t="shared" si="0"/>
        <v>0.5992599999999999</v>
      </c>
      <c r="E9" s="188">
        <v>0.66500000000000004</v>
      </c>
      <c r="F9" s="190"/>
      <c r="G9" s="188">
        <v>0.13534699069913084</v>
      </c>
      <c r="H9" s="187">
        <f t="shared" si="1"/>
        <v>0.1</v>
      </c>
      <c r="I9" s="188">
        <v>0.16999999999999998</v>
      </c>
      <c r="J9" s="236">
        <f t="shared" si="2"/>
        <v>0.16999999999999998</v>
      </c>
      <c r="K9" s="188">
        <v>0.61</v>
      </c>
      <c r="L9" s="196">
        <f t="shared" si="3"/>
        <v>0.61150000000000027</v>
      </c>
      <c r="M9" s="190"/>
      <c r="N9" s="187">
        <f t="shared" si="7"/>
        <v>0</v>
      </c>
      <c r="O9" s="190">
        <v>0.26500000000000001</v>
      </c>
      <c r="P9" s="187">
        <f t="shared" si="4"/>
        <v>0.20700000000000002</v>
      </c>
      <c r="Q9" s="190">
        <v>0.98</v>
      </c>
      <c r="R9" s="187">
        <f t="shared" si="8"/>
        <v>0.98</v>
      </c>
      <c r="S9" s="190">
        <v>0.96599999999999997</v>
      </c>
      <c r="T9" s="202">
        <f t="shared" si="5"/>
        <v>1.7659999999999998</v>
      </c>
      <c r="U9" s="190">
        <f t="shared" si="9"/>
        <v>1</v>
      </c>
      <c r="V9" s="190">
        <v>0.21550000000000005</v>
      </c>
      <c r="W9" s="187">
        <f t="shared" si="13"/>
        <v>0.2</v>
      </c>
      <c r="X9" s="190">
        <v>6.5000000000000002E-2</v>
      </c>
      <c r="Y9" s="187">
        <f t="shared" si="13"/>
        <v>0.35</v>
      </c>
      <c r="Z9" s="190">
        <v>0.99</v>
      </c>
      <c r="AA9" s="203">
        <f t="shared" si="14"/>
        <v>0.65749999999999964</v>
      </c>
      <c r="AB9" s="190">
        <v>0.99</v>
      </c>
      <c r="AC9" s="203">
        <f t="shared" si="15"/>
        <v>0.86333333333333306</v>
      </c>
      <c r="AD9" s="190">
        <v>0.96699999999999997</v>
      </c>
      <c r="AE9" s="202">
        <f t="shared" si="10"/>
        <v>0.96699999999999997</v>
      </c>
      <c r="AF9" s="190">
        <v>2.2799818691099363</v>
      </c>
      <c r="AG9" s="193">
        <v>3.1709999999999998</v>
      </c>
      <c r="AH9" s="190">
        <f t="shared" si="9"/>
        <v>0.47395433743899745</v>
      </c>
      <c r="AI9" s="190">
        <v>1</v>
      </c>
      <c r="AJ9" s="190">
        <v>1</v>
      </c>
      <c r="AK9" s="191"/>
      <c r="AL9" s="192">
        <f t="shared" si="18"/>
        <v>0.78849999999999987</v>
      </c>
      <c r="AM9" s="192"/>
      <c r="AN9" s="367">
        <f t="shared" si="11"/>
        <v>0.14499999999999999</v>
      </c>
      <c r="AO9" s="193">
        <f t="shared" si="12"/>
        <v>0.5992599999999999</v>
      </c>
      <c r="AP9" s="193">
        <v>0.1</v>
      </c>
      <c r="AR9" s="193">
        <v>0.184</v>
      </c>
      <c r="AT9" s="193">
        <f>AT8+$AU$10/6</f>
        <v>0.55199999999999994</v>
      </c>
      <c r="AV9" s="194">
        <f t="shared" si="19"/>
        <v>0.20700000000000002</v>
      </c>
    </row>
    <row r="10" spans="1:65" x14ac:dyDescent="0.2">
      <c r="A10" s="186">
        <v>2003</v>
      </c>
      <c r="B10" s="187">
        <f t="shared" si="6"/>
        <v>0.14599999999999999</v>
      </c>
      <c r="C10" s="188">
        <v>0.14599999999999999</v>
      </c>
      <c r="D10" s="189">
        <f t="shared" si="0"/>
        <v>0.61863999999999997</v>
      </c>
      <c r="E10" s="188">
        <v>0.66800000000000004</v>
      </c>
      <c r="F10" s="190"/>
      <c r="G10" s="188">
        <v>0.13359890668108435</v>
      </c>
      <c r="H10" s="187">
        <f t="shared" si="1"/>
        <v>0.1</v>
      </c>
      <c r="I10" s="188">
        <v>0.17199999999999999</v>
      </c>
      <c r="J10" s="236">
        <f t="shared" si="2"/>
        <v>0.17199999999999999</v>
      </c>
      <c r="K10" s="188">
        <v>0.61199999999999999</v>
      </c>
      <c r="L10" s="196">
        <f t="shared" si="3"/>
        <v>0.61200000000000021</v>
      </c>
      <c r="M10" s="190"/>
      <c r="N10" s="187">
        <f t="shared" si="7"/>
        <v>0</v>
      </c>
      <c r="O10" s="190">
        <v>0.26200000000000001</v>
      </c>
      <c r="P10" s="187">
        <f t="shared" si="4"/>
        <v>0.20699999999999999</v>
      </c>
      <c r="Q10" s="190">
        <v>0.98</v>
      </c>
      <c r="R10" s="187">
        <f t="shared" si="8"/>
        <v>0.98</v>
      </c>
      <c r="S10" s="190">
        <v>0.96599999999999997</v>
      </c>
      <c r="T10" s="202">
        <f t="shared" si="5"/>
        <v>1.7799999999999998</v>
      </c>
      <c r="U10" s="190">
        <f t="shared" si="9"/>
        <v>1</v>
      </c>
      <c r="V10" s="190">
        <v>0.21560000000000004</v>
      </c>
      <c r="W10" s="187">
        <f t="shared" si="13"/>
        <v>0.2</v>
      </c>
      <c r="X10" s="190">
        <v>6.5000000000000002E-2</v>
      </c>
      <c r="Y10" s="187">
        <f t="shared" si="13"/>
        <v>0.35</v>
      </c>
      <c r="Z10" s="190">
        <v>0.99</v>
      </c>
      <c r="AA10" s="203">
        <f t="shared" si="14"/>
        <v>0.65999999999999959</v>
      </c>
      <c r="AB10" s="190">
        <v>0.99</v>
      </c>
      <c r="AC10" s="203">
        <f t="shared" si="15"/>
        <v>0.86666666666666636</v>
      </c>
      <c r="AD10" s="190">
        <v>0.96699999999999997</v>
      </c>
      <c r="AE10" s="202">
        <f t="shared" si="10"/>
        <v>0.96699999999999997</v>
      </c>
      <c r="AF10" s="190">
        <v>2.3345669825758248</v>
      </c>
      <c r="AG10" s="193">
        <v>3.1850000000000001</v>
      </c>
      <c r="AH10" s="190">
        <f t="shared" si="9"/>
        <v>0.4732249891407701</v>
      </c>
      <c r="AI10" s="190">
        <v>1</v>
      </c>
      <c r="AJ10" s="190">
        <v>1</v>
      </c>
      <c r="AK10" s="191"/>
      <c r="AL10" s="193">
        <v>0.81399999999999995</v>
      </c>
      <c r="AM10" s="192">
        <f>AL10-AL4</f>
        <v>0.15299999999999991</v>
      </c>
      <c r="AN10" s="367">
        <f t="shared" si="11"/>
        <v>0.14599999999999999</v>
      </c>
      <c r="AO10" s="193">
        <f t="shared" si="12"/>
        <v>0.61863999999999997</v>
      </c>
      <c r="AP10" s="193">
        <v>0.1</v>
      </c>
      <c r="AR10" s="193">
        <v>0.184</v>
      </c>
      <c r="AT10" s="193">
        <v>0.58599999999999997</v>
      </c>
      <c r="AU10" s="193">
        <f>AT10-AT4</f>
        <v>0.20399999999999996</v>
      </c>
      <c r="AV10" s="193">
        <v>0.20699999999999999</v>
      </c>
      <c r="AW10" s="193">
        <f>AV10-AV4</f>
        <v>-8.4999999999999992E-2</v>
      </c>
    </row>
    <row r="11" spans="1:65" x14ac:dyDescent="0.2">
      <c r="A11" s="186">
        <v>2004</v>
      </c>
      <c r="B11" s="187">
        <f t="shared" si="6"/>
        <v>0.14699999999999999</v>
      </c>
      <c r="C11" s="188">
        <v>0.14699999999999999</v>
      </c>
      <c r="D11" s="189">
        <f t="shared" si="0"/>
        <v>0.61939999999999995</v>
      </c>
      <c r="E11" s="188">
        <v>0.67100000000000004</v>
      </c>
      <c r="F11" s="190"/>
      <c r="G11" s="188">
        <v>0.13185150222044939</v>
      </c>
      <c r="H11" s="187">
        <f t="shared" si="1"/>
        <v>0.1</v>
      </c>
      <c r="I11" s="188">
        <v>0.17399999999999999</v>
      </c>
      <c r="J11" s="236">
        <f t="shared" si="2"/>
        <v>0.17399999999999999</v>
      </c>
      <c r="K11" s="188">
        <v>0.61399999999999999</v>
      </c>
      <c r="L11" s="196">
        <f t="shared" si="3"/>
        <v>0.61250000000000016</v>
      </c>
      <c r="M11" s="190"/>
      <c r="N11" s="187">
        <f t="shared" si="7"/>
        <v>0</v>
      </c>
      <c r="O11" s="190">
        <v>0.25900000000000001</v>
      </c>
      <c r="P11" s="187">
        <f t="shared" si="4"/>
        <v>0.216</v>
      </c>
      <c r="Q11" s="190">
        <v>0.98</v>
      </c>
      <c r="R11" s="187">
        <f t="shared" si="8"/>
        <v>0.98</v>
      </c>
      <c r="S11" s="190">
        <v>0.96599999999999997</v>
      </c>
      <c r="T11" s="202">
        <f t="shared" si="5"/>
        <v>1.7939999999999998</v>
      </c>
      <c r="U11" s="190">
        <f t="shared" si="9"/>
        <v>1</v>
      </c>
      <c r="V11" s="190">
        <v>0.21570000000000003</v>
      </c>
      <c r="W11" s="187">
        <f t="shared" si="13"/>
        <v>0.2</v>
      </c>
      <c r="X11" s="190">
        <v>6.5000000000000002E-2</v>
      </c>
      <c r="Y11" s="187">
        <f t="shared" si="13"/>
        <v>0.35</v>
      </c>
      <c r="Z11" s="190">
        <v>0.99</v>
      </c>
      <c r="AA11" s="203">
        <f t="shared" si="14"/>
        <v>0.66249999999999953</v>
      </c>
      <c r="AB11" s="190">
        <v>0.99</v>
      </c>
      <c r="AC11" s="203">
        <f t="shared" si="15"/>
        <v>0.86999999999999966</v>
      </c>
      <c r="AD11" s="190">
        <v>0.96699999999999997</v>
      </c>
      <c r="AE11" s="202">
        <f t="shared" si="10"/>
        <v>0.96699999999999997</v>
      </c>
      <c r="AF11" s="190">
        <v>2.3905871407560904</v>
      </c>
      <c r="AG11" s="193">
        <v>3.1989999999999998</v>
      </c>
      <c r="AH11" s="190">
        <f t="shared" si="9"/>
        <v>0.47249564084254275</v>
      </c>
      <c r="AI11" s="190">
        <v>1</v>
      </c>
      <c r="AJ11" s="190">
        <v>1</v>
      </c>
      <c r="AK11" s="191"/>
      <c r="AL11" s="193">
        <f>AL10+$AM$14/4</f>
        <v>0.81499999999999995</v>
      </c>
      <c r="AN11" s="367">
        <f t="shared" si="11"/>
        <v>0.14699999999999999</v>
      </c>
      <c r="AO11" s="193">
        <f t="shared" si="12"/>
        <v>0.61939999999999995</v>
      </c>
      <c r="AP11" s="193">
        <v>0.1</v>
      </c>
      <c r="AR11" s="193">
        <v>0.184</v>
      </c>
      <c r="AT11" s="193">
        <f>AT10+$AU$14/6</f>
        <v>0.59066666666666667</v>
      </c>
      <c r="AV11" s="193">
        <f>AV10+$AW$14/4</f>
        <v>0.216</v>
      </c>
    </row>
    <row r="12" spans="1:65" x14ac:dyDescent="0.2">
      <c r="A12" s="186">
        <v>2005</v>
      </c>
      <c r="B12" s="187">
        <f t="shared" si="6"/>
        <v>0.14799999999999999</v>
      </c>
      <c r="C12" s="188">
        <v>0.14799999999999999</v>
      </c>
      <c r="D12" s="189">
        <f t="shared" si="0"/>
        <v>0.62015999999999993</v>
      </c>
      <c r="E12" s="188">
        <v>0.67400000000000004</v>
      </c>
      <c r="F12" s="196"/>
      <c r="G12" s="188">
        <v>0.1301589121501944</v>
      </c>
      <c r="H12" s="187">
        <f t="shared" si="1"/>
        <v>0.1</v>
      </c>
      <c r="I12" s="188">
        <v>0.17599999999999999</v>
      </c>
      <c r="J12" s="236">
        <f t="shared" si="2"/>
        <v>0.17599999999999999</v>
      </c>
      <c r="K12" s="188">
        <v>0.61599999999999999</v>
      </c>
      <c r="L12" s="196">
        <f t="shared" si="3"/>
        <v>0.6130000000000001</v>
      </c>
      <c r="M12" s="190"/>
      <c r="N12" s="187">
        <f t="shared" si="7"/>
        <v>0</v>
      </c>
      <c r="O12" s="190">
        <v>0.25600000000000001</v>
      </c>
      <c r="P12" s="187">
        <f t="shared" si="4"/>
        <v>0.22500000000000001</v>
      </c>
      <c r="Q12" s="190">
        <v>0.98</v>
      </c>
      <c r="R12" s="187">
        <f t="shared" si="8"/>
        <v>0.98</v>
      </c>
      <c r="S12" s="190">
        <v>0.96599999999999997</v>
      </c>
      <c r="T12" s="202">
        <f t="shared" si="5"/>
        <v>1.8079999999999998</v>
      </c>
      <c r="U12" s="196">
        <v>1</v>
      </c>
      <c r="V12" s="190">
        <v>0.21580000000000002</v>
      </c>
      <c r="W12" s="203">
        <f>'OD EIAData'!AU6-'OD Shares'!U12</f>
        <v>0.20141064079756799</v>
      </c>
      <c r="X12" s="190">
        <v>6.5000000000000002E-2</v>
      </c>
      <c r="Y12" s="187">
        <f t="shared" si="13"/>
        <v>0.35</v>
      </c>
      <c r="Z12" s="190">
        <v>0.99</v>
      </c>
      <c r="AA12" s="203">
        <f t="shared" si="14"/>
        <v>0.66499999999999948</v>
      </c>
      <c r="AB12" s="190">
        <v>0.99</v>
      </c>
      <c r="AC12" s="203">
        <f t="shared" si="15"/>
        <v>0.87333333333333296</v>
      </c>
      <c r="AD12" s="190">
        <v>0.96699999999999997</v>
      </c>
      <c r="AE12" s="202">
        <f t="shared" si="10"/>
        <v>0.96699999999999997</v>
      </c>
      <c r="AF12" s="190">
        <v>2.4478643451466082</v>
      </c>
      <c r="AG12" s="187">
        <f>'OD EIAData'!AY6</f>
        <v>3.2258272963172629</v>
      </c>
      <c r="AH12" s="196">
        <f>'OD EIAData'!BA6</f>
        <v>0.4717662925443154</v>
      </c>
      <c r="AI12" s="190">
        <v>1</v>
      </c>
      <c r="AJ12" s="190">
        <v>1</v>
      </c>
      <c r="AK12" s="191"/>
      <c r="AL12" s="193">
        <f t="shared" ref="AL12:AL13" si="20">AL11+$AM$14/4</f>
        <v>0.81599999999999995</v>
      </c>
      <c r="AN12" s="367">
        <f t="shared" si="11"/>
        <v>0.14799999999999999</v>
      </c>
      <c r="AO12" s="193">
        <f t="shared" si="12"/>
        <v>0.62015999999999993</v>
      </c>
      <c r="AP12" s="193">
        <v>0.1</v>
      </c>
      <c r="AR12" s="193">
        <v>0.184</v>
      </c>
      <c r="AS12" s="193">
        <f>AR12-AR6</f>
        <v>0</v>
      </c>
      <c r="AT12" s="193">
        <f t="shared" ref="AT12:AT13" si="21">AT11+$AU$14/6</f>
        <v>0.59533333333333338</v>
      </c>
      <c r="AV12" s="193">
        <f t="shared" ref="AV12:AV13" si="22">AV11+$AW$14/4</f>
        <v>0.22500000000000001</v>
      </c>
    </row>
    <row r="13" spans="1:65" x14ac:dyDescent="0.2">
      <c r="A13" s="186">
        <v>2006</v>
      </c>
      <c r="B13" s="187">
        <f t="shared" si="6"/>
        <v>0.14899999999999999</v>
      </c>
      <c r="C13" s="188">
        <v>0.14899999999999999</v>
      </c>
      <c r="D13" s="189">
        <f t="shared" si="0"/>
        <v>0.62091999999999992</v>
      </c>
      <c r="E13" s="188">
        <v>0.67700000000000005</v>
      </c>
      <c r="F13" s="196"/>
      <c r="G13" s="188">
        <v>0.12847029197091125</v>
      </c>
      <c r="H13" s="187">
        <f t="shared" si="1"/>
        <v>0.1</v>
      </c>
      <c r="I13" s="188">
        <v>0.17799999999999999</v>
      </c>
      <c r="J13" s="236">
        <f>I13</f>
        <v>0.17799999999999999</v>
      </c>
      <c r="K13" s="188">
        <v>0.61799999999999999</v>
      </c>
      <c r="L13" s="196">
        <f>L14-0.05%</f>
        <v>0.61350000000000005</v>
      </c>
      <c r="M13" s="190"/>
      <c r="N13" s="187">
        <f t="shared" si="7"/>
        <v>0</v>
      </c>
      <c r="O13" s="190">
        <v>0.253</v>
      </c>
      <c r="P13" s="187">
        <f t="shared" si="4"/>
        <v>0.23400000000000001</v>
      </c>
      <c r="Q13" s="190">
        <v>0.98</v>
      </c>
      <c r="R13" s="187">
        <f t="shared" si="8"/>
        <v>0.98</v>
      </c>
      <c r="S13" s="190">
        <v>0.96599999999999997</v>
      </c>
      <c r="T13" s="202">
        <f>T14-1.4%</f>
        <v>1.8219999999999998</v>
      </c>
      <c r="U13" s="196">
        <v>1</v>
      </c>
      <c r="V13" s="190">
        <v>0.21590000000000001</v>
      </c>
      <c r="W13" s="203">
        <f>'OD EIAData'!AU7-'OD Shares'!U13</f>
        <v>0.19988748036196879</v>
      </c>
      <c r="X13" s="190">
        <v>6.5000000000000002E-2</v>
      </c>
      <c r="Y13" s="187">
        <f t="shared" si="13"/>
        <v>0.35</v>
      </c>
      <c r="Z13" s="190">
        <v>0.99</v>
      </c>
      <c r="AA13" s="203">
        <f t="shared" si="14"/>
        <v>0.66749999999999943</v>
      </c>
      <c r="AB13" s="190">
        <v>0.99</v>
      </c>
      <c r="AC13" s="203">
        <f t="shared" si="15"/>
        <v>0.87666666666666626</v>
      </c>
      <c r="AD13" s="190">
        <v>0.96699999999999997</v>
      </c>
      <c r="AE13" s="202">
        <f t="shared" si="10"/>
        <v>0.96699999999999997</v>
      </c>
      <c r="AF13" s="190">
        <v>2.4818021786091178</v>
      </c>
      <c r="AG13" s="187">
        <f>'OD EIAData'!AY7</f>
        <v>3.2368607481663374</v>
      </c>
      <c r="AH13" s="196">
        <f>'OD EIAData'!BA7</f>
        <v>0.46959990314327987</v>
      </c>
      <c r="AI13" s="190">
        <v>1</v>
      </c>
      <c r="AJ13" s="190">
        <v>1</v>
      </c>
      <c r="AK13" s="191"/>
      <c r="AL13" s="193">
        <f t="shared" si="20"/>
        <v>0.81699999999999995</v>
      </c>
      <c r="AN13" s="367">
        <f t="shared" si="11"/>
        <v>0.14899999999999999</v>
      </c>
      <c r="AO13" s="193">
        <f t="shared" si="12"/>
        <v>0.62091999999999992</v>
      </c>
      <c r="AP13" s="193">
        <v>0.1</v>
      </c>
      <c r="AR13" s="193">
        <v>0.184</v>
      </c>
      <c r="AS13" s="193"/>
      <c r="AT13" s="193">
        <f t="shared" si="21"/>
        <v>0.60000000000000009</v>
      </c>
      <c r="AV13" s="193">
        <f t="shared" si="22"/>
        <v>0.23400000000000001</v>
      </c>
      <c r="BD13" s="201"/>
      <c r="BE13" s="201"/>
      <c r="BF13" s="201"/>
      <c r="BG13" s="201"/>
      <c r="BH13" s="201"/>
      <c r="BI13" s="201"/>
    </row>
    <row r="14" spans="1:65" x14ac:dyDescent="0.2">
      <c r="A14" s="186">
        <v>2007</v>
      </c>
      <c r="B14" s="187">
        <f t="shared" si="6"/>
        <v>0.15</v>
      </c>
      <c r="C14" s="188">
        <v>0.15</v>
      </c>
      <c r="D14" s="189">
        <f t="shared" si="0"/>
        <v>0.62168000000000001</v>
      </c>
      <c r="E14" s="188">
        <v>0.68</v>
      </c>
      <c r="F14" s="196"/>
      <c r="G14" s="188">
        <v>0.12690371201440123</v>
      </c>
      <c r="H14" s="187">
        <f t="shared" si="1"/>
        <v>0.1</v>
      </c>
      <c r="I14" s="188">
        <v>0.18</v>
      </c>
      <c r="J14" s="187">
        <f t="shared" ref="J14:J17" si="23">AR14</f>
        <v>0.184</v>
      </c>
      <c r="K14" s="188">
        <v>0.62</v>
      </c>
      <c r="L14" s="187">
        <f>AT14</f>
        <v>0.61399999999999999</v>
      </c>
      <c r="M14" s="190"/>
      <c r="N14" s="187">
        <f t="shared" si="7"/>
        <v>0</v>
      </c>
      <c r="O14" s="190">
        <v>0.25</v>
      </c>
      <c r="P14" s="187">
        <f t="shared" si="4"/>
        <v>0.24299999999999999</v>
      </c>
      <c r="Q14" s="190">
        <v>0.98</v>
      </c>
      <c r="R14" s="230">
        <f>AX14</f>
        <v>0.98099999999999998</v>
      </c>
      <c r="S14" s="190">
        <v>0.96599999999999997</v>
      </c>
      <c r="T14" s="187">
        <f>AZ14+BB14</f>
        <v>1.8359999999999999</v>
      </c>
      <c r="U14" s="196">
        <v>1</v>
      </c>
      <c r="V14" s="190">
        <v>0.216</v>
      </c>
      <c r="W14" s="203">
        <f>'OD EIAData'!AU8-'OD Shares'!U14</f>
        <v>0.20002563335754253</v>
      </c>
      <c r="X14" s="190">
        <v>6.5000000000000002E-2</v>
      </c>
      <c r="Y14" s="187">
        <f>BD14</f>
        <v>0.5</v>
      </c>
      <c r="Z14" s="190">
        <v>0.99</v>
      </c>
      <c r="AA14" s="187">
        <f>BF14</f>
        <v>0.45</v>
      </c>
      <c r="AB14" s="190">
        <v>0.99</v>
      </c>
      <c r="AC14" s="187">
        <f>BH14</f>
        <v>0.84</v>
      </c>
      <c r="AD14" s="190">
        <v>0.96699999999999997</v>
      </c>
      <c r="AE14" s="187">
        <f>BJ14</f>
        <v>0.93400000000000005</v>
      </c>
      <c r="AF14" s="190">
        <v>2.5160189803562911</v>
      </c>
      <c r="AG14" s="187">
        <f>'OD EIAData'!AY8</f>
        <v>3.4855378020819985</v>
      </c>
      <c r="AH14" s="196">
        <f>'OD EIAData'!BA8</f>
        <v>0.46697483658734568</v>
      </c>
      <c r="AI14" s="190">
        <v>1</v>
      </c>
      <c r="AJ14" s="190">
        <v>1</v>
      </c>
      <c r="AK14" s="191"/>
      <c r="AL14" s="193">
        <v>0.81799999999999995</v>
      </c>
      <c r="AM14" s="193">
        <f>AL14-AL10</f>
        <v>4.0000000000000036E-3</v>
      </c>
      <c r="AN14" s="367">
        <f t="shared" si="11"/>
        <v>0.15</v>
      </c>
      <c r="AO14" s="193">
        <f t="shared" si="12"/>
        <v>0.62168000000000001</v>
      </c>
      <c r="AP14" s="193">
        <v>0.1</v>
      </c>
      <c r="AQ14" s="201">
        <v>0.89</v>
      </c>
      <c r="AR14" s="193">
        <v>0.184</v>
      </c>
      <c r="AS14" s="193"/>
      <c r="AT14" s="193">
        <v>0.61399999999999999</v>
      </c>
      <c r="AU14" s="193">
        <f>AT14-AT10</f>
        <v>2.8000000000000025E-2</v>
      </c>
      <c r="AV14" s="193">
        <v>0.24299999999999999</v>
      </c>
      <c r="AW14" s="193">
        <f>AV14-AV10</f>
        <v>3.6000000000000004E-2</v>
      </c>
      <c r="AX14" s="193">
        <v>0.98099999999999998</v>
      </c>
      <c r="AZ14" s="193">
        <v>0.96599999999999997</v>
      </c>
      <c r="BB14" s="201">
        <v>0.87</v>
      </c>
      <c r="BC14" s="201"/>
      <c r="BD14" s="193">
        <v>0.5</v>
      </c>
      <c r="BE14" s="201"/>
      <c r="BF14" s="193">
        <v>0.45</v>
      </c>
      <c r="BG14" s="201"/>
      <c r="BH14" s="193">
        <v>0.84</v>
      </c>
      <c r="BJ14" s="193">
        <v>0.93400000000000005</v>
      </c>
    </row>
    <row r="15" spans="1:65" x14ac:dyDescent="0.2">
      <c r="A15" s="186">
        <v>2008</v>
      </c>
      <c r="B15" s="187">
        <f t="shared" si="6"/>
        <v>0.18228320000000001</v>
      </c>
      <c r="C15" s="188">
        <v>0.15</v>
      </c>
      <c r="D15" s="189">
        <f t="shared" si="0"/>
        <v>0.62970559999999998</v>
      </c>
      <c r="E15" s="188">
        <v>0.68100000000000005</v>
      </c>
      <c r="F15" s="196"/>
      <c r="G15" s="188">
        <v>0.12547646885374325</v>
      </c>
      <c r="H15" s="187">
        <f t="shared" si="1"/>
        <v>9.2999999999999999E-2</v>
      </c>
      <c r="I15" s="188">
        <v>0.18049999999999999</v>
      </c>
      <c r="J15" s="187">
        <f t="shared" si="23"/>
        <v>0.1784</v>
      </c>
      <c r="K15" s="188">
        <v>0.62049999999999994</v>
      </c>
      <c r="L15" s="187">
        <f t="shared" ref="L15:L17" si="24">AT15</f>
        <v>0.61933333333333329</v>
      </c>
      <c r="M15" s="190"/>
      <c r="N15" s="187">
        <f t="shared" si="7"/>
        <v>0</v>
      </c>
      <c r="O15" s="190">
        <v>0.248</v>
      </c>
      <c r="P15" s="187">
        <f t="shared" si="4"/>
        <v>0.24833333333333332</v>
      </c>
      <c r="Q15" s="190">
        <v>0.98</v>
      </c>
      <c r="R15" s="230">
        <f>AX15</f>
        <v>0.98233333333333328</v>
      </c>
      <c r="S15" s="190">
        <v>0.96599999999999997</v>
      </c>
      <c r="T15" s="187">
        <f t="shared" ref="T15:T17" si="25">AZ15+BB15</f>
        <v>1.8776666666666666</v>
      </c>
      <c r="U15" s="196">
        <v>1</v>
      </c>
      <c r="V15" s="190">
        <v>0.21609999999999999</v>
      </c>
      <c r="W15" s="203">
        <f>'OD EIAData'!AU9-'OD Shares'!U15</f>
        <v>0.19989049190594188</v>
      </c>
      <c r="X15" s="190">
        <v>6.5000000000000002E-2</v>
      </c>
      <c r="Y15" s="187">
        <f t="shared" ref="Y15:Y17" si="26">BD15</f>
        <v>0.48333333333333334</v>
      </c>
      <c r="Z15" s="190">
        <v>0.99</v>
      </c>
      <c r="AA15" s="187">
        <f t="shared" ref="AA15:AA17" si="27">BF15</f>
        <v>0.45666666666666667</v>
      </c>
      <c r="AB15" s="190">
        <v>0.99</v>
      </c>
      <c r="AC15" s="187">
        <f t="shared" ref="AC15:AC17" si="28">BH15</f>
        <v>0.87333333333333329</v>
      </c>
      <c r="AD15" s="190">
        <v>0.96699999999999997</v>
      </c>
      <c r="AE15" s="187">
        <f t="shared" ref="AE15:AE17" si="29">BJ15</f>
        <v>0.93533333333333335</v>
      </c>
      <c r="AF15" s="190">
        <v>2.5506104301129255</v>
      </c>
      <c r="AG15" s="187">
        <f>'OD EIAData'!AY9</f>
        <v>3.7403596497213178</v>
      </c>
      <c r="AH15" s="196">
        <f>'OD EIAData'!BA9</f>
        <v>0.46445629995705179</v>
      </c>
      <c r="AI15" s="190">
        <v>1</v>
      </c>
      <c r="AJ15" s="190">
        <v>1</v>
      </c>
      <c r="AK15" s="191"/>
      <c r="AL15" s="193">
        <f>AL14+$AM$17*0.33</f>
        <v>0.82855999999999996</v>
      </c>
      <c r="AN15" s="171">
        <f t="shared" ref="AN15:AN16" si="30">AL15*(0.14+8%)</f>
        <v>0.18228320000000001</v>
      </c>
      <c r="AO15" s="193">
        <f t="shared" si="12"/>
        <v>0.62970559999999998</v>
      </c>
      <c r="AP15" s="193">
        <v>9.2999999999999999E-2</v>
      </c>
      <c r="AR15" s="193">
        <f t="shared" ref="AR15:AR16" si="31">AR14+$AS$17/5</f>
        <v>0.1784</v>
      </c>
      <c r="AT15" s="200">
        <f>AT14+$AU$17/3</f>
        <v>0.61933333333333329</v>
      </c>
      <c r="AV15" s="200">
        <f>AV14+AW$17/3</f>
        <v>0.24833333333333332</v>
      </c>
      <c r="AX15" s="193">
        <f>AX14+$AY$17/3</f>
        <v>0.98233333333333328</v>
      </c>
      <c r="AZ15" s="193">
        <f>AZ14+BA$17/3</f>
        <v>0.97099999999999997</v>
      </c>
      <c r="BB15" s="193">
        <f>BB14+BC$17/3</f>
        <v>0.90666666666666662</v>
      </c>
      <c r="BD15" s="193">
        <f>BD14+BE$17/3</f>
        <v>0.48333333333333334</v>
      </c>
      <c r="BF15" s="193">
        <f>BF14+BG$17/3</f>
        <v>0.45666666666666667</v>
      </c>
      <c r="BH15" s="193">
        <f>BH14+BI$17/3</f>
        <v>0.87333333333333329</v>
      </c>
      <c r="BJ15" s="193">
        <f>BJ14+BK$17/3</f>
        <v>0.93533333333333335</v>
      </c>
    </row>
    <row r="16" spans="1:65" x14ac:dyDescent="0.2">
      <c r="A16" s="186">
        <v>2009</v>
      </c>
      <c r="B16" s="187">
        <f t="shared" si="6"/>
        <v>0.18460640000000003</v>
      </c>
      <c r="C16" s="188">
        <v>0.15</v>
      </c>
      <c r="D16" s="189">
        <f t="shared" si="0"/>
        <v>0.63773119999999994</v>
      </c>
      <c r="E16" s="188">
        <v>0.68200000000000005</v>
      </c>
      <c r="F16" s="196"/>
      <c r="G16" s="188">
        <v>0.12411841039029452</v>
      </c>
      <c r="H16" s="187">
        <f t="shared" si="1"/>
        <v>9.6500000000000002E-2</v>
      </c>
      <c r="I16" s="188">
        <v>0.18099999999999999</v>
      </c>
      <c r="J16" s="187">
        <f t="shared" si="23"/>
        <v>0.17280000000000001</v>
      </c>
      <c r="K16" s="188">
        <v>0.62099999999999989</v>
      </c>
      <c r="L16" s="187">
        <f t="shared" si="24"/>
        <v>0.62466666666666659</v>
      </c>
      <c r="M16" s="190"/>
      <c r="N16" s="187">
        <f t="shared" si="7"/>
        <v>0</v>
      </c>
      <c r="O16" s="190">
        <v>0.246</v>
      </c>
      <c r="P16" s="187">
        <f t="shared" si="4"/>
        <v>0.25366666666666665</v>
      </c>
      <c r="Q16" s="190">
        <v>0.98</v>
      </c>
      <c r="R16" s="230">
        <f>AX16</f>
        <v>0.98366666666666658</v>
      </c>
      <c r="S16" s="190">
        <v>0.96599999999999997</v>
      </c>
      <c r="T16" s="187">
        <f t="shared" si="25"/>
        <v>1.9193333333333333</v>
      </c>
      <c r="U16" s="196">
        <v>1</v>
      </c>
      <c r="V16" s="190">
        <v>0.21619999999999998</v>
      </c>
      <c r="W16" s="203">
        <f>'OD EIAData'!AU10-'OD Shares'!U16</f>
        <v>0.20003617048637623</v>
      </c>
      <c r="X16" s="190">
        <v>6.5000000000000002E-2</v>
      </c>
      <c r="Y16" s="187">
        <f t="shared" si="26"/>
        <v>0.46666666666666667</v>
      </c>
      <c r="Z16" s="190">
        <v>0.99</v>
      </c>
      <c r="AA16" s="187">
        <f t="shared" si="27"/>
        <v>0.46333333333333332</v>
      </c>
      <c r="AB16" s="190">
        <v>0.99</v>
      </c>
      <c r="AC16" s="187">
        <f t="shared" si="28"/>
        <v>0.90666666666666662</v>
      </c>
      <c r="AD16" s="190">
        <v>0.96699999999999997</v>
      </c>
      <c r="AE16" s="187">
        <f t="shared" si="29"/>
        <v>0.93666666666666665</v>
      </c>
      <c r="AF16" s="190">
        <v>2.5855979656604848</v>
      </c>
      <c r="AG16" s="187">
        <f>'OD EIAData'!AY10</f>
        <v>3.9234508277872155</v>
      </c>
      <c r="AH16" s="196">
        <f>'OD EIAData'!BA10</f>
        <v>0.4619730296064164</v>
      </c>
      <c r="AI16" s="190">
        <v>1</v>
      </c>
      <c r="AJ16" s="190">
        <v>1</v>
      </c>
      <c r="AK16" s="191"/>
      <c r="AL16" s="193">
        <f>AL15+$AM$17*0.33</f>
        <v>0.83911999999999998</v>
      </c>
      <c r="AN16" s="171">
        <f t="shared" si="30"/>
        <v>0.18460640000000003</v>
      </c>
      <c r="AO16" s="193">
        <f t="shared" si="12"/>
        <v>0.63773119999999994</v>
      </c>
      <c r="AP16" s="193">
        <v>9.6500000000000002E-2</v>
      </c>
      <c r="AR16" s="193">
        <f t="shared" si="31"/>
        <v>0.17280000000000001</v>
      </c>
      <c r="AT16" s="200">
        <f>AT15+$AU$17/3</f>
        <v>0.62466666666666659</v>
      </c>
      <c r="AV16" s="200">
        <f>AV15+AW$17/3</f>
        <v>0.25366666666666665</v>
      </c>
      <c r="AX16" s="193">
        <f>AX15+$AY$17/3</f>
        <v>0.98366666666666658</v>
      </c>
      <c r="AZ16" s="193">
        <f>AZ15+BA$17/3</f>
        <v>0.97599999999999998</v>
      </c>
      <c r="BB16" s="193">
        <f>BB15+BC$17/3</f>
        <v>0.94333333333333325</v>
      </c>
      <c r="BD16" s="193">
        <f>BD15+BE$17/3</f>
        <v>0.46666666666666667</v>
      </c>
      <c r="BF16" s="193">
        <f>BF15+BG$17/3</f>
        <v>0.46333333333333332</v>
      </c>
      <c r="BH16" s="193">
        <f>BH15+BI$17/3</f>
        <v>0.90666666666666662</v>
      </c>
      <c r="BJ16" s="193">
        <f>BJ15+BK$17/3</f>
        <v>0.93666666666666665</v>
      </c>
    </row>
    <row r="17" spans="1:63" x14ac:dyDescent="0.2">
      <c r="A17" s="186">
        <v>2010</v>
      </c>
      <c r="B17" s="187">
        <f t="shared" si="6"/>
        <v>0.18700000000000003</v>
      </c>
      <c r="C17" s="188">
        <v>0.15</v>
      </c>
      <c r="D17" s="189">
        <f t="shared" si="0"/>
        <v>0.64600000000000002</v>
      </c>
      <c r="E17" s="188">
        <v>0.68300000000000005</v>
      </c>
      <c r="F17" s="196"/>
      <c r="G17" s="188">
        <v>0.12278490285457273</v>
      </c>
      <c r="H17" s="187">
        <f>AP17</f>
        <v>0.09</v>
      </c>
      <c r="I17" s="188">
        <v>0.18149999999999999</v>
      </c>
      <c r="J17" s="187">
        <f t="shared" si="23"/>
        <v>0.156</v>
      </c>
      <c r="K17" s="188">
        <v>0.62149999999999983</v>
      </c>
      <c r="L17" s="187">
        <f t="shared" si="24"/>
        <v>0.63</v>
      </c>
      <c r="M17" s="190"/>
      <c r="N17" s="187">
        <f t="shared" si="7"/>
        <v>0</v>
      </c>
      <c r="O17" s="190">
        <v>0.24399999999999999</v>
      </c>
      <c r="P17" s="187">
        <f t="shared" si="4"/>
        <v>0.25900000000000001</v>
      </c>
      <c r="Q17" s="190">
        <v>0.98</v>
      </c>
      <c r="R17" s="230">
        <f>AX17</f>
        <v>0.98499999999999999</v>
      </c>
      <c r="S17" s="190">
        <v>0.96599999999999997</v>
      </c>
      <c r="T17" s="187">
        <f t="shared" si="25"/>
        <v>1.9609999999999999</v>
      </c>
      <c r="U17" s="196">
        <v>1</v>
      </c>
      <c r="V17" s="190">
        <v>0.21629999999999996</v>
      </c>
      <c r="W17" s="203">
        <f>'OD EIAData'!AU11-'OD Shares'!U17</f>
        <v>0.20032436862460035</v>
      </c>
      <c r="X17" s="190">
        <v>6.5000000000000002E-2</v>
      </c>
      <c r="Y17" s="187">
        <f t="shared" si="26"/>
        <v>0.45</v>
      </c>
      <c r="Z17" s="190">
        <v>0.99</v>
      </c>
      <c r="AA17" s="187">
        <f t="shared" si="27"/>
        <v>0.47</v>
      </c>
      <c r="AB17" s="190">
        <v>0.99</v>
      </c>
      <c r="AC17" s="187">
        <f t="shared" si="28"/>
        <v>0.94</v>
      </c>
      <c r="AD17" s="190">
        <v>0.96699999999999997</v>
      </c>
      <c r="AE17" s="187">
        <f t="shared" si="29"/>
        <v>0.93799999999999994</v>
      </c>
      <c r="AF17" s="190">
        <v>2.6210351706170574</v>
      </c>
      <c r="AG17" s="187">
        <f>'OD EIAData'!AY11</f>
        <v>4.0711013891304644</v>
      </c>
      <c r="AH17" s="196">
        <f>'OD EIAData'!BA11</f>
        <v>0.45986952536697129</v>
      </c>
      <c r="AI17" s="190">
        <v>1</v>
      </c>
      <c r="AJ17" s="190">
        <v>1</v>
      </c>
      <c r="AK17" s="191"/>
      <c r="AL17" s="193">
        <v>0.85</v>
      </c>
      <c r="AM17" s="193">
        <f>AL17-AL14</f>
        <v>3.2000000000000028E-2</v>
      </c>
      <c r="AN17" s="171">
        <f>AL17*(0.14+8%)</f>
        <v>0.18700000000000003</v>
      </c>
      <c r="AO17" s="193">
        <f t="shared" si="12"/>
        <v>0.64600000000000002</v>
      </c>
      <c r="AP17" s="193">
        <v>0.09</v>
      </c>
      <c r="AQ17" s="172">
        <v>0.92800000000000005</v>
      </c>
      <c r="AR17" s="193">
        <v>0.156</v>
      </c>
      <c r="AS17" s="193">
        <f>AR17-AR14</f>
        <v>-2.7999999999999997E-2</v>
      </c>
      <c r="AT17" s="193">
        <v>0.63</v>
      </c>
      <c r="AU17" s="193">
        <f>AT17-AT14</f>
        <v>1.6000000000000014E-2</v>
      </c>
      <c r="AV17" s="193">
        <v>0.25900000000000001</v>
      </c>
      <c r="AW17" s="193">
        <f>AV17-AV14</f>
        <v>1.6000000000000014E-2</v>
      </c>
      <c r="AX17" s="193">
        <v>0.98499999999999999</v>
      </c>
      <c r="AY17" s="193">
        <f>AX17-AX14</f>
        <v>4.0000000000000036E-3</v>
      </c>
      <c r="AZ17" s="193">
        <v>0.98099999999999998</v>
      </c>
      <c r="BA17" s="193">
        <f>AZ17-AZ14</f>
        <v>1.5000000000000013E-2</v>
      </c>
      <c r="BB17" s="193">
        <v>0.98</v>
      </c>
      <c r="BC17" s="193">
        <f>BB17-BB14</f>
        <v>0.10999999999999999</v>
      </c>
      <c r="BD17" s="193">
        <v>0.45</v>
      </c>
      <c r="BE17" s="193">
        <f>BD17-BD14</f>
        <v>-4.9999999999999989E-2</v>
      </c>
      <c r="BF17" s="193">
        <v>0.47</v>
      </c>
      <c r="BG17" s="193">
        <f>BF17-BF14</f>
        <v>1.9999999999999962E-2</v>
      </c>
      <c r="BH17" s="193">
        <v>0.94</v>
      </c>
      <c r="BI17" s="193">
        <f>BH17-BH14</f>
        <v>9.9999999999999978E-2</v>
      </c>
      <c r="BJ17" s="193">
        <v>0.93799999999999994</v>
      </c>
      <c r="BK17" s="193">
        <f>BJ17-BJ14</f>
        <v>3.9999999999998925E-3</v>
      </c>
    </row>
    <row r="18" spans="1:63" x14ac:dyDescent="0.2">
      <c r="A18" s="186">
        <v>2011</v>
      </c>
      <c r="B18" s="196">
        <f>(B17+'OD EIAData'!W12/3)</f>
        <v>0.18513677990507893</v>
      </c>
      <c r="C18" s="188">
        <v>0.15</v>
      </c>
      <c r="D18" s="196">
        <f>(D17+'OD EIAData'!Y12/3)</f>
        <v>0.65153792957252465</v>
      </c>
      <c r="E18" s="188">
        <v>0.68400000000000005</v>
      </c>
      <c r="F18" s="196"/>
      <c r="G18" s="188">
        <v>0.12147403950865435</v>
      </c>
      <c r="H18" s="196">
        <f>(H17*('OD EIAData'!AC121+1))</f>
        <v>0.09</v>
      </c>
      <c r="I18" s="188">
        <v>0.182</v>
      </c>
      <c r="J18" s="196">
        <f>(J17+'OD EIAData'!AG12)</f>
        <v>0.15761454871219746</v>
      </c>
      <c r="K18" s="188">
        <v>0.62199999999999978</v>
      </c>
      <c r="L18" s="196">
        <f>(L17+'OD EIAData'!AI12/3)</f>
        <v>0.63553792957252464</v>
      </c>
      <c r="M18" s="190"/>
      <c r="N18" s="187">
        <f t="shared" si="7"/>
        <v>0</v>
      </c>
      <c r="O18" s="190">
        <v>0.24199999999999999</v>
      </c>
      <c r="P18" s="203">
        <f>P17-0.05%</f>
        <v>0.25850000000000001</v>
      </c>
      <c r="Q18" s="190">
        <v>0.98</v>
      </c>
      <c r="R18" s="196">
        <f>(R17+'OD EIAData'!AP12/3)</f>
        <v>0.98616249438309211</v>
      </c>
      <c r="S18" s="190">
        <v>0.96599999999999997</v>
      </c>
      <c r="T18" s="196">
        <f>(T17+'OD EIAData'!AR12)</f>
        <v>1.9627283051878492</v>
      </c>
      <c r="U18" s="196">
        <v>1</v>
      </c>
      <c r="V18" s="190">
        <v>0.21639999999999995</v>
      </c>
      <c r="W18" s="203">
        <f>'OD EIAData'!AU12-'OD Shares'!U18</f>
        <v>0.20067290945423522</v>
      </c>
      <c r="X18" s="190">
        <v>6.5000000000000002E-2</v>
      </c>
      <c r="Y18" s="196">
        <f>(Y17+'OD EIAData'!AX12)</f>
        <v>0.45021047624794935</v>
      </c>
      <c r="Z18" s="190">
        <v>0.99</v>
      </c>
      <c r="AA18" s="196">
        <f>(AA17+'OD EIAData'!AN12)</f>
        <v>0.47505417185426269</v>
      </c>
      <c r="AB18" s="190">
        <v>0.99</v>
      </c>
      <c r="AC18" s="196">
        <f>(AC17+'OD EIAData'!AL12)</f>
        <v>0.9405957219436285</v>
      </c>
      <c r="AD18" s="190">
        <v>0.96699999999999997</v>
      </c>
      <c r="AE18" s="196">
        <f>(AE17+'OD EIAData'!AT12)</f>
        <v>0.93989758562521919</v>
      </c>
      <c r="AF18" s="190">
        <v>2.6438468624927269</v>
      </c>
      <c r="AG18" s="187">
        <f>'OD EIAData'!AY12</f>
        <v>4.0733023201986187</v>
      </c>
      <c r="AH18" s="196">
        <f>'OD EIAData'!BA12</f>
        <v>0.45749862011910375</v>
      </c>
      <c r="AI18" s="190">
        <v>1</v>
      </c>
      <c r="AJ18" s="190">
        <v>1</v>
      </c>
      <c r="AK18" s="191"/>
    </row>
    <row r="19" spans="1:63" x14ac:dyDescent="0.2">
      <c r="A19" s="186">
        <v>2012</v>
      </c>
      <c r="B19" s="196">
        <f>(B18+'OD EIAData'!W13/3)</f>
        <v>0.18256459504403966</v>
      </c>
      <c r="C19" s="188">
        <v>0.15</v>
      </c>
      <c r="D19" s="196">
        <f>(D18+'OD EIAData'!Y13/3)</f>
        <v>0.66011123307288688</v>
      </c>
      <c r="E19" s="188">
        <v>0.68500000000000005</v>
      </c>
      <c r="F19" s="196"/>
      <c r="G19" s="188">
        <v>0.12016355341179324</v>
      </c>
      <c r="H19" s="196">
        <f>(H18*('OD EIAData'!AC122+1))</f>
        <v>0.09</v>
      </c>
      <c r="I19" s="188">
        <v>0.1825</v>
      </c>
      <c r="J19" s="196">
        <f>(J18+'OD EIAData'!AG13)</f>
        <v>0.15684704384438372</v>
      </c>
      <c r="K19" s="188">
        <v>0.62249999999999972</v>
      </c>
      <c r="L19" s="196">
        <f>(L18+'OD EIAData'!AI13/3)</f>
        <v>0.64411123307288687</v>
      </c>
      <c r="M19" s="190"/>
      <c r="N19" s="187">
        <f t="shared" si="7"/>
        <v>0</v>
      </c>
      <c r="O19" s="190">
        <v>0.24</v>
      </c>
      <c r="P19" s="203">
        <f t="shared" ref="P19:P50" si="32">P18-0.05%</f>
        <v>0.25800000000000001</v>
      </c>
      <c r="Q19" s="190">
        <v>0.98</v>
      </c>
      <c r="R19" s="196">
        <f>(R18+'OD EIAData'!AP13/3)</f>
        <v>0.98765509656550798</v>
      </c>
      <c r="S19" s="190">
        <v>0.96599999999999997</v>
      </c>
      <c r="T19" s="196">
        <f>(T18+'OD EIAData'!AR13)</f>
        <v>1.9647855845685769</v>
      </c>
      <c r="U19" s="196">
        <v>1</v>
      </c>
      <c r="V19" s="190">
        <v>0.21649999999999994</v>
      </c>
      <c r="W19" s="203">
        <f>'OD EIAData'!AU13-'OD Shares'!U19</f>
        <v>0.20090026283026696</v>
      </c>
      <c r="X19" s="190">
        <v>6.5000000000000002E-2</v>
      </c>
      <c r="Y19" s="196">
        <f>(Y18+'OD EIAData'!AX13)</f>
        <v>0.45016261456896051</v>
      </c>
      <c r="Z19" s="190">
        <v>0.99</v>
      </c>
      <c r="AA19" s="196">
        <f>(AA18+'OD EIAData'!AN13)</f>
        <v>0.48184326786268095</v>
      </c>
      <c r="AB19" s="190">
        <v>0.99</v>
      </c>
      <c r="AC19" s="196">
        <f>(AC18+'OD EIAData'!AL13)</f>
        <v>0.94169935593815124</v>
      </c>
      <c r="AD19" s="190">
        <v>0.96699999999999997</v>
      </c>
      <c r="AE19" s="196">
        <f>(AE18+'OD EIAData'!AT13)</f>
        <v>0.94234225386785919</v>
      </c>
      <c r="AF19" s="190">
        <v>2.6668302857397279</v>
      </c>
      <c r="AG19" s="187">
        <f>'OD EIAData'!AY13</f>
        <v>4.0627656660672296</v>
      </c>
      <c r="AH19" s="196">
        <f>'OD EIAData'!BA13</f>
        <v>0.45347295614884492</v>
      </c>
      <c r="AI19" s="190">
        <v>1</v>
      </c>
      <c r="AJ19" s="190">
        <v>1</v>
      </c>
      <c r="AK19" s="191"/>
    </row>
    <row r="20" spans="1:63" x14ac:dyDescent="0.2">
      <c r="A20" s="186">
        <v>2013</v>
      </c>
      <c r="B20" s="196">
        <f>(B19+'OD EIAData'!W14/3)</f>
        <v>0.18120636302478788</v>
      </c>
      <c r="C20" s="188">
        <v>0.15</v>
      </c>
      <c r="D20" s="196">
        <f>(D19+'OD EIAData'!Y14/3)</f>
        <v>0.66505608924600879</v>
      </c>
      <c r="E20" s="188">
        <v>0.68600000000000005</v>
      </c>
      <c r="F20" s="196"/>
      <c r="G20" s="188">
        <v>0.11886615691393025</v>
      </c>
      <c r="H20" s="196">
        <f>(H19*('OD EIAData'!AC123+1))</f>
        <v>0.09</v>
      </c>
      <c r="I20" s="188">
        <v>0.183</v>
      </c>
      <c r="J20" s="196">
        <f>(J19+'OD EIAData'!AG14)</f>
        <v>0.15879239256857666</v>
      </c>
      <c r="K20" s="188">
        <v>0.62299999999999967</v>
      </c>
      <c r="L20" s="196">
        <f>(L19+'OD EIAData'!AI14/3)</f>
        <v>0.64905608924600877</v>
      </c>
      <c r="M20" s="190"/>
      <c r="N20" s="187">
        <f t="shared" si="7"/>
        <v>0</v>
      </c>
      <c r="O20" s="190">
        <v>0.23799999999999999</v>
      </c>
      <c r="P20" s="203">
        <f t="shared" si="32"/>
        <v>0.25750000000000001</v>
      </c>
      <c r="Q20" s="190">
        <v>0.98</v>
      </c>
      <c r="R20" s="196">
        <f>(R19+'OD EIAData'!AP14/3)</f>
        <v>0.98879289245906699</v>
      </c>
      <c r="S20" s="190">
        <v>0.96599999999999997</v>
      </c>
      <c r="T20" s="196">
        <f>(T19+'OD EIAData'!AR14)</f>
        <v>1.966515648107737</v>
      </c>
      <c r="U20" s="196">
        <v>1</v>
      </c>
      <c r="V20" s="190">
        <v>0.21659999999999993</v>
      </c>
      <c r="W20" s="203">
        <f>'OD EIAData'!AU14-'OD Shares'!U20</f>
        <v>0.2009131029949156</v>
      </c>
      <c r="X20" s="190">
        <v>6.5000000000000002E-2</v>
      </c>
      <c r="Y20" s="196">
        <f>(Y19+'OD EIAData'!AX14)</f>
        <v>0.44946281861010012</v>
      </c>
      <c r="Z20" s="190">
        <v>0.99</v>
      </c>
      <c r="AA20" s="196">
        <f>(AA19+'OD EIAData'!AN14)</f>
        <v>0.4863434705059162</v>
      </c>
      <c r="AB20" s="190">
        <v>0.99</v>
      </c>
      <c r="AC20" s="196">
        <f>(AC19+'OD EIAData'!AL14)</f>
        <v>0.94220282834671898</v>
      </c>
      <c r="AD20" s="190">
        <v>0.96699999999999997</v>
      </c>
      <c r="AE20" s="196">
        <f>(AE19+'OD EIAData'!AT14)</f>
        <v>0.94378147068182394</v>
      </c>
      <c r="AF20" s="190">
        <v>2.6899885368410881</v>
      </c>
      <c r="AG20" s="187">
        <f>'OD EIAData'!AY14</f>
        <v>4.0449035520841612</v>
      </c>
      <c r="AH20" s="196">
        <f>'OD EIAData'!BA14</f>
        <v>0.45102554646839327</v>
      </c>
      <c r="AI20" s="190">
        <v>1</v>
      </c>
      <c r="AJ20" s="190">
        <v>1</v>
      </c>
      <c r="AK20" s="191"/>
    </row>
    <row r="21" spans="1:63" x14ac:dyDescent="0.2">
      <c r="A21" s="186">
        <v>2014</v>
      </c>
      <c r="B21" s="196">
        <f>(B20+'OD EIAData'!W15/3)</f>
        <v>0.17950227039242297</v>
      </c>
      <c r="C21" s="188">
        <v>0.15</v>
      </c>
      <c r="D21" s="196">
        <f>(D20+'OD EIAData'!Y15/3)</f>
        <v>0.67142751507123177</v>
      </c>
      <c r="E21" s="188">
        <v>0.68700000000000006</v>
      </c>
      <c r="F21" s="196"/>
      <c r="G21" s="188">
        <v>0.11759383100621768</v>
      </c>
      <c r="H21" s="196">
        <f>(H20*('OD EIAData'!AC124+1))</f>
        <v>0.09</v>
      </c>
      <c r="I21" s="188">
        <v>0.1835</v>
      </c>
      <c r="J21" s="196">
        <f>(J20+'OD EIAData'!AG15)</f>
        <v>0.15941060776477731</v>
      </c>
      <c r="K21" s="188">
        <v>0.62349999999999961</v>
      </c>
      <c r="L21" s="196">
        <f>(L20+'OD EIAData'!AI15/3)</f>
        <v>0.65542751507123176</v>
      </c>
      <c r="M21" s="190"/>
      <c r="N21" s="187">
        <f t="shared" si="7"/>
        <v>0</v>
      </c>
      <c r="O21" s="190">
        <v>0.23599999999999999</v>
      </c>
      <c r="P21" s="203">
        <f t="shared" si="32"/>
        <v>0.25700000000000001</v>
      </c>
      <c r="Q21" s="190">
        <v>0.98</v>
      </c>
      <c r="R21" s="196">
        <f>(R20+'OD EIAData'!AP15/3)</f>
        <v>0.99004345050907339</v>
      </c>
      <c r="S21" s="190">
        <v>0.96599999999999997</v>
      </c>
      <c r="T21" s="196">
        <f>(T20+'OD EIAData'!AR15)</f>
        <v>1.96837282952954</v>
      </c>
      <c r="U21" s="196">
        <v>1</v>
      </c>
      <c r="V21" s="190">
        <v>0.21669999999999992</v>
      </c>
      <c r="W21" s="203">
        <f>'OD EIAData'!AU15-'OD Shares'!U21</f>
        <v>0.20086505379429465</v>
      </c>
      <c r="X21" s="190">
        <v>6.5000000000000002E-2</v>
      </c>
      <c r="Y21" s="196">
        <f>(Y20+'OD EIAData'!AX15)</f>
        <v>0.44915296822913081</v>
      </c>
      <c r="Z21" s="190">
        <v>0.99</v>
      </c>
      <c r="AA21" s="196">
        <f>(AA20+'OD EIAData'!AN15)</f>
        <v>0.49225058462087534</v>
      </c>
      <c r="AB21" s="190">
        <v>0.99</v>
      </c>
      <c r="AC21" s="196">
        <f>(AC20+'OD EIAData'!AL15)</f>
        <v>0.94311159441517067</v>
      </c>
      <c r="AD21" s="190">
        <v>0.96699999999999997</v>
      </c>
      <c r="AE21" s="196">
        <f>(AE20+'OD EIAData'!AT15)</f>
        <v>0.94578564307321655</v>
      </c>
      <c r="AF21" s="190">
        <v>2.7133309051619166</v>
      </c>
      <c r="AG21" s="187">
        <f>'OD EIAData'!AY15</f>
        <v>4.025574630189845</v>
      </c>
      <c r="AH21" s="196">
        <f>'OD EIAData'!BA15</f>
        <v>0.44759339875550308</v>
      </c>
      <c r="AI21" s="190">
        <v>1</v>
      </c>
      <c r="AJ21" s="190">
        <v>1</v>
      </c>
      <c r="AK21" s="191"/>
    </row>
    <row r="22" spans="1:63" x14ac:dyDescent="0.2">
      <c r="A22" s="186">
        <v>2015</v>
      </c>
      <c r="B22" s="196">
        <f>(B21+'OD EIAData'!W16/3)</f>
        <v>0.17773849539470976</v>
      </c>
      <c r="C22" s="188">
        <v>0.15</v>
      </c>
      <c r="D22" s="196">
        <f>(D21+'OD EIAData'!Y16/3)</f>
        <v>0.67841803879800588</v>
      </c>
      <c r="E22" s="188">
        <v>0.68800000000000006</v>
      </c>
      <c r="F22" s="196"/>
      <c r="G22" s="188">
        <v>0.1163444391863751</v>
      </c>
      <c r="H22" s="196">
        <f>(H21*('OD EIAData'!AC125+1))</f>
        <v>0.09</v>
      </c>
      <c r="I22" s="188">
        <v>0.184</v>
      </c>
      <c r="J22" s="196">
        <f>(J21+'OD EIAData'!AG16)</f>
        <v>0.15931238179608817</v>
      </c>
      <c r="K22" s="188">
        <v>0.62399999999999956</v>
      </c>
      <c r="L22" s="196">
        <f>(L21+'OD EIAData'!AI16/3)</f>
        <v>0.66241803879800587</v>
      </c>
      <c r="M22" s="190"/>
      <c r="N22" s="187">
        <f t="shared" si="7"/>
        <v>0</v>
      </c>
      <c r="O22" s="190">
        <v>0.23399999999999999</v>
      </c>
      <c r="P22" s="203">
        <f t="shared" si="32"/>
        <v>0.25650000000000001</v>
      </c>
      <c r="Q22" s="190">
        <v>0.98</v>
      </c>
      <c r="R22" s="196">
        <f>(R21+'OD EIAData'!AP16/3)</f>
        <v>0.99132080003430967</v>
      </c>
      <c r="S22" s="190">
        <v>0.96599999999999997</v>
      </c>
      <c r="T22" s="196">
        <f>(T21+'OD EIAData'!AR16)</f>
        <v>1.970288881140589</v>
      </c>
      <c r="U22" s="196">
        <v>1</v>
      </c>
      <c r="V22" s="190">
        <v>0.21679999999999991</v>
      </c>
      <c r="W22" s="203">
        <f>'OD EIAData'!AU16-'OD Shares'!U22</f>
        <v>0.200697936397775</v>
      </c>
      <c r="X22" s="190">
        <v>6.5000000000000002E-2</v>
      </c>
      <c r="Y22" s="196">
        <f>(Y21+'OD EIAData'!AX16)</f>
        <v>0.44906109821613865</v>
      </c>
      <c r="Z22" s="190">
        <v>0.99</v>
      </c>
      <c r="AA22" s="196">
        <f>(AA21+'OD EIAData'!AN16)</f>
        <v>0.4990834477887669</v>
      </c>
      <c r="AB22" s="190">
        <v>0.99</v>
      </c>
      <c r="AC22" s="196">
        <f>(AC21+'OD EIAData'!AL16)</f>
        <v>0.94429927528227808</v>
      </c>
      <c r="AD22" s="190">
        <v>0.96699999999999997</v>
      </c>
      <c r="AE22" s="196">
        <f>(AE21+'OD EIAData'!AT16)</f>
        <v>0.94814246892504173</v>
      </c>
      <c r="AF22" s="190">
        <v>2.7368456432640906</v>
      </c>
      <c r="AG22" s="187">
        <f>'OD EIAData'!AY16</f>
        <v>4.0097500255103595</v>
      </c>
      <c r="AH22" s="196">
        <f>'OD EIAData'!BA16</f>
        <v>0.44350898201164896</v>
      </c>
      <c r="AI22" s="190">
        <v>1</v>
      </c>
      <c r="AJ22" s="190">
        <v>1</v>
      </c>
      <c r="AK22" s="191"/>
    </row>
    <row r="23" spans="1:63" x14ac:dyDescent="0.2">
      <c r="A23" s="186">
        <v>2016</v>
      </c>
      <c r="B23" s="196">
        <f>(B22+'OD EIAData'!W17/3)</f>
        <v>0.17626084541815298</v>
      </c>
      <c r="C23" s="188">
        <v>0.15</v>
      </c>
      <c r="D23" s="196">
        <f>(D22+'OD EIAData'!Y17/3)</f>
        <v>0.68543885472358312</v>
      </c>
      <c r="E23" s="188">
        <v>0.68900000000000006</v>
      </c>
      <c r="F23" s="196"/>
      <c r="G23" s="188">
        <v>0.11511821404904395</v>
      </c>
      <c r="H23" s="196">
        <f>(H22*('OD EIAData'!AC126+1))</f>
        <v>0.09</v>
      </c>
      <c r="I23" s="188">
        <v>0.1845</v>
      </c>
      <c r="J23" s="196">
        <f>(J22+'OD EIAData'!AG17)</f>
        <v>0.15912608629322786</v>
      </c>
      <c r="K23" s="188">
        <v>0.6244999999999995</v>
      </c>
      <c r="L23" s="196">
        <f>(L22+'OD EIAData'!AI17/3)</f>
        <v>0.66943885472358311</v>
      </c>
      <c r="M23" s="190"/>
      <c r="N23" s="187">
        <f t="shared" si="7"/>
        <v>0</v>
      </c>
      <c r="O23" s="190">
        <v>0.23199999999999998</v>
      </c>
      <c r="P23" s="203">
        <f t="shared" si="32"/>
        <v>0.25600000000000001</v>
      </c>
      <c r="Q23" s="190">
        <v>0.98</v>
      </c>
      <c r="R23" s="196">
        <f>(R22+'OD EIAData'!AP17/3)</f>
        <v>0.99265222875921633</v>
      </c>
      <c r="S23" s="190">
        <v>0.96599999999999997</v>
      </c>
      <c r="T23" s="196">
        <f>(T22+'OD EIAData'!AR17)</f>
        <v>1.9714055502447905</v>
      </c>
      <c r="U23" s="196">
        <v>1</v>
      </c>
      <c r="V23" s="190">
        <v>0.2168999999999999</v>
      </c>
      <c r="W23" s="203">
        <f>'OD EIAData'!AU17-'OD Shares'!U23</f>
        <v>0.20029947296601835</v>
      </c>
      <c r="X23" s="190">
        <v>6.5000000000000002E-2</v>
      </c>
      <c r="Y23" s="196">
        <f>(Y22+'OD EIAData'!AX17)</f>
        <v>0.44887449152106068</v>
      </c>
      <c r="Z23" s="190">
        <v>0.99</v>
      </c>
      <c r="AA23" s="196">
        <f>(AA22+'OD EIAData'!AN17)</f>
        <v>0.50629413571616388</v>
      </c>
      <c r="AB23" s="190">
        <v>0.99</v>
      </c>
      <c r="AC23" s="196">
        <f>(AC22+'OD EIAData'!AL17)</f>
        <v>0.9456410474376149</v>
      </c>
      <c r="AD23" s="190">
        <v>0.96699999999999997</v>
      </c>
      <c r="AE23" s="196">
        <f>(AE22+'OD EIAData'!AT17)</f>
        <v>0.95059697035745994</v>
      </c>
      <c r="AF23" s="190">
        <v>2.7468118327668245</v>
      </c>
      <c r="AG23" s="187">
        <f>'OD EIAData'!AY17</f>
        <v>3.9990287615769162</v>
      </c>
      <c r="AH23" s="196">
        <f>'OD EIAData'!BA17</f>
        <v>0.43902646060805373</v>
      </c>
      <c r="AI23" s="190">
        <v>1</v>
      </c>
      <c r="AJ23" s="190">
        <v>1</v>
      </c>
      <c r="AK23" s="191"/>
    </row>
    <row r="24" spans="1:63" x14ac:dyDescent="0.2">
      <c r="A24" s="186">
        <v>2017</v>
      </c>
      <c r="B24" s="196">
        <f>(B23+'OD EIAData'!W18/3)</f>
        <v>0.17510682035796687</v>
      </c>
      <c r="C24" s="188">
        <v>0.15</v>
      </c>
      <c r="D24" s="196">
        <f>(D23+'OD EIAData'!Y18/3)</f>
        <v>0.69240912828357692</v>
      </c>
      <c r="E24" s="188">
        <v>0.69000000000000006</v>
      </c>
      <c r="F24" s="196"/>
      <c r="G24" s="188">
        <v>0.11390777829782768</v>
      </c>
      <c r="H24" s="196">
        <f>(H23*('OD EIAData'!AC127+1))</f>
        <v>0.09</v>
      </c>
      <c r="I24" s="188">
        <v>0.185</v>
      </c>
      <c r="J24" s="196">
        <f>(J23+'OD EIAData'!AG18)</f>
        <v>0.15925039607906086</v>
      </c>
      <c r="K24" s="188">
        <v>0.62499999999999944</v>
      </c>
      <c r="L24" s="196">
        <f>(L23+'OD EIAData'!AI18/3)</f>
        <v>0.67640912828357691</v>
      </c>
      <c r="M24" s="190"/>
      <c r="N24" s="187">
        <f t="shared" si="7"/>
        <v>0</v>
      </c>
      <c r="O24" s="190">
        <v>0.22999999999999998</v>
      </c>
      <c r="P24" s="203">
        <f t="shared" si="32"/>
        <v>0.2555</v>
      </c>
      <c r="Q24" s="190">
        <v>0.98</v>
      </c>
      <c r="R24" s="196">
        <f>(R23+'OD EIAData'!AP18/3)</f>
        <v>0.99436910172007209</v>
      </c>
      <c r="S24" s="190">
        <v>0.96599999999999997</v>
      </c>
      <c r="T24" s="196">
        <f>(T23+'OD EIAData'!AR18)</f>
        <v>1.9724733016826073</v>
      </c>
      <c r="U24" s="196">
        <v>1</v>
      </c>
      <c r="V24" s="190">
        <v>0.21699999999999989</v>
      </c>
      <c r="W24" s="203">
        <f>'OD EIAData'!AU18-'OD Shares'!U24</f>
        <v>0.19974053973741013</v>
      </c>
      <c r="X24" s="190">
        <v>6.5000000000000002E-2</v>
      </c>
      <c r="Y24" s="196">
        <f>(Y23+'OD EIAData'!AX18)</f>
        <v>0.448630994866769</v>
      </c>
      <c r="Z24" s="190">
        <v>0.99</v>
      </c>
      <c r="AA24" s="196">
        <f>(AA23+'OD EIAData'!AN18)</f>
        <v>0.51359375595865719</v>
      </c>
      <c r="AB24" s="190">
        <v>0.99</v>
      </c>
      <c r="AC24" s="196">
        <f>(AC23+'OD EIAData'!AL18)</f>
        <v>0.94704788436459686</v>
      </c>
      <c r="AD24" s="190">
        <v>0.96699999999999997</v>
      </c>
      <c r="AE24" s="196">
        <f>(AE23+'OD EIAData'!AT18)</f>
        <v>0.95304687114607201</v>
      </c>
      <c r="AF24" s="190">
        <v>2.7567854743232942</v>
      </c>
      <c r="AG24" s="187">
        <f>'OD EIAData'!AY18</f>
        <v>3.9952860372232877</v>
      </c>
      <c r="AH24" s="196">
        <f>'OD EIAData'!BA18</f>
        <v>0.43429021983125732</v>
      </c>
      <c r="AI24" s="190">
        <v>1</v>
      </c>
      <c r="AJ24" s="190">
        <v>1</v>
      </c>
      <c r="AK24" s="191"/>
    </row>
    <row r="25" spans="1:63" x14ac:dyDescent="0.2">
      <c r="A25" s="186">
        <v>2018</v>
      </c>
      <c r="B25" s="196">
        <f>(B24+'OD EIAData'!W19/3)</f>
        <v>0.1741594076714584</v>
      </c>
      <c r="C25" s="188">
        <v>0.15</v>
      </c>
      <c r="D25" s="196">
        <f>(D24+'OD EIAData'!Y19/3)</f>
        <v>0.699069632200503</v>
      </c>
      <c r="E25" s="188">
        <v>0.69100000000000006</v>
      </c>
      <c r="F25" s="196"/>
      <c r="G25" s="188">
        <v>0.11270727450804939</v>
      </c>
      <c r="H25" s="196">
        <f>(H24*('OD EIAData'!AC128+1))</f>
        <v>0.09</v>
      </c>
      <c r="I25" s="188">
        <v>0.1855</v>
      </c>
      <c r="J25" s="196">
        <f>(J24+'OD EIAData'!AG19)</f>
        <v>0.15968966714647501</v>
      </c>
      <c r="K25" s="188">
        <v>0.62549999999999939</v>
      </c>
      <c r="L25" s="196">
        <f>(L24+'OD EIAData'!AI19/3)</f>
        <v>0.68306963220050299</v>
      </c>
      <c r="M25" s="190"/>
      <c r="N25" s="187">
        <f t="shared" si="7"/>
        <v>0</v>
      </c>
      <c r="O25" s="190">
        <v>0.22799999999999998</v>
      </c>
      <c r="P25" s="203">
        <f t="shared" si="32"/>
        <v>0.255</v>
      </c>
      <c r="Q25" s="190">
        <v>0.98</v>
      </c>
      <c r="R25" s="196">
        <f>(R24+'OD EIAData'!AP19/3)</f>
        <v>0.99596570973340537</v>
      </c>
      <c r="S25" s="190">
        <v>0.96599999999999997</v>
      </c>
      <c r="T25" s="196">
        <f>(T24+'OD EIAData'!AR19)</f>
        <v>1.9735217255766495</v>
      </c>
      <c r="U25" s="196">
        <v>1</v>
      </c>
      <c r="V25" s="190">
        <v>0.21709999999999988</v>
      </c>
      <c r="W25" s="203">
        <f>'OD EIAData'!AU19-'OD Shares'!U25</f>
        <v>0.19913884317334873</v>
      </c>
      <c r="X25" s="190">
        <v>6.5000000000000002E-2</v>
      </c>
      <c r="Y25" s="196">
        <f>(Y24+'OD EIAData'!AX19)</f>
        <v>0.4484451618174437</v>
      </c>
      <c r="Z25" s="190">
        <v>0.99</v>
      </c>
      <c r="AA25" s="196">
        <f>(AA24+'OD EIAData'!AN19)</f>
        <v>0.52083439468864445</v>
      </c>
      <c r="AB25" s="190">
        <v>0.99</v>
      </c>
      <c r="AC25" s="196">
        <f>(AC24+'OD EIAData'!AL19)</f>
        <v>0.9484513093836564</v>
      </c>
      <c r="AD25" s="190">
        <v>0.96699999999999997</v>
      </c>
      <c r="AE25" s="196">
        <f>(AE24+'OD EIAData'!AT19)</f>
        <v>0.95545266869952195</v>
      </c>
      <c r="AF25" s="190">
        <v>2.7667795772352863</v>
      </c>
      <c r="AG25" s="187">
        <f>'OD EIAData'!AY19</f>
        <v>3.9982530870666295</v>
      </c>
      <c r="AH25" s="196">
        <f>'OD EIAData'!BA19</f>
        <v>0.42969338531599804</v>
      </c>
      <c r="AI25" s="190">
        <v>1</v>
      </c>
      <c r="AJ25" s="190">
        <v>1</v>
      </c>
      <c r="AK25" s="191"/>
    </row>
    <row r="26" spans="1:63" x14ac:dyDescent="0.2">
      <c r="A26" s="186">
        <v>2019</v>
      </c>
      <c r="B26" s="196">
        <f>(B25+'OD EIAData'!W20/3)</f>
        <v>0.17329849647315521</v>
      </c>
      <c r="C26" s="188">
        <v>0.15</v>
      </c>
      <c r="D26" s="196">
        <f>(D25+'OD EIAData'!Y20/3)</f>
        <v>0.70547085892562433</v>
      </c>
      <c r="E26" s="188">
        <v>0.69200000000000006</v>
      </c>
      <c r="F26" s="196"/>
      <c r="G26" s="188">
        <v>0.11151652306138114</v>
      </c>
      <c r="H26" s="196">
        <f>(H25*('OD EIAData'!AC129+1))</f>
        <v>0.09</v>
      </c>
      <c r="I26" s="188">
        <v>0.186</v>
      </c>
      <c r="J26" s="196">
        <f>(J25+'OD EIAData'!AG20)</f>
        <v>0.16028879794685222</v>
      </c>
      <c r="K26" s="188">
        <v>0.62599999999999933</v>
      </c>
      <c r="L26" s="196">
        <f>(L25+'OD EIAData'!AI20/3)</f>
        <v>0.68947085892562432</v>
      </c>
      <c r="M26" s="190"/>
      <c r="N26" s="187">
        <f t="shared" si="7"/>
        <v>0</v>
      </c>
      <c r="O26" s="190">
        <v>0.22599999999999998</v>
      </c>
      <c r="P26" s="203">
        <f t="shared" si="32"/>
        <v>0.2545</v>
      </c>
      <c r="Q26" s="190">
        <v>0.98</v>
      </c>
      <c r="R26" s="196">
        <f>(R25+'OD EIAData'!AP20/3)</f>
        <v>0.99745222223382179</v>
      </c>
      <c r="S26" s="190">
        <v>0.96599999999999997</v>
      </c>
      <c r="T26" s="196">
        <f>(T25+'OD EIAData'!AR20)</f>
        <v>1.974462691051315</v>
      </c>
      <c r="U26" s="196">
        <v>1</v>
      </c>
      <c r="V26" s="190">
        <v>0.21719999999999987</v>
      </c>
      <c r="W26" s="203">
        <f>'OD EIAData'!AU20-'OD Shares'!U26</f>
        <v>0.19855275960760377</v>
      </c>
      <c r="X26" s="190">
        <v>6.5000000000000002E-2</v>
      </c>
      <c r="Y26" s="196">
        <f>(Y25+'OD EIAData'!AX20)</f>
        <v>0.44829069508741398</v>
      </c>
      <c r="Z26" s="190">
        <v>0.99</v>
      </c>
      <c r="AA26" s="196">
        <f>(AA25+'OD EIAData'!AN20)</f>
        <v>0.52798305968114878</v>
      </c>
      <c r="AB26" s="190">
        <v>0.99</v>
      </c>
      <c r="AC26" s="196">
        <f>(AC25+'OD EIAData'!AL20)</f>
        <v>0.94983361407324618</v>
      </c>
      <c r="AD26" s="190">
        <v>0.96699999999999997</v>
      </c>
      <c r="AE26" s="196">
        <f>(AE25+'OD EIAData'!AT20)</f>
        <v>0.9577894459345373</v>
      </c>
      <c r="AF26" s="190">
        <v>2.7768228863589357</v>
      </c>
      <c r="AG26" s="187">
        <f>'OD EIAData'!AY20</f>
        <v>4.0068115096745238</v>
      </c>
      <c r="AH26" s="196">
        <f>'OD EIAData'!BA20</f>
        <v>0.42544551286536469</v>
      </c>
      <c r="AI26" s="190">
        <v>1</v>
      </c>
      <c r="AJ26" s="190">
        <v>1</v>
      </c>
      <c r="AK26" s="191"/>
    </row>
    <row r="27" spans="1:63" x14ac:dyDescent="0.2">
      <c r="A27" s="186">
        <v>2020</v>
      </c>
      <c r="B27" s="196">
        <f>(B26+'OD EIAData'!W21/3)</f>
        <v>0.17247993754698732</v>
      </c>
      <c r="C27" s="188">
        <v>0.15</v>
      </c>
      <c r="D27" s="196">
        <f>(D26+'OD EIAData'!Y21/3)</f>
        <v>0.71158409467904948</v>
      </c>
      <c r="E27" s="188">
        <v>0.69300000000000006</v>
      </c>
      <c r="F27" s="196"/>
      <c r="G27" s="188">
        <v>0.11033817869660122</v>
      </c>
      <c r="H27" s="196">
        <f>(H26*('OD EIAData'!AC130+1))</f>
        <v>0.09</v>
      </c>
      <c r="I27" s="188">
        <v>0.1865</v>
      </c>
      <c r="J27" s="196">
        <f>(J26+'OD EIAData'!AG21)</f>
        <v>0.16101356846402845</v>
      </c>
      <c r="K27" s="188">
        <v>0.62649999999999928</v>
      </c>
      <c r="L27" s="196">
        <f>(L26+'OD EIAData'!AI21/3)</f>
        <v>0.69558409467904947</v>
      </c>
      <c r="M27" s="190"/>
      <c r="N27" s="187">
        <f t="shared" si="7"/>
        <v>0</v>
      </c>
      <c r="O27" s="190">
        <v>0.22399999999999998</v>
      </c>
      <c r="P27" s="203">
        <f t="shared" si="32"/>
        <v>0.254</v>
      </c>
      <c r="Q27" s="190">
        <v>0.98</v>
      </c>
      <c r="R27" s="196">
        <f>(R26+'OD EIAData'!AP21/3)</f>
        <v>0.99882380184671826</v>
      </c>
      <c r="S27" s="190">
        <v>0.96599999999999997</v>
      </c>
      <c r="T27" s="196">
        <f>(T26+'OD EIAData'!AR21)</f>
        <v>1.9753533880450338</v>
      </c>
      <c r="U27" s="196">
        <v>1</v>
      </c>
      <c r="V27" s="190">
        <v>0.21729999999999985</v>
      </c>
      <c r="W27" s="203">
        <f>'OD EIAData'!AU21-'OD Shares'!U27</f>
        <v>0.19800898411512557</v>
      </c>
      <c r="X27" s="190">
        <v>6.5000000000000002E-2</v>
      </c>
      <c r="Y27" s="196">
        <f>(Y26+'OD EIAData'!AX21)</f>
        <v>0.44815072346126733</v>
      </c>
      <c r="Z27" s="190">
        <v>0.99</v>
      </c>
      <c r="AA27" s="196">
        <f>(AA26+'OD EIAData'!AN21)</f>
        <v>0.53499050970083739</v>
      </c>
      <c r="AB27" s="190">
        <v>0.99</v>
      </c>
      <c r="AC27" s="196">
        <f>(AC26+'OD EIAData'!AL21)</f>
        <v>0.95117621561637056</v>
      </c>
      <c r="AD27" s="190">
        <v>0.96699999999999997</v>
      </c>
      <c r="AE27" s="196">
        <f>(AE26+'OD EIAData'!AT21)</f>
        <v>0.96003915671145146</v>
      </c>
      <c r="AF27" s="190">
        <v>2.7869025971400103</v>
      </c>
      <c r="AG27" s="187">
        <f>'OD EIAData'!AY21</f>
        <v>4.019040286456665</v>
      </c>
      <c r="AH27" s="196">
        <f>'OD EIAData'!BA21</f>
        <v>0.42147549789666683</v>
      </c>
      <c r="AI27" s="190">
        <v>1</v>
      </c>
      <c r="AJ27" s="190">
        <v>1</v>
      </c>
      <c r="AK27" s="191"/>
    </row>
    <row r="28" spans="1:63" x14ac:dyDescent="0.2">
      <c r="A28" s="197">
        <v>2021</v>
      </c>
      <c r="B28" s="196">
        <f>(B27+'OD EIAData'!W22/3)</f>
        <v>0.17170305974387068</v>
      </c>
      <c r="C28" s="188">
        <v>0.15</v>
      </c>
      <c r="D28" s="196">
        <f>(D27+'OD EIAData'!Y22/3)</f>
        <v>0.71735652592790133</v>
      </c>
      <c r="E28" s="188">
        <v>0.69400000000000006</v>
      </c>
      <c r="F28" s="196"/>
      <c r="G28" s="188">
        <v>0.10917162601633612</v>
      </c>
      <c r="H28" s="196">
        <f>(H27*('OD EIAData'!AC131+1))</f>
        <v>0.09</v>
      </c>
      <c r="I28" s="188">
        <v>0.187</v>
      </c>
      <c r="J28" s="196">
        <f>(J27+'OD EIAData'!AG22)</f>
        <v>0.16188546259521627</v>
      </c>
      <c r="K28" s="188">
        <v>0.62699999999999922</v>
      </c>
      <c r="L28" s="196">
        <f>(L27+'OD EIAData'!AI22/3)</f>
        <v>0.70135652592790132</v>
      </c>
      <c r="M28" s="190"/>
      <c r="N28" s="187">
        <f t="shared" si="7"/>
        <v>0</v>
      </c>
      <c r="O28" s="190">
        <v>0.22199999999999998</v>
      </c>
      <c r="P28" s="203">
        <f t="shared" si="32"/>
        <v>0.2535</v>
      </c>
      <c r="Q28" s="190">
        <v>0.98</v>
      </c>
      <c r="R28" s="196">
        <f>(R27+'OD EIAData'!AP22/3)</f>
        <v>1.0001105598656379</v>
      </c>
      <c r="S28" s="190">
        <v>0.96599999999999997</v>
      </c>
      <c r="T28" s="196">
        <f>(T27+'OD EIAData'!AR22)</f>
        <v>1.9767460917528037</v>
      </c>
      <c r="U28" s="196">
        <v>1</v>
      </c>
      <c r="V28" s="190">
        <v>0.21739999999999984</v>
      </c>
      <c r="W28" s="203">
        <f>'OD EIAData'!AU22-'OD Shares'!U28</f>
        <v>0.19751325230369621</v>
      </c>
      <c r="X28" s="190">
        <v>6.5000000000000002E-2</v>
      </c>
      <c r="Y28" s="196">
        <f>(Y27+'OD EIAData'!AX22)</f>
        <v>0.44800619200715136</v>
      </c>
      <c r="Z28" s="190">
        <v>0.99</v>
      </c>
      <c r="AA28" s="196">
        <f>(AA27+'OD EIAData'!AN22)</f>
        <v>0.54178091877878054</v>
      </c>
      <c r="AB28" s="190">
        <v>0.99</v>
      </c>
      <c r="AC28" s="196">
        <f>(AC27+'OD EIAData'!AL22)</f>
        <v>0.95245632456257701</v>
      </c>
      <c r="AD28" s="190">
        <v>0.96699999999999997</v>
      </c>
      <c r="AE28" s="196">
        <f>(AE27+'OD EIAData'!AT22)</f>
        <v>0.96217628899491259</v>
      </c>
      <c r="AF28" s="190">
        <v>2.797001884645224</v>
      </c>
      <c r="AG28" s="187">
        <f>'OD EIAData'!AY22</f>
        <v>4.0320553499074707</v>
      </c>
      <c r="AH28" s="196">
        <f>'OD EIAData'!BA22</f>
        <v>0.41780499110326086</v>
      </c>
      <c r="AI28" s="190">
        <v>1</v>
      </c>
      <c r="AJ28" s="190">
        <v>1</v>
      </c>
      <c r="AK28" s="191"/>
    </row>
    <row r="29" spans="1:63" x14ac:dyDescent="0.2">
      <c r="A29" s="197">
        <v>2022</v>
      </c>
      <c r="B29" s="196">
        <f>(B28+'OD EIAData'!W23/3)</f>
        <v>0.17091969196687504</v>
      </c>
      <c r="C29" s="188">
        <v>0.15</v>
      </c>
      <c r="D29" s="196">
        <f>(D28+'OD EIAData'!Y23/3)</f>
        <v>0.72292333905547135</v>
      </c>
      <c r="E29" s="188">
        <v>0.69500000000000006</v>
      </c>
      <c r="F29" s="196"/>
      <c r="G29" s="188">
        <v>0.1080113183612387</v>
      </c>
      <c r="H29" s="196">
        <f>(H28*('OD EIAData'!AC132+1))</f>
        <v>0.09</v>
      </c>
      <c r="I29" s="188">
        <v>0.1875</v>
      </c>
      <c r="J29" s="196">
        <f>(J28+'OD EIAData'!AG23)</f>
        <v>0.16277765836358724</v>
      </c>
      <c r="K29" s="188">
        <v>0.62749999999999917</v>
      </c>
      <c r="L29" s="196">
        <f>(L28+'OD EIAData'!AI23/3)</f>
        <v>0.70692333905547133</v>
      </c>
      <c r="M29" s="190"/>
      <c r="N29" s="187">
        <f t="shared" si="7"/>
        <v>0</v>
      </c>
      <c r="O29" s="190">
        <v>0.21999999999999997</v>
      </c>
      <c r="P29" s="203">
        <f t="shared" si="32"/>
        <v>0.253</v>
      </c>
      <c r="Q29" s="190">
        <v>0.98</v>
      </c>
      <c r="R29" s="196">
        <f>(R28+'OD EIAData'!AP23/3)</f>
        <v>1.001335948901442</v>
      </c>
      <c r="S29" s="190">
        <v>0.96599999999999997</v>
      </c>
      <c r="T29" s="196">
        <f>(T28+'OD EIAData'!AR23)</f>
        <v>1.9780532296942028</v>
      </c>
      <c r="U29" s="196">
        <v>1</v>
      </c>
      <c r="V29" s="190">
        <v>0.2175</v>
      </c>
      <c r="W29" s="203">
        <f>'OD EIAData'!AU23-'OD Shares'!U29</f>
        <v>0.19707013910909232</v>
      </c>
      <c r="X29" s="190">
        <v>6.5000000000000002E-2</v>
      </c>
      <c r="Y29" s="196">
        <f>(Y28+'OD EIAData'!AX23)</f>
        <v>0.44786914781095316</v>
      </c>
      <c r="Z29" s="190">
        <v>0.99</v>
      </c>
      <c r="AA29" s="196">
        <f>(AA28+'OD EIAData'!AN23)</f>
        <v>0.54847142661572756</v>
      </c>
      <c r="AB29" s="190">
        <v>0.99</v>
      </c>
      <c r="AC29" s="196">
        <f>(AC28+'OD EIAData'!AL23)</f>
        <v>0.95367306496389914</v>
      </c>
      <c r="AD29" s="190">
        <v>0.96699999999999997</v>
      </c>
      <c r="AE29" s="196">
        <f>(AE28+'OD EIAData'!AT23)</f>
        <v>0.96423948898976608</v>
      </c>
      <c r="AF29" s="190">
        <v>2.8071254664738596</v>
      </c>
      <c r="AG29" s="187">
        <f>'OD EIAData'!AY23</f>
        <v>4.0496743220584159</v>
      </c>
      <c r="AH29" s="196">
        <f>'OD EIAData'!BA23</f>
        <v>0.41432072354790961</v>
      </c>
      <c r="AI29" s="190">
        <v>1</v>
      </c>
      <c r="AJ29" s="190">
        <v>1</v>
      </c>
      <c r="AK29" s="191"/>
    </row>
    <row r="30" spans="1:63" x14ac:dyDescent="0.2">
      <c r="A30" s="197">
        <v>2023</v>
      </c>
      <c r="B30" s="196">
        <f>(B29+'OD EIAData'!W24/3)</f>
        <v>0.17004044712835165</v>
      </c>
      <c r="C30" s="188">
        <v>0.15</v>
      </c>
      <c r="D30" s="196">
        <f>(D29+'OD EIAData'!Y24/3)</f>
        <v>0.7284164645140313</v>
      </c>
      <c r="E30" s="188">
        <v>0.69500000000000006</v>
      </c>
      <c r="F30" s="196"/>
      <c r="G30" s="188">
        <v>0.10685538189416195</v>
      </c>
      <c r="H30" s="196">
        <f>(H29*('OD EIAData'!AC133+1))</f>
        <v>0.09</v>
      </c>
      <c r="I30" s="188">
        <v>0.18770000000000001</v>
      </c>
      <c r="J30" s="196">
        <f>(J29+'OD EIAData'!AG24)</f>
        <v>0.16354154997084777</v>
      </c>
      <c r="K30" s="188">
        <v>0.62799999999999911</v>
      </c>
      <c r="L30" s="196">
        <f>(L29+'OD EIAData'!AI24/3)</f>
        <v>0.71241646451403129</v>
      </c>
      <c r="M30" s="190"/>
      <c r="N30" s="187">
        <f t="shared" si="7"/>
        <v>0</v>
      </c>
      <c r="O30" s="190">
        <v>0.21799999999999997</v>
      </c>
      <c r="P30" s="203">
        <f t="shared" si="32"/>
        <v>0.2525</v>
      </c>
      <c r="Q30" s="190">
        <v>0.98</v>
      </c>
      <c r="R30" s="196">
        <f>(R29+'OD EIAData'!AP24/3)</f>
        <v>1.0025049340623409</v>
      </c>
      <c r="S30" s="190">
        <v>0.96599999999999997</v>
      </c>
      <c r="T30" s="196">
        <f>(T29+'OD EIAData'!AR24)</f>
        <v>1.9793309804010057</v>
      </c>
      <c r="U30" s="196">
        <v>1</v>
      </c>
      <c r="V30" s="190">
        <v>0.21759999999999982</v>
      </c>
      <c r="W30" s="203">
        <f>'OD EIAData'!AU24-'OD Shares'!U30</f>
        <v>0.19670982604016518</v>
      </c>
      <c r="X30" s="190">
        <v>6.5000000000000002E-2</v>
      </c>
      <c r="Y30" s="196">
        <f>(Y29+'OD EIAData'!AX24)</f>
        <v>0.44782670288012444</v>
      </c>
      <c r="Z30" s="190">
        <v>0.99</v>
      </c>
      <c r="AA30" s="196">
        <f>(AA29+'OD EIAData'!AN24)</f>
        <v>0.55521110839341659</v>
      </c>
      <c r="AB30" s="190">
        <v>0.99</v>
      </c>
      <c r="AC30" s="196">
        <f>(AC29+'OD EIAData'!AL24)</f>
        <v>0.95485216311366106</v>
      </c>
      <c r="AD30" s="190">
        <v>0.96699999999999997</v>
      </c>
      <c r="AE30" s="196">
        <f>(AE29+'OD EIAData'!AT24)</f>
        <v>0.96628484338269516</v>
      </c>
      <c r="AF30" s="190">
        <v>2.8172717489246715</v>
      </c>
      <c r="AG30" s="187">
        <f>'OD EIAData'!AY24</f>
        <v>4.0678850614102959</v>
      </c>
      <c r="AH30" s="196">
        <f>'OD EIAData'!BA24</f>
        <v>0.41092843550053221</v>
      </c>
      <c r="AI30" s="190">
        <v>1</v>
      </c>
      <c r="AJ30" s="190">
        <v>1</v>
      </c>
      <c r="AK30" s="191"/>
    </row>
    <row r="31" spans="1:63" x14ac:dyDescent="0.2">
      <c r="A31" s="197">
        <v>2024</v>
      </c>
      <c r="B31" s="196">
        <f>(B30+'OD EIAData'!W25/3)</f>
        <v>0.16908655797563277</v>
      </c>
      <c r="C31" s="188">
        <v>0.15</v>
      </c>
      <c r="D31" s="196">
        <f>(D30+'OD EIAData'!Y25/3)</f>
        <v>0.73387386509178709</v>
      </c>
      <c r="E31" s="188">
        <v>0.69500000000000006</v>
      </c>
      <c r="F31" s="196"/>
      <c r="G31" s="188">
        <v>0.1057095969109746</v>
      </c>
      <c r="H31" s="196">
        <f>(H30*('OD EIAData'!AC134+1))</f>
        <v>0.09</v>
      </c>
      <c r="I31" s="188">
        <v>0.18790000000000001</v>
      </c>
      <c r="J31" s="196">
        <f>(J30+'OD EIAData'!AG25)</f>
        <v>0.16416375454530682</v>
      </c>
      <c r="K31" s="188">
        <v>0.62849999999999906</v>
      </c>
      <c r="L31" s="196">
        <f>(L30+'OD EIAData'!AI25/3)</f>
        <v>0.71787386509178708</v>
      </c>
      <c r="M31" s="190"/>
      <c r="N31" s="187">
        <f t="shared" si="7"/>
        <v>0</v>
      </c>
      <c r="O31" s="190">
        <v>0.21599999999999997</v>
      </c>
      <c r="P31" s="203">
        <f t="shared" si="32"/>
        <v>0.252</v>
      </c>
      <c r="Q31" s="190">
        <v>0.98</v>
      </c>
      <c r="R31" s="196">
        <f>(R30+'OD EIAData'!AP25/3)</f>
        <v>1.0036224171200103</v>
      </c>
      <c r="S31" s="190">
        <v>0.96599999999999997</v>
      </c>
      <c r="T31" s="196">
        <f>(T30+'OD EIAData'!AR25)</f>
        <v>1.9806410675117267</v>
      </c>
      <c r="U31" s="196">
        <v>1</v>
      </c>
      <c r="V31" s="190">
        <v>0.21769999999999981</v>
      </c>
      <c r="W31" s="203">
        <f>'OD EIAData'!AU25-'OD Shares'!U31</f>
        <v>0.19641147991233954</v>
      </c>
      <c r="X31" s="190">
        <v>6.5000000000000002E-2</v>
      </c>
      <c r="Y31" s="196">
        <f>(Y30+'OD EIAData'!AX25)</f>
        <v>0.44783691555304667</v>
      </c>
      <c r="Z31" s="190">
        <v>0.99</v>
      </c>
      <c r="AA31" s="196">
        <f>(AA30+'OD EIAData'!AN25)</f>
        <v>0.56201896162286036</v>
      </c>
      <c r="AB31" s="190">
        <v>0.99</v>
      </c>
      <c r="AC31" s="196">
        <f>(AC30+'OD EIAData'!AL25)</f>
        <v>0.95601068874374384</v>
      </c>
      <c r="AD31" s="190">
        <v>0.96699999999999997</v>
      </c>
      <c r="AE31" s="196">
        <f>(AE30+'OD EIAData'!AT25)</f>
        <v>0.96831518069307942</v>
      </c>
      <c r="AF31" s="190">
        <v>2.827431523151712</v>
      </c>
      <c r="AG31" s="187">
        <f>'OD EIAData'!AY25</f>
        <v>4.0866216866943121</v>
      </c>
      <c r="AH31" s="196">
        <f>'OD EIAData'!BA25</f>
        <v>0.40771043601344903</v>
      </c>
      <c r="AI31" s="190">
        <v>1</v>
      </c>
      <c r="AJ31" s="190">
        <v>1</v>
      </c>
      <c r="AK31" s="191"/>
    </row>
    <row r="32" spans="1:63" x14ac:dyDescent="0.2">
      <c r="A32" s="197">
        <v>2025</v>
      </c>
      <c r="B32" s="196">
        <f>(B31+'OD EIAData'!W26/3)</f>
        <v>0.16808654778470408</v>
      </c>
      <c r="C32" s="188">
        <v>0.15</v>
      </c>
      <c r="D32" s="196">
        <f>(D31+'OD EIAData'!Y26/3)</f>
        <v>0.73926690610118573</v>
      </c>
      <c r="E32" s="188">
        <v>0.69500000000000006</v>
      </c>
      <c r="F32" s="196"/>
      <c r="G32" s="188">
        <v>0.10457624145705723</v>
      </c>
      <c r="H32" s="196">
        <f>(H31*('OD EIAData'!AC135+1))</f>
        <v>0.09</v>
      </c>
      <c r="I32" s="188">
        <v>0.18810000000000002</v>
      </c>
      <c r="J32" s="196">
        <f>(J31+'OD EIAData'!AG26)</f>
        <v>0.16467863964868354</v>
      </c>
      <c r="K32" s="188">
        <v>0.628999999999999</v>
      </c>
      <c r="L32" s="196">
        <f>(L31+'OD EIAData'!AI26/3)</f>
        <v>0.72326690610118571</v>
      </c>
      <c r="M32" s="190"/>
      <c r="N32" s="187">
        <f t="shared" si="7"/>
        <v>0</v>
      </c>
      <c r="O32" s="190">
        <v>0.21399999999999997</v>
      </c>
      <c r="P32" s="203">
        <f t="shared" si="32"/>
        <v>0.2515</v>
      </c>
      <c r="Q32" s="190">
        <v>0.98</v>
      </c>
      <c r="R32" s="196">
        <f>(R31+'OD EIAData'!AP26/3)</f>
        <v>1.0046902240038296</v>
      </c>
      <c r="S32" s="190">
        <v>0.96599999999999997</v>
      </c>
      <c r="T32" s="196">
        <f>(T31+'OD EIAData'!AR26)</f>
        <v>1.9818887506356764</v>
      </c>
      <c r="U32" s="196">
        <v>1</v>
      </c>
      <c r="V32" s="190">
        <v>0.2177999999999998</v>
      </c>
      <c r="W32" s="203">
        <f>'OD EIAData'!AU26-'OD Shares'!U32</f>
        <v>0.19615305571813679</v>
      </c>
      <c r="X32" s="190">
        <v>6.5000000000000002E-2</v>
      </c>
      <c r="Y32" s="196">
        <f>(Y31+'OD EIAData'!AX26)</f>
        <v>0.44782541659466096</v>
      </c>
      <c r="Z32" s="190">
        <v>0.99</v>
      </c>
      <c r="AA32" s="196">
        <f>(AA31+'OD EIAData'!AN26)</f>
        <v>0.56882675736056232</v>
      </c>
      <c r="AB32" s="190">
        <v>0.99</v>
      </c>
      <c r="AC32" s="196">
        <f>(AC31+'OD EIAData'!AL26)</f>
        <v>0.95713941886099874</v>
      </c>
      <c r="AD32" s="190">
        <v>0.96699999999999997</v>
      </c>
      <c r="AE32" s="196">
        <f>(AE31+'OD EIAData'!AT26)</f>
        <v>0.97030469557226096</v>
      </c>
      <c r="AF32" s="190">
        <v>2.8376092015137693</v>
      </c>
      <c r="AG32" s="187">
        <f>'OD EIAData'!AY26</f>
        <v>4.1059420981343964</v>
      </c>
      <c r="AH32" s="196">
        <f>'OD EIAData'!BA26</f>
        <v>0.40455121787653098</v>
      </c>
      <c r="AI32" s="190">
        <v>1</v>
      </c>
      <c r="AJ32" s="190">
        <v>1</v>
      </c>
      <c r="AK32" s="191"/>
    </row>
    <row r="33" spans="1:37" x14ac:dyDescent="0.2">
      <c r="A33" s="198">
        <f t="shared" ref="A33:A50" si="33">A32+1</f>
        <v>2026</v>
      </c>
      <c r="B33" s="196">
        <f>(B32+'OD EIAData'!W27/3)</f>
        <v>0.16709191817873409</v>
      </c>
      <c r="C33" s="188">
        <v>0.15</v>
      </c>
      <c r="D33" s="196">
        <f>(D32+'OD EIAData'!Y27/3)</f>
        <v>0.74453494034903323</v>
      </c>
      <c r="E33" s="188">
        <v>0.69500000000000006</v>
      </c>
      <c r="F33" s="196"/>
      <c r="G33" s="188">
        <v>0.10346087918760237</v>
      </c>
      <c r="H33" s="196">
        <f>(H32*('OD EIAData'!AC136+1))</f>
        <v>0.09</v>
      </c>
      <c r="I33" s="188">
        <v>0.18830000000000002</v>
      </c>
      <c r="J33" s="196">
        <f>(J32+'OD EIAData'!AG27)</f>
        <v>0.16515306264630633</v>
      </c>
      <c r="K33" s="188">
        <v>0.62949999999999895</v>
      </c>
      <c r="L33" s="196">
        <f>(L32+'OD EIAData'!AI27/3)</f>
        <v>0.72853494034903321</v>
      </c>
      <c r="M33" s="190"/>
      <c r="N33" s="187">
        <f t="shared" si="7"/>
        <v>0</v>
      </c>
      <c r="O33" s="190">
        <v>0.21199999999999997</v>
      </c>
      <c r="P33" s="203">
        <f t="shared" si="32"/>
        <v>0.251</v>
      </c>
      <c r="Q33" s="190">
        <v>0.98</v>
      </c>
      <c r="R33" s="196">
        <f>(R32+'OD EIAData'!AP27/3)</f>
        <v>1.005715940079438</v>
      </c>
      <c r="S33" s="190">
        <v>0.96599999999999997</v>
      </c>
      <c r="T33" s="196">
        <f>(T32+'OD EIAData'!AR27)</f>
        <v>1.9831219150482122</v>
      </c>
      <c r="U33" s="196">
        <v>1</v>
      </c>
      <c r="V33" s="190">
        <v>0.21789999999999979</v>
      </c>
      <c r="W33" s="203">
        <f>'OD EIAData'!AU27-'OD Shares'!U33</f>
        <v>0.19591034249920947</v>
      </c>
      <c r="X33" s="190">
        <v>6.5000000000000002E-2</v>
      </c>
      <c r="Y33" s="196">
        <f>(Y32+'OD EIAData'!AX27)</f>
        <v>0.44773685614401232</v>
      </c>
      <c r="Z33" s="190">
        <v>0.99</v>
      </c>
      <c r="AA33" s="196">
        <f>(AA32+'OD EIAData'!AN27)</f>
        <v>0.57556066365496883</v>
      </c>
      <c r="AB33" s="190">
        <v>0.99</v>
      </c>
      <c r="AC33" s="196">
        <f>(AC32+'OD EIAData'!AL27)</f>
        <v>0.95822739637096532</v>
      </c>
      <c r="AD33" s="190">
        <v>0.96699999999999997</v>
      </c>
      <c r="AE33" s="196">
        <f>(AE32+'OD EIAData'!AT27)</f>
        <v>0.97222770799891967</v>
      </c>
      <c r="AF33" s="190">
        <v>2.8376092015137693</v>
      </c>
      <c r="AG33" s="187">
        <f>'OD EIAData'!AY27</f>
        <v>4.1252872638868698</v>
      </c>
      <c r="AH33" s="196">
        <f>'OD EIAData'!BA27</f>
        <v>0.40146161673864272</v>
      </c>
      <c r="AI33" s="190">
        <v>1</v>
      </c>
      <c r="AJ33" s="190">
        <v>1</v>
      </c>
      <c r="AK33" s="191"/>
    </row>
    <row r="34" spans="1:37" x14ac:dyDescent="0.2">
      <c r="A34" s="198">
        <f t="shared" si="33"/>
        <v>2027</v>
      </c>
      <c r="B34" s="196">
        <f>(B33+'OD EIAData'!W28/3)</f>
        <v>0.16614614442094552</v>
      </c>
      <c r="C34" s="188">
        <v>0.15</v>
      </c>
      <c r="D34" s="196">
        <f>(D33+'OD EIAData'!Y28/3)</f>
        <v>0.74958810900282846</v>
      </c>
      <c r="E34" s="188">
        <v>0.69500000000000006</v>
      </c>
      <c r="F34" s="196"/>
      <c r="G34" s="188">
        <v>0.10236010562965715</v>
      </c>
      <c r="H34" s="196">
        <f>(H33*('OD EIAData'!AC137+1))</f>
        <v>0.09</v>
      </c>
      <c r="I34" s="188">
        <v>0.18850000000000003</v>
      </c>
      <c r="J34" s="196">
        <f>(J33+'OD EIAData'!AG28)</f>
        <v>0.16567003195854299</v>
      </c>
      <c r="K34" s="188">
        <v>0.62999999999999889</v>
      </c>
      <c r="L34" s="196">
        <f>(L33+'OD EIAData'!AI28/3)</f>
        <v>0.73358810900282845</v>
      </c>
      <c r="M34" s="190"/>
      <c r="N34" s="187">
        <f t="shared" si="7"/>
        <v>0</v>
      </c>
      <c r="O34" s="190">
        <v>0.20999999999999996</v>
      </c>
      <c r="P34" s="203">
        <f t="shared" si="32"/>
        <v>0.2505</v>
      </c>
      <c r="Q34" s="190">
        <v>0.98</v>
      </c>
      <c r="R34" s="196">
        <f>(R33+'OD EIAData'!AP28/3)</f>
        <v>1.0067021304961525</v>
      </c>
      <c r="S34" s="190">
        <v>0.96599999999999997</v>
      </c>
      <c r="T34" s="196">
        <f>(T33+'OD EIAData'!AR28)</f>
        <v>1.9843877882794185</v>
      </c>
      <c r="U34" s="196">
        <v>1</v>
      </c>
      <c r="V34" s="190">
        <v>0.21799999999999978</v>
      </c>
      <c r="W34" s="203">
        <f>'OD EIAData'!AU28-'OD Shares'!U34</f>
        <v>0.19567125352036685</v>
      </c>
      <c r="X34" s="190">
        <v>6.5000000000000002E-2</v>
      </c>
      <c r="Y34" s="196">
        <f>(Y33+'OD EIAData'!AX28)</f>
        <v>0.44755012391633348</v>
      </c>
      <c r="Z34" s="190">
        <v>0.99</v>
      </c>
      <c r="AA34" s="196">
        <f>(AA33+'OD EIAData'!AN28)</f>
        <v>0.58200457050947896</v>
      </c>
      <c r="AB34" s="190">
        <v>0.99</v>
      </c>
      <c r="AC34" s="196">
        <f>(AC33+'OD EIAData'!AL28)</f>
        <v>0.9592625958193588</v>
      </c>
      <c r="AD34" s="190">
        <v>0.96699999999999997</v>
      </c>
      <c r="AE34" s="196">
        <f>(AE33+'OD EIAData'!AT28)</f>
        <v>0.97405794392982137</v>
      </c>
      <c r="AF34" s="190">
        <v>2.8376092015137693</v>
      </c>
      <c r="AG34" s="187">
        <f>'OD EIAData'!AY28</f>
        <v>4.144768157058369</v>
      </c>
      <c r="AH34" s="196">
        <f>'OD EIAData'!BA28</f>
        <v>0.39848585055808694</v>
      </c>
      <c r="AI34" s="190">
        <v>1</v>
      </c>
      <c r="AJ34" s="190">
        <v>1</v>
      </c>
      <c r="AK34" s="191"/>
    </row>
    <row r="35" spans="1:37" x14ac:dyDescent="0.2">
      <c r="A35" s="198">
        <f t="shared" si="33"/>
        <v>2028</v>
      </c>
      <c r="B35" s="196">
        <f>(B34+'OD EIAData'!W29/3)</f>
        <v>0.16524553813191242</v>
      </c>
      <c r="C35" s="188">
        <v>0.15</v>
      </c>
      <c r="D35" s="196">
        <f>(D34+'OD EIAData'!Y29/3)</f>
        <v>0.75441935307392349</v>
      </c>
      <c r="E35" s="188">
        <v>0.69500000000000006</v>
      </c>
      <c r="F35" s="196"/>
      <c r="G35" s="188">
        <v>0.10126686985927078</v>
      </c>
      <c r="H35" s="196">
        <f>(H34*('OD EIAData'!AC138+1))</f>
        <v>0.09</v>
      </c>
      <c r="I35" s="188">
        <v>0.18870000000000003</v>
      </c>
      <c r="J35" s="196">
        <f>(J34+'OD EIAData'!AG29)</f>
        <v>0.166237838080283</v>
      </c>
      <c r="K35" s="188">
        <v>0.63049999999999884</v>
      </c>
      <c r="L35" s="196">
        <f>(L34+'OD EIAData'!AI29/3)</f>
        <v>0.73841935307392348</v>
      </c>
      <c r="M35" s="190"/>
      <c r="N35" s="187">
        <f t="shared" si="7"/>
        <v>0</v>
      </c>
      <c r="O35" s="190">
        <v>0.20799999999999996</v>
      </c>
      <c r="P35" s="203">
        <f t="shared" si="32"/>
        <v>0.25</v>
      </c>
      <c r="Q35" s="190">
        <v>0.98</v>
      </c>
      <c r="R35" s="196">
        <f>(R34+'OD EIAData'!AP29/3)</f>
        <v>1.0076507513204334</v>
      </c>
      <c r="S35" s="190">
        <v>0.96599999999999997</v>
      </c>
      <c r="T35" s="196">
        <f>(T34+'OD EIAData'!AR29)</f>
        <v>1.9855909117194244</v>
      </c>
      <c r="U35" s="196">
        <v>1</v>
      </c>
      <c r="V35" s="190">
        <v>0.21809999999999977</v>
      </c>
      <c r="W35" s="203">
        <f>'OD EIAData'!AU29-'OD Shares'!U35</f>
        <v>0.19543487060587794</v>
      </c>
      <c r="X35" s="190">
        <v>6.5000000000000002E-2</v>
      </c>
      <c r="Y35" s="196">
        <f>(Y34+'OD EIAData'!AX29)</f>
        <v>0.44726312527290785</v>
      </c>
      <c r="Z35" s="190">
        <v>0.99</v>
      </c>
      <c r="AA35" s="196">
        <f>(AA34+'OD EIAData'!AN29)</f>
        <v>0.58814880004089232</v>
      </c>
      <c r="AB35" s="190">
        <v>0.99</v>
      </c>
      <c r="AC35" s="196">
        <f>(AC34+'OD EIAData'!AL29)</f>
        <v>0.96024000028815659</v>
      </c>
      <c r="AD35" s="190">
        <v>0.96699999999999997</v>
      </c>
      <c r="AE35" s="196">
        <f>(AE34+'OD EIAData'!AT29)</f>
        <v>0.97578948549598565</v>
      </c>
      <c r="AF35" s="190">
        <v>2.8376092015137693</v>
      </c>
      <c r="AG35" s="187">
        <f>'OD EIAData'!AY29</f>
        <v>4.1642425743521887</v>
      </c>
      <c r="AH35" s="196">
        <f>'OD EIAData'!BA29</f>
        <v>0.39561069851676134</v>
      </c>
      <c r="AI35" s="190">
        <v>1</v>
      </c>
      <c r="AJ35" s="190">
        <v>1</v>
      </c>
      <c r="AK35" s="191"/>
    </row>
    <row r="36" spans="1:37" x14ac:dyDescent="0.2">
      <c r="A36" s="198">
        <f t="shared" si="33"/>
        <v>2029</v>
      </c>
      <c r="B36" s="196">
        <f>(B35+'OD EIAData'!W30/3)</f>
        <v>0.16436105442787496</v>
      </c>
      <c r="C36" s="188">
        <v>0.15</v>
      </c>
      <c r="D36" s="196">
        <f>(D35+'OD EIAData'!Y30/3)</f>
        <v>0.75908892834396302</v>
      </c>
      <c r="E36" s="188">
        <v>0.69500000000000006</v>
      </c>
      <c r="F36" s="196"/>
      <c r="G36" s="188">
        <v>0.10018263437835348</v>
      </c>
      <c r="H36" s="196">
        <f>(H35*('OD EIAData'!AC139+1))</f>
        <v>0.09</v>
      </c>
      <c r="I36" s="188">
        <v>0.18890000000000004</v>
      </c>
      <c r="J36" s="196">
        <f>(J35+'OD EIAData'!AG30)</f>
        <v>0.16680141496194731</v>
      </c>
      <c r="K36" s="188">
        <v>0.63099999999999878</v>
      </c>
      <c r="L36" s="196">
        <f>(L35+'OD EIAData'!AI30/3)</f>
        <v>0.74308892834396301</v>
      </c>
      <c r="M36" s="190"/>
      <c r="N36" s="187">
        <f t="shared" si="7"/>
        <v>0</v>
      </c>
      <c r="O36" s="190">
        <v>0.20599999999999996</v>
      </c>
      <c r="P36" s="203">
        <f t="shared" si="32"/>
        <v>0.2495</v>
      </c>
      <c r="Q36" s="190">
        <v>0.98</v>
      </c>
      <c r="R36" s="196">
        <f>(R35+'OD EIAData'!AP30/3)</f>
        <v>1.0085606387336632</v>
      </c>
      <c r="S36" s="190">
        <v>0.96599999999999997</v>
      </c>
      <c r="T36" s="196">
        <f>(T35+'OD EIAData'!AR30)</f>
        <v>1.9868336545867422</v>
      </c>
      <c r="U36" s="196">
        <v>1</v>
      </c>
      <c r="V36" s="190">
        <v>0.21819999999999976</v>
      </c>
      <c r="W36" s="203">
        <f>'OD EIAData'!AU30-'OD Shares'!U36</f>
        <v>0.19521258615348192</v>
      </c>
      <c r="X36" s="190">
        <v>6.5000000000000002E-2</v>
      </c>
      <c r="Y36" s="196">
        <f>(Y35+'OD EIAData'!AX30)</f>
        <v>0.4469092331409345</v>
      </c>
      <c r="Z36" s="190">
        <v>0.99</v>
      </c>
      <c r="AA36" s="196">
        <f>(AA35+'OD EIAData'!AN30)</f>
        <v>0.5940730432802066</v>
      </c>
      <c r="AB36" s="190">
        <v>0.99</v>
      </c>
      <c r="AC36" s="196">
        <f>(AC35+'OD EIAData'!AL30)</f>
        <v>0.96117519033363052</v>
      </c>
      <c r="AD36" s="190">
        <v>0.96699999999999997</v>
      </c>
      <c r="AE36" s="196">
        <f>(AE35+'OD EIAData'!AT30)</f>
        <v>0.97745101312866844</v>
      </c>
      <c r="AF36" s="190">
        <v>2.8376092015137693</v>
      </c>
      <c r="AG36" s="187">
        <f>'OD EIAData'!AY30</f>
        <v>4.1838908461498772</v>
      </c>
      <c r="AH36" s="196">
        <f>'OD EIAData'!BA30</f>
        <v>0.39282447838229856</v>
      </c>
      <c r="AI36" s="190">
        <v>1</v>
      </c>
      <c r="AJ36" s="190">
        <v>1</v>
      </c>
      <c r="AK36" s="191"/>
    </row>
    <row r="37" spans="1:37" x14ac:dyDescent="0.2">
      <c r="A37" s="198">
        <f t="shared" si="33"/>
        <v>2030</v>
      </c>
      <c r="B37" s="196">
        <f>(B36+'OD EIAData'!W31/3)</f>
        <v>0.16346036121157412</v>
      </c>
      <c r="C37" s="188">
        <v>0.15</v>
      </c>
      <c r="D37" s="196">
        <f>(D36+'OD EIAData'!Y31/3)</f>
        <v>0.76365481402850854</v>
      </c>
      <c r="E37" s="188">
        <v>0.69500000000000006</v>
      </c>
      <c r="F37" s="196"/>
      <c r="G37" s="188">
        <v>9.9105781170130788E-2</v>
      </c>
      <c r="H37" s="196">
        <f>(H36*('OD EIAData'!AC140+1))</f>
        <v>0.09</v>
      </c>
      <c r="I37" s="188">
        <v>0.18910000000000005</v>
      </c>
      <c r="J37" s="196">
        <f>(J36+'OD EIAData'!AG31)</f>
        <v>0.1673060564100691</v>
      </c>
      <c r="K37" s="188">
        <v>0.63149999999999873</v>
      </c>
      <c r="L37" s="196">
        <f>(L36+'OD EIAData'!AI31/3)</f>
        <v>0.74765481402850853</v>
      </c>
      <c r="M37" s="190"/>
      <c r="N37" s="187">
        <f t="shared" si="7"/>
        <v>0</v>
      </c>
      <c r="O37" s="190">
        <v>0.20399999999999996</v>
      </c>
      <c r="P37" s="203">
        <f t="shared" si="32"/>
        <v>0.249</v>
      </c>
      <c r="Q37" s="190">
        <v>0.98</v>
      </c>
      <c r="R37" s="196">
        <f>(R36+'OD EIAData'!AP31/3)</f>
        <v>1.0094229597582864</v>
      </c>
      <c r="S37" s="190">
        <v>0.96599999999999997</v>
      </c>
      <c r="T37" s="196">
        <f>(T36+'OD EIAData'!AR31)</f>
        <v>1.9880204944869895</v>
      </c>
      <c r="U37" s="196">
        <v>1</v>
      </c>
      <c r="V37" s="190">
        <v>0.21829999999999974</v>
      </c>
      <c r="W37" s="203">
        <f>'OD EIAData'!AU31-'OD Shares'!U37</f>
        <v>0.19501243605363783</v>
      </c>
      <c r="X37" s="190">
        <v>6.5000000000000002E-2</v>
      </c>
      <c r="Y37" s="196">
        <f>(Y36+'OD EIAData'!AX31)</f>
        <v>0.44653301536195539</v>
      </c>
      <c r="Z37" s="190">
        <v>0.99</v>
      </c>
      <c r="AA37" s="196">
        <f>(AA36+'OD EIAData'!AN31)</f>
        <v>0.59985764855124279</v>
      </c>
      <c r="AB37" s="190">
        <v>0.99</v>
      </c>
      <c r="AC37" s="196">
        <f>(AC36+'OD EIAData'!AL31)</f>
        <v>0.96208044082986288</v>
      </c>
      <c r="AD37" s="190">
        <v>0.96699999999999997</v>
      </c>
      <c r="AE37" s="196">
        <f>(AE36+'OD EIAData'!AT31)</f>
        <v>0.97906925819291213</v>
      </c>
      <c r="AF37" s="190">
        <v>2.8376092015137693</v>
      </c>
      <c r="AG37" s="187">
        <f>'OD EIAData'!AY31</f>
        <v>4.203608955610032</v>
      </c>
      <c r="AH37" s="196">
        <f>'OD EIAData'!BA31</f>
        <v>0.39010824550265327</v>
      </c>
      <c r="AI37" s="190">
        <v>1</v>
      </c>
      <c r="AJ37" s="190">
        <v>1</v>
      </c>
      <c r="AK37" s="191"/>
    </row>
    <row r="38" spans="1:37" x14ac:dyDescent="0.2">
      <c r="A38" s="198">
        <f t="shared" si="33"/>
        <v>2031</v>
      </c>
      <c r="B38" s="196">
        <f>(B37+'OD EIAData'!W32/3)</f>
        <v>0.162575528167687</v>
      </c>
      <c r="C38" s="188">
        <v>0.15</v>
      </c>
      <c r="D38" s="196">
        <f>(D37+'OD EIAData'!Y32/3)</f>
        <v>0.76808237501848386</v>
      </c>
      <c r="E38" s="188">
        <v>0.69500000000000006</v>
      </c>
      <c r="F38" s="196"/>
      <c r="G38" s="188">
        <v>9.8605781170130788E-2</v>
      </c>
      <c r="H38" s="196">
        <f>(H37*('OD EIAData'!AC141+1))</f>
        <v>0.09</v>
      </c>
      <c r="I38" s="188">
        <v>0.18930000000000005</v>
      </c>
      <c r="J38" s="196">
        <f>(J37+'OD EIAData'!AG32)</f>
        <v>0.16779093333266912</v>
      </c>
      <c r="K38" s="188">
        <v>0.63199999999999867</v>
      </c>
      <c r="L38" s="196">
        <f>(L37+'OD EIAData'!AI32/3)</f>
        <v>0.75208237501848385</v>
      </c>
      <c r="M38" s="190"/>
      <c r="N38" s="187">
        <f t="shared" si="7"/>
        <v>0</v>
      </c>
      <c r="O38" s="190">
        <v>0.20199999999999996</v>
      </c>
      <c r="P38" s="203">
        <f t="shared" si="32"/>
        <v>0.2485</v>
      </c>
      <c r="Q38" s="190">
        <v>0.98</v>
      </c>
      <c r="R38" s="196">
        <f>(R37+'OD EIAData'!AP32/3)</f>
        <v>1.0102627969178473</v>
      </c>
      <c r="S38" s="190">
        <v>0.96599999999999997</v>
      </c>
      <c r="T38" s="196">
        <f>(T37+'OD EIAData'!AR32)</f>
        <v>1.988999267771123</v>
      </c>
      <c r="U38" s="196">
        <v>1</v>
      </c>
      <c r="V38" s="190">
        <v>0.21839999999999973</v>
      </c>
      <c r="W38" s="203">
        <f>'OD EIAData'!AU32-'OD Shares'!U38</f>
        <v>0.19482376872130058</v>
      </c>
      <c r="X38" s="190">
        <v>6.5000000000000002E-2</v>
      </c>
      <c r="Y38" s="196">
        <f>(Y37+'OD EIAData'!AX32)</f>
        <v>0.44612117804257717</v>
      </c>
      <c r="Z38" s="190">
        <v>0.99</v>
      </c>
      <c r="AA38" s="196">
        <f>(AA37+'OD EIAData'!AN32)</f>
        <v>0.60547662716896111</v>
      </c>
      <c r="AB38" s="190">
        <v>0.99</v>
      </c>
      <c r="AC38" s="196">
        <f>(AC37+'OD EIAData'!AL32)</f>
        <v>0.96295536592431352</v>
      </c>
      <c r="AD38" s="190">
        <v>0.96699999999999997</v>
      </c>
      <c r="AE38" s="196">
        <f>(AE37+'OD EIAData'!AT32)</f>
        <v>0.9806411560653272</v>
      </c>
      <c r="AF38" s="190">
        <v>2.8376092015137693</v>
      </c>
      <c r="AG38" s="187">
        <f>'OD EIAData'!AY32</f>
        <v>4.2238144574090732</v>
      </c>
      <c r="AH38" s="196">
        <f>'OD EIAData'!BA32</f>
        <v>0.38746489480751889</v>
      </c>
      <c r="AI38" s="190">
        <v>1</v>
      </c>
      <c r="AJ38" s="190">
        <v>1</v>
      </c>
      <c r="AK38" s="191"/>
    </row>
    <row r="39" spans="1:37" x14ac:dyDescent="0.2">
      <c r="A39" s="198">
        <f t="shared" si="33"/>
        <v>2032</v>
      </c>
      <c r="B39" s="196">
        <f>(B38+'OD EIAData'!W33/3)</f>
        <v>0.16174168184688181</v>
      </c>
      <c r="C39" s="188">
        <v>0.15</v>
      </c>
      <c r="D39" s="196">
        <f>(D38+'OD EIAData'!Y33/3)</f>
        <v>0.77231335831329351</v>
      </c>
      <c r="E39" s="188">
        <v>0.69500000000000006</v>
      </c>
      <c r="F39" s="196"/>
      <c r="G39" s="188">
        <v>9.8105781170130787E-2</v>
      </c>
      <c r="H39" s="196">
        <f>(H38*('OD EIAData'!AC142+1))</f>
        <v>0.09</v>
      </c>
      <c r="I39" s="188">
        <v>0.18950000000000006</v>
      </c>
      <c r="J39" s="196">
        <f>(J38+'OD EIAData'!AG33)</f>
        <v>0.16832558624250579</v>
      </c>
      <c r="K39" s="188">
        <v>0.63249999999999862</v>
      </c>
      <c r="L39" s="196">
        <f>(L38+'OD EIAData'!AI33/3)</f>
        <v>0.75631335831329349</v>
      </c>
      <c r="M39" s="190"/>
      <c r="N39" s="187">
        <f t="shared" si="7"/>
        <v>0</v>
      </c>
      <c r="O39" s="190">
        <v>0.19999999999999996</v>
      </c>
      <c r="P39" s="203">
        <f t="shared" si="32"/>
        <v>0.248</v>
      </c>
      <c r="Q39" s="190">
        <v>0.98</v>
      </c>
      <c r="R39" s="196">
        <f>(R38+'OD EIAData'!AP33/3)</f>
        <v>1.011079210118248</v>
      </c>
      <c r="S39" s="190">
        <v>0.96599999999999997</v>
      </c>
      <c r="T39" s="196">
        <f>(T38+'OD EIAData'!AR33)</f>
        <v>1.9901612805864224</v>
      </c>
      <c r="U39" s="196">
        <v>1</v>
      </c>
      <c r="V39" s="190">
        <v>0.21849999999999972</v>
      </c>
      <c r="W39" s="203">
        <f>'OD EIAData'!AU33-'OD Shares'!U39</f>
        <v>0.19463372271598312</v>
      </c>
      <c r="X39" s="190">
        <v>6.5000000000000002E-2</v>
      </c>
      <c r="Y39" s="196">
        <f>(Y38+'OD EIAData'!AX33)</f>
        <v>0.44567201033448783</v>
      </c>
      <c r="Z39" s="190">
        <v>0.99</v>
      </c>
      <c r="AA39" s="196">
        <f>(AA38+'OD EIAData'!AN33)</f>
        <v>0.61089301393811501</v>
      </c>
      <c r="AB39" s="190">
        <v>0.99</v>
      </c>
      <c r="AC39" s="196">
        <f>(AC38+'OD EIAData'!AL33)</f>
        <v>0.96378877874998992</v>
      </c>
      <c r="AD39" s="190">
        <v>0.96699999999999997</v>
      </c>
      <c r="AE39" s="196">
        <f>(AE38+'OD EIAData'!AT33)</f>
        <v>0.9821562609127954</v>
      </c>
      <c r="AF39" s="190">
        <v>2.8376092015137693</v>
      </c>
      <c r="AG39" s="187">
        <f>'OD EIAData'!AY33</f>
        <v>4.2440224644096753</v>
      </c>
      <c r="AH39" s="196">
        <f>'OD EIAData'!BA33</f>
        <v>0.38509121020019288</v>
      </c>
      <c r="AI39" s="190">
        <v>1</v>
      </c>
      <c r="AJ39" s="190">
        <v>1</v>
      </c>
      <c r="AK39" s="191"/>
    </row>
    <row r="40" spans="1:37" x14ac:dyDescent="0.2">
      <c r="A40" s="198">
        <f t="shared" si="33"/>
        <v>2033</v>
      </c>
      <c r="B40" s="196">
        <f>(B39+'OD EIAData'!W34/3)</f>
        <v>0.16091465321320625</v>
      </c>
      <c r="C40" s="188">
        <v>0.15</v>
      </c>
      <c r="D40" s="196">
        <f>(D39+'OD EIAData'!Y34/3)</f>
        <v>0.77642606227924493</v>
      </c>
      <c r="E40" s="188">
        <v>0.69500000000000006</v>
      </c>
      <c r="F40" s="196"/>
      <c r="G40" s="188">
        <v>9.7605781170130787E-2</v>
      </c>
      <c r="H40" s="196">
        <f>(H39*('OD EIAData'!AC143+1))</f>
        <v>0.09</v>
      </c>
      <c r="I40" s="188">
        <v>0.18970000000000006</v>
      </c>
      <c r="J40" s="196">
        <f>(J39+'OD EIAData'!AG34)</f>
        <v>0.16882866050511711</v>
      </c>
      <c r="K40" s="188">
        <v>0.63299999999999856</v>
      </c>
      <c r="L40" s="196">
        <f>(L39+'OD EIAData'!AI34/3)</f>
        <v>0.76042606227924492</v>
      </c>
      <c r="M40" s="190"/>
      <c r="N40" s="187">
        <f t="shared" si="7"/>
        <v>0</v>
      </c>
      <c r="O40" s="190">
        <v>0.19799999999999995</v>
      </c>
      <c r="P40" s="203">
        <f t="shared" si="32"/>
        <v>0.2475</v>
      </c>
      <c r="Q40" s="190">
        <v>0.98</v>
      </c>
      <c r="R40" s="196">
        <f>(R39+'OD EIAData'!AP34/3)</f>
        <v>1.0118678846363212</v>
      </c>
      <c r="S40" s="190">
        <v>0.96599999999999997</v>
      </c>
      <c r="T40" s="196">
        <f>(T39+'OD EIAData'!AR34)</f>
        <v>1.991312634042941</v>
      </c>
      <c r="U40" s="196">
        <v>1</v>
      </c>
      <c r="V40" s="190">
        <v>0.21859999999999971</v>
      </c>
      <c r="W40" s="203">
        <f>'OD EIAData'!AU34-'OD Shares'!U40</f>
        <v>0.19445790777429428</v>
      </c>
      <c r="X40" s="190">
        <v>6.5000000000000002E-2</v>
      </c>
      <c r="Y40" s="196">
        <f>(Y39+'OD EIAData'!AX34)</f>
        <v>0.44522372804958005</v>
      </c>
      <c r="Z40" s="190">
        <v>0.99</v>
      </c>
      <c r="AA40" s="196">
        <f>(AA39+'OD EIAData'!AN34)</f>
        <v>0.61619643578038397</v>
      </c>
      <c r="AB40" s="190">
        <v>0.99</v>
      </c>
      <c r="AC40" s="196">
        <f>(AC39+'OD EIAData'!AL34)</f>
        <v>0.9645981411082607</v>
      </c>
      <c r="AD40" s="190">
        <v>0.96699999999999997</v>
      </c>
      <c r="AE40" s="196">
        <f>(AE39+'OD EIAData'!AT34)</f>
        <v>0.98364405913371344</v>
      </c>
      <c r="AF40" s="190">
        <v>2.8376092015137693</v>
      </c>
      <c r="AG40" s="187">
        <f>'OD EIAData'!AY34</f>
        <v>4.2644268361125119</v>
      </c>
      <c r="AH40" s="196">
        <f>'OD EIAData'!BA34</f>
        <v>0.38281932385422895</v>
      </c>
      <c r="AI40" s="190">
        <v>1</v>
      </c>
      <c r="AJ40" s="190">
        <v>1</v>
      </c>
      <c r="AK40" s="191"/>
    </row>
    <row r="41" spans="1:37" x14ac:dyDescent="0.2">
      <c r="A41" s="198">
        <f t="shared" si="33"/>
        <v>2034</v>
      </c>
      <c r="B41" s="196">
        <f>(B40+'OD EIAData'!W35/3)</f>
        <v>0.16006749135738102</v>
      </c>
      <c r="C41" s="188">
        <v>0.15</v>
      </c>
      <c r="D41" s="196">
        <f>(D40+'OD EIAData'!Y35/3)</f>
        <v>0.78047194701534772</v>
      </c>
      <c r="E41" s="188">
        <v>0.69500000000000006</v>
      </c>
      <c r="F41" s="196"/>
      <c r="G41" s="188">
        <v>9.7105781170130787E-2</v>
      </c>
      <c r="H41" s="196">
        <f>(H40*('OD EIAData'!AC144+1))</f>
        <v>0.09</v>
      </c>
      <c r="I41" s="188">
        <v>0.18990000000000007</v>
      </c>
      <c r="J41" s="196">
        <f>(J40+'OD EIAData'!AG35)</f>
        <v>0.16925354439075377</v>
      </c>
      <c r="K41" s="188">
        <v>0.63349999999999851</v>
      </c>
      <c r="L41" s="196">
        <f>(L40+'OD EIAData'!AI35/3)</f>
        <v>0.76447194701534771</v>
      </c>
      <c r="M41" s="190"/>
      <c r="N41" s="187">
        <f t="shared" si="7"/>
        <v>0</v>
      </c>
      <c r="O41" s="190">
        <v>0.19599999999999995</v>
      </c>
      <c r="P41" s="203">
        <f t="shared" si="32"/>
        <v>0.247</v>
      </c>
      <c r="Q41" s="190">
        <v>0.98</v>
      </c>
      <c r="R41" s="196">
        <f>(R40+'OD EIAData'!AP35/3)</f>
        <v>1.0126339927659362</v>
      </c>
      <c r="S41" s="190">
        <v>0.96599999999999997</v>
      </c>
      <c r="T41" s="196">
        <f>(T40+'OD EIAData'!AR35)</f>
        <v>1.9924587737629225</v>
      </c>
      <c r="U41" s="196">
        <v>1</v>
      </c>
      <c r="V41" s="190">
        <v>0.2186999999999997</v>
      </c>
      <c r="W41" s="203">
        <f>'OD EIAData'!AU35-'OD Shares'!U41</f>
        <v>0.19430249316583437</v>
      </c>
      <c r="X41" s="190">
        <v>6.5000000000000002E-2</v>
      </c>
      <c r="Y41" s="196">
        <f>(Y40+'OD EIAData'!AX35)</f>
        <v>0.44479928265705965</v>
      </c>
      <c r="Z41" s="190">
        <v>0.99</v>
      </c>
      <c r="AA41" s="196">
        <f>(AA40+'OD EIAData'!AN35)</f>
        <v>0.62143608725413735</v>
      </c>
      <c r="AB41" s="190">
        <v>0.99</v>
      </c>
      <c r="AC41" s="196">
        <f>(AC40+'OD EIAData'!AL35)</f>
        <v>0.96539208484680605</v>
      </c>
      <c r="AD41" s="190">
        <v>0.96699999999999997</v>
      </c>
      <c r="AE41" s="196">
        <f>(AE40+'OD EIAData'!AT35)</f>
        <v>0.98511987587325067</v>
      </c>
      <c r="AF41" s="190">
        <v>2.8376092015137693</v>
      </c>
      <c r="AG41" s="187">
        <f>'OD EIAData'!AY35</f>
        <v>4.2853685563976898</v>
      </c>
      <c r="AH41" s="196">
        <f>'OD EIAData'!BA35</f>
        <v>0.38048071221888874</v>
      </c>
      <c r="AI41" s="190">
        <v>1</v>
      </c>
      <c r="AJ41" s="190">
        <v>1</v>
      </c>
      <c r="AK41" s="191"/>
    </row>
    <row r="42" spans="1:37" x14ac:dyDescent="0.2">
      <c r="A42" s="198">
        <f t="shared" si="33"/>
        <v>2035</v>
      </c>
      <c r="B42" s="196">
        <f>(B41+'OD EIAData'!W36/3)</f>
        <v>0.15921207610729954</v>
      </c>
      <c r="C42" s="188">
        <v>0.15</v>
      </c>
      <c r="D42" s="196">
        <f>(D41+'OD EIAData'!Y36/3)</f>
        <v>0.78445501563866116</v>
      </c>
      <c r="E42" s="188">
        <v>0.69500000000000006</v>
      </c>
      <c r="F42" s="196"/>
      <c r="G42" s="188">
        <v>9.6605781170130786E-2</v>
      </c>
      <c r="H42" s="196">
        <f>(H41*('OD EIAData'!AC145+1))</f>
        <v>0.09</v>
      </c>
      <c r="I42" s="188">
        <v>0.19010000000000007</v>
      </c>
      <c r="J42" s="196">
        <f>(J41+'OD EIAData'!AG36)</f>
        <v>0.16959931572282802</v>
      </c>
      <c r="K42" s="188">
        <v>0.63399999999999845</v>
      </c>
      <c r="L42" s="196">
        <f>(L41+'OD EIAData'!AI36/3)</f>
        <v>0.76845501563866114</v>
      </c>
      <c r="M42" s="190"/>
      <c r="N42" s="187">
        <f t="shared" si="7"/>
        <v>0</v>
      </c>
      <c r="O42" s="190">
        <v>0.19399999999999995</v>
      </c>
      <c r="P42" s="203">
        <f t="shared" si="32"/>
        <v>0.2465</v>
      </c>
      <c r="Q42" s="190">
        <v>0.98</v>
      </c>
      <c r="R42" s="196">
        <f>(R41+'OD EIAData'!AP36/3)</f>
        <v>1.0133832737064765</v>
      </c>
      <c r="S42" s="190">
        <v>0.96599999999999997</v>
      </c>
      <c r="T42" s="196">
        <f>(T41+'OD EIAData'!AR36)</f>
        <v>1.9935984488070375</v>
      </c>
      <c r="U42" s="196">
        <v>1</v>
      </c>
      <c r="V42" s="190">
        <v>0.21879999999999969</v>
      </c>
      <c r="W42" s="203">
        <f>'OD EIAData'!AU36-'OD Shares'!U42</f>
        <v>0.19416165781234751</v>
      </c>
      <c r="X42" s="190">
        <v>6.5000000000000002E-2</v>
      </c>
      <c r="Y42" s="196">
        <f>(Y41+'OD EIAData'!AX36)</f>
        <v>0.44438561420238704</v>
      </c>
      <c r="Z42" s="190">
        <v>0.99</v>
      </c>
      <c r="AA42" s="196">
        <f>(AA41+'OD EIAData'!AN36)</f>
        <v>0.62662365276735699</v>
      </c>
      <c r="AB42" s="190">
        <v>0.99</v>
      </c>
      <c r="AC42" s="196">
        <f>(AC41+'OD EIAData'!AL36)</f>
        <v>0.96617405668799505</v>
      </c>
      <c r="AD42" s="190">
        <v>0.96699999999999997</v>
      </c>
      <c r="AE42" s="196">
        <f>(AE41+'OD EIAData'!AT36)</f>
        <v>0.98658771955973656</v>
      </c>
      <c r="AF42" s="190">
        <v>2.8376092015137693</v>
      </c>
      <c r="AG42" s="187">
        <f>'OD EIAData'!AY36</f>
        <v>4.3063590030369312</v>
      </c>
      <c r="AH42" s="196">
        <f>'OD EIAData'!BA36</f>
        <v>0.37814729347799025</v>
      </c>
      <c r="AI42" s="190">
        <v>1</v>
      </c>
      <c r="AJ42" s="190">
        <v>1</v>
      </c>
      <c r="AK42" s="191"/>
    </row>
    <row r="43" spans="1:37" x14ac:dyDescent="0.2">
      <c r="A43" s="198">
        <f t="shared" si="33"/>
        <v>2036</v>
      </c>
      <c r="B43" s="196">
        <f>(B42+'OD EIAData'!W42/3)</f>
        <v>0.15835666085721806</v>
      </c>
      <c r="C43" s="188">
        <v>0.15</v>
      </c>
      <c r="D43" s="196">
        <f>(D42+'OD EIAData'!Y42/3)</f>
        <v>0.78843808426197459</v>
      </c>
      <c r="E43" s="188">
        <v>0.69500000000000006</v>
      </c>
      <c r="F43" s="196"/>
      <c r="G43" s="188">
        <v>9.6105781170130786E-2</v>
      </c>
      <c r="H43" s="196">
        <f>(H42*('OD EIAData'!AC146+1))</f>
        <v>0.09</v>
      </c>
      <c r="I43" s="188">
        <v>0.19030000000000008</v>
      </c>
      <c r="J43" s="196">
        <f>(J42+'OD EIAData'!AG37)</f>
        <v>0.16994508705490227</v>
      </c>
      <c r="K43" s="188">
        <v>0.6344999999999984</v>
      </c>
      <c r="L43" s="196">
        <f>(L42+'OD EIAData'!AI37/3)</f>
        <v>0.77243808426197458</v>
      </c>
      <c r="M43" s="190"/>
      <c r="N43" s="211">
        <f>N42</f>
        <v>0</v>
      </c>
      <c r="O43" s="190">
        <v>0.19199999999999995</v>
      </c>
      <c r="P43" s="203">
        <f t="shared" si="32"/>
        <v>0.246</v>
      </c>
      <c r="Q43" s="190">
        <v>0.98</v>
      </c>
      <c r="R43" s="196">
        <f>(R42+'OD EIAData'!AP37/3)</f>
        <v>1.0141325546470168</v>
      </c>
      <c r="S43" s="190">
        <v>0.96599999999999997</v>
      </c>
      <c r="T43" s="196">
        <f>(T42+'OD EIAData'!AR37)</f>
        <v>1.9947381238511526</v>
      </c>
      <c r="U43" s="196">
        <v>1</v>
      </c>
      <c r="V43" s="190">
        <v>0.21889999999999968</v>
      </c>
      <c r="W43" s="203">
        <f>'OD EIAData'!AU37-'OD Shares'!U43</f>
        <v>0.19402083906654322</v>
      </c>
      <c r="X43" s="190">
        <v>6.5000000000000002E-2</v>
      </c>
      <c r="Y43" s="196">
        <f>(Y42+'OD EIAData'!AX37)</f>
        <v>0.44397194574771442</v>
      </c>
      <c r="Z43" s="190">
        <v>0.99</v>
      </c>
      <c r="AA43" s="196">
        <f>(AA42+'OD EIAData'!AN37)</f>
        <v>0.63181121828057663</v>
      </c>
      <c r="AB43" s="190">
        <v>0.99</v>
      </c>
      <c r="AC43" s="196">
        <f>(AC42+'OD EIAData'!AL37)</f>
        <v>0.96695602852918405</v>
      </c>
      <c r="AD43" s="190">
        <v>0.96699999999999997</v>
      </c>
      <c r="AE43" s="196">
        <f>(AE42+'OD EIAData'!AT37)</f>
        <v>0.98805556324622246</v>
      </c>
      <c r="AF43" s="190">
        <v>2.8376092015137693</v>
      </c>
      <c r="AG43" s="187">
        <f>'OD EIAData'!AY37</f>
        <v>4.3274522643686115</v>
      </c>
      <c r="AH43" s="196">
        <f>'OD EIAData'!BA37</f>
        <v>0.37582818516820043</v>
      </c>
      <c r="AI43" s="211">
        <f t="shared" ref="AI43:AJ50" si="34">AI42</f>
        <v>1</v>
      </c>
      <c r="AJ43" s="211">
        <f t="shared" si="34"/>
        <v>1</v>
      </c>
    </row>
    <row r="44" spans="1:37" x14ac:dyDescent="0.2">
      <c r="A44" s="198">
        <f t="shared" si="33"/>
        <v>2037</v>
      </c>
      <c r="B44" s="196">
        <f>(B43+'OD EIAData'!W43/3)</f>
        <v>0.15750124560713655</v>
      </c>
      <c r="C44" s="188">
        <v>0.15</v>
      </c>
      <c r="D44" s="196">
        <f>(D43+'OD EIAData'!Y43/3)</f>
        <v>0.79242115288528803</v>
      </c>
      <c r="E44" s="188">
        <v>0.69500000000000006</v>
      </c>
      <c r="F44" s="196"/>
      <c r="G44" s="188">
        <v>9.5605781170130785E-2</v>
      </c>
      <c r="H44" s="196">
        <f>(H43*('OD EIAData'!AC147+1))</f>
        <v>0.09</v>
      </c>
      <c r="I44" s="188">
        <v>0.19050000000000009</v>
      </c>
      <c r="J44" s="196">
        <f>(J43+'OD EIAData'!AG38)</f>
        <v>0.17029085838697652</v>
      </c>
      <c r="K44" s="188">
        <v>0.63499999999999834</v>
      </c>
      <c r="L44" s="196">
        <f>(L43+'OD EIAData'!AI38/3)</f>
        <v>0.77642115288528801</v>
      </c>
      <c r="M44" s="190"/>
      <c r="N44" s="211">
        <f t="shared" ref="N44:N48" si="35">N43</f>
        <v>0</v>
      </c>
      <c r="O44" s="190">
        <v>0.18999999999999995</v>
      </c>
      <c r="P44" s="203">
        <f t="shared" si="32"/>
        <v>0.2455</v>
      </c>
      <c r="Q44" s="190">
        <v>0.98</v>
      </c>
      <c r="R44" s="196">
        <f>(R43+'OD EIAData'!AP38/3)</f>
        <v>1.0148818355875571</v>
      </c>
      <c r="S44" s="190">
        <v>0.96599999999999997</v>
      </c>
      <c r="T44" s="196">
        <f>(T43+'OD EIAData'!AR38)</f>
        <v>1.9958777988952676</v>
      </c>
      <c r="U44" s="196">
        <v>1</v>
      </c>
      <c r="V44" s="190">
        <v>0.21899999999999967</v>
      </c>
      <c r="W44" s="203">
        <f>'OD EIAData'!AU38-'OD Shares'!U44</f>
        <v>0.19388003692646305</v>
      </c>
      <c r="X44" s="190">
        <v>6.5000000000000002E-2</v>
      </c>
      <c r="Y44" s="196">
        <f>(Y43+'OD EIAData'!AX38)</f>
        <v>0.44355827729304181</v>
      </c>
      <c r="Z44" s="190">
        <v>0.99</v>
      </c>
      <c r="AA44" s="196">
        <f>(AA43+'OD EIAData'!AN38)</f>
        <v>0.63699878379379626</v>
      </c>
      <c r="AB44" s="190">
        <v>0.99</v>
      </c>
      <c r="AC44" s="196">
        <f>(AC43+'OD EIAData'!AL38)</f>
        <v>0.96773800037037305</v>
      </c>
      <c r="AD44" s="190">
        <v>0.96699999999999997</v>
      </c>
      <c r="AE44" s="196">
        <f>(AE43+'OD EIAData'!AT38)</f>
        <v>0.98952340693270835</v>
      </c>
      <c r="AF44" s="190">
        <v>2.8376092015137693</v>
      </c>
      <c r="AG44" s="187">
        <f>'OD EIAData'!AY38</f>
        <v>4.3486488439961644</v>
      </c>
      <c r="AH44" s="196">
        <f>'OD EIAData'!BA38</f>
        <v>0.37352329952625807</v>
      </c>
      <c r="AI44" s="211">
        <f t="shared" si="34"/>
        <v>1</v>
      </c>
      <c r="AJ44" s="211">
        <f t="shared" si="34"/>
        <v>1</v>
      </c>
    </row>
    <row r="45" spans="1:37" x14ac:dyDescent="0.2">
      <c r="A45" s="198">
        <f t="shared" si="33"/>
        <v>2038</v>
      </c>
      <c r="B45" s="196">
        <f>(B44+'OD EIAData'!W44/3)</f>
        <v>0.15664583035705507</v>
      </c>
      <c r="C45" s="188">
        <v>0.15</v>
      </c>
      <c r="D45" s="196">
        <f>(D44+'OD EIAData'!Y44/3)</f>
        <v>0.79640422150860146</v>
      </c>
      <c r="E45" s="188">
        <v>0.69500000000000006</v>
      </c>
      <c r="F45" s="196"/>
      <c r="G45" s="188">
        <v>9.5605781170130785E-2</v>
      </c>
      <c r="H45" s="196">
        <f>(H44*('OD EIAData'!AC148+1))</f>
        <v>0.09</v>
      </c>
      <c r="I45" s="188">
        <v>0.19070000000000009</v>
      </c>
      <c r="J45" s="196">
        <f>(J44+'OD EIAData'!AG39)</f>
        <v>0.17063662971905078</v>
      </c>
      <c r="K45" s="188">
        <v>0.63549999999999829</v>
      </c>
      <c r="L45" s="196">
        <f>(L44+'OD EIAData'!AI39/3)</f>
        <v>0.78040422150860145</v>
      </c>
      <c r="M45" s="190"/>
      <c r="N45" s="211">
        <f t="shared" si="35"/>
        <v>0</v>
      </c>
      <c r="O45" s="190">
        <v>0.18799999999999994</v>
      </c>
      <c r="P45" s="203">
        <f t="shared" si="32"/>
        <v>0.245</v>
      </c>
      <c r="Q45" s="190">
        <v>0.98</v>
      </c>
      <c r="R45" s="196">
        <f>(R44+'OD EIAData'!AP39/3)</f>
        <v>1.0156311165280973</v>
      </c>
      <c r="S45" s="190">
        <v>0.96599999999999997</v>
      </c>
      <c r="T45" s="196">
        <f>(T44+'OD EIAData'!AR39)</f>
        <v>1.9970174739393827</v>
      </c>
      <c r="U45" s="196">
        <v>1</v>
      </c>
      <c r="V45" s="190">
        <v>0.21899999999999967</v>
      </c>
      <c r="W45" s="203">
        <f>'OD EIAData'!AU39-'OD Shares'!U45</f>
        <v>0.19373925139014903</v>
      </c>
      <c r="X45" s="190">
        <v>6.5000000000000002E-2</v>
      </c>
      <c r="Y45" s="196">
        <f>(Y44+'OD EIAData'!AX39)</f>
        <v>0.4431446088383692</v>
      </c>
      <c r="Z45" s="190">
        <v>0.99</v>
      </c>
      <c r="AA45" s="196">
        <f>(AA44+'OD EIAData'!AN39)</f>
        <v>0.6421863493070159</v>
      </c>
      <c r="AB45" s="190">
        <v>0.99</v>
      </c>
      <c r="AC45" s="196">
        <f>(AC44+'OD EIAData'!AL39)</f>
        <v>0.96851997221156205</v>
      </c>
      <c r="AD45" s="190">
        <v>0.96699999999999997</v>
      </c>
      <c r="AE45" s="196">
        <f>(AE44+'OD EIAData'!AT39)</f>
        <v>0.99099125061919424</v>
      </c>
      <c r="AF45" s="190">
        <v>2.8376092015137693</v>
      </c>
      <c r="AG45" s="187">
        <f>'OD EIAData'!AY39</f>
        <v>4.369949247989755</v>
      </c>
      <c r="AH45" s="196">
        <f>'OD EIAData'!BA39</f>
        <v>0.3712325493271379</v>
      </c>
      <c r="AI45" s="211">
        <f t="shared" si="34"/>
        <v>1</v>
      </c>
      <c r="AJ45" s="211">
        <f t="shared" si="34"/>
        <v>1</v>
      </c>
    </row>
    <row r="46" spans="1:37" x14ac:dyDescent="0.2">
      <c r="A46" s="198">
        <f t="shared" si="33"/>
        <v>2039</v>
      </c>
      <c r="B46" s="196">
        <f>(B45+'OD EIAData'!W47/3)</f>
        <v>0.15664583035705507</v>
      </c>
      <c r="C46" s="188">
        <v>0.15</v>
      </c>
      <c r="D46" s="196">
        <f>(D45+'OD EIAData'!Y47/3)</f>
        <v>0.79640422150860146</v>
      </c>
      <c r="E46" s="188">
        <v>0.69500000000000006</v>
      </c>
      <c r="F46" s="196"/>
      <c r="G46" s="188">
        <v>9.5605781170130785E-2</v>
      </c>
      <c r="H46" s="196">
        <f>(H45*('OD EIAData'!AC149+1))</f>
        <v>0.09</v>
      </c>
      <c r="I46" s="188">
        <v>0.1909000000000001</v>
      </c>
      <c r="J46" s="196">
        <f>(J45+'OD EIAData'!AG40)</f>
        <v>0.17098240105112503</v>
      </c>
      <c r="K46" s="188">
        <v>0.63599999999999823</v>
      </c>
      <c r="L46" s="196">
        <f>(L45+'OD EIAData'!AI40/3)</f>
        <v>0.78438729013191488</v>
      </c>
      <c r="M46" s="190"/>
      <c r="N46" s="211">
        <f t="shared" si="35"/>
        <v>0</v>
      </c>
      <c r="O46" s="190">
        <v>0.18599999999999994</v>
      </c>
      <c r="P46" s="203">
        <f t="shared" si="32"/>
        <v>0.2445</v>
      </c>
      <c r="Q46" s="190">
        <v>0.98</v>
      </c>
      <c r="R46" s="196">
        <f>(R45+'OD EIAData'!AP40/3)</f>
        <v>1.0163803974686376</v>
      </c>
      <c r="S46" s="190">
        <v>0.96599999999999997</v>
      </c>
      <c r="T46" s="196">
        <f>(T45+'OD EIAData'!AR40)</f>
        <v>1.9981571489834977</v>
      </c>
      <c r="U46" s="196">
        <v>1</v>
      </c>
      <c r="V46" s="190">
        <v>0.21899999999999967</v>
      </c>
      <c r="W46" s="203">
        <f>'OD EIAData'!AU40-'OD Shares'!U46</f>
        <v>0.19359848245564293</v>
      </c>
      <c r="X46" s="190">
        <v>6.5000000000000002E-2</v>
      </c>
      <c r="Y46" s="196">
        <f>(Y45+'OD EIAData'!AX40)</f>
        <v>0.44273094038369659</v>
      </c>
      <c r="Z46" s="190">
        <v>0.99</v>
      </c>
      <c r="AA46" s="196">
        <f>(AA45+'OD EIAData'!AN40)</f>
        <v>0.64737391482023554</v>
      </c>
      <c r="AB46" s="190">
        <v>0.99</v>
      </c>
      <c r="AC46" s="196">
        <f>(AC45+'OD EIAData'!AL40)</f>
        <v>0.96930194405275105</v>
      </c>
      <c r="AD46" s="190">
        <v>0.96699999999999997</v>
      </c>
      <c r="AE46" s="196">
        <f>(AE45+'OD EIAData'!AT40)</f>
        <v>0.99245909430568013</v>
      </c>
      <c r="AF46" s="190">
        <v>2.8376092015137693</v>
      </c>
      <c r="AG46" s="187">
        <f>'OD EIAData'!AY40</f>
        <v>4.3913539848983651</v>
      </c>
      <c r="AH46" s="196">
        <f>'OD EIAData'!BA40</f>
        <v>0.36895584788074992</v>
      </c>
      <c r="AI46" s="211">
        <f t="shared" si="34"/>
        <v>1</v>
      </c>
      <c r="AJ46" s="211">
        <f t="shared" si="34"/>
        <v>1</v>
      </c>
    </row>
    <row r="47" spans="1:37" x14ac:dyDescent="0.2">
      <c r="A47" s="198">
        <f t="shared" si="33"/>
        <v>2040</v>
      </c>
      <c r="B47" s="196">
        <f>(B46+'OD EIAData'!W48/3)</f>
        <v>0.15664583035705507</v>
      </c>
      <c r="C47" s="188">
        <v>0.15</v>
      </c>
      <c r="D47" s="196">
        <f>(D46+'OD EIAData'!Y48/3)</f>
        <v>0.79640422150860146</v>
      </c>
      <c r="E47" s="188">
        <v>0.69500000000000006</v>
      </c>
      <c r="F47" s="196"/>
      <c r="G47" s="188">
        <v>9.5605781170130785E-2</v>
      </c>
      <c r="H47" s="196">
        <f>(H46*('OD EIAData'!AC150+1))</f>
        <v>0.09</v>
      </c>
      <c r="I47" s="188">
        <v>0.1911000000000001</v>
      </c>
      <c r="J47" s="196">
        <f>(J46+'OD EIAData'!AG41)</f>
        <v>0.17132817238319928</v>
      </c>
      <c r="K47" s="188">
        <v>0.63649999999999818</v>
      </c>
      <c r="L47" s="196">
        <f>(L46+'OD EIAData'!AI41/3)</f>
        <v>0.78837035875522832</v>
      </c>
      <c r="M47" s="190"/>
      <c r="N47" s="211">
        <f t="shared" si="35"/>
        <v>0</v>
      </c>
      <c r="O47" s="190">
        <v>0.18399999999999994</v>
      </c>
      <c r="P47" s="203">
        <f t="shared" si="32"/>
        <v>0.24399999999999999</v>
      </c>
      <c r="Q47" s="190">
        <v>0.98</v>
      </c>
      <c r="R47" s="196">
        <f>(R46+'OD EIAData'!AP41/3)</f>
        <v>1.0171296784091779</v>
      </c>
      <c r="S47" s="190">
        <v>0.96599999999999997</v>
      </c>
      <c r="T47" s="196">
        <f>(T46+'OD EIAData'!AR41)</f>
        <v>1.9992968240276128</v>
      </c>
      <c r="U47" s="196">
        <v>1</v>
      </c>
      <c r="V47" s="190">
        <v>0.21899999999999967</v>
      </c>
      <c r="W47" s="203">
        <f>'OD EIAData'!AU41-'OD Shares'!U47</f>
        <v>0.19345773012098721</v>
      </c>
      <c r="X47" s="190">
        <v>6.5000000000000002E-2</v>
      </c>
      <c r="Y47" s="196">
        <f>(Y46+'OD EIAData'!AX41)</f>
        <v>0.44231727192902398</v>
      </c>
      <c r="Z47" s="190">
        <v>0.99</v>
      </c>
      <c r="AA47" s="196">
        <f>(AA46+'OD EIAData'!AN41)</f>
        <v>0.65256148033345518</v>
      </c>
      <c r="AB47" s="190">
        <v>0.99</v>
      </c>
      <c r="AC47" s="196">
        <f>(AC46+'OD EIAData'!AL41)</f>
        <v>0.97008391589394005</v>
      </c>
      <c r="AD47" s="190">
        <v>0.96699999999999997</v>
      </c>
      <c r="AE47" s="196">
        <f>(AE46+'OD EIAData'!AT41)</f>
        <v>0.99392693799216603</v>
      </c>
      <c r="AF47" s="190">
        <v>2.8376092015137693</v>
      </c>
      <c r="AG47" s="187">
        <f>'OD EIAData'!AY41</f>
        <v>4.4128635657619331</v>
      </c>
      <c r="AH47" s="196">
        <f>'OD EIAData'!BA41</f>
        <v>0.36669310902865865</v>
      </c>
      <c r="AI47" s="211">
        <f t="shared" si="34"/>
        <v>1</v>
      </c>
      <c r="AJ47" s="211">
        <f t="shared" si="34"/>
        <v>1</v>
      </c>
    </row>
    <row r="48" spans="1:37" x14ac:dyDescent="0.2">
      <c r="A48" s="198">
        <f t="shared" si="33"/>
        <v>2041</v>
      </c>
      <c r="B48" s="196">
        <f>(B47+'OD EIAData'!W49/3)</f>
        <v>0.15664583035705507</v>
      </c>
      <c r="C48" s="188">
        <v>0.15</v>
      </c>
      <c r="D48" s="196">
        <f>(D47+'OD EIAData'!Y49/3)</f>
        <v>0.79640422150860146</v>
      </c>
      <c r="E48" s="188">
        <v>0.69500000000000006</v>
      </c>
      <c r="F48" s="196"/>
      <c r="G48" s="188">
        <v>9.5605781170130785E-2</v>
      </c>
      <c r="H48" s="196">
        <f>(H47*('OD EIAData'!AC151+1))</f>
        <v>0.09</v>
      </c>
      <c r="I48" s="188">
        <v>0.19130000000000011</v>
      </c>
      <c r="J48" s="196">
        <f>(J47+'OD EIAData'!AG42)</f>
        <v>0.17167394371527353</v>
      </c>
      <c r="K48" s="188">
        <v>0.63699999999999812</v>
      </c>
      <c r="L48" s="196">
        <f>(L47+'OD EIAData'!AI42/3)</f>
        <v>0.79235342737854175</v>
      </c>
      <c r="M48" s="190"/>
      <c r="N48" s="211">
        <f t="shared" si="35"/>
        <v>0</v>
      </c>
      <c r="O48" s="190">
        <v>0.18199999999999994</v>
      </c>
      <c r="P48" s="203">
        <f t="shared" si="32"/>
        <v>0.24349999999999999</v>
      </c>
      <c r="Q48" s="190">
        <v>0.98</v>
      </c>
      <c r="R48" s="196">
        <f>(R47+'OD EIAData'!AP42/3)</f>
        <v>1.0178789593497182</v>
      </c>
      <c r="S48" s="190">
        <v>0.96599999999999997</v>
      </c>
      <c r="T48" s="196">
        <f>(T47+'OD EIAData'!AR42)</f>
        <v>2.0004364990717276</v>
      </c>
      <c r="U48" s="196">
        <v>1</v>
      </c>
      <c r="V48" s="190">
        <v>0.21899999999999967</v>
      </c>
      <c r="W48" s="203">
        <f>'OD EIAData'!AU42-'OD Shares'!U48</f>
        <v>0.19331699438422434</v>
      </c>
      <c r="X48" s="190">
        <v>6.5000000000000002E-2</v>
      </c>
      <c r="Y48" s="196">
        <f>(Y47+'OD EIAData'!AX42)</f>
        <v>0.44190360347435137</v>
      </c>
      <c r="Z48" s="190">
        <v>0.99</v>
      </c>
      <c r="AA48" s="196">
        <f>(AA47+'OD EIAData'!AN42)</f>
        <v>0.65774904584667482</v>
      </c>
      <c r="AB48" s="190">
        <v>0.99</v>
      </c>
      <c r="AC48" s="196">
        <f>(AC47+'OD EIAData'!AL42)</f>
        <v>0.97086588773512905</v>
      </c>
      <c r="AD48" s="190">
        <v>0.96699999999999997</v>
      </c>
      <c r="AE48" s="196">
        <f>(AE47+'OD EIAData'!AT42)</f>
        <v>0.99539478167865192</v>
      </c>
      <c r="AF48" s="190">
        <v>2.8376092015137693</v>
      </c>
      <c r="AG48" s="187">
        <f>'OD EIAData'!AY42</f>
        <v>4.4344785041235575</v>
      </c>
      <c r="AH48" s="196">
        <f>'OD EIAData'!BA42</f>
        <v>0.36444424714082252</v>
      </c>
      <c r="AI48" s="211">
        <f t="shared" si="34"/>
        <v>1</v>
      </c>
      <c r="AJ48" s="211">
        <f t="shared" si="34"/>
        <v>1</v>
      </c>
    </row>
    <row r="49" spans="1:36" x14ac:dyDescent="0.2">
      <c r="A49" s="198">
        <f t="shared" si="33"/>
        <v>2042</v>
      </c>
      <c r="B49" s="196">
        <f>(B48+'OD EIAData'!W50/3)</f>
        <v>0.15664583035705507</v>
      </c>
      <c r="C49" s="188"/>
      <c r="D49" s="196">
        <f>(D48+'OD EIAData'!Y50/3)</f>
        <v>0.79640422150860146</v>
      </c>
      <c r="F49" s="196"/>
      <c r="H49" s="196">
        <f>(H48*('OD EIAData'!AC152+1))</f>
        <v>0.09</v>
      </c>
      <c r="J49" s="196">
        <f>(J48+'OD EIAData'!AG43)</f>
        <v>0.17201971504734778</v>
      </c>
      <c r="L49" s="196">
        <f>(L48+'OD EIAData'!AI43/3)</f>
        <v>0.79633649600185519</v>
      </c>
      <c r="N49" s="211">
        <f>N48</f>
        <v>0</v>
      </c>
      <c r="P49" s="203">
        <f t="shared" si="32"/>
        <v>0.24299999999999999</v>
      </c>
      <c r="R49" s="196">
        <f>(R48+'OD EIAData'!AP43/3)</f>
        <v>1.0186282402902584</v>
      </c>
      <c r="T49" s="196">
        <f>(T48+'OD EIAData'!AR43)</f>
        <v>2.0015761741158427</v>
      </c>
      <c r="U49" s="196">
        <v>1</v>
      </c>
      <c r="W49" s="203">
        <f>'OD EIAData'!AU43-'OD Shares'!U49</f>
        <v>0.1931762752433972</v>
      </c>
      <c r="X49" s="190">
        <v>0</v>
      </c>
      <c r="Y49" s="196">
        <f>(Y48+'OD EIAData'!AX43)</f>
        <v>0.44148993501967876</v>
      </c>
      <c r="Z49" s="190">
        <v>0</v>
      </c>
      <c r="AA49" s="196">
        <f>(AA48+'OD EIAData'!AN43)</f>
        <v>0.66293661135989446</v>
      </c>
      <c r="AB49" s="190">
        <v>0</v>
      </c>
      <c r="AC49" s="196">
        <f>(AC48+'OD EIAData'!AL43)</f>
        <v>0.97164785957631805</v>
      </c>
      <c r="AD49" s="190">
        <v>0</v>
      </c>
      <c r="AE49" s="196">
        <f>(AE48+'OD EIAData'!AT43)</f>
        <v>0.99686262536513781</v>
      </c>
      <c r="AF49" s="190">
        <v>0</v>
      </c>
      <c r="AG49" s="187">
        <f>'OD EIAData'!AY43</f>
        <v>4.4561993160417543</v>
      </c>
      <c r="AH49" s="196">
        <f>'OD EIAData'!BA43</f>
        <v>0.36220917711235334</v>
      </c>
      <c r="AI49" s="211">
        <f t="shared" si="34"/>
        <v>1</v>
      </c>
      <c r="AJ49" s="211">
        <f t="shared" si="34"/>
        <v>1</v>
      </c>
    </row>
    <row r="50" spans="1:36" x14ac:dyDescent="0.2">
      <c r="A50" s="198">
        <f t="shared" si="33"/>
        <v>2043</v>
      </c>
      <c r="B50" s="196">
        <f>(B49+'OD EIAData'!W51/3)</f>
        <v>0.15664583035705507</v>
      </c>
      <c r="C50" s="188"/>
      <c r="D50" s="196">
        <f>(D49+'OD EIAData'!Y51/3)</f>
        <v>0.79640422150860146</v>
      </c>
      <c r="F50" s="196"/>
      <c r="H50" s="196">
        <f>(H49*('OD EIAData'!AC153+1))</f>
        <v>0.09</v>
      </c>
      <c r="J50" s="196">
        <f>(J49+'OD EIAData'!AG44)</f>
        <v>0.17236548637942203</v>
      </c>
      <c r="L50" s="196">
        <f>(L49+'OD EIAData'!AI44/3)</f>
        <v>0.80031956462516862</v>
      </c>
      <c r="N50" s="211">
        <f>N49</f>
        <v>0</v>
      </c>
      <c r="P50" s="203">
        <f t="shared" si="32"/>
        <v>0.24249999999999999</v>
      </c>
      <c r="R50" s="196">
        <f>(R49+'OD EIAData'!AP44/3)</f>
        <v>1.0193775212307987</v>
      </c>
      <c r="T50" s="196">
        <f>(T49+'OD EIAData'!AR44)</f>
        <v>2.0027158491599577</v>
      </c>
      <c r="U50" s="196">
        <v>1</v>
      </c>
      <c r="W50" s="203">
        <f>'OD EIAData'!AU44-'OD Shares'!U50</f>
        <v>0.1930355726965487</v>
      </c>
      <c r="X50" s="190">
        <v>0</v>
      </c>
      <c r="Y50" s="196">
        <f>(Y49+'OD EIAData'!AX44)</f>
        <v>0.44107626656500615</v>
      </c>
      <c r="Z50" s="190">
        <v>0</v>
      </c>
      <c r="AA50" s="196">
        <f>(AA49+'OD EIAData'!AN44)</f>
        <v>0.6681241768731141</v>
      </c>
      <c r="AB50" s="190">
        <v>0</v>
      </c>
      <c r="AC50" s="196">
        <f>(AC49+'OD EIAData'!AL44)</f>
        <v>0.97242983141750705</v>
      </c>
      <c r="AD50" s="190">
        <v>0</v>
      </c>
      <c r="AE50" s="196">
        <f>(AE49+'OD EIAData'!AT44)</f>
        <v>0.9983304690516237</v>
      </c>
      <c r="AF50" s="190">
        <v>0</v>
      </c>
      <c r="AG50" s="187">
        <f>'OD EIAData'!AY44</f>
        <v>4.4780265201027802</v>
      </c>
      <c r="AH50" s="196">
        <f>'OD EIAData'!BA44</f>
        <v>0.3599878143602957</v>
      </c>
      <c r="AI50" s="211">
        <f t="shared" si="34"/>
        <v>1</v>
      </c>
      <c r="AJ50" s="211">
        <f t="shared" si="34"/>
        <v>1</v>
      </c>
    </row>
    <row r="51" spans="1:36" x14ac:dyDescent="0.2">
      <c r="AG51" s="187"/>
    </row>
    <row r="52" spans="1:36" x14ac:dyDescent="0.2">
      <c r="AG52" s="187"/>
    </row>
    <row r="53" spans="1:36" x14ac:dyDescent="0.2">
      <c r="AG53" s="187"/>
    </row>
    <row r="54" spans="1:36" x14ac:dyDescent="0.2">
      <c r="AG54" s="187"/>
    </row>
    <row r="55" spans="1:36" x14ac:dyDescent="0.2">
      <c r="AG55" s="187"/>
    </row>
    <row r="56" spans="1:36" x14ac:dyDescent="0.2">
      <c r="AG56" s="187"/>
    </row>
    <row r="57" spans="1:36" x14ac:dyDescent="0.2">
      <c r="AG57" s="187"/>
    </row>
    <row r="58" spans="1:36" x14ac:dyDescent="0.2">
      <c r="AG58" s="187"/>
    </row>
    <row r="59" spans="1:36" x14ac:dyDescent="0.2">
      <c r="AG59" s="187"/>
    </row>
  </sheetData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L2" sqref="L2:L13"/>
    </sheetView>
  </sheetViews>
  <sheetFormatPr defaultRowHeight="12.75" x14ac:dyDescent="0.2"/>
  <cols>
    <col min="1" max="1" width="14.85546875" bestFit="1" customWidth="1"/>
    <col min="2" max="2" width="12" customWidth="1"/>
  </cols>
  <sheetData>
    <row r="3" spans="1:2" x14ac:dyDescent="0.2">
      <c r="A3" t="s">
        <v>195</v>
      </c>
    </row>
    <row r="4" spans="1:2" x14ac:dyDescent="0.2">
      <c r="A4" t="s">
        <v>15</v>
      </c>
      <c r="B4" t="s">
        <v>193</v>
      </c>
    </row>
    <row r="5" spans="1:2" x14ac:dyDescent="0.2">
      <c r="A5">
        <v>2025</v>
      </c>
      <c r="B5" s="208">
        <v>8.3275989943828534</v>
      </c>
    </row>
    <row r="6" spans="1:2" x14ac:dyDescent="0.2">
      <c r="A6">
        <v>2026</v>
      </c>
      <c r="B6" s="208">
        <v>8.3494125211931092</v>
      </c>
    </row>
    <row r="7" spans="1:2" x14ac:dyDescent="0.2">
      <c r="A7">
        <v>2027</v>
      </c>
      <c r="B7" s="208">
        <v>8.3668992443359684</v>
      </c>
    </row>
    <row r="8" spans="1:2" x14ac:dyDescent="0.2">
      <c r="A8">
        <v>2028</v>
      </c>
      <c r="B8" s="208">
        <v>8.3820133515158552</v>
      </c>
    </row>
    <row r="9" spans="1:2" x14ac:dyDescent="0.2">
      <c r="A9">
        <v>2029</v>
      </c>
      <c r="B9" s="208">
        <v>8.3945062409389717</v>
      </c>
    </row>
    <row r="10" spans="1:2" x14ac:dyDescent="0.2">
      <c r="A10">
        <v>2030</v>
      </c>
      <c r="B10" s="208">
        <v>8.405648247040185</v>
      </c>
    </row>
    <row r="11" spans="1:2" x14ac:dyDescent="0.2">
      <c r="A11">
        <v>2031</v>
      </c>
      <c r="B11" s="208">
        <v>8.4157941304593287</v>
      </c>
    </row>
    <row r="12" spans="1:2" x14ac:dyDescent="0.2">
      <c r="A12">
        <v>2032</v>
      </c>
      <c r="B12" s="208">
        <v>8.4249576911533275</v>
      </c>
    </row>
    <row r="13" spans="1:2" x14ac:dyDescent="0.2">
      <c r="A13">
        <v>2033</v>
      </c>
      <c r="B13" s="208">
        <v>8.4317027270645557</v>
      </c>
    </row>
    <row r="14" spans="1:2" x14ac:dyDescent="0.2">
      <c r="A14">
        <v>2034</v>
      </c>
      <c r="B14" s="208">
        <v>8.436276245805697</v>
      </c>
    </row>
    <row r="15" spans="1:2" x14ac:dyDescent="0.2">
      <c r="A15">
        <v>2035</v>
      </c>
      <c r="B15" s="208">
        <v>8.4384683863519196</v>
      </c>
    </row>
    <row r="16" spans="1:2" x14ac:dyDescent="0.2">
      <c r="A16">
        <v>2036</v>
      </c>
      <c r="B16" s="208">
        <v>8.4406605268981423</v>
      </c>
    </row>
    <row r="17" spans="1:2" x14ac:dyDescent="0.2">
      <c r="A17">
        <v>2037</v>
      </c>
      <c r="B17" s="208">
        <v>8.4428526674443649</v>
      </c>
    </row>
    <row r="18" spans="1:2" x14ac:dyDescent="0.2">
      <c r="A18">
        <v>2038</v>
      </c>
      <c r="B18" s="208">
        <v>8.4450448079905875</v>
      </c>
    </row>
    <row r="19" spans="1:2" x14ac:dyDescent="0.2">
      <c r="A19">
        <v>2039</v>
      </c>
      <c r="B19" s="208">
        <v>8.4472369485368102</v>
      </c>
    </row>
    <row r="20" spans="1:2" x14ac:dyDescent="0.2">
      <c r="A20">
        <v>2040</v>
      </c>
      <c r="B20" s="208">
        <v>8.4494290890830328</v>
      </c>
    </row>
    <row r="21" spans="1:2" x14ac:dyDescent="0.2">
      <c r="A21">
        <v>2041</v>
      </c>
      <c r="B21" s="208">
        <v>8.4516212296292554</v>
      </c>
    </row>
    <row r="22" spans="1:2" x14ac:dyDescent="0.2">
      <c r="A22">
        <v>2042</v>
      </c>
      <c r="B22" s="208">
        <v>8.4538133701754781</v>
      </c>
    </row>
    <row r="23" spans="1:2" x14ac:dyDescent="0.2">
      <c r="A23" t="s">
        <v>194</v>
      </c>
      <c r="B23" s="208">
        <v>151.50393641999946</v>
      </c>
    </row>
  </sheetData>
  <pageMargins left="0.7" right="0.7" top="0.75" bottom="0.75" header="0.3" footer="0.3"/>
  <pageSetup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tabSelected="1" workbookViewId="0">
      <pane ySplit="1" topLeftCell="A14" activePane="bottomLeft" state="frozenSplit"/>
      <selection pane="bottomLeft"/>
    </sheetView>
  </sheetViews>
  <sheetFormatPr defaultRowHeight="12.75" x14ac:dyDescent="0.2"/>
  <cols>
    <col min="1" max="1" width="5.85546875" customWidth="1"/>
    <col min="2" max="2" width="7" style="9" bestFit="1" customWidth="1"/>
    <col min="3" max="3" width="8.28515625" style="9" bestFit="1" customWidth="1"/>
    <col min="4" max="5" width="8.28515625" style="9" customWidth="1"/>
    <col min="6" max="6" width="7.28515625" style="9" bestFit="1" customWidth="1"/>
    <col min="7" max="7" width="8.28515625" style="9" bestFit="1" customWidth="1"/>
    <col min="8" max="8" width="8.28515625" style="9" customWidth="1"/>
    <col min="9" max="9" width="6.7109375" style="9" bestFit="1" customWidth="1"/>
    <col min="10" max="10" width="8.7109375" style="9" bestFit="1" customWidth="1"/>
    <col min="11" max="11" width="8.7109375" style="44" bestFit="1" customWidth="1"/>
    <col min="12" max="14" width="10.28515625" style="44" bestFit="1" customWidth="1"/>
    <col min="15" max="16" width="8.7109375" style="44" bestFit="1" customWidth="1"/>
    <col min="17" max="17" width="10.28515625" style="44" bestFit="1" customWidth="1"/>
    <col min="18" max="18" width="8.7109375" style="44" bestFit="1" customWidth="1"/>
    <col min="19" max="19" width="8.7109375" style="44" customWidth="1"/>
    <col min="20" max="20" width="10.28515625" style="44" bestFit="1" customWidth="1"/>
    <col min="21" max="21" width="10.28515625" style="44" customWidth="1"/>
    <col min="22" max="22" width="9.42578125" style="352" bestFit="1" customWidth="1"/>
    <col min="24" max="24" width="9.28515625" bestFit="1" customWidth="1"/>
  </cols>
  <sheetData>
    <row r="1" spans="1:29" s="3" customFormat="1" x14ac:dyDescent="0.2">
      <c r="A1" s="18" t="s">
        <v>15</v>
      </c>
      <c r="B1" s="41" t="s">
        <v>0</v>
      </c>
      <c r="C1" s="41" t="s">
        <v>1</v>
      </c>
      <c r="D1" s="41" t="s">
        <v>164</v>
      </c>
      <c r="E1" s="41" t="s">
        <v>147</v>
      </c>
      <c r="F1" s="41" t="s">
        <v>2</v>
      </c>
      <c r="G1" s="41" t="s">
        <v>3</v>
      </c>
      <c r="H1" s="41" t="s">
        <v>166</v>
      </c>
      <c r="I1" s="41" t="s">
        <v>4</v>
      </c>
      <c r="J1" s="41" t="s">
        <v>5</v>
      </c>
      <c r="K1" s="37" t="s">
        <v>6</v>
      </c>
      <c r="L1" s="38" t="s">
        <v>7</v>
      </c>
      <c r="M1" s="38" t="s">
        <v>8</v>
      </c>
      <c r="N1" s="38" t="s">
        <v>9</v>
      </c>
      <c r="O1" s="37" t="s">
        <v>10</v>
      </c>
      <c r="P1" s="37" t="s">
        <v>11</v>
      </c>
      <c r="Q1" s="37" t="s">
        <v>12</v>
      </c>
      <c r="R1" s="38" t="s">
        <v>100</v>
      </c>
      <c r="S1" s="38" t="s">
        <v>174</v>
      </c>
      <c r="T1" s="38" t="s">
        <v>13</v>
      </c>
      <c r="U1" s="38" t="s">
        <v>285</v>
      </c>
      <c r="V1" s="38" t="s">
        <v>286</v>
      </c>
      <c r="W1" s="3" t="s">
        <v>284</v>
      </c>
      <c r="X1" s="215" t="s">
        <v>14</v>
      </c>
    </row>
    <row r="2" spans="1:29" x14ac:dyDescent="0.2">
      <c r="A2" s="24">
        <v>1995</v>
      </c>
      <c r="B2" s="327">
        <v>3.4119999999999999</v>
      </c>
      <c r="C2" s="118">
        <v>6.6145431549056699</v>
      </c>
      <c r="D2" s="118">
        <v>3.22</v>
      </c>
      <c r="E2" s="118">
        <v>672.80825918693779</v>
      </c>
      <c r="F2" s="118">
        <v>9.0326946012654545</v>
      </c>
      <c r="G2" s="118">
        <v>10.100210866762</v>
      </c>
      <c r="H2" s="118">
        <v>12.759999999999987</v>
      </c>
      <c r="I2" s="118">
        <v>8.2767889420950311</v>
      </c>
      <c r="J2" s="118">
        <v>0.86162231376373388</v>
      </c>
      <c r="K2" s="118">
        <v>332.28448403002676</v>
      </c>
      <c r="L2" s="118">
        <v>785.42382844601207</v>
      </c>
      <c r="M2" s="118">
        <v>706.88144560141018</v>
      </c>
      <c r="N2" s="118">
        <v>597.8861696134619</v>
      </c>
      <c r="O2" s="118">
        <v>516.35370934786215</v>
      </c>
      <c r="P2" s="118">
        <v>121.61550489098488</v>
      </c>
      <c r="Q2" s="118">
        <v>974.17608841809999</v>
      </c>
      <c r="R2" s="118">
        <v>192.30104310978115</v>
      </c>
      <c r="S2" s="118">
        <v>417.63542342875638</v>
      </c>
      <c r="T2" s="118">
        <v>1994.4411425298797</v>
      </c>
      <c r="U2" s="118"/>
      <c r="V2" s="349">
        <v>2926.6635745911367</v>
      </c>
      <c r="W2" s="328"/>
      <c r="X2" s="216">
        <v>2905.497023945918</v>
      </c>
    </row>
    <row r="3" spans="1:29" x14ac:dyDescent="0.2">
      <c r="A3" s="24">
        <v>1996</v>
      </c>
      <c r="B3" s="327">
        <v>3.4119999999999999</v>
      </c>
      <c r="C3" s="122">
        <f>C2+((C$12-C$2)/10)</f>
        <v>6.6592920626215495</v>
      </c>
      <c r="D3" s="122">
        <f t="shared" ref="D3:T11" si="0">D2+((D$12-D$2)/10)</f>
        <v>3.2280000000000002</v>
      </c>
      <c r="E3" s="122">
        <f t="shared" si="0"/>
        <v>668.07399668742369</v>
      </c>
      <c r="F3" s="122">
        <f t="shared" si="0"/>
        <v>9.2506298859263261</v>
      </c>
      <c r="G3" s="122">
        <f t="shared" si="0"/>
        <v>10.242185675954905</v>
      </c>
      <c r="H3" s="122">
        <f t="shared" si="0"/>
        <v>12.863999999999988</v>
      </c>
      <c r="I3" s="122">
        <f t="shared" si="0"/>
        <v>8.396960714060187</v>
      </c>
      <c r="J3" s="122">
        <f t="shared" si="0"/>
        <v>0.86375195184880027</v>
      </c>
      <c r="K3" s="122">
        <f t="shared" si="0"/>
        <v>332.19678296536182</v>
      </c>
      <c r="L3" s="122">
        <f t="shared" si="0"/>
        <v>773.49978643912505</v>
      </c>
      <c r="M3" s="122">
        <f t="shared" si="0"/>
        <v>696.14980779521193</v>
      </c>
      <c r="N3" s="122">
        <f t="shared" si="0"/>
        <v>591.67097493347887</v>
      </c>
      <c r="O3" s="122">
        <f t="shared" si="0"/>
        <v>508.12395663771969</v>
      </c>
      <c r="P3" s="122">
        <f t="shared" si="0"/>
        <v>120.50651716030856</v>
      </c>
      <c r="Q3" s="122">
        <f t="shared" si="0"/>
        <v>969.00782764597238</v>
      </c>
      <c r="R3" s="122">
        <f t="shared" si="0"/>
        <v>194.40733751914303</v>
      </c>
      <c r="S3" s="122">
        <f t="shared" si="0"/>
        <v>424.14445165734008</v>
      </c>
      <c r="T3" s="122">
        <f t="shared" si="0"/>
        <v>1995.9372186985383</v>
      </c>
      <c r="U3" s="122"/>
      <c r="V3" s="349">
        <v>3033.7744795638791</v>
      </c>
      <c r="W3" s="141"/>
      <c r="X3" s="217">
        <v>3007.1968255423126</v>
      </c>
      <c r="Y3" s="141"/>
      <c r="Z3" s="141"/>
      <c r="AA3" s="141"/>
      <c r="AB3" s="141"/>
      <c r="AC3" s="141"/>
    </row>
    <row r="4" spans="1:29" x14ac:dyDescent="0.2">
      <c r="A4" s="24">
        <v>1997</v>
      </c>
      <c r="B4" s="327">
        <v>3.4119999999999999</v>
      </c>
      <c r="C4" s="122">
        <f t="shared" ref="C4:C11" si="1">C3+((C$12-C$2)/10)</f>
        <v>6.7040409703374291</v>
      </c>
      <c r="D4" s="122">
        <f t="shared" si="0"/>
        <v>3.2360000000000002</v>
      </c>
      <c r="E4" s="122">
        <f t="shared" si="0"/>
        <v>663.33973418790958</v>
      </c>
      <c r="F4" s="122">
        <f t="shared" si="0"/>
        <v>9.4685651705871976</v>
      </c>
      <c r="G4" s="122">
        <f t="shared" si="0"/>
        <v>10.384160485147811</v>
      </c>
      <c r="H4" s="122">
        <f t="shared" si="0"/>
        <v>12.967999999999989</v>
      </c>
      <c r="I4" s="122">
        <f t="shared" si="0"/>
        <v>8.5171324860253428</v>
      </c>
      <c r="J4" s="122">
        <f t="shared" si="0"/>
        <v>0.86588158993386666</v>
      </c>
      <c r="K4" s="122">
        <f t="shared" si="0"/>
        <v>332.10908190069688</v>
      </c>
      <c r="L4" s="122">
        <f t="shared" si="0"/>
        <v>761.57574443223803</v>
      </c>
      <c r="M4" s="122">
        <f t="shared" si="0"/>
        <v>685.41816998901368</v>
      </c>
      <c r="N4" s="122">
        <f t="shared" si="0"/>
        <v>585.45578025349596</v>
      </c>
      <c r="O4" s="122">
        <f t="shared" si="0"/>
        <v>499.89420392757722</v>
      </c>
      <c r="P4" s="122">
        <f t="shared" si="0"/>
        <v>119.39752942963224</v>
      </c>
      <c r="Q4" s="122">
        <f t="shared" si="0"/>
        <v>963.83956687384477</v>
      </c>
      <c r="R4" s="122">
        <f t="shared" si="0"/>
        <v>196.51363192850491</v>
      </c>
      <c r="S4" s="122">
        <f t="shared" si="0"/>
        <v>430.65347988592379</v>
      </c>
      <c r="T4" s="122">
        <f t="shared" si="0"/>
        <v>1997.433294867197</v>
      </c>
      <c r="U4" s="122"/>
      <c r="V4" s="349">
        <v>3140.8853845366216</v>
      </c>
      <c r="W4" s="141"/>
      <c r="X4" s="217">
        <v>3108.8966271387071</v>
      </c>
      <c r="Y4" s="141"/>
      <c r="Z4" s="141"/>
      <c r="AA4" s="141"/>
      <c r="AB4" s="141"/>
      <c r="AC4" s="141"/>
    </row>
    <row r="5" spans="1:29" x14ac:dyDescent="0.2">
      <c r="A5" s="24">
        <v>1998</v>
      </c>
      <c r="B5" s="327">
        <v>3.4119999999999999</v>
      </c>
      <c r="C5" s="122">
        <f t="shared" si="1"/>
        <v>6.7487898780533087</v>
      </c>
      <c r="D5" s="122">
        <f t="shared" si="0"/>
        <v>3.2440000000000002</v>
      </c>
      <c r="E5" s="122">
        <f t="shared" si="0"/>
        <v>658.60547168839548</v>
      </c>
      <c r="F5" s="122">
        <f t="shared" si="0"/>
        <v>9.6865004552480691</v>
      </c>
      <c r="G5" s="122">
        <f t="shared" si="0"/>
        <v>10.526135294340717</v>
      </c>
      <c r="H5" s="122">
        <f t="shared" si="0"/>
        <v>13.07199999999999</v>
      </c>
      <c r="I5" s="122">
        <f t="shared" si="0"/>
        <v>8.6373042579904986</v>
      </c>
      <c r="J5" s="122">
        <f t="shared" si="0"/>
        <v>0.86801122801893305</v>
      </c>
      <c r="K5" s="122">
        <f t="shared" si="0"/>
        <v>332.02138083603194</v>
      </c>
      <c r="L5" s="122">
        <f t="shared" si="0"/>
        <v>749.651702425351</v>
      </c>
      <c r="M5" s="122">
        <f t="shared" si="0"/>
        <v>674.68653218281543</v>
      </c>
      <c r="N5" s="122">
        <f t="shared" si="0"/>
        <v>579.24058557351304</v>
      </c>
      <c r="O5" s="122">
        <f t="shared" si="0"/>
        <v>491.66445121743476</v>
      </c>
      <c r="P5" s="122">
        <f t="shared" si="0"/>
        <v>118.28854169895592</v>
      </c>
      <c r="Q5" s="122">
        <f t="shared" si="0"/>
        <v>958.67130610171716</v>
      </c>
      <c r="R5" s="122">
        <f t="shared" si="0"/>
        <v>198.61992633786679</v>
      </c>
      <c r="S5" s="122">
        <f t="shared" si="0"/>
        <v>437.16250811450749</v>
      </c>
      <c r="T5" s="122">
        <f t="shared" si="0"/>
        <v>1998.9293710358556</v>
      </c>
      <c r="U5" s="122"/>
      <c r="V5" s="349">
        <v>3247.996289509364</v>
      </c>
      <c r="W5" s="141"/>
      <c r="X5" s="217">
        <v>3210.5964287351017</v>
      </c>
      <c r="Y5" s="141"/>
      <c r="Z5" s="141"/>
      <c r="AA5" s="141"/>
      <c r="AB5" s="141"/>
      <c r="AC5" s="141"/>
    </row>
    <row r="6" spans="1:29" x14ac:dyDescent="0.2">
      <c r="A6" s="24">
        <v>1999</v>
      </c>
      <c r="B6" s="327">
        <v>3.4119999999999999</v>
      </c>
      <c r="C6" s="122">
        <f t="shared" si="1"/>
        <v>6.7935387857691882</v>
      </c>
      <c r="D6" s="122">
        <f t="shared" si="0"/>
        <v>3.2520000000000002</v>
      </c>
      <c r="E6" s="122">
        <f t="shared" si="0"/>
        <v>653.87120918888138</v>
      </c>
      <c r="F6" s="122">
        <f t="shared" si="0"/>
        <v>9.9044357399089407</v>
      </c>
      <c r="G6" s="122">
        <f t="shared" si="0"/>
        <v>10.668110103533623</v>
      </c>
      <c r="H6" s="122">
        <f t="shared" si="0"/>
        <v>13.175999999999991</v>
      </c>
      <c r="I6" s="122">
        <f t="shared" si="0"/>
        <v>8.7574760299556544</v>
      </c>
      <c r="J6" s="122">
        <f t="shared" si="0"/>
        <v>0.87014086610399943</v>
      </c>
      <c r="K6" s="122">
        <f t="shared" si="0"/>
        <v>331.933679771367</v>
      </c>
      <c r="L6" s="122">
        <f t="shared" si="0"/>
        <v>737.72766041846398</v>
      </c>
      <c r="M6" s="122">
        <f t="shared" si="0"/>
        <v>663.95489437661718</v>
      </c>
      <c r="N6" s="122">
        <f t="shared" si="0"/>
        <v>573.02539089353013</v>
      </c>
      <c r="O6" s="122">
        <f t="shared" si="0"/>
        <v>483.4346985072923</v>
      </c>
      <c r="P6" s="122">
        <f t="shared" si="0"/>
        <v>117.17955396827961</v>
      </c>
      <c r="Q6" s="122">
        <f t="shared" si="0"/>
        <v>953.50304532958955</v>
      </c>
      <c r="R6" s="122">
        <f t="shared" si="0"/>
        <v>200.72622074722867</v>
      </c>
      <c r="S6" s="122">
        <f t="shared" si="0"/>
        <v>443.67153634309119</v>
      </c>
      <c r="T6" s="122">
        <f t="shared" si="0"/>
        <v>2000.4254472045143</v>
      </c>
      <c r="U6" s="122"/>
      <c r="V6" s="349">
        <v>3355.1071944821065</v>
      </c>
      <c r="W6" s="141"/>
      <c r="X6" s="217">
        <v>3312.2962303314962</v>
      </c>
      <c r="Y6" s="141"/>
      <c r="Z6" s="141"/>
      <c r="AA6" s="141"/>
      <c r="AB6" s="141"/>
      <c r="AC6" s="141"/>
    </row>
    <row r="7" spans="1:29" x14ac:dyDescent="0.2">
      <c r="A7" s="24">
        <v>2000</v>
      </c>
      <c r="B7" s="327">
        <v>3.4119999999999999</v>
      </c>
      <c r="C7" s="122">
        <f t="shared" si="1"/>
        <v>6.8382876934850678</v>
      </c>
      <c r="D7" s="122">
        <f t="shared" si="0"/>
        <v>3.2600000000000002</v>
      </c>
      <c r="E7" s="122">
        <f t="shared" si="0"/>
        <v>649.13694668936728</v>
      </c>
      <c r="F7" s="122">
        <f t="shared" si="0"/>
        <v>10.122371024569812</v>
      </c>
      <c r="G7" s="122">
        <f t="shared" si="0"/>
        <v>10.810084912726529</v>
      </c>
      <c r="H7" s="122">
        <f t="shared" si="0"/>
        <v>13.279999999999992</v>
      </c>
      <c r="I7" s="122">
        <f t="shared" si="0"/>
        <v>8.8776478019208103</v>
      </c>
      <c r="J7" s="122">
        <f t="shared" si="0"/>
        <v>0.87227050418906582</v>
      </c>
      <c r="K7" s="122">
        <f t="shared" si="0"/>
        <v>331.84597870670206</v>
      </c>
      <c r="L7" s="122">
        <f t="shared" si="0"/>
        <v>725.80361841157696</v>
      </c>
      <c r="M7" s="122">
        <f t="shared" si="0"/>
        <v>653.22325657041893</v>
      </c>
      <c r="N7" s="122">
        <f t="shared" si="0"/>
        <v>566.81019621354721</v>
      </c>
      <c r="O7" s="122">
        <f t="shared" si="0"/>
        <v>475.20494579714983</v>
      </c>
      <c r="P7" s="122">
        <f t="shared" si="0"/>
        <v>116.07056623760329</v>
      </c>
      <c r="Q7" s="122">
        <f t="shared" si="0"/>
        <v>948.33478455746194</v>
      </c>
      <c r="R7" s="122">
        <f t="shared" si="0"/>
        <v>202.83251515659055</v>
      </c>
      <c r="S7" s="122">
        <f t="shared" si="0"/>
        <v>450.18056457167489</v>
      </c>
      <c r="T7" s="122">
        <f t="shared" si="0"/>
        <v>2001.9215233731729</v>
      </c>
      <c r="U7" s="122"/>
      <c r="V7" s="349">
        <v>3462.2180994548489</v>
      </c>
      <c r="W7" s="141"/>
      <c r="X7" s="217">
        <v>3413.9960319278907</v>
      </c>
      <c r="Y7" s="141"/>
      <c r="Z7" s="141"/>
      <c r="AA7" s="141"/>
      <c r="AB7" s="141"/>
      <c r="AC7" s="141"/>
    </row>
    <row r="8" spans="1:29" x14ac:dyDescent="0.2">
      <c r="A8" s="24">
        <v>2001</v>
      </c>
      <c r="B8" s="142">
        <v>3.4119999999999999</v>
      </c>
      <c r="C8" s="122">
        <f t="shared" si="1"/>
        <v>6.8830366012009474</v>
      </c>
      <c r="D8" s="122">
        <f t="shared" si="0"/>
        <v>3.2680000000000002</v>
      </c>
      <c r="E8" s="122">
        <f t="shared" si="0"/>
        <v>644.40268418985318</v>
      </c>
      <c r="F8" s="122">
        <f t="shared" si="0"/>
        <v>10.340306309230684</v>
      </c>
      <c r="G8" s="122">
        <f t="shared" si="0"/>
        <v>10.952059721919435</v>
      </c>
      <c r="H8" s="122">
        <f t="shared" si="0"/>
        <v>13.383999999999993</v>
      </c>
      <c r="I8" s="122">
        <f t="shared" si="0"/>
        <v>8.9978195738859661</v>
      </c>
      <c r="J8" s="122">
        <f t="shared" si="0"/>
        <v>0.87440014227413221</v>
      </c>
      <c r="K8" s="122">
        <f t="shared" si="0"/>
        <v>331.75827764203711</v>
      </c>
      <c r="L8" s="122">
        <f t="shared" si="0"/>
        <v>713.87957640468994</v>
      </c>
      <c r="M8" s="122">
        <f t="shared" si="0"/>
        <v>642.49161876422068</v>
      </c>
      <c r="N8" s="122">
        <f t="shared" si="0"/>
        <v>560.5950015335643</v>
      </c>
      <c r="O8" s="122">
        <f t="shared" si="0"/>
        <v>466.97519308700737</v>
      </c>
      <c r="P8" s="122">
        <f t="shared" si="0"/>
        <v>114.96157850692697</v>
      </c>
      <c r="Q8" s="122">
        <f t="shared" si="0"/>
        <v>943.16652378533433</v>
      </c>
      <c r="R8" s="122">
        <f t="shared" si="0"/>
        <v>204.93880956595243</v>
      </c>
      <c r="S8" s="122">
        <f t="shared" si="0"/>
        <v>456.68959280025859</v>
      </c>
      <c r="T8" s="122">
        <f t="shared" si="0"/>
        <v>2003.4175995418316</v>
      </c>
      <c r="U8" s="122"/>
      <c r="V8" s="349">
        <v>3569.3290044275914</v>
      </c>
      <c r="W8" s="141"/>
      <c r="X8" s="217">
        <v>3515.6958335242853</v>
      </c>
      <c r="Y8" s="141"/>
      <c r="Z8" s="141"/>
      <c r="AA8" s="141"/>
      <c r="AB8" s="141"/>
      <c r="AC8" s="141"/>
    </row>
    <row r="9" spans="1:29" x14ac:dyDescent="0.2">
      <c r="A9" s="24">
        <v>2002</v>
      </c>
      <c r="B9" s="142">
        <v>3.4119999999999999</v>
      </c>
      <c r="C9" s="122">
        <f t="shared" si="1"/>
        <v>6.927785508916827</v>
      </c>
      <c r="D9" s="122">
        <f t="shared" si="0"/>
        <v>3.2760000000000002</v>
      </c>
      <c r="E9" s="122">
        <f t="shared" si="0"/>
        <v>639.66842169033907</v>
      </c>
      <c r="F9" s="122">
        <f t="shared" si="0"/>
        <v>10.558241593891555</v>
      </c>
      <c r="G9" s="122">
        <f t="shared" si="0"/>
        <v>11.094034531112341</v>
      </c>
      <c r="H9" s="122">
        <f t="shared" si="0"/>
        <v>13.487999999999994</v>
      </c>
      <c r="I9" s="122">
        <f t="shared" si="0"/>
        <v>9.1179913458511219</v>
      </c>
      <c r="J9" s="122">
        <f t="shared" si="0"/>
        <v>0.8765297803591986</v>
      </c>
      <c r="K9" s="122">
        <f t="shared" si="0"/>
        <v>331.67057657737217</v>
      </c>
      <c r="L9" s="122">
        <f t="shared" si="0"/>
        <v>701.95553439780292</v>
      </c>
      <c r="M9" s="122">
        <f t="shared" si="0"/>
        <v>631.75998095802242</v>
      </c>
      <c r="N9" s="122">
        <f t="shared" si="0"/>
        <v>554.37980685358139</v>
      </c>
      <c r="O9" s="122">
        <f t="shared" si="0"/>
        <v>458.74544037686491</v>
      </c>
      <c r="P9" s="122">
        <f t="shared" si="0"/>
        <v>113.85259077625065</v>
      </c>
      <c r="Q9" s="122">
        <f t="shared" si="0"/>
        <v>937.99826301320672</v>
      </c>
      <c r="R9" s="122">
        <f t="shared" si="0"/>
        <v>207.0451039753143</v>
      </c>
      <c r="S9" s="122">
        <f t="shared" si="0"/>
        <v>463.1986210288423</v>
      </c>
      <c r="T9" s="122">
        <f t="shared" si="0"/>
        <v>2004.9136757104902</v>
      </c>
      <c r="U9" s="122"/>
      <c r="V9" s="349">
        <v>3676.4399094003338</v>
      </c>
      <c r="W9" s="141"/>
      <c r="X9" s="217">
        <v>3617.3956351206798</v>
      </c>
      <c r="Y9" s="141"/>
      <c r="Z9" s="141"/>
      <c r="AA9" s="141"/>
      <c r="AB9" s="141"/>
      <c r="AC9" s="141"/>
    </row>
    <row r="10" spans="1:29" x14ac:dyDescent="0.2">
      <c r="A10" s="24">
        <v>2003</v>
      </c>
      <c r="B10" s="142">
        <v>3.4119999999999999</v>
      </c>
      <c r="C10" s="122">
        <f t="shared" si="1"/>
        <v>6.9725344166327066</v>
      </c>
      <c r="D10" s="122">
        <f t="shared" si="0"/>
        <v>3.2840000000000003</v>
      </c>
      <c r="E10" s="122">
        <f t="shared" si="0"/>
        <v>634.93415919082497</v>
      </c>
      <c r="F10" s="122">
        <f t="shared" si="0"/>
        <v>10.776176878552427</v>
      </c>
      <c r="G10" s="122">
        <f t="shared" si="0"/>
        <v>11.236009340305246</v>
      </c>
      <c r="H10" s="122">
        <f t="shared" si="0"/>
        <v>13.591999999999995</v>
      </c>
      <c r="I10" s="122">
        <f t="shared" si="0"/>
        <v>9.2381631178162777</v>
      </c>
      <c r="J10" s="122">
        <f t="shared" si="0"/>
        <v>0.87865941844426498</v>
      </c>
      <c r="K10" s="122">
        <f t="shared" si="0"/>
        <v>331.58287551270723</v>
      </c>
      <c r="L10" s="122">
        <f t="shared" si="0"/>
        <v>690.0314923909159</v>
      </c>
      <c r="M10" s="122">
        <f t="shared" si="0"/>
        <v>621.02834315182417</v>
      </c>
      <c r="N10" s="122">
        <f t="shared" si="0"/>
        <v>548.16461217359847</v>
      </c>
      <c r="O10" s="122">
        <f t="shared" si="0"/>
        <v>450.51568766672244</v>
      </c>
      <c r="P10" s="122">
        <f t="shared" si="0"/>
        <v>112.74360304557433</v>
      </c>
      <c r="Q10" s="122">
        <f t="shared" si="0"/>
        <v>932.83000224107911</v>
      </c>
      <c r="R10" s="122">
        <f t="shared" si="0"/>
        <v>209.15139838467618</v>
      </c>
      <c r="S10" s="122">
        <f t="shared" si="0"/>
        <v>469.707649257426</v>
      </c>
      <c r="T10" s="122">
        <f t="shared" si="0"/>
        <v>2006.4097518791489</v>
      </c>
      <c r="U10" s="122"/>
      <c r="V10" s="349">
        <v>3783.5508143730763</v>
      </c>
      <c r="W10" s="141"/>
      <c r="X10" s="217">
        <v>3719.0954367170743</v>
      </c>
      <c r="Y10" s="141"/>
      <c r="Z10" s="141"/>
      <c r="AA10" s="141"/>
      <c r="AB10" s="141"/>
      <c r="AC10" s="141"/>
    </row>
    <row r="11" spans="1:29" x14ac:dyDescent="0.2">
      <c r="A11" s="24">
        <v>2004</v>
      </c>
      <c r="B11" s="142">
        <v>3.4119999999999999</v>
      </c>
      <c r="C11" s="122">
        <f t="shared" si="1"/>
        <v>7.0172833243485861</v>
      </c>
      <c r="D11" s="122">
        <f t="shared" si="0"/>
        <v>3.2920000000000003</v>
      </c>
      <c r="E11" s="122">
        <f t="shared" si="0"/>
        <v>630.19989669131087</v>
      </c>
      <c r="F11" s="122">
        <f t="shared" si="0"/>
        <v>10.994112163213298</v>
      </c>
      <c r="G11" s="122">
        <f t="shared" si="0"/>
        <v>11.377984149498152</v>
      </c>
      <c r="H11" s="122">
        <f t="shared" si="0"/>
        <v>13.695999999999996</v>
      </c>
      <c r="I11" s="122">
        <f t="shared" si="0"/>
        <v>9.3583348897814336</v>
      </c>
      <c r="J11" s="122">
        <f t="shared" si="0"/>
        <v>0.88078905652933137</v>
      </c>
      <c r="K11" s="122">
        <f t="shared" si="0"/>
        <v>331.49517444804229</v>
      </c>
      <c r="L11" s="122">
        <f t="shared" si="0"/>
        <v>678.10745038402888</v>
      </c>
      <c r="M11" s="122">
        <f t="shared" si="0"/>
        <v>610.29670534562592</v>
      </c>
      <c r="N11" s="122">
        <f t="shared" si="0"/>
        <v>541.94941749361556</v>
      </c>
      <c r="O11" s="122">
        <f t="shared" si="0"/>
        <v>442.28593495657998</v>
      </c>
      <c r="P11" s="122">
        <f t="shared" si="0"/>
        <v>111.63461531489801</v>
      </c>
      <c r="Q11" s="122">
        <f t="shared" si="0"/>
        <v>927.6617414689515</v>
      </c>
      <c r="R11" s="122">
        <f t="shared" si="0"/>
        <v>211.25769279403806</v>
      </c>
      <c r="S11" s="122">
        <f t="shared" si="0"/>
        <v>476.2166774860097</v>
      </c>
      <c r="T11" s="122">
        <f t="shared" si="0"/>
        <v>2007.9058280478075</v>
      </c>
      <c r="U11" s="122"/>
      <c r="V11" s="349">
        <v>3890.6617193458187</v>
      </c>
      <c r="W11" s="141"/>
      <c r="X11" s="217">
        <v>3820.7952383134689</v>
      </c>
      <c r="Y11" s="141"/>
      <c r="Z11" s="141"/>
      <c r="AA11" s="141"/>
      <c r="AB11" s="141"/>
      <c r="AC11" s="141"/>
    </row>
    <row r="12" spans="1:29" x14ac:dyDescent="0.2">
      <c r="A12" s="24">
        <v>2005</v>
      </c>
      <c r="B12" s="142">
        <v>3.4119999999999999</v>
      </c>
      <c r="C12" s="142">
        <f>'OD EIAData'!B4</f>
        <v>7.0620322320644684</v>
      </c>
      <c r="D12" s="142">
        <f>'OD EIAData'!C4</f>
        <v>3.3</v>
      </c>
      <c r="E12" s="142">
        <f>'OD EIAData'!D4</f>
        <v>625.46563419179665</v>
      </c>
      <c r="F12" s="142">
        <f>'OD EIAData'!G4</f>
        <v>11.212047447874177</v>
      </c>
      <c r="G12" s="142">
        <f>'OD EIAData'!E4</f>
        <v>11.519958958691054</v>
      </c>
      <c r="H12" s="142">
        <f>'OD EIAData'!F4</f>
        <v>13.8</v>
      </c>
      <c r="I12" s="142">
        <f>'OD EIAData'!H4</f>
        <v>9.4785066617465841</v>
      </c>
      <c r="J12" s="142">
        <f>'OD EIAData'!I4</f>
        <v>0.88291869461439743</v>
      </c>
      <c r="K12" s="142">
        <f>'OD EIAData'!L4</f>
        <v>331.40747338337758</v>
      </c>
      <c r="L12" s="142">
        <f>'OD EIAData'!J4</f>
        <v>666.18340837714163</v>
      </c>
      <c r="M12" s="142">
        <f t="shared" ref="M12:M37" si="2">L12*0.9</f>
        <v>599.56506753942745</v>
      </c>
      <c r="N12" s="142">
        <f>'OD EIAData'!K4</f>
        <v>535.73422281363219</v>
      </c>
      <c r="O12" s="142">
        <f>'OD EIAData'!M4</f>
        <v>434.05618224643769</v>
      </c>
      <c r="P12" s="142">
        <f>'OD EIAData'!N4</f>
        <v>110.52562758422165</v>
      </c>
      <c r="Q12" s="142">
        <f>'OD EIAData'!O4</f>
        <v>922.49348069682435</v>
      </c>
      <c r="R12" s="142">
        <f>'OD EIAData'!P4</f>
        <v>213.36398720339992</v>
      </c>
      <c r="S12" s="142">
        <f>'OD EIAData'!Q4</f>
        <v>482.72570571459363</v>
      </c>
      <c r="T12" s="142">
        <f>'OD EIAData'!R4</f>
        <v>2009.4019042164659</v>
      </c>
      <c r="U12" s="142"/>
      <c r="V12" s="349">
        <v>3997.7726243185602</v>
      </c>
      <c r="W12" s="143"/>
      <c r="X12" s="222">
        <f>'OD EIAData'!S4</f>
        <v>3997.88904540354</v>
      </c>
      <c r="Y12" s="143"/>
      <c r="Z12" s="143"/>
      <c r="AA12" s="143"/>
      <c r="AB12" s="143"/>
      <c r="AC12" s="143"/>
    </row>
    <row r="13" spans="1:29" x14ac:dyDescent="0.2">
      <c r="A13" s="24">
        <v>2006</v>
      </c>
      <c r="B13" s="142">
        <v>3.4119999999999999</v>
      </c>
      <c r="C13" s="142">
        <f>'OD EIAData'!B5</f>
        <v>7.1493184332678767</v>
      </c>
      <c r="D13" s="142">
        <f>'OD EIAData'!C5</f>
        <v>3.3058230000000002</v>
      </c>
      <c r="E13" s="142">
        <v>608.1527330872525</v>
      </c>
      <c r="F13" s="142">
        <f>'OD EIAData'!G5</f>
        <v>11.442723164233163</v>
      </c>
      <c r="G13" s="142">
        <f>'OD EIAData'!E5</f>
        <v>11.731493674165527</v>
      </c>
      <c r="H13" s="142">
        <f>'OD EIAData'!F5</f>
        <v>13.899820999999999</v>
      </c>
      <c r="I13" s="142">
        <f>'OD EIAData'!H5</f>
        <v>9.5562644541554054</v>
      </c>
      <c r="J13" s="142">
        <f>'OD EIAData'!I5</f>
        <v>0.88541958974073087</v>
      </c>
      <c r="K13" s="142">
        <f>'OD EIAData'!L5</f>
        <v>331.11462444562341</v>
      </c>
      <c r="L13" s="142">
        <f>'OD EIAData'!J5</f>
        <v>653.83637638858977</v>
      </c>
      <c r="M13" s="142">
        <f t="shared" si="2"/>
        <v>588.45273874973077</v>
      </c>
      <c r="N13" s="142">
        <f>'OD EIAData'!K5</f>
        <v>530.40085896318101</v>
      </c>
      <c r="O13" s="142">
        <f>'OD EIAData'!M5</f>
        <v>432.91685803373963</v>
      </c>
      <c r="P13" s="142">
        <v>108.28898047912446</v>
      </c>
      <c r="Q13" s="142">
        <v>908.94754083650048</v>
      </c>
      <c r="R13" s="142">
        <v>224.21212322543218</v>
      </c>
      <c r="S13" s="142">
        <v>494.96475916607523</v>
      </c>
      <c r="T13" s="142">
        <f>'OD EIAData'!R5</f>
        <v>1985.1797483947332</v>
      </c>
      <c r="U13" s="142"/>
      <c r="V13" s="349">
        <v>4071.1647895096144</v>
      </c>
      <c r="W13" s="141"/>
      <c r="X13" s="222">
        <f>'OD EIAData'!S5</f>
        <v>4248.1497410769371</v>
      </c>
    </row>
    <row r="14" spans="1:29" x14ac:dyDescent="0.2">
      <c r="A14" s="24">
        <v>2007</v>
      </c>
      <c r="B14" s="142">
        <v>3.4119999999999999</v>
      </c>
      <c r="C14" s="142">
        <f>'OD EIAData'!B6</f>
        <v>7.2376834855257917</v>
      </c>
      <c r="D14" s="142">
        <f>'OD EIAData'!C6</f>
        <v>3.3084030000000002</v>
      </c>
      <c r="E14" s="142">
        <v>590.83983198270835</v>
      </c>
      <c r="F14" s="142">
        <f>'OD EIAData'!G6</f>
        <v>11.678144783279871</v>
      </c>
      <c r="G14" s="142">
        <f>'OD EIAData'!E6</f>
        <v>11.946912686104191</v>
      </c>
      <c r="H14" s="142">
        <f>'OD EIAData'!F6</f>
        <v>13.959336</v>
      </c>
      <c r="I14" s="142">
        <f>'OD EIAData'!H6</f>
        <v>9.6346601396940272</v>
      </c>
      <c r="J14" s="142">
        <f>'OD EIAData'!I6</f>
        <v>0.88792756873160483</v>
      </c>
      <c r="K14" s="142">
        <f>'OD EIAData'!L6</f>
        <v>330.91645306583194</v>
      </c>
      <c r="L14" s="142">
        <f>'OD EIAData'!J6</f>
        <v>641.71818408143679</v>
      </c>
      <c r="M14" s="142">
        <f t="shared" si="2"/>
        <v>577.54636567329317</v>
      </c>
      <c r="N14" s="142">
        <f>'OD EIAData'!K6</f>
        <v>525.12059004068112</v>
      </c>
      <c r="O14" s="142">
        <f>'OD EIAData'!M6</f>
        <v>432.91899720505887</v>
      </c>
      <c r="P14" s="142">
        <v>106.05233337402728</v>
      </c>
      <c r="Q14" s="142">
        <v>895.40160097617661</v>
      </c>
      <c r="R14" s="142">
        <v>223.92250793456233</v>
      </c>
      <c r="S14" s="142">
        <v>507.20381261755682</v>
      </c>
      <c r="T14" s="142">
        <f>'OD EIAData'!R6</f>
        <v>1939.9335923414326</v>
      </c>
      <c r="U14" s="142"/>
      <c r="V14" s="349">
        <v>4217.4901363808576</v>
      </c>
      <c r="W14" s="328"/>
      <c r="X14" s="222">
        <f>'OD EIAData'!S6</f>
        <v>4571.464236516189</v>
      </c>
    </row>
    <row r="15" spans="1:29" x14ac:dyDescent="0.2">
      <c r="A15" s="24">
        <v>2008</v>
      </c>
      <c r="B15" s="142">
        <v>3.4119999999999999</v>
      </c>
      <c r="C15" s="142">
        <f>'OD EIAData'!B7</f>
        <v>7.2955227821573905</v>
      </c>
      <c r="D15" s="142">
        <f>'OD EIAData'!C7</f>
        <v>3.3115579999999998</v>
      </c>
      <c r="E15" s="142">
        <v>573.52693087816419</v>
      </c>
      <c r="F15" s="142">
        <f>'OD EIAData'!G7</f>
        <v>11.882268005355439</v>
      </c>
      <c r="G15" s="142">
        <f>'OD EIAData'!E7</f>
        <v>12.091365945217705</v>
      </c>
      <c r="H15" s="142">
        <f>'OD EIAData'!F7</f>
        <v>14.011077</v>
      </c>
      <c r="I15" s="142">
        <f>'OD EIAData'!H7</f>
        <v>9.7236867825604634</v>
      </c>
      <c r="J15" s="142">
        <f>'OD EIAData'!I7</f>
        <v>0.89003327185459302</v>
      </c>
      <c r="K15" s="142">
        <f>'OD EIAData'!L7</f>
        <v>331.29103268549198</v>
      </c>
      <c r="L15" s="142">
        <f>'OD EIAData'!J7</f>
        <v>631.02578946127517</v>
      </c>
      <c r="M15" s="142">
        <f t="shared" si="2"/>
        <v>567.92321051514762</v>
      </c>
      <c r="N15" s="142">
        <f>'OD EIAData'!K7</f>
        <v>520.34729348969699</v>
      </c>
      <c r="O15" s="142">
        <f>'OD EIAData'!M7</f>
        <v>434.43420898297279</v>
      </c>
      <c r="P15" s="142">
        <v>103.81568626893011</v>
      </c>
      <c r="Q15" s="142">
        <v>881.85566111585274</v>
      </c>
      <c r="R15" s="142">
        <v>223.63289264369249</v>
      </c>
      <c r="S15" s="142">
        <v>519.44286606903836</v>
      </c>
      <c r="T15" s="142">
        <f>'OD EIAData'!R7</f>
        <v>1902.3936931178162</v>
      </c>
      <c r="U15" s="142"/>
      <c r="V15" s="349">
        <v>4282.0119933923825</v>
      </c>
      <c r="W15" s="328"/>
      <c r="X15" s="222">
        <f>'OD EIAData'!S7</f>
        <v>4808.0565437272035</v>
      </c>
    </row>
    <row r="16" spans="1:29" x14ac:dyDescent="0.2">
      <c r="A16" s="24">
        <v>2009</v>
      </c>
      <c r="B16" s="142">
        <v>3.4119999999999999</v>
      </c>
      <c r="C16" s="142">
        <f>'OD EIAData'!B8</f>
        <v>7.4271160297289596</v>
      </c>
      <c r="D16" s="142">
        <f>'OD EIAData'!C8</f>
        <v>3.3173560000000002</v>
      </c>
      <c r="E16" s="142">
        <v>556.21402977362004</v>
      </c>
      <c r="F16" s="142">
        <f>'OD EIAData'!G8</f>
        <v>12.256263390646293</v>
      </c>
      <c r="G16" s="142">
        <f>'OD EIAData'!E8</f>
        <v>12.45351991577868</v>
      </c>
      <c r="H16" s="142">
        <f>'OD EIAData'!F8</f>
        <v>14.066179</v>
      </c>
      <c r="I16" s="142">
        <f>'OD EIAData'!H8</f>
        <v>9.8182594505674103</v>
      </c>
      <c r="J16" s="142">
        <f>'OD EIAData'!I8</f>
        <v>0.89241345643186221</v>
      </c>
      <c r="K16" s="142">
        <f>'OD EIAData'!L8</f>
        <v>330.09551519454595</v>
      </c>
      <c r="L16" s="142">
        <f>'OD EIAData'!J8</f>
        <v>621.16119108692885</v>
      </c>
      <c r="M16" s="142">
        <f t="shared" si="2"/>
        <v>559.04507197823602</v>
      </c>
      <c r="N16" s="142">
        <f>'OD EIAData'!K8</f>
        <v>516.5742803585739</v>
      </c>
      <c r="O16" s="142">
        <f>'OD EIAData'!M8</f>
        <v>434.42156713561747</v>
      </c>
      <c r="P16" s="142">
        <v>101.57903916383293</v>
      </c>
      <c r="Q16" s="142">
        <v>868.30972125552887</v>
      </c>
      <c r="R16" s="142">
        <v>223.34327735282264</v>
      </c>
      <c r="S16" s="142">
        <v>531.68191952051995</v>
      </c>
      <c r="T16" s="142">
        <f>'OD EIAData'!R8</f>
        <v>1850.3865646921006</v>
      </c>
      <c r="U16" s="142"/>
      <c r="V16" s="349">
        <v>4307.3495057401396</v>
      </c>
      <c r="W16" s="328"/>
      <c r="X16" s="222">
        <f>'OD EIAData'!S8</f>
        <v>4671.1573105174311</v>
      </c>
    </row>
    <row r="17" spans="1:24" x14ac:dyDescent="0.2">
      <c r="A17" s="24">
        <v>2010</v>
      </c>
      <c r="B17" s="142">
        <v>3.4119999999999999</v>
      </c>
      <c r="C17" s="142">
        <f>'OD EIAData'!B9</f>
        <v>7.4697073514413974</v>
      </c>
      <c r="D17" s="142">
        <f>'OD EIAData'!C9</f>
        <v>3.3234880000000002</v>
      </c>
      <c r="E17" s="142">
        <v>538.90112866907589</v>
      </c>
      <c r="F17" s="142">
        <f>'OD EIAData'!G9</f>
        <v>12.571036444997583</v>
      </c>
      <c r="G17" s="142">
        <f>'OD EIAData'!E9</f>
        <v>12.564630926138568</v>
      </c>
      <c r="H17" s="142">
        <f>'OD EIAData'!F9</f>
        <v>14.118752000000001</v>
      </c>
      <c r="I17" s="142">
        <f>'OD EIAData'!H9</f>
        <v>9.9223769513750497</v>
      </c>
      <c r="J17" s="142">
        <f>'OD EIAData'!I9</f>
        <v>0.8942953872890933</v>
      </c>
      <c r="K17" s="142">
        <f>'OD EIAData'!L9</f>
        <v>330.07492524795077</v>
      </c>
      <c r="L17" s="142">
        <f>'OD EIAData'!J9</f>
        <v>612.69932999556579</v>
      </c>
      <c r="M17" s="142">
        <f t="shared" si="2"/>
        <v>551.42939699600925</v>
      </c>
      <c r="N17" s="142">
        <f>'OD EIAData'!K9</f>
        <v>513.86544850921223</v>
      </c>
      <c r="O17" s="142">
        <f>'OD EIAData'!M9</f>
        <v>427.94894804679029</v>
      </c>
      <c r="P17" s="142">
        <v>99.342392058735754</v>
      </c>
      <c r="Q17" s="142">
        <v>854.763781395205</v>
      </c>
      <c r="R17" s="142">
        <v>223.05366206195279</v>
      </c>
      <c r="S17" s="142">
        <v>543.92097297200155</v>
      </c>
      <c r="T17" s="142">
        <f>'OD EIAData'!R9</f>
        <v>1809.2759994356122</v>
      </c>
      <c r="U17" s="142"/>
      <c r="V17" s="349">
        <v>4268.1226930839966</v>
      </c>
      <c r="W17" s="328"/>
      <c r="X17" s="222">
        <f>'OD EIAData'!S9</f>
        <v>4821.2668852520537</v>
      </c>
    </row>
    <row r="18" spans="1:24" x14ac:dyDescent="0.2">
      <c r="A18" s="24">
        <v>2011</v>
      </c>
      <c r="B18" s="142">
        <v>3.4119999999999999</v>
      </c>
      <c r="C18" s="142">
        <f>'OD EIAData'!B10</f>
        <v>7.5039452036262126</v>
      </c>
      <c r="D18" s="142">
        <f>'OD EIAData'!C10</f>
        <v>3.3268019999999998</v>
      </c>
      <c r="E18" s="142">
        <f>'OD EIAData'!D10</f>
        <v>509.06540927287637</v>
      </c>
      <c r="F18" s="142">
        <f>'OD EIAData'!G10</f>
        <v>12.729062875895734</v>
      </c>
      <c r="G18" s="142">
        <f>'OD EIAData'!E10</f>
        <v>12.62696153156714</v>
      </c>
      <c r="H18" s="142">
        <f>'OD EIAData'!F10</f>
        <v>14.155542000000001</v>
      </c>
      <c r="I18" s="142">
        <f>'OD EIAData'!H10</f>
        <v>10.014895603620875</v>
      </c>
      <c r="J18" s="142">
        <f>'OD EIAData'!I10</f>
        <v>0.89590851843833308</v>
      </c>
      <c r="K18" s="142">
        <f>'OD EIAData'!L10</f>
        <v>328.92853911352898</v>
      </c>
      <c r="L18" s="142">
        <f>'OD EIAData'!J10</f>
        <v>607.12058353685688</v>
      </c>
      <c r="M18" s="142">
        <f t="shared" si="2"/>
        <v>546.40852518317126</v>
      </c>
      <c r="N18" s="142">
        <f>'OD EIAData'!K10</f>
        <v>512.49681530582814</v>
      </c>
      <c r="O18" s="142">
        <f>'OD EIAData'!M10</f>
        <v>421.96543094946509</v>
      </c>
      <c r="P18" s="142">
        <f>'OD EIAData'!N10</f>
        <v>100.48012012401459</v>
      </c>
      <c r="Q18" s="142">
        <v>841.21784153488113</v>
      </c>
      <c r="R18" s="142">
        <v>222.76404677108295</v>
      </c>
      <c r="S18" s="142">
        <v>556.16002642348315</v>
      </c>
      <c r="T18" s="142">
        <f>'OD EIAData'!R10</f>
        <v>1731.6968882082508</v>
      </c>
      <c r="U18" s="142"/>
      <c r="V18" s="349">
        <v>4266.4474007373328</v>
      </c>
      <c r="W18" s="328"/>
      <c r="X18" s="222">
        <f>'OD EIAData'!S10</f>
        <v>4753.8685520336949</v>
      </c>
    </row>
    <row r="19" spans="1:24" x14ac:dyDescent="0.2">
      <c r="A19" s="24">
        <v>2012</v>
      </c>
      <c r="B19" s="142">
        <v>3.4119999999999999</v>
      </c>
      <c r="C19" s="142">
        <f>'OD EIAData'!B11</f>
        <v>7.5557531472919797</v>
      </c>
      <c r="D19" s="142">
        <f>'OD EIAData'!C11</f>
        <v>3.3280539999999998</v>
      </c>
      <c r="E19" s="142">
        <f>'OD EIAData'!D11</f>
        <v>508.66367701744895</v>
      </c>
      <c r="F19" s="142">
        <f>'OD EIAData'!G11</f>
        <v>12.930696944524179</v>
      </c>
      <c r="G19" s="142">
        <f>'OD EIAData'!E11</f>
        <v>12.746315758264554</v>
      </c>
      <c r="H19" s="142">
        <f>'OD EIAData'!F11</f>
        <v>14.183756000000001</v>
      </c>
      <c r="I19" s="142">
        <f>'OD EIAData'!H11</f>
        <v>10.108561422075836</v>
      </c>
      <c r="J19" s="142">
        <f>'OD EIAData'!I11</f>
        <v>0.89780003217728965</v>
      </c>
      <c r="K19" s="142">
        <f>'OD EIAData'!L11</f>
        <v>330.05891472604372</v>
      </c>
      <c r="L19" s="142">
        <f>'OD EIAData'!J11</f>
        <v>602.05445966407012</v>
      </c>
      <c r="M19" s="142">
        <f t="shared" si="2"/>
        <v>541.84901369766317</v>
      </c>
      <c r="N19" s="142">
        <f>'OD EIAData'!K11</f>
        <v>512.46034783201901</v>
      </c>
      <c r="O19" s="142">
        <f>'OD EIAData'!M11</f>
        <v>417.28564094141103</v>
      </c>
      <c r="P19" s="142">
        <f>'OD EIAData'!N11</f>
        <v>100.33676143734998</v>
      </c>
      <c r="Q19" s="142">
        <f>'OD EIAData'!O11</f>
        <v>872.18527161226473</v>
      </c>
      <c r="R19" s="142">
        <f>'OD EIAData'!P11</f>
        <v>189.98900793915473</v>
      </c>
      <c r="S19" s="142">
        <f>'OD EIAData'!Q11</f>
        <v>559.66193927224697</v>
      </c>
      <c r="T19" s="142">
        <f>'OD EIAData'!R11</f>
        <v>1694.093713982872</v>
      </c>
      <c r="U19" s="142"/>
      <c r="V19" s="349">
        <v>4297.3542156431349</v>
      </c>
      <c r="W19" s="328">
        <f>T19/T18-1</f>
        <v>-2.1714639831850735E-2</v>
      </c>
      <c r="X19" s="222">
        <f>'OD EIAData'!S11</f>
        <v>4792.2004181737066</v>
      </c>
    </row>
    <row r="20" spans="1:24" x14ac:dyDescent="0.2">
      <c r="A20" s="24">
        <v>2013</v>
      </c>
      <c r="B20" s="142">
        <v>3.4119999999999999</v>
      </c>
      <c r="C20" s="142">
        <f>'OD EIAData'!B12</f>
        <v>7.5952923732964592</v>
      </c>
      <c r="D20" s="142">
        <f>'OD EIAData'!C12</f>
        <v>3.3305479999999998</v>
      </c>
      <c r="E20" s="142">
        <f>'OD EIAData'!D12</f>
        <v>488.13650115041224</v>
      </c>
      <c r="F20" s="142">
        <f>'OD EIAData'!G12</f>
        <v>13.126534263570701</v>
      </c>
      <c r="G20" s="142">
        <f>'OD EIAData'!E12</f>
        <v>12.838628898765572</v>
      </c>
      <c r="H20" s="142">
        <f>'OD EIAData'!F12</f>
        <v>14.205299999999999</v>
      </c>
      <c r="I20" s="142">
        <f>'OD EIAData'!H12</f>
        <v>10.200966225036705</v>
      </c>
      <c r="J20" s="142">
        <f>'OD EIAData'!I12</f>
        <v>0.89939571748212199</v>
      </c>
      <c r="K20" s="142">
        <f>'OD EIAData'!L12</f>
        <v>328.95775826688026</v>
      </c>
      <c r="L20" s="142">
        <f>'OD EIAData'!J12</f>
        <v>598.25098859697232</v>
      </c>
      <c r="M20" s="142">
        <f t="shared" si="2"/>
        <v>538.42588973727516</v>
      </c>
      <c r="N20" s="142">
        <f>'OD EIAData'!K12</f>
        <v>512.1654316621474</v>
      </c>
      <c r="O20" s="142">
        <f>'OD EIAData'!M12</f>
        <v>407.95291675803401</v>
      </c>
      <c r="P20" s="142">
        <f>'OD EIAData'!N12</f>
        <v>99.685417401379254</v>
      </c>
      <c r="Q20" s="142">
        <f>'OD EIAData'!O12</f>
        <v>867.40142220189921</v>
      </c>
      <c r="R20" s="142">
        <f>'OD EIAData'!P12</f>
        <v>188.72739015082587</v>
      </c>
      <c r="S20" s="142">
        <f>'OD EIAData'!Q12</f>
        <v>556.30015838775967</v>
      </c>
      <c r="T20" s="142">
        <f>'OD EIAData'!R12</f>
        <v>1475.1771637161594</v>
      </c>
      <c r="U20" s="368"/>
      <c r="V20" s="349">
        <v>4299.3780605789443</v>
      </c>
      <c r="W20" s="369">
        <f>T20/T19-1</f>
        <v>-0.12922340037023827</v>
      </c>
      <c r="X20" s="222">
        <f>'OD EIAData'!S12</f>
        <v>4817.8438226066828</v>
      </c>
    </row>
    <row r="21" spans="1:24" x14ac:dyDescent="0.2">
      <c r="A21" s="24">
        <v>2014</v>
      </c>
      <c r="B21" s="142">
        <v>3.4119999999999999</v>
      </c>
      <c r="C21" s="142">
        <f>'OD EIAData'!B13</f>
        <v>7.635276291780289</v>
      </c>
      <c r="D21" s="142">
        <f>'OD EIAData'!C13</f>
        <v>3.3323320000000001</v>
      </c>
      <c r="E21" s="142">
        <f>'OD EIAData'!D13</f>
        <v>477.20453272330167</v>
      </c>
      <c r="F21" s="142">
        <f>'OD EIAData'!G13</f>
        <v>13.314643387856268</v>
      </c>
      <c r="G21" s="142">
        <f>'OD EIAData'!E13</f>
        <v>12.930065224586755</v>
      </c>
      <c r="H21" s="142">
        <f>'OD EIAData'!F13</f>
        <v>14.223682999999999</v>
      </c>
      <c r="I21" s="142">
        <f>'OD EIAData'!H13</f>
        <v>10.419650598827442</v>
      </c>
      <c r="J21" s="142">
        <f>'OD EIAData'!I13</f>
        <v>0.90115040773372079</v>
      </c>
      <c r="K21" s="142">
        <f>'OD EIAData'!L13</f>
        <v>328.65736082972791</v>
      </c>
      <c r="L21" s="142">
        <f>'OD EIAData'!J13</f>
        <v>586.7019452343286</v>
      </c>
      <c r="M21" s="142">
        <f t="shared" si="2"/>
        <v>528.03175071089572</v>
      </c>
      <c r="N21" s="142">
        <f>'OD EIAData'!K13</f>
        <v>498.38133561714113</v>
      </c>
      <c r="O21" s="142">
        <f>'OD EIAData'!M13</f>
        <v>399.64312438561626</v>
      </c>
      <c r="P21" s="142">
        <f>'OD EIAData'!N13</f>
        <v>99.271630484309156</v>
      </c>
      <c r="Q21" s="142">
        <f>'OD EIAData'!O13</f>
        <v>862.7625119393374</v>
      </c>
      <c r="R21" s="142">
        <f>'OD EIAData'!P13</f>
        <v>187.76518042757556</v>
      </c>
      <c r="S21" s="142">
        <f>'OD EIAData'!Q13</f>
        <v>561.85662958823025</v>
      </c>
      <c r="T21" s="142">
        <f>'OD EIAData'!R13</f>
        <v>1379.7716408159679</v>
      </c>
      <c r="U21" s="142"/>
      <c r="V21" s="349">
        <v>4348.1333795286018</v>
      </c>
      <c r="W21" s="328">
        <f>T21/T20-1</f>
        <v>-6.4673942389301131E-2</v>
      </c>
      <c r="X21" s="222">
        <f>'OD EIAData'!S13</f>
        <v>4886.6071724942231</v>
      </c>
    </row>
    <row r="22" spans="1:24" x14ac:dyDescent="0.2">
      <c r="A22" s="24">
        <v>2015</v>
      </c>
      <c r="B22" s="142">
        <v>3.4119999999999999</v>
      </c>
      <c r="C22" s="142">
        <f>'OD EIAData'!B14</f>
        <v>7.7196976347319382</v>
      </c>
      <c r="D22" s="142">
        <f>'OD EIAData'!C14</f>
        <v>3.3338220000000001</v>
      </c>
      <c r="E22" s="142">
        <f>'OD EIAData'!D14</f>
        <v>466.46549424398955</v>
      </c>
      <c r="F22" s="142">
        <f>'OD EIAData'!G14</f>
        <v>13.553538884491955</v>
      </c>
      <c r="G22" s="142">
        <f>'OD EIAData'!E14</f>
        <v>13.171210355277122</v>
      </c>
      <c r="H22" s="142">
        <f>'OD EIAData'!F14</f>
        <v>14.239455</v>
      </c>
      <c r="I22" s="142">
        <f>'OD EIAData'!H14</f>
        <v>10.552511931522398</v>
      </c>
      <c r="J22" s="142">
        <f>'OD EIAData'!I14</f>
        <v>0.91566968633018497</v>
      </c>
      <c r="K22" s="142">
        <f>'OD EIAData'!L14</f>
        <v>328.40752335776909</v>
      </c>
      <c r="L22" s="142">
        <f>'OD EIAData'!J14</f>
        <v>580.17728566208984</v>
      </c>
      <c r="M22" s="142">
        <f t="shared" si="2"/>
        <v>522.15955709588093</v>
      </c>
      <c r="N22" s="142">
        <f>'OD EIAData'!K14</f>
        <v>492.0947901058417</v>
      </c>
      <c r="O22" s="142">
        <f>'OD EIAData'!M14</f>
        <v>391.49249812430116</v>
      </c>
      <c r="P22" s="142">
        <f>'OD EIAData'!N14</f>
        <v>95.534062964431186</v>
      </c>
      <c r="Q22" s="142">
        <f>'OD EIAData'!O14</f>
        <v>840.55453418864613</v>
      </c>
      <c r="R22" s="142">
        <f>'OD EIAData'!P14</f>
        <v>186.83683348054376</v>
      </c>
      <c r="S22" s="142">
        <f>'OD EIAData'!Q14</f>
        <v>566.92481304903333</v>
      </c>
      <c r="T22" s="142">
        <f>'OD EIAData'!R14</f>
        <v>1320.4908456215621</v>
      </c>
      <c r="U22" s="142"/>
      <c r="V22" s="349">
        <v>4394.4722488570169</v>
      </c>
      <c r="W22" s="328"/>
      <c r="X22" s="222">
        <f>'OD EIAData'!S14</f>
        <v>4952.0930850566565</v>
      </c>
    </row>
    <row r="23" spans="1:24" x14ac:dyDescent="0.2">
      <c r="A23" s="24">
        <v>2016</v>
      </c>
      <c r="B23" s="142">
        <v>3.4119999999999999</v>
      </c>
      <c r="C23" s="142">
        <f>'OD EIAData'!B15</f>
        <v>7.7724918360180952</v>
      </c>
      <c r="D23" s="142">
        <f>'OD EIAData'!C15</f>
        <v>3.3352529999999998</v>
      </c>
      <c r="E23" s="142">
        <f>'OD EIAData'!D15</f>
        <v>456.99523312190672</v>
      </c>
      <c r="F23" s="142">
        <f>'OD EIAData'!G15</f>
        <v>13.744421035619197</v>
      </c>
      <c r="G23" s="142">
        <f>'OD EIAData'!E15</f>
        <v>13.312646989338417</v>
      </c>
      <c r="H23" s="142">
        <f>'OD EIAData'!F15</f>
        <v>14.253272000000001</v>
      </c>
      <c r="I23" s="142">
        <f>'OD EIAData'!H15</f>
        <v>10.666220541043755</v>
      </c>
      <c r="J23" s="142">
        <f>'OD EIAData'!I15</f>
        <v>0.92300591408560773</v>
      </c>
      <c r="K23" s="142">
        <f>'OD EIAData'!L15</f>
        <v>328.50193252057164</v>
      </c>
      <c r="L23" s="142">
        <f>'OD EIAData'!J15</f>
        <v>574.49029315673295</v>
      </c>
      <c r="M23" s="142">
        <f t="shared" si="2"/>
        <v>517.04126384105962</v>
      </c>
      <c r="N23" s="142">
        <f>'OD EIAData'!K15</f>
        <v>486.45131570292983</v>
      </c>
      <c r="O23" s="142">
        <f>'OD EIAData'!M15</f>
        <v>383.91988906672003</v>
      </c>
      <c r="P23" s="142">
        <f>'OD EIAData'!N15</f>
        <v>91.595181421688324</v>
      </c>
      <c r="Q23" s="142">
        <f>'OD EIAData'!O15</f>
        <v>820.31364689948157</v>
      </c>
      <c r="R23" s="142">
        <f>'OD EIAData'!P15</f>
        <v>186.33383948957794</v>
      </c>
      <c r="S23" s="142">
        <f>'OD EIAData'!Q15</f>
        <v>571.45173986577925</v>
      </c>
      <c r="T23" s="142">
        <f>'OD EIAData'!R15</f>
        <v>1280.1764434167699</v>
      </c>
      <c r="U23" s="142"/>
      <c r="V23" s="349">
        <v>4451.0655384659776</v>
      </c>
      <c r="W23" s="328"/>
      <c r="X23" s="222">
        <f>'OD EIAData'!S15</f>
        <v>5047.970631620412</v>
      </c>
    </row>
    <row r="24" spans="1:24" x14ac:dyDescent="0.2">
      <c r="A24" s="24">
        <v>2017</v>
      </c>
      <c r="B24" s="142">
        <v>3.4119999999999999</v>
      </c>
      <c r="C24" s="142">
        <f>'OD EIAData'!B16</f>
        <v>7.818471781299448</v>
      </c>
      <c r="D24" s="142">
        <f>'OD EIAData'!C16</f>
        <v>3.3345129999999998</v>
      </c>
      <c r="E24" s="142">
        <f>'OD EIAData'!D16</f>
        <v>447.77982964277294</v>
      </c>
      <c r="F24" s="142">
        <f>'OD EIAData'!G16</f>
        <v>13.913943063027574</v>
      </c>
      <c r="G24" s="142">
        <f>'OD EIAData'!E16</f>
        <v>13.436670398255115</v>
      </c>
      <c r="H24" s="142">
        <f>'OD EIAData'!F16</f>
        <v>14.254208</v>
      </c>
      <c r="I24" s="142">
        <f>'OD EIAData'!H16</f>
        <v>10.7661646875353</v>
      </c>
      <c r="J24" s="142">
        <f>'OD EIAData'!I16</f>
        <v>0.93009448243949511</v>
      </c>
      <c r="K24" s="142">
        <f>'OD EIAData'!L16</f>
        <v>328.66365902542094</v>
      </c>
      <c r="L24" s="142">
        <f>'OD EIAData'!J16</f>
        <v>569.60198343941704</v>
      </c>
      <c r="M24" s="142">
        <f t="shared" si="2"/>
        <v>512.64178509547537</v>
      </c>
      <c r="N24" s="142">
        <f>'OD EIAData'!K16</f>
        <v>481.47063206253006</v>
      </c>
      <c r="O24" s="142">
        <f>'OD EIAData'!M16</f>
        <v>376.92342140897767</v>
      </c>
      <c r="P24" s="142">
        <f>'OD EIAData'!N16</f>
        <v>87.655632465839105</v>
      </c>
      <c r="Q24" s="142">
        <f>'OD EIAData'!O16</f>
        <v>800.9002269410704</v>
      </c>
      <c r="R24" s="142">
        <f>'OD EIAData'!P16</f>
        <v>185.94853674286867</v>
      </c>
      <c r="S24" s="142">
        <f>'OD EIAData'!Q16</f>
        <v>575.15105146864869</v>
      </c>
      <c r="T24" s="142">
        <f>'OD EIAData'!R16</f>
        <v>1250.9545692456691</v>
      </c>
      <c r="U24" s="328">
        <f t="shared" ref="U24:W44" si="3">T24/T23-1</f>
        <v>-2.2826442652786327E-2</v>
      </c>
      <c r="V24" s="349">
        <v>4482.8025509059607</v>
      </c>
      <c r="W24" s="328"/>
      <c r="X24" s="222">
        <f>'OD EIAData'!S16</f>
        <v>5140.8390598840633</v>
      </c>
    </row>
    <row r="25" spans="1:24" x14ac:dyDescent="0.2">
      <c r="A25" s="24">
        <v>2018</v>
      </c>
      <c r="B25" s="142">
        <v>3.4119999999999999</v>
      </c>
      <c r="C25" s="142">
        <f>'OD EIAData'!B17</f>
        <v>7.8583930950288376</v>
      </c>
      <c r="D25" s="142">
        <f>'OD EIAData'!C17</f>
        <v>3.3345250000000002</v>
      </c>
      <c r="E25" s="142">
        <f>'OD EIAData'!D17</f>
        <v>438.53245848057009</v>
      </c>
      <c r="F25" s="142">
        <f>'OD EIAData'!G17</f>
        <v>14.05962969022341</v>
      </c>
      <c r="G25" s="142">
        <f>'OD EIAData'!E17</f>
        <v>13.544742644589398</v>
      </c>
      <c r="H25" s="142">
        <f>'OD EIAData'!F17</f>
        <v>14.257866</v>
      </c>
      <c r="I25" s="142">
        <f>'OD EIAData'!H17</f>
        <v>10.859432691495577</v>
      </c>
      <c r="J25" s="142">
        <f>'OD EIAData'!I17</f>
        <v>0.93681671057920068</v>
      </c>
      <c r="K25" s="142">
        <f>'OD EIAData'!L17</f>
        <v>328.80817800504337</v>
      </c>
      <c r="L25" s="142">
        <f>'OD EIAData'!J17</f>
        <v>565.33716386250103</v>
      </c>
      <c r="M25" s="142">
        <f t="shared" si="2"/>
        <v>508.80344747625094</v>
      </c>
      <c r="N25" s="142">
        <f>'OD EIAData'!K17</f>
        <v>476.85420687675719</v>
      </c>
      <c r="O25" s="142">
        <f>'OD EIAData'!M17</f>
        <v>369.84487144829444</v>
      </c>
      <c r="P25" s="142">
        <f>'OD EIAData'!N17</f>
        <v>83.747419850860737</v>
      </c>
      <c r="Q25" s="142">
        <f>'OD EIAData'!O17</f>
        <v>782.43612228842971</v>
      </c>
      <c r="R25" s="142">
        <f>'OD EIAData'!P17</f>
        <v>185.45087517809648</v>
      </c>
      <c r="S25" s="142">
        <f>'OD EIAData'!Q17</f>
        <v>578.34244745998274</v>
      </c>
      <c r="T25" s="142">
        <f>'OD EIAData'!R17</f>
        <v>1227.7035994188141</v>
      </c>
      <c r="U25" s="328">
        <f t="shared" si="3"/>
        <v>-1.8586582117746664E-2</v>
      </c>
      <c r="V25" s="349">
        <v>4538.935816731233</v>
      </c>
      <c r="W25" s="328"/>
      <c r="X25" s="222">
        <f>'OD EIAData'!S17</f>
        <v>5241.4794264165421</v>
      </c>
    </row>
    <row r="26" spans="1:24" x14ac:dyDescent="0.2">
      <c r="A26" s="24">
        <v>2019</v>
      </c>
      <c r="B26" s="142">
        <v>3.4119999999999999</v>
      </c>
      <c r="C26" s="142">
        <f>'OD EIAData'!B18</f>
        <v>7.8939579576833134</v>
      </c>
      <c r="D26" s="142">
        <f>'OD EIAData'!C18</f>
        <v>3.3349419999999999</v>
      </c>
      <c r="E26" s="142">
        <f>'OD EIAData'!D18</f>
        <v>429.42555322894378</v>
      </c>
      <c r="F26" s="142">
        <f>'OD EIAData'!G18</f>
        <v>14.188567517923714</v>
      </c>
      <c r="G26" s="142">
        <f>'OD EIAData'!E18</f>
        <v>13.642327006047207</v>
      </c>
      <c r="H26" s="142">
        <f>'OD EIAData'!F18</f>
        <v>14.262814000000001</v>
      </c>
      <c r="I26" s="142">
        <f>'OD EIAData'!H18</f>
        <v>10.943669477595282</v>
      </c>
      <c r="J26" s="142">
        <f>'OD EIAData'!I18</f>
        <v>0.94315748647008857</v>
      </c>
      <c r="K26" s="142">
        <f>'OD EIAData'!L18</f>
        <v>328.99642436566</v>
      </c>
      <c r="L26" s="142">
        <f>'OD EIAData'!J18</f>
        <v>561.57704513679948</v>
      </c>
      <c r="M26" s="142">
        <f t="shared" si="2"/>
        <v>505.41934062311952</v>
      </c>
      <c r="N26" s="142">
        <f>'OD EIAData'!K18</f>
        <v>472.4249847580972</v>
      </c>
      <c r="O26" s="142">
        <f>'OD EIAData'!M18</f>
        <v>362.60486587139661</v>
      </c>
      <c r="P26" s="142">
        <f>'OD EIAData'!N18</f>
        <v>79.98067356503465</v>
      </c>
      <c r="Q26" s="142">
        <f>'OD EIAData'!O18</f>
        <v>765.27659559803544</v>
      </c>
      <c r="R26" s="142">
        <f>'OD EIAData'!P18</f>
        <v>185.06933170221558</v>
      </c>
      <c r="S26" s="142">
        <f>'OD EIAData'!Q18</f>
        <v>573.86311445651086</v>
      </c>
      <c r="T26" s="142">
        <f>'OD EIAData'!R18</f>
        <v>1209.2391816136676</v>
      </c>
      <c r="U26" s="328">
        <f t="shared" si="3"/>
        <v>-1.5039800986074603E-2</v>
      </c>
      <c r="V26" s="349">
        <v>4611.419753530774</v>
      </c>
      <c r="W26" s="328"/>
      <c r="X26" s="222">
        <f>'OD EIAData'!S18</f>
        <v>5346.734848924134</v>
      </c>
    </row>
    <row r="27" spans="1:24" x14ac:dyDescent="0.2">
      <c r="A27" s="24">
        <v>2020</v>
      </c>
      <c r="B27" s="142">
        <v>3.4119999999999999</v>
      </c>
      <c r="C27" s="142">
        <f>'OD EIAData'!B19</f>
        <v>7.9270415292061527</v>
      </c>
      <c r="D27" s="142">
        <f>'OD EIAData'!C19</f>
        <v>3.3356319999999999</v>
      </c>
      <c r="E27" s="142">
        <f>'OD EIAData'!D19</f>
        <v>420.48538208687728</v>
      </c>
      <c r="F27" s="142">
        <f>'OD EIAData'!G19</f>
        <v>14.314729754811003</v>
      </c>
      <c r="G27" s="142">
        <f>'OD EIAData'!E19</f>
        <v>13.727833420247292</v>
      </c>
      <c r="H27" s="142">
        <f>'OD EIAData'!F19</f>
        <v>14.278371</v>
      </c>
      <c r="I27" s="142">
        <f>'OD EIAData'!H19</f>
        <v>11.039761593119149</v>
      </c>
      <c r="J27" s="142">
        <f>'OD EIAData'!I19</f>
        <v>0.94909895098020136</v>
      </c>
      <c r="K27" s="142">
        <f>'OD EIAData'!L19</f>
        <v>329.16260409006964</v>
      </c>
      <c r="L27" s="142">
        <f>'OD EIAData'!J19</f>
        <v>558.00115103846008</v>
      </c>
      <c r="M27" s="142">
        <f t="shared" si="2"/>
        <v>502.20103593461408</v>
      </c>
      <c r="N27" s="142">
        <f>'OD EIAData'!K19</f>
        <v>468.26730085436054</v>
      </c>
      <c r="O27" s="142">
        <f>'OD EIAData'!M19</f>
        <v>355.18136124074647</v>
      </c>
      <c r="P27" s="142">
        <f>'OD EIAData'!N19</f>
        <v>76.615365865777122</v>
      </c>
      <c r="Q27" s="142">
        <f>'OD EIAData'!O19</f>
        <v>748.97512130199311</v>
      </c>
      <c r="R27" s="142">
        <f>'OD EIAData'!P19</f>
        <v>184.68586236787786</v>
      </c>
      <c r="S27" s="142">
        <f>'OD EIAData'!Q19</f>
        <v>574.57845024020685</v>
      </c>
      <c r="T27" s="142">
        <f>'OD EIAData'!R19</f>
        <v>1156.1344173288071</v>
      </c>
      <c r="U27" s="328">
        <f t="shared" si="3"/>
        <v>-4.3915848156685477E-2</v>
      </c>
      <c r="V27" s="349">
        <v>4703.31521126594</v>
      </c>
      <c r="W27" s="328"/>
      <c r="X27" s="222">
        <f>'OD EIAData'!S19</f>
        <v>5445.7501732501569</v>
      </c>
    </row>
    <row r="28" spans="1:24" x14ac:dyDescent="0.2">
      <c r="A28" s="25">
        <v>2021</v>
      </c>
      <c r="B28" s="142">
        <v>3.4119999999999999</v>
      </c>
      <c r="C28" s="142">
        <f>'OD EIAData'!B20</f>
        <v>7.9555547310816221</v>
      </c>
      <c r="D28" s="142">
        <f>'OD EIAData'!C20</f>
        <v>3.3365279999999999</v>
      </c>
      <c r="E28" s="142">
        <f>'OD EIAData'!D20</f>
        <v>411.57729582256735</v>
      </c>
      <c r="F28" s="142">
        <f>'OD EIAData'!G20</f>
        <v>14.415726050970072</v>
      </c>
      <c r="G28" s="142">
        <f>'OD EIAData'!E20</f>
        <v>13.805823365108106</v>
      </c>
      <c r="H28" s="142">
        <f>'OD EIAData'!F20</f>
        <v>14.293405</v>
      </c>
      <c r="I28" s="142">
        <f>'OD EIAData'!H20</f>
        <v>11.107200771893995</v>
      </c>
      <c r="J28" s="142">
        <f>'OD EIAData'!I20</f>
        <v>0.95479661493906631</v>
      </c>
      <c r="K28" s="142">
        <f>'OD EIAData'!L20</f>
        <v>329.24403959933665</v>
      </c>
      <c r="L28" s="142">
        <f>'OD EIAData'!J20</f>
        <v>554.68486448447015</v>
      </c>
      <c r="M28" s="142">
        <f t="shared" si="2"/>
        <v>499.21637803602317</v>
      </c>
      <c r="N28" s="142">
        <f>'OD EIAData'!K20</f>
        <v>464.24668202818481</v>
      </c>
      <c r="O28" s="142">
        <f>'OD EIAData'!M20</f>
        <v>347.52380912576609</v>
      </c>
      <c r="P28" s="142">
        <f>'OD EIAData'!N20</f>
        <v>73.716061215639286</v>
      </c>
      <c r="Q28" s="142">
        <f>'OD EIAData'!O20</f>
        <v>734.1250934847061</v>
      </c>
      <c r="R28" s="142">
        <f>'OD EIAData'!P20</f>
        <v>184.59002001228802</v>
      </c>
      <c r="S28" s="142">
        <f>'OD EIAData'!Q20</f>
        <v>569.67098028906935</v>
      </c>
      <c r="T28" s="142">
        <f>'OD EIAData'!R20</f>
        <v>1129.0855932606335</v>
      </c>
      <c r="U28" s="328">
        <f t="shared" si="3"/>
        <v>-2.3395916307611175E-2</v>
      </c>
      <c r="V28" s="349">
        <v>4769.3422936381139</v>
      </c>
      <c r="W28" s="328"/>
      <c r="X28" s="222">
        <f>'OD EIAData'!S20</f>
        <v>5539.901750820366</v>
      </c>
    </row>
    <row r="29" spans="1:24" x14ac:dyDescent="0.2">
      <c r="A29" s="25">
        <v>2022</v>
      </c>
      <c r="B29" s="142">
        <v>3.4119999999999999</v>
      </c>
      <c r="C29" s="142">
        <f>'OD EIAData'!B21</f>
        <v>7.9811119745167272</v>
      </c>
      <c r="D29" s="142">
        <f>'OD EIAData'!C21</f>
        <v>3.3376610000000002</v>
      </c>
      <c r="E29" s="142">
        <f>'OD EIAData'!D21</f>
        <v>402.64748910755401</v>
      </c>
      <c r="F29" s="142">
        <f>'OD EIAData'!G21</f>
        <v>14.501238178887728</v>
      </c>
      <c r="G29" s="142">
        <f>'OD EIAData'!E21</f>
        <v>13.877305800658281</v>
      </c>
      <c r="H29" s="142">
        <f>'OD EIAData'!F21</f>
        <v>14.309097</v>
      </c>
      <c r="I29" s="142">
        <f>'OD EIAData'!H21</f>
        <v>11.165479345696623</v>
      </c>
      <c r="J29" s="142">
        <f>'OD EIAData'!I21</f>
        <v>0.96028622244341422</v>
      </c>
      <c r="K29" s="142">
        <f>'OD EIAData'!L21</f>
        <v>329.3229315946499</v>
      </c>
      <c r="L29" s="142">
        <f>'OD EIAData'!J21</f>
        <v>551.72844755323456</v>
      </c>
      <c r="M29" s="142">
        <f t="shared" si="2"/>
        <v>496.55560279791109</v>
      </c>
      <c r="N29" s="142">
        <f>'OD EIAData'!K21</f>
        <v>460.3085544878769</v>
      </c>
      <c r="O29" s="142">
        <f>'OD EIAData'!M21</f>
        <v>340.56660123253715</v>
      </c>
      <c r="P29" s="142">
        <f>'OD EIAData'!N21</f>
        <v>71.321556044416468</v>
      </c>
      <c r="Q29" s="142">
        <f>'OD EIAData'!O21</f>
        <v>720.18633536618677</v>
      </c>
      <c r="R29" s="142">
        <f>'OD EIAData'!P21</f>
        <v>184.45390724929186</v>
      </c>
      <c r="S29" s="142">
        <f>'OD EIAData'!Q21</f>
        <v>567.38653807174683</v>
      </c>
      <c r="T29" s="142">
        <f>'OD EIAData'!R21</f>
        <v>1108.2328879242345</v>
      </c>
      <c r="U29" s="328">
        <f t="shared" si="3"/>
        <v>-1.8468666557137969E-2</v>
      </c>
      <c r="V29" s="349">
        <v>4846.6956681214724</v>
      </c>
      <c r="W29" s="328"/>
      <c r="X29" s="222">
        <f>'OD EIAData'!S21</f>
        <v>5644.4992880601931</v>
      </c>
    </row>
    <row r="30" spans="1:24" x14ac:dyDescent="0.2">
      <c r="A30" s="25">
        <v>2023</v>
      </c>
      <c r="B30" s="142">
        <v>3.4119999999999999</v>
      </c>
      <c r="C30" s="142">
        <f>'OD EIAData'!B22</f>
        <v>8.0026938389125934</v>
      </c>
      <c r="D30" s="142">
        <f>'OD EIAData'!C22</f>
        <v>3.3391850000000001</v>
      </c>
      <c r="E30" s="142">
        <f>'OD EIAData'!D22</f>
        <v>393.7508514982726</v>
      </c>
      <c r="F30" s="142">
        <f>'OD EIAData'!G22</f>
        <v>14.571823013714878</v>
      </c>
      <c r="G30" s="142">
        <f>'OD EIAData'!E22</f>
        <v>13.938461888969197</v>
      </c>
      <c r="H30" s="142">
        <f>'OD EIAData'!F22</f>
        <v>14.326931999999999</v>
      </c>
      <c r="I30" s="142">
        <f>'OD EIAData'!H22</f>
        <v>11.222577028938471</v>
      </c>
      <c r="J30" s="142">
        <f>'OD EIAData'!I22</f>
        <v>0.96560258392017795</v>
      </c>
      <c r="K30" s="142">
        <f>'OD EIAData'!L22</f>
        <v>329.41013307825131</v>
      </c>
      <c r="L30" s="142">
        <f>'OD EIAData'!J22</f>
        <v>549.16327390614492</v>
      </c>
      <c r="M30" s="142">
        <f t="shared" si="2"/>
        <v>494.24694651553045</v>
      </c>
      <c r="N30" s="142">
        <f>'OD EIAData'!K22</f>
        <v>456.45627884866326</v>
      </c>
      <c r="O30" s="142">
        <f>'OD EIAData'!M22</f>
        <v>334.02348350145263</v>
      </c>
      <c r="P30" s="142">
        <f>'OD EIAData'!N22</f>
        <v>69.299490847233926</v>
      </c>
      <c r="Q30" s="142">
        <f>'OD EIAData'!O22</f>
        <v>707.18633103689831</v>
      </c>
      <c r="R30" s="142">
        <f>'OD EIAData'!P22</f>
        <v>184.4727077018141</v>
      </c>
      <c r="S30" s="142">
        <f>'OD EIAData'!Q22</f>
        <v>562.26925305453199</v>
      </c>
      <c r="T30" s="142">
        <f>'OD EIAData'!R22</f>
        <v>1091.7309949291243</v>
      </c>
      <c r="U30" s="328">
        <f t="shared" si="3"/>
        <v>-1.489027547812527E-2</v>
      </c>
      <c r="V30" s="349">
        <v>4933.1468940860677</v>
      </c>
      <c r="W30" s="328"/>
      <c r="X30" s="222">
        <f>'OD EIAData'!S22</f>
        <v>5752.3842247948132</v>
      </c>
    </row>
    <row r="31" spans="1:24" x14ac:dyDescent="0.2">
      <c r="A31" s="25">
        <v>2024</v>
      </c>
      <c r="B31" s="142">
        <v>3.4119999999999999</v>
      </c>
      <c r="C31" s="142">
        <f>'OD EIAData'!B23</f>
        <v>8.0209409360031998</v>
      </c>
      <c r="D31" s="142">
        <f>'OD EIAData'!C23</f>
        <v>3.3408060000000002</v>
      </c>
      <c r="E31" s="142">
        <f>'OD EIAData'!D23</f>
        <v>384.81582432316566</v>
      </c>
      <c r="F31" s="142">
        <f>'OD EIAData'!G23</f>
        <v>14.628230887423127</v>
      </c>
      <c r="G31" s="142">
        <f>'OD EIAData'!E23</f>
        <v>13.990705534099373</v>
      </c>
      <c r="H31" s="142">
        <f>'OD EIAData'!F23</f>
        <v>14.344944</v>
      </c>
      <c r="I31" s="142">
        <f>'OD EIAData'!H23</f>
        <v>11.275054646556331</v>
      </c>
      <c r="J31" s="142">
        <f>'OD EIAData'!I23</f>
        <v>0.97075257976685347</v>
      </c>
      <c r="K31" s="142">
        <f>'OD EIAData'!L23</f>
        <v>329.45959242741395</v>
      </c>
      <c r="L31" s="142">
        <f>'OD EIAData'!J23</f>
        <v>546.99227029634028</v>
      </c>
      <c r="M31" s="142">
        <f t="shared" si="2"/>
        <v>492.29304326670626</v>
      </c>
      <c r="N31" s="142">
        <f>'OD EIAData'!K23</f>
        <v>452.66325105453086</v>
      </c>
      <c r="O31" s="142">
        <f>'OD EIAData'!M23</f>
        <v>327.8439153843193</v>
      </c>
      <c r="P31" s="142">
        <f>'OD EIAData'!N23</f>
        <v>67.401804770606972</v>
      </c>
      <c r="Q31" s="142">
        <f>'OD EIAData'!O23</f>
        <v>694.61188966577618</v>
      </c>
      <c r="R31" s="142">
        <f>'OD EIAData'!P23</f>
        <v>184.54783851606828</v>
      </c>
      <c r="S31" s="142">
        <f>'OD EIAData'!Q23</f>
        <v>557.83411928343378</v>
      </c>
      <c r="T31" s="142">
        <f>'OD EIAData'!R23</f>
        <v>1077.7174695754325</v>
      </c>
      <c r="U31" s="328">
        <f t="shared" si="3"/>
        <v>-1.2836060731793775E-2</v>
      </c>
      <c r="V31" s="349">
        <v>5031.9627347048136</v>
      </c>
      <c r="W31" s="328"/>
      <c r="X31" s="222">
        <f>'OD EIAData'!S23</f>
        <v>5864.2265284275773</v>
      </c>
    </row>
    <row r="32" spans="1:24" x14ac:dyDescent="0.2">
      <c r="A32" s="25">
        <v>2025</v>
      </c>
      <c r="B32" s="142">
        <v>3.4119999999999999</v>
      </c>
      <c r="C32" s="142">
        <f>'OD EIAData'!B24</f>
        <v>8.0361259348455096</v>
      </c>
      <c r="D32" s="142">
        <f>'OD EIAData'!C24</f>
        <v>3.342616</v>
      </c>
      <c r="E32" s="142">
        <f>'OD EIAData'!D24</f>
        <v>375.85359868167393</v>
      </c>
      <c r="F32" s="142">
        <f>'OD EIAData'!G24</f>
        <v>14.672992341432238</v>
      </c>
      <c r="G32" s="142">
        <f>'OD EIAData'!E24</f>
        <v>14.034720387994108</v>
      </c>
      <c r="H32" s="142">
        <f>'OD EIAData'!F24</f>
        <v>14.363856999999999</v>
      </c>
      <c r="I32" s="142">
        <f>'OD EIAData'!H24</f>
        <v>11.321808742299726</v>
      </c>
      <c r="J32" s="142">
        <f>'OD EIAData'!I24</f>
        <v>0.97565016606731236</v>
      </c>
      <c r="K32" s="142">
        <f>'OD EIAData'!L24</f>
        <v>329.48147231463878</v>
      </c>
      <c r="L32" s="142">
        <f>'OD EIAData'!J24</f>
        <v>545.21915206469214</v>
      </c>
      <c r="M32" s="142">
        <f t="shared" si="2"/>
        <v>490.69723685822294</v>
      </c>
      <c r="N32" s="142">
        <f>'OD EIAData'!K24</f>
        <v>448.79838828056711</v>
      </c>
      <c r="O32" s="142">
        <f>'OD EIAData'!M24</f>
        <v>323.03032893682263</v>
      </c>
      <c r="P32" s="142">
        <f>'OD EIAData'!N24</f>
        <v>65.550107884228765</v>
      </c>
      <c r="Q32" s="142">
        <f>'OD EIAData'!O24</f>
        <v>682.78469356820165</v>
      </c>
      <c r="R32" s="142">
        <f>'OD EIAData'!P24</f>
        <v>184.6376965710092</v>
      </c>
      <c r="S32" s="142">
        <f>'OD EIAData'!Q24</f>
        <v>553.73474674180761</v>
      </c>
      <c r="T32" s="142">
        <f>'OD EIAData'!R24</f>
        <v>1065.4145517058091</v>
      </c>
      <c r="U32" s="328">
        <f t="shared" si="3"/>
        <v>-1.1415717214336429E-2</v>
      </c>
      <c r="V32" s="349">
        <v>5106.3784194892005</v>
      </c>
      <c r="W32" s="328"/>
      <c r="X32" s="222">
        <f>'OD EIAData'!S24</f>
        <v>5982.0669409221155</v>
      </c>
    </row>
    <row r="33" spans="1:24" x14ac:dyDescent="0.2">
      <c r="A33" s="25">
        <f t="shared" ref="A33:A50" si="4">A32+1</f>
        <v>2026</v>
      </c>
      <c r="B33" s="142">
        <v>3.4119999999999999</v>
      </c>
      <c r="C33" s="329">
        <f>'OD EIAData'!B25</f>
        <v>8.0486505346126727</v>
      </c>
      <c r="D33" s="142">
        <f>'OD EIAData'!C25</f>
        <v>3.3446470000000001</v>
      </c>
      <c r="E33" s="142">
        <f>'OD EIAData'!D25</f>
        <v>366.96051238745656</v>
      </c>
      <c r="F33" s="142">
        <f>'OD EIAData'!G25</f>
        <v>14.707224509420543</v>
      </c>
      <c r="G33" s="142">
        <f>'OD EIAData'!E25</f>
        <v>14.071214237469412</v>
      </c>
      <c r="H33" s="142">
        <f>'OD EIAData'!F25</f>
        <v>14.383884999999999</v>
      </c>
      <c r="I33" s="142">
        <f>'OD EIAData'!H25</f>
        <v>11.362345396945585</v>
      </c>
      <c r="J33" s="142">
        <f>'OD EIAData'!I25</f>
        <v>0.98005189237020607</v>
      </c>
      <c r="K33" s="142">
        <f>'OD EIAData'!L25</f>
        <v>329.46941112716655</v>
      </c>
      <c r="L33" s="142">
        <f>'OD EIAData'!J25</f>
        <v>543.86386135514078</v>
      </c>
      <c r="M33" s="142">
        <f t="shared" si="2"/>
        <v>489.47747521962674</v>
      </c>
      <c r="N33" s="142">
        <f>'OD EIAData'!K25</f>
        <v>445.16851006870934</v>
      </c>
      <c r="O33" s="142">
        <f>'OD EIAData'!M25</f>
        <v>319.60989537214908</v>
      </c>
      <c r="P33" s="142">
        <f>'OD EIAData'!N25</f>
        <v>63.744623055310612</v>
      </c>
      <c r="Q33" s="142">
        <f>'OD EIAData'!O25</f>
        <v>671.64439878896007</v>
      </c>
      <c r="R33" s="142">
        <f>'OD EIAData'!P25</f>
        <v>184.78206822402399</v>
      </c>
      <c r="S33" s="142">
        <f>'OD EIAData'!Q25</f>
        <v>547.29557654918642</v>
      </c>
      <c r="T33" s="142">
        <f>'OD EIAData'!R25</f>
        <v>1054.4300712212589</v>
      </c>
      <c r="U33" s="328">
        <f t="shared" si="3"/>
        <v>-1.0310052990137208E-2</v>
      </c>
      <c r="V33" s="349">
        <v>5194.1820392811978</v>
      </c>
      <c r="W33" s="328"/>
      <c r="X33" s="222">
        <f>'OD EIAData'!S25</f>
        <v>6093.2371875187528</v>
      </c>
    </row>
    <row r="34" spans="1:24" x14ac:dyDescent="0.2">
      <c r="A34" s="25">
        <f t="shared" si="4"/>
        <v>2027</v>
      </c>
      <c r="B34" s="142">
        <v>3.4119999999999999</v>
      </c>
      <c r="C34" s="329">
        <f>'OD EIAData'!B26</f>
        <v>8.0588108335001927</v>
      </c>
      <c r="D34" s="142">
        <f>'OD EIAData'!C26</f>
        <v>3.3468979999999999</v>
      </c>
      <c r="E34" s="142">
        <f>'OD EIAData'!D26</f>
        <v>357.93818962937678</v>
      </c>
      <c r="F34" s="142">
        <f>'OD EIAData'!G26</f>
        <v>14.731505262642544</v>
      </c>
      <c r="G34" s="142">
        <f>'OD EIAData'!E26</f>
        <v>14.100804384273554</v>
      </c>
      <c r="H34" s="142">
        <f>'OD EIAData'!F26</f>
        <v>14.405049999999999</v>
      </c>
      <c r="I34" s="142">
        <f>'OD EIAData'!H26</f>
        <v>11.396952574282738</v>
      </c>
      <c r="J34" s="142">
        <f>'OD EIAData'!I26</f>
        <v>0.98393036972039893</v>
      </c>
      <c r="K34" s="142">
        <f>'OD EIAData'!L26</f>
        <v>329.40991895333542</v>
      </c>
      <c r="L34" s="142">
        <f>'OD EIAData'!J26</f>
        <v>542.94891228335916</v>
      </c>
      <c r="M34" s="142">
        <f t="shared" si="2"/>
        <v>488.65402105502324</v>
      </c>
      <c r="N34" s="142">
        <f>'OD EIAData'!K26</f>
        <v>441.73776168054229</v>
      </c>
      <c r="O34" s="142">
        <f>'OD EIAData'!M26</f>
        <v>317.41994457983418</v>
      </c>
      <c r="P34" s="142">
        <f>'OD EIAData'!N26</f>
        <v>62.08722522070773</v>
      </c>
      <c r="Q34" s="142">
        <f>'OD EIAData'!O26</f>
        <v>661.8954271056308</v>
      </c>
      <c r="R34" s="142">
        <f>'OD EIAData'!P26</f>
        <v>184.95528856475121</v>
      </c>
      <c r="S34" s="142">
        <f>'OD EIAData'!Q26</f>
        <v>544.04129933955744</v>
      </c>
      <c r="T34" s="142">
        <f>'OD EIAData'!R26</f>
        <v>1044.4228839671246</v>
      </c>
      <c r="U34" s="328">
        <f t="shared" si="3"/>
        <v>-9.4906125377701711E-3</v>
      </c>
      <c r="V34" s="349">
        <v>5275.6032530634193</v>
      </c>
      <c r="W34" s="328"/>
      <c r="X34" s="222">
        <f>'OD EIAData'!S26</f>
        <v>6208.6636278159976</v>
      </c>
    </row>
    <row r="35" spans="1:24" x14ac:dyDescent="0.2">
      <c r="A35" s="25">
        <f t="shared" si="4"/>
        <v>2028</v>
      </c>
      <c r="B35" s="142">
        <v>3.4119999999999999</v>
      </c>
      <c r="C35" s="329">
        <f>'OD EIAData'!B27</f>
        <v>8.0677913116560092</v>
      </c>
      <c r="D35" s="142">
        <f>'OD EIAData'!C27</f>
        <v>3.349342</v>
      </c>
      <c r="E35" s="142">
        <f>'OD EIAData'!D27</f>
        <v>349.05234168591141</v>
      </c>
      <c r="F35" s="142">
        <f>'OD EIAData'!G27</f>
        <v>14.75171017154501</v>
      </c>
      <c r="G35" s="142">
        <f>'OD EIAData'!E27</f>
        <v>14.126335329043666</v>
      </c>
      <c r="H35" s="142">
        <f>'OD EIAData'!F27</f>
        <v>14.427125</v>
      </c>
      <c r="I35" s="142">
        <f>'OD EIAData'!H27</f>
        <v>11.425125961365802</v>
      </c>
      <c r="J35" s="142">
        <f>'OD EIAData'!I27</f>
        <v>0.98734296630378626</v>
      </c>
      <c r="K35" s="142">
        <f>'OD EIAData'!L27</f>
        <v>329.37129474983703</v>
      </c>
      <c r="L35" s="142">
        <f>'OD EIAData'!J27</f>
        <v>542.13572721280798</v>
      </c>
      <c r="M35" s="142">
        <f t="shared" si="2"/>
        <v>487.92215449152718</v>
      </c>
      <c r="N35" s="142">
        <f>'OD EIAData'!K27</f>
        <v>438.50383879903649</v>
      </c>
      <c r="O35" s="142">
        <f>'OD EIAData'!M27</f>
        <v>316.41023492887791</v>
      </c>
      <c r="P35" s="142">
        <f>'OD EIAData'!N27</f>
        <v>60.562851608393963</v>
      </c>
      <c r="Q35" s="142">
        <f>'OD EIAData'!O27</f>
        <v>654.02148725595259</v>
      </c>
      <c r="R35" s="142">
        <f>'OD EIAData'!P27</f>
        <v>185.29266901309492</v>
      </c>
      <c r="S35" s="142">
        <f>'OD EIAData'!Q27</f>
        <v>536.26648096792098</v>
      </c>
      <c r="T35" s="142">
        <f>'OD EIAData'!R27</f>
        <v>1035.8894012326903</v>
      </c>
      <c r="U35" s="328">
        <f t="shared" si="3"/>
        <v>-8.170524473784857E-3</v>
      </c>
      <c r="V35" s="349">
        <v>5359.256897805185</v>
      </c>
      <c r="W35" s="328"/>
      <c r="X35" s="222">
        <f>'OD EIAData'!S27</f>
        <v>6324.2277980935451</v>
      </c>
    </row>
    <row r="36" spans="1:24" x14ac:dyDescent="0.2">
      <c r="A36" s="25">
        <f t="shared" si="4"/>
        <v>2029</v>
      </c>
      <c r="B36" s="142">
        <v>3.4119999999999999</v>
      </c>
      <c r="C36" s="329">
        <f>'OD EIAData'!B28</f>
        <v>8.0753240961059021</v>
      </c>
      <c r="D36" s="142">
        <f>'OD EIAData'!C28</f>
        <v>3.3519139999999998</v>
      </c>
      <c r="E36" s="142">
        <f>'OD EIAData'!D28</f>
        <v>340.33745453258416</v>
      </c>
      <c r="F36" s="142">
        <f>'OD EIAData'!G28</f>
        <v>14.767425606577278</v>
      </c>
      <c r="G36" s="142">
        <f>'OD EIAData'!E28</f>
        <v>14.147276285903795</v>
      </c>
      <c r="H36" s="142">
        <f>'OD EIAData'!F28</f>
        <v>14.449783</v>
      </c>
      <c r="I36" s="142">
        <f>'OD EIAData'!H28</f>
        <v>11.444206090028436</v>
      </c>
      <c r="J36" s="142">
        <f>'OD EIAData'!I28</f>
        <v>0.9903785794200366</v>
      </c>
      <c r="K36" s="142">
        <f>'OD EIAData'!L28</f>
        <v>329.35319879028862</v>
      </c>
      <c r="L36" s="142">
        <f>'OD EIAData'!J28</f>
        <v>541.31658654470505</v>
      </c>
      <c r="M36" s="142">
        <f t="shared" si="2"/>
        <v>487.18492789023458</v>
      </c>
      <c r="N36" s="142">
        <f>'OD EIAData'!K28</f>
        <v>435.44977180467026</v>
      </c>
      <c r="O36" s="142">
        <f>'OD EIAData'!M28</f>
        <v>315.72788272531017</v>
      </c>
      <c r="P36" s="142">
        <f>'OD EIAData'!N28</f>
        <v>59.164125014364345</v>
      </c>
      <c r="Q36" s="142">
        <f>'OD EIAData'!O28</f>
        <v>648.0225878107816</v>
      </c>
      <c r="R36" s="142">
        <f>'OD EIAData'!P28</f>
        <v>185.80681674282997</v>
      </c>
      <c r="S36" s="142">
        <f>'OD EIAData'!Q28</f>
        <v>535.62350067198099</v>
      </c>
      <c r="T36" s="142">
        <f>'OD EIAData'!R28</f>
        <v>1028.8691820986162</v>
      </c>
      <c r="U36" s="328">
        <f t="shared" si="3"/>
        <v>-6.7769967775711537E-3</v>
      </c>
      <c r="V36" s="349">
        <v>5409.8047095777374</v>
      </c>
      <c r="W36" s="328"/>
      <c r="X36" s="222">
        <f>'OD EIAData'!S28</f>
        <v>6436.1394421853329</v>
      </c>
    </row>
    <row r="37" spans="1:24" x14ac:dyDescent="0.2">
      <c r="A37" s="25">
        <f t="shared" si="4"/>
        <v>2030</v>
      </c>
      <c r="B37" s="142">
        <v>3.4119999999999999</v>
      </c>
      <c r="C37" s="329">
        <f>'OD EIAData'!B29</f>
        <v>8.0819678074129335</v>
      </c>
      <c r="D37" s="142">
        <f>'OD EIAData'!C29</f>
        <v>3.3545720000000001</v>
      </c>
      <c r="E37" s="142">
        <f>'OD EIAData'!D29</f>
        <v>331.68785546345759</v>
      </c>
      <c r="F37" s="142">
        <f>'OD EIAData'!G29</f>
        <v>14.779140059645957</v>
      </c>
      <c r="G37" s="142">
        <f>'OD EIAData'!E29</f>
        <v>14.165765209712536</v>
      </c>
      <c r="H37" s="142">
        <f>'OD EIAData'!F29</f>
        <v>14.472835</v>
      </c>
      <c r="I37" s="142">
        <f>'OD EIAData'!H29</f>
        <v>11.47885995033009</v>
      </c>
      <c r="J37" s="142">
        <f>'OD EIAData'!I29</f>
        <v>0.99295612969892877</v>
      </c>
      <c r="K37" s="142">
        <f>'OD EIAData'!L29</f>
        <v>329.36413534827159</v>
      </c>
      <c r="L37" s="142">
        <f>'OD EIAData'!J29</f>
        <v>540.47093745039126</v>
      </c>
      <c r="M37" s="142">
        <f t="shared" si="2"/>
        <v>486.42384370535217</v>
      </c>
      <c r="N37" s="142">
        <f>'OD EIAData'!K29</f>
        <v>432.56288491193226</v>
      </c>
      <c r="O37" s="142">
        <f>'OD EIAData'!M29</f>
        <v>315.37285467795004</v>
      </c>
      <c r="P37" s="142">
        <f>'OD EIAData'!N29</f>
        <v>58.077102451704064</v>
      </c>
      <c r="Q37" s="142">
        <f>'OD EIAData'!O29</f>
        <v>643.63135862527861</v>
      </c>
      <c r="R37" s="142">
        <f>'OD EIAData'!P29</f>
        <v>186.45642335467332</v>
      </c>
      <c r="S37" s="142">
        <f>'OD EIAData'!Q29</f>
        <v>525.8067311104777</v>
      </c>
      <c r="T37" s="142">
        <f>'OD EIAData'!R29</f>
        <v>1022.9015679586341</v>
      </c>
      <c r="U37" s="328">
        <f t="shared" si="3"/>
        <v>-5.8001680328394478E-3</v>
      </c>
      <c r="V37" s="349">
        <v>5480.87412810562</v>
      </c>
      <c r="W37" s="328"/>
      <c r="X37" s="222">
        <f>'OD EIAData'!S29</f>
        <v>6557.0254113105611</v>
      </c>
    </row>
    <row r="38" spans="1:24" x14ac:dyDescent="0.2">
      <c r="A38" s="25">
        <f t="shared" si="4"/>
        <v>2031</v>
      </c>
      <c r="B38" s="142">
        <v>3.4119999999999999</v>
      </c>
      <c r="C38" s="329">
        <f>'OD EIAData'!B30</f>
        <v>8.0886714016290853</v>
      </c>
      <c r="D38" s="142">
        <f>'OD EIAData'!C30</f>
        <v>3.357316</v>
      </c>
      <c r="E38" s="142">
        <f>'OD EIAData'!D30</f>
        <v>322.93862412188832</v>
      </c>
      <c r="F38" s="142">
        <f>'OD EIAData'!G30</f>
        <v>14.791544950575904</v>
      </c>
      <c r="G38" s="142">
        <f>'OD EIAData'!E30</f>
        <v>14.183734031885001</v>
      </c>
      <c r="H38" s="142">
        <f>'OD EIAData'!F30</f>
        <v>14.496015</v>
      </c>
      <c r="I38" s="142">
        <f>'OD EIAData'!H30</f>
        <v>11.497620855324922</v>
      </c>
      <c r="J38" s="142">
        <f>'OD EIAData'!I30</f>
        <v>0.99516301376201866</v>
      </c>
      <c r="K38" s="142">
        <f>'OD EIAData'!L30</f>
        <v>329.38570207230572</v>
      </c>
      <c r="L38" s="142">
        <f>'OD EIAData'!J30</f>
        <v>539.5574261634689</v>
      </c>
      <c r="M38" s="142">
        <f>L38*0.9</f>
        <v>485.60168354712204</v>
      </c>
      <c r="N38" s="142">
        <f>'OD EIAData'!K30</f>
        <v>429.87715201545706</v>
      </c>
      <c r="O38" s="142">
        <f>'OD EIAData'!M30</f>
        <v>315.37282126184851</v>
      </c>
      <c r="P38" s="142">
        <f>'OD EIAData'!N30</f>
        <v>57.367054479116582</v>
      </c>
      <c r="Q38" s="142">
        <f>'OD EIAData'!O30</f>
        <v>640.31407299486</v>
      </c>
      <c r="R38" s="142">
        <f>'OD EIAData'!P30</f>
        <v>187.10621576754264</v>
      </c>
      <c r="S38" s="142">
        <f>'OD EIAData'!Q30</f>
        <v>526.35503708275883</v>
      </c>
      <c r="T38" s="142">
        <f>'OD EIAData'!R30</f>
        <v>1018.4333713660682</v>
      </c>
      <c r="U38" s="328">
        <f t="shared" si="3"/>
        <v>-4.3681589045591052E-3</v>
      </c>
      <c r="V38" s="349">
        <v>5552.877196279107</v>
      </c>
      <c r="W38" s="328">
        <f t="shared" ref="W38:W42" si="5">V38/V37-1</f>
        <v>1.3137150478289339E-2</v>
      </c>
      <c r="X38" s="222">
        <f>'OD EIAData'!S30</f>
        <v>6668.5344909009173</v>
      </c>
    </row>
    <row r="39" spans="1:24" x14ac:dyDescent="0.2">
      <c r="A39" s="25">
        <f t="shared" si="4"/>
        <v>2032</v>
      </c>
      <c r="B39" s="142">
        <v>3.4119999999999999</v>
      </c>
      <c r="C39" s="329">
        <f>'OD EIAData'!B31</f>
        <v>8.0947571538967615</v>
      </c>
      <c r="D39" s="142">
        <f>'OD EIAData'!C31</f>
        <v>3.360147</v>
      </c>
      <c r="E39" s="142">
        <f>'OD EIAData'!D31</f>
        <v>313.93900184917436</v>
      </c>
      <c r="F39" s="142">
        <f>'OD EIAData'!G31</f>
        <v>14.805938117291035</v>
      </c>
      <c r="G39" s="142">
        <f>'OD EIAData'!E31</f>
        <v>14.20010140849994</v>
      </c>
      <c r="H39" s="142">
        <f>'OD EIAData'!F31</f>
        <v>14.51933</v>
      </c>
      <c r="I39" s="142">
        <f>'OD EIAData'!H31</f>
        <v>11.514369333247819</v>
      </c>
      <c r="J39" s="142">
        <f>'OD EIAData'!I31</f>
        <v>0.99699602800987341</v>
      </c>
      <c r="K39" s="142">
        <f>'OD EIAData'!L31</f>
        <v>329.32268229408254</v>
      </c>
      <c r="L39" s="142">
        <f>'OD EIAData'!J31</f>
        <v>538.55117452441368</v>
      </c>
      <c r="M39" s="142">
        <f>L39*0.9</f>
        <v>484.69605707197235</v>
      </c>
      <c r="N39" s="142">
        <f>'OD EIAData'!K31</f>
        <v>427.3756400439799</v>
      </c>
      <c r="O39" s="142">
        <f>'OD EIAData'!M31</f>
        <v>315.37275858685092</v>
      </c>
      <c r="P39" s="142">
        <f>'OD EIAData'!N31</f>
        <v>56.987954057199239</v>
      </c>
      <c r="Q39" s="142">
        <f>'OD EIAData'!O31</f>
        <v>637.92035046484057</v>
      </c>
      <c r="R39" s="142">
        <f>'OD EIAData'!P31</f>
        <v>187.7066205866696</v>
      </c>
      <c r="S39" s="142">
        <f>'OD EIAData'!Q31</f>
        <v>525.90331554791555</v>
      </c>
      <c r="T39" s="142">
        <f>'OD EIAData'!R31</f>
        <v>1014.519767394069</v>
      </c>
      <c r="U39" s="328">
        <f t="shared" si="3"/>
        <v>-3.8427687878586081E-3</v>
      </c>
      <c r="V39" s="349">
        <v>5625.826179594088</v>
      </c>
      <c r="W39" s="328">
        <f t="shared" si="5"/>
        <v>1.3137150478289561E-2</v>
      </c>
      <c r="X39" s="222">
        <f>'OD EIAData'!S31</f>
        <v>6768.2896021059323</v>
      </c>
    </row>
    <row r="40" spans="1:24" x14ac:dyDescent="0.2">
      <c r="A40" s="25">
        <f t="shared" si="4"/>
        <v>2033</v>
      </c>
      <c r="B40" s="142">
        <v>3.4119999999999999</v>
      </c>
      <c r="C40" s="329">
        <f>'OD EIAData'!B32</f>
        <v>8.099888129101851</v>
      </c>
      <c r="D40" s="142">
        <f>'OD EIAData'!C32</f>
        <v>3.3630409999999999</v>
      </c>
      <c r="E40" s="142">
        <f>'OD EIAData'!D32</f>
        <v>304.80724806014035</v>
      </c>
      <c r="F40" s="142">
        <f>'OD EIAData'!G32</f>
        <v>14.819023805858137</v>
      </c>
      <c r="G40" s="142">
        <f>'OD EIAData'!E32</f>
        <v>14.213596896331415</v>
      </c>
      <c r="H40" s="142">
        <f>'OD EIAData'!F32</f>
        <v>14.542725000000001</v>
      </c>
      <c r="I40" s="142">
        <f>'OD EIAData'!H32</f>
        <v>11.529592741262183</v>
      </c>
      <c r="J40" s="142">
        <f>'OD EIAData'!I32</f>
        <v>0.99840088215962142</v>
      </c>
      <c r="K40" s="142">
        <f>'OD EIAData'!L32</f>
        <v>329.18600465719777</v>
      </c>
      <c r="L40" s="142">
        <f>'OD EIAData'!J32</f>
        <v>537.66179946372642</v>
      </c>
      <c r="M40" s="142">
        <f>L40*0.9</f>
        <v>483.89561951735379</v>
      </c>
      <c r="N40" s="142">
        <f>'OD EIAData'!K32</f>
        <v>424.99354763359929</v>
      </c>
      <c r="O40" s="142">
        <f>'OD EIAData'!M32</f>
        <v>315.37280790453929</v>
      </c>
      <c r="P40" s="142">
        <f>'OD EIAData'!N32</f>
        <v>56.949201006514144</v>
      </c>
      <c r="Q40" s="142">
        <f>'OD EIAData'!O32</f>
        <v>636.22942774744786</v>
      </c>
      <c r="R40" s="142">
        <f>'OD EIAData'!P32</f>
        <v>188.13402347194253</v>
      </c>
      <c r="S40" s="142">
        <f>'OD EIAData'!Q32</f>
        <v>525.64916699304865</v>
      </c>
      <c r="T40" s="142">
        <f>'OD EIAData'!R32</f>
        <v>1010.3927042898039</v>
      </c>
      <c r="U40" s="328">
        <f t="shared" si="3"/>
        <v>-4.0679967378715043E-3</v>
      </c>
      <c r="V40" s="349">
        <v>5699.7335046801154</v>
      </c>
      <c r="W40" s="328">
        <f t="shared" si="5"/>
        <v>1.3137150478289339E-2</v>
      </c>
      <c r="X40" s="222">
        <f>'OD EIAData'!S32</f>
        <v>6859.0788715097469</v>
      </c>
    </row>
    <row r="41" spans="1:24" x14ac:dyDescent="0.2">
      <c r="A41" s="25">
        <f t="shared" si="4"/>
        <v>2034</v>
      </c>
      <c r="B41" s="142">
        <v>3.4119999999999999</v>
      </c>
      <c r="C41" s="329">
        <f>'OD EIAData'!B33</f>
        <v>8.1040094300469576</v>
      </c>
      <c r="D41" s="142">
        <f>'OD EIAData'!C33</f>
        <v>3.36599</v>
      </c>
      <c r="E41" s="142">
        <f>'OD EIAData'!D33</f>
        <v>295.59585213801108</v>
      </c>
      <c r="F41" s="142">
        <f>'OD EIAData'!G33</f>
        <v>14.83007060690732</v>
      </c>
      <c r="G41" s="142">
        <f>'OD EIAData'!E33</f>
        <v>14.223621727067526</v>
      </c>
      <c r="H41" s="142">
        <f>'OD EIAData'!F33</f>
        <v>14.566195</v>
      </c>
      <c r="I41" s="142">
        <f>'OD EIAData'!H33</f>
        <v>11.543258886169117</v>
      </c>
      <c r="J41" s="142">
        <f>'OD EIAData'!I33</f>
        <v>0.99953704201496185</v>
      </c>
      <c r="K41" s="142">
        <f>'OD EIAData'!L33</f>
        <v>329.00133654947155</v>
      </c>
      <c r="L41" s="142">
        <f>'OD EIAData'!J33</f>
        <v>536.90120877695097</v>
      </c>
      <c r="M41" s="142">
        <f>L41*0.9</f>
        <v>483.21108789925586</v>
      </c>
      <c r="N41" s="142">
        <f>'OD EIAData'!K33</f>
        <v>422.73971730722548</v>
      </c>
      <c r="O41" s="142">
        <f>'OD EIAData'!M33</f>
        <v>315.37285444279377</v>
      </c>
      <c r="P41" s="142">
        <f>'OD EIAData'!N33</f>
        <v>56.923364936639864</v>
      </c>
      <c r="Q41" s="142">
        <f>'OD EIAData'!O33</f>
        <v>635.29815251080481</v>
      </c>
      <c r="R41" s="142">
        <f>'OD EIAData'!P33</f>
        <v>188.4731909217991</v>
      </c>
      <c r="S41" s="142">
        <f>'OD EIAData'!Q33</f>
        <v>525.52582056366975</v>
      </c>
      <c r="T41" s="142">
        <f>'OD EIAData'!R33</f>
        <v>1006.249470162321</v>
      </c>
      <c r="U41" s="328">
        <f t="shared" si="3"/>
        <v>-4.1006176211407785E-3</v>
      </c>
      <c r="V41" s="349">
        <v>5774.6117614172472</v>
      </c>
      <c r="W41" s="328">
        <f t="shared" si="5"/>
        <v>1.3137150478289561E-2</v>
      </c>
      <c r="X41" s="222">
        <f>'OD EIAData'!S33</f>
        <v>6942.7783611515397</v>
      </c>
    </row>
    <row r="42" spans="1:24" x14ac:dyDescent="0.2">
      <c r="A42" s="25">
        <f t="shared" si="4"/>
        <v>2035</v>
      </c>
      <c r="B42" s="142">
        <v>3.4119999999999999</v>
      </c>
      <c r="C42" s="329">
        <f>'OD EIAData'!B34</f>
        <v>8.107164132742458</v>
      </c>
      <c r="D42" s="142">
        <f>'OD EIAData'!C34</f>
        <v>3.368995</v>
      </c>
      <c r="E42" s="142">
        <f>'OD EIAData'!D34</f>
        <v>286.40212008504233</v>
      </c>
      <c r="F42" s="142">
        <f>'OD EIAData'!G34</f>
        <v>14.839158563907842</v>
      </c>
      <c r="G42" s="142">
        <f>'OD EIAData'!E34</f>
        <v>14.23288253240586</v>
      </c>
      <c r="H42" s="142">
        <f>'OD EIAData'!F34</f>
        <v>14.589767999999999</v>
      </c>
      <c r="I42" s="142">
        <f>'OD EIAData'!H34</f>
        <v>11.55532082000933</v>
      </c>
      <c r="J42" s="142">
        <f>'OD EIAData'!I34</f>
        <v>1.0002479670862745</v>
      </c>
      <c r="K42" s="142">
        <f>'OD EIAData'!L34</f>
        <v>328.81468343272462</v>
      </c>
      <c r="L42" s="142">
        <f>'OD EIAData'!J34</f>
        <v>536.2582533383636</v>
      </c>
      <c r="M42" s="142">
        <f>L42*0.9</f>
        <v>482.63242800452724</v>
      </c>
      <c r="N42" s="142">
        <f>'OD EIAData'!K34</f>
        <v>420.61255118473372</v>
      </c>
      <c r="O42" s="142">
        <f>'OD EIAData'!M34</f>
        <v>315.37283763768437</v>
      </c>
      <c r="P42" s="142">
        <f>'OD EIAData'!N34</f>
        <v>56.910677257525563</v>
      </c>
      <c r="Q42" s="142">
        <f>'OD EIAData'!O34</f>
        <v>635.67294616813729</v>
      </c>
      <c r="R42" s="142">
        <f>'OD EIAData'!P34</f>
        <v>188.85189238694306</v>
      </c>
      <c r="S42" s="142">
        <f>'OD EIAData'!Q34</f>
        <v>525.33804758668998</v>
      </c>
      <c r="T42" s="142">
        <f>'OD EIAData'!R34</f>
        <v>1002.7256442630295</v>
      </c>
      <c r="U42" s="328">
        <f t="shared" si="3"/>
        <v>-3.5019406258400831E-3</v>
      </c>
      <c r="V42" s="349">
        <v>5850.4737050806871</v>
      </c>
      <c r="W42" s="328">
        <f t="shared" si="5"/>
        <v>1.3137150478289783E-2</v>
      </c>
      <c r="X42" s="222">
        <f>'OD EIAData'!S34</f>
        <v>7026.4279933769449</v>
      </c>
    </row>
    <row r="43" spans="1:24" x14ac:dyDescent="0.2">
      <c r="A43" s="25">
        <f t="shared" si="4"/>
        <v>2036</v>
      </c>
      <c r="B43" s="142">
        <v>3.4119999999999999</v>
      </c>
      <c r="C43" s="329">
        <f>'OD EIAData'!B35</f>
        <v>8.1103188354379583</v>
      </c>
      <c r="D43" s="142">
        <f>'OD EIAData'!C35</f>
        <v>3.3719999999999999</v>
      </c>
      <c r="E43" s="142">
        <f>'OD EIAData'!D35</f>
        <v>277.49433490328454</v>
      </c>
      <c r="F43" s="142">
        <f>'OD EIAData'!G35</f>
        <v>14.848246520908365</v>
      </c>
      <c r="G43" s="142">
        <f>'OD EIAData'!E35</f>
        <v>14.242143337744194</v>
      </c>
      <c r="H43" s="142">
        <f>'OD EIAData'!F35</f>
        <v>14.613340999999998</v>
      </c>
      <c r="I43" s="142">
        <f>'OD EIAData'!H35</f>
        <v>11.567382753849543</v>
      </c>
      <c r="J43" s="142">
        <f>'OD EIAData'!I35</f>
        <v>1.0009588921575872</v>
      </c>
      <c r="K43" s="142">
        <f>'OD EIAData'!L35</f>
        <v>328.62813621033769</v>
      </c>
      <c r="L43" s="142">
        <f>'OD EIAData'!J35</f>
        <v>535.61529789977624</v>
      </c>
      <c r="M43" s="142">
        <f t="shared" ref="M43:M50" si="6">L43*0.9</f>
        <v>482.05376810979863</v>
      </c>
      <c r="N43" s="142">
        <f>'OD EIAData'!K35</f>
        <v>418.48538506224196</v>
      </c>
      <c r="O43" s="142">
        <f>'OD EIAData'!M35</f>
        <v>315.37282083257577</v>
      </c>
      <c r="P43" s="142">
        <f>'OD EIAData'!N35</f>
        <v>56.897992406374804</v>
      </c>
      <c r="Q43" s="142">
        <f>'OD EIAData'!O35</f>
        <v>636.04796093470043</v>
      </c>
      <c r="R43" s="142">
        <f>'OD EIAData'!P35</f>
        <v>189.23135478152744</v>
      </c>
      <c r="S43" s="142">
        <f>'OD EIAData'!Q35</f>
        <v>525.15034170192439</v>
      </c>
      <c r="T43" s="142">
        <f>'OD EIAData'!R35</f>
        <v>999.21415859281308</v>
      </c>
      <c r="U43" s="281"/>
      <c r="V43" s="349">
        <v>5927.3322585136057</v>
      </c>
      <c r="W43" s="328">
        <f>V43/V42-1</f>
        <v>1.3137150478289117E-2</v>
      </c>
      <c r="X43" s="222">
        <f>'OD EIAData'!S35</f>
        <v>7111.0854729809435</v>
      </c>
    </row>
    <row r="44" spans="1:24" x14ac:dyDescent="0.2">
      <c r="A44" s="25">
        <f t="shared" si="4"/>
        <v>2037</v>
      </c>
      <c r="B44" s="142">
        <v>3.4119999999999999</v>
      </c>
      <c r="C44" s="329">
        <f>'OD EIAData'!B36</f>
        <v>8.1134735381334586</v>
      </c>
      <c r="D44" s="142">
        <f>'OD EIAData'!C36</f>
        <v>3.3750049999999998</v>
      </c>
      <c r="E44" s="142">
        <f>'OD EIAData'!D36</f>
        <v>268.86360296687553</v>
      </c>
      <c r="F44" s="142">
        <f>'OD EIAData'!G36</f>
        <v>14.857334477908887</v>
      </c>
      <c r="G44" s="142">
        <f>'OD EIAData'!E36</f>
        <v>14.251404143082528</v>
      </c>
      <c r="H44" s="142">
        <f>'OD EIAData'!F36</f>
        <v>14.636913999999997</v>
      </c>
      <c r="I44" s="142">
        <f>'OD EIAData'!H36</f>
        <v>11.579444687689756</v>
      </c>
      <c r="J44" s="142">
        <f>'OD EIAData'!I36</f>
        <v>1.0016698172288998</v>
      </c>
      <c r="K44" s="142">
        <f>'OD EIAData'!L36</f>
        <v>328.4416948222335</v>
      </c>
      <c r="L44" s="142">
        <f>'OD EIAData'!J36</f>
        <v>534.97234246118887</v>
      </c>
      <c r="M44" s="142">
        <f t="shared" si="6"/>
        <v>481.47510821507001</v>
      </c>
      <c r="N44" s="142">
        <f>'OD EIAData'!K36</f>
        <v>416.3582189397502</v>
      </c>
      <c r="O44" s="142">
        <f>'OD EIAData'!M36</f>
        <v>315.37280402746813</v>
      </c>
      <c r="P44" s="142">
        <f>'OD EIAData'!N36</f>
        <v>56.8853103825573</v>
      </c>
      <c r="Q44" s="142">
        <f>'OD EIAData'!O36</f>
        <v>636.42319694093692</v>
      </c>
      <c r="R44" s="142">
        <f>'OD EIAData'!P36</f>
        <v>189.61157963449699</v>
      </c>
      <c r="S44" s="142">
        <f>'OD EIAData'!Q36</f>
        <v>524.9627028854004</v>
      </c>
      <c r="T44" s="142">
        <f>'OD EIAData'!R36</f>
        <v>995.71496993692222</v>
      </c>
      <c r="U44" s="281"/>
      <c r="V44" s="349">
        <v>6005.2005143285196</v>
      </c>
      <c r="W44" s="328">
        <f t="shared" si="3"/>
        <v>1.3137150478289783E-2</v>
      </c>
      <c r="X44" s="222">
        <f>'OD EIAData'!S36</f>
        <v>7196.7629429498402</v>
      </c>
    </row>
    <row r="45" spans="1:24" x14ac:dyDescent="0.2">
      <c r="A45" s="25">
        <f t="shared" si="4"/>
        <v>2038</v>
      </c>
      <c r="B45" s="142">
        <v>3.4119999999999999</v>
      </c>
      <c r="C45" s="329">
        <f>'OD EIAData'!B37</f>
        <v>8.116628240828959</v>
      </c>
      <c r="D45" s="142">
        <f>'OD EIAData'!C37</f>
        <v>3.3780099999999997</v>
      </c>
      <c r="E45" s="142">
        <f>'OD EIAData'!D37</f>
        <v>260.5013072628102</v>
      </c>
      <c r="F45" s="142">
        <f>'OD EIAData'!G37</f>
        <v>14.86642243490941</v>
      </c>
      <c r="G45" s="142">
        <f>'OD EIAData'!E37</f>
        <v>14.260664948420862</v>
      </c>
      <c r="H45" s="142">
        <f>'OD EIAData'!F37</f>
        <v>14.660486999999996</v>
      </c>
      <c r="I45" s="142">
        <f>'OD EIAData'!H37</f>
        <v>11.59150662152997</v>
      </c>
      <c r="J45" s="142">
        <f>'OD EIAData'!I37</f>
        <v>1.0023807423002125</v>
      </c>
      <c r="K45" s="142">
        <f>'OD EIAData'!L37</f>
        <v>328.25535920836899</v>
      </c>
      <c r="L45" s="142">
        <f>'OD EIAData'!J37</f>
        <v>534.32938702260151</v>
      </c>
      <c r="M45" s="142">
        <f t="shared" si="6"/>
        <v>480.89644832034139</v>
      </c>
      <c r="N45" s="142">
        <f>'OD EIAData'!K37</f>
        <v>414.23105281725844</v>
      </c>
      <c r="O45" s="142">
        <f>'OD EIAData'!M37</f>
        <v>315.37278722236141</v>
      </c>
      <c r="P45" s="142">
        <f>'OD EIAData'!N37</f>
        <v>56.87263118544282</v>
      </c>
      <c r="Q45" s="142">
        <f>'OD EIAData'!O37</f>
        <v>636.7986543173671</v>
      </c>
      <c r="R45" s="142">
        <f>'OD EIAData'!P37</f>
        <v>189.99256847786862</v>
      </c>
      <c r="S45" s="142">
        <f>'OD EIAData'!Q37</f>
        <v>524.77513111315454</v>
      </c>
      <c r="T45" s="142">
        <f>'OD EIAData'!R37</f>
        <v>992.22803523194307</v>
      </c>
      <c r="U45" s="281"/>
      <c r="V45" s="349">
        <v>6084.0917371375544</v>
      </c>
      <c r="W45" s="328">
        <f t="shared" ref="W45:W50" si="7">V45/V44-1</f>
        <v>1.3137150478289339E-2</v>
      </c>
      <c r="X45" s="222">
        <f>'OD EIAData'!S37</f>
        <v>7283.4726925739569</v>
      </c>
    </row>
    <row r="46" spans="1:24" x14ac:dyDescent="0.2">
      <c r="A46" s="25">
        <f t="shared" si="4"/>
        <v>2039</v>
      </c>
      <c r="B46" s="142">
        <v>3.4119999999999999</v>
      </c>
      <c r="C46" s="329">
        <f>'OD EIAData'!B38</f>
        <v>8.1197829435244593</v>
      </c>
      <c r="D46" s="142">
        <f>'OD EIAData'!C38</f>
        <v>3.3810149999999997</v>
      </c>
      <c r="E46" s="142">
        <f>'OD EIAData'!D38</f>
        <v>252.39909878762444</v>
      </c>
      <c r="F46" s="142">
        <f>'OD EIAData'!G38</f>
        <v>14.875510391909932</v>
      </c>
      <c r="G46" s="142">
        <f>'OD EIAData'!E38</f>
        <v>14.269925753759196</v>
      </c>
      <c r="H46" s="142">
        <f>'OD EIAData'!F38</f>
        <v>14.684059999999995</v>
      </c>
      <c r="I46" s="142">
        <f>'OD EIAData'!H38</f>
        <v>11.603568555370183</v>
      </c>
      <c r="J46" s="142">
        <f>'OD EIAData'!I38</f>
        <v>1.0030916673715251</v>
      </c>
      <c r="K46" s="142">
        <f>'OD EIAData'!L38</f>
        <v>328.06912930873472</v>
      </c>
      <c r="L46" s="142">
        <f>'OD EIAData'!J38</f>
        <v>533.68643158401414</v>
      </c>
      <c r="M46" s="142">
        <f t="shared" si="6"/>
        <v>480.31778842561272</v>
      </c>
      <c r="N46" s="142">
        <f>'OD EIAData'!K38</f>
        <v>412.10388669476669</v>
      </c>
      <c r="O46" s="142">
        <f>'OD EIAData'!M38</f>
        <v>315.37277041725548</v>
      </c>
      <c r="P46" s="142">
        <f>'OD EIAData'!N38</f>
        <v>56.859954814401334</v>
      </c>
      <c r="Q46" s="142">
        <f>'OD EIAData'!O38</f>
        <v>637.17433319458837</v>
      </c>
      <c r="R46" s="142">
        <f>'OD EIAData'!P38</f>
        <v>190.37432284673739</v>
      </c>
      <c r="S46" s="142">
        <f>'OD EIAData'!Q38</f>
        <v>524.58762636123129</v>
      </c>
      <c r="T46" s="142">
        <f>'OD EIAData'!R38</f>
        <v>988.75331156526681</v>
      </c>
      <c r="U46" s="281"/>
      <c r="V46" s="349">
        <v>6164.0193658120461</v>
      </c>
      <c r="W46" s="328">
        <f t="shared" si="7"/>
        <v>1.3137150478289117E-2</v>
      </c>
      <c r="X46" s="222">
        <f>'OD EIAData'!S38</f>
        <v>7371.2271592103561</v>
      </c>
    </row>
    <row r="47" spans="1:24" x14ac:dyDescent="0.2">
      <c r="A47" s="25">
        <f t="shared" si="4"/>
        <v>2040</v>
      </c>
      <c r="B47" s="142">
        <v>3.4119999999999999</v>
      </c>
      <c r="C47" s="329">
        <f>'OD EIAData'!B39</f>
        <v>8.1229376462199596</v>
      </c>
      <c r="D47" s="142">
        <f>'OD EIAData'!C39</f>
        <v>3.3840199999999996</v>
      </c>
      <c r="E47" s="142">
        <f>'OD EIAData'!D39</f>
        <v>244.54888821166284</v>
      </c>
      <c r="F47" s="142">
        <f>'OD EIAData'!G39</f>
        <v>14.884598348910455</v>
      </c>
      <c r="G47" s="142">
        <f>'OD EIAData'!E39</f>
        <v>14.27918655909753</v>
      </c>
      <c r="H47" s="142">
        <f>'OD EIAData'!F39</f>
        <v>14.707632999999994</v>
      </c>
      <c r="I47" s="142">
        <f>'OD EIAData'!H39</f>
        <v>11.615630489210396</v>
      </c>
      <c r="J47" s="142">
        <f>'OD EIAData'!I39</f>
        <v>1.0038025924428378</v>
      </c>
      <c r="K47" s="142">
        <f>'OD EIAData'!L39</f>
        <v>327.88300506335577</v>
      </c>
      <c r="L47" s="142">
        <f>'OD EIAData'!J39</f>
        <v>533.04347614542678</v>
      </c>
      <c r="M47" s="142">
        <f t="shared" si="6"/>
        <v>479.7391285308841</v>
      </c>
      <c r="N47" s="142">
        <f>'OD EIAData'!K39</f>
        <v>409.97672057227493</v>
      </c>
      <c r="O47" s="142">
        <f>'OD EIAData'!M39</f>
        <v>315.37275361215052</v>
      </c>
      <c r="P47" s="142">
        <f>'OD EIAData'!N39</f>
        <v>56.847281268802945</v>
      </c>
      <c r="Q47" s="142">
        <f>'OD EIAData'!O39</f>
        <v>637.5502337032749</v>
      </c>
      <c r="R47" s="142">
        <f>'OD EIAData'!P39</f>
        <v>190.75684427928303</v>
      </c>
      <c r="S47" s="142">
        <f>'OD EIAData'!Q39</f>
        <v>524.40018860568409</v>
      </c>
      <c r="T47" s="142">
        <f>'OD EIAData'!R39</f>
        <v>985.29075617456249</v>
      </c>
      <c r="U47" s="281"/>
      <c r="V47" s="349">
        <v>6244.9970157718099</v>
      </c>
      <c r="W47" s="328">
        <f t="shared" si="7"/>
        <v>1.3137150478289561E-2</v>
      </c>
      <c r="X47" s="222">
        <f>'OD EIAData'!S39</f>
        <v>7460.0389300668276</v>
      </c>
    </row>
    <row r="48" spans="1:24" x14ac:dyDescent="0.2">
      <c r="A48" s="25">
        <f t="shared" si="4"/>
        <v>2041</v>
      </c>
      <c r="B48" s="142">
        <v>3.4119999999999999</v>
      </c>
      <c r="C48" s="329">
        <f>'OD EIAData'!B40</f>
        <v>8.12609234891546</v>
      </c>
      <c r="D48" s="142">
        <f>'OD EIAData'!C40</f>
        <v>3.3870249999999995</v>
      </c>
      <c r="E48" s="142">
        <f>'OD EIAData'!D40</f>
        <v>236.94283780260733</v>
      </c>
      <c r="F48" s="142">
        <f>'OD EIAData'!G40</f>
        <v>14.893686305910977</v>
      </c>
      <c r="G48" s="142">
        <f>'OD EIAData'!E40</f>
        <v>14.288447364435864</v>
      </c>
      <c r="H48" s="142">
        <f>'OD EIAData'!F40</f>
        <v>14.731205999999993</v>
      </c>
      <c r="I48" s="142">
        <f>'OD EIAData'!H40</f>
        <v>11.627692423050609</v>
      </c>
      <c r="J48" s="142">
        <f>'OD EIAData'!I40</f>
        <v>1.0045135175141504</v>
      </c>
      <c r="K48" s="142">
        <f>'OD EIAData'!L40</f>
        <v>327.69698641229098</v>
      </c>
      <c r="L48" s="142">
        <f>'OD EIAData'!J40</f>
        <v>532.40052070683942</v>
      </c>
      <c r="M48" s="142">
        <f t="shared" si="6"/>
        <v>479.16046863615549</v>
      </c>
      <c r="N48" s="142">
        <f>'OD EIAData'!K40</f>
        <v>407.84955444978317</v>
      </c>
      <c r="O48" s="142">
        <f>'OD EIAData'!M40</f>
        <v>315.37273680704646</v>
      </c>
      <c r="P48" s="142">
        <f>'OD EIAData'!N40</f>
        <v>56.834610548017871</v>
      </c>
      <c r="Q48" s="142">
        <f>'OD EIAData'!O40</f>
        <v>637.92635597417802</v>
      </c>
      <c r="R48" s="142">
        <f>'OD EIAData'!P40</f>
        <v>191.14013431677583</v>
      </c>
      <c r="S48" s="142">
        <f>'OD EIAData'!Q40</f>
        <v>524.21281782257461</v>
      </c>
      <c r="T48" s="142">
        <f>'OD EIAData'!R40</f>
        <v>981.84032644725016</v>
      </c>
      <c r="U48" s="281"/>
      <c r="V48" s="349">
        <v>6327.0384813044739</v>
      </c>
      <c r="W48" s="328">
        <f t="shared" si="7"/>
        <v>1.3137150478289561E-2</v>
      </c>
      <c r="X48" s="222">
        <f>'OD EIAData'!S40</f>
        <v>7549.9207440073469</v>
      </c>
    </row>
    <row r="49" spans="1:24" x14ac:dyDescent="0.2">
      <c r="A49" s="25">
        <f t="shared" si="4"/>
        <v>2042</v>
      </c>
      <c r="B49" s="142">
        <v>3.4119999999999999</v>
      </c>
      <c r="C49" s="329">
        <f>'OD EIAData'!B41</f>
        <v>8.1292470516109603</v>
      </c>
      <c r="D49" s="142">
        <f>'OD EIAData'!C41</f>
        <v>3.3900299999999994</v>
      </c>
      <c r="E49" s="142">
        <f>'OD EIAData'!D41</f>
        <v>229.57335360020343</v>
      </c>
      <c r="F49" s="142">
        <f>'OD EIAData'!G41</f>
        <v>14.9027742629115</v>
      </c>
      <c r="G49" s="142">
        <f>'OD EIAData'!E41</f>
        <v>14.297708169774198</v>
      </c>
      <c r="H49" s="142">
        <f>'OD EIAData'!F41</f>
        <v>14.754778999999992</v>
      </c>
      <c r="I49" s="142">
        <f>'OD EIAData'!H41</f>
        <v>11.639754356890823</v>
      </c>
      <c r="J49" s="142">
        <f>'OD EIAData'!I41</f>
        <v>1.0052244425854631</v>
      </c>
      <c r="K49" s="142">
        <f>'OD EIAData'!L41</f>
        <v>327.51107329563337</v>
      </c>
      <c r="L49" s="142">
        <f>'OD EIAData'!J41</f>
        <v>531.75756526825205</v>
      </c>
      <c r="M49" s="142">
        <f t="shared" si="6"/>
        <v>478.58180874142687</v>
      </c>
      <c r="N49" s="142">
        <f>'OD EIAData'!K41</f>
        <v>405.72238832729141</v>
      </c>
      <c r="O49" s="142">
        <f>'OD EIAData'!M41</f>
        <v>315.37272000194326</v>
      </c>
      <c r="P49" s="142">
        <f>'OD EIAData'!N41</f>
        <v>56.821942651416499</v>
      </c>
      <c r="Q49" s="142">
        <f>'OD EIAData'!O41</f>
        <v>638.30270013812606</v>
      </c>
      <c r="R49" s="142">
        <f>'OD EIAData'!P41</f>
        <v>191.52419450358303</v>
      </c>
      <c r="S49" s="142">
        <f>'OD EIAData'!Q41</f>
        <v>524.02551398797334</v>
      </c>
      <c r="T49" s="142">
        <f>'OD EIAData'!R41</f>
        <v>978.40197991997638</v>
      </c>
      <c r="U49" s="281"/>
      <c r="V49" s="349">
        <f>V48*(1+1.3%)</f>
        <v>6409.289981561431</v>
      </c>
      <c r="W49" s="328">
        <f t="shared" si="7"/>
        <v>1.2999999999999901E-2</v>
      </c>
      <c r="X49" s="222">
        <f>'OD EIAData'!S41</f>
        <v>7640.8854933793009</v>
      </c>
    </row>
    <row r="50" spans="1:24" x14ac:dyDescent="0.2">
      <c r="A50" s="25">
        <f t="shared" si="4"/>
        <v>2043</v>
      </c>
      <c r="B50" s="142">
        <v>3.41</v>
      </c>
      <c r="C50" s="329">
        <f>'OD EIAData'!B42</f>
        <v>8.1324017543064606</v>
      </c>
      <c r="D50" s="142">
        <f>'OD EIAData'!C42</f>
        <v>3.3930349999999994</v>
      </c>
      <c r="E50" s="142">
        <f>'OD EIAData'!D42</f>
        <v>222.43307783437066</v>
      </c>
      <c r="F50" s="142">
        <f>'OD EIAData'!G42</f>
        <v>14.911862219912022</v>
      </c>
      <c r="G50" s="142">
        <f>'OD EIAData'!E42</f>
        <v>14.306968975112532</v>
      </c>
      <c r="H50" s="142">
        <f>'OD EIAData'!F42</f>
        <v>14.778351999999991</v>
      </c>
      <c r="I50" s="142">
        <f>'OD EIAData'!H42</f>
        <v>11.651816290731036</v>
      </c>
      <c r="J50" s="142">
        <f>'OD EIAData'!I42</f>
        <v>1.0059353676567757</v>
      </c>
      <c r="K50" s="142">
        <f>'OD EIAData'!L42</f>
        <v>327.32526565350975</v>
      </c>
      <c r="L50" s="142">
        <f>'OD EIAData'!J42</f>
        <v>531.11460982966469</v>
      </c>
      <c r="M50" s="142">
        <f t="shared" si="6"/>
        <v>478.00314884669825</v>
      </c>
      <c r="N50" s="142">
        <f>'OD EIAData'!K42</f>
        <v>403.59522220479965</v>
      </c>
      <c r="O50" s="142">
        <f>'OD EIAData'!M42</f>
        <v>315.37270319684097</v>
      </c>
      <c r="P50" s="142">
        <f>'OD EIAData'!N42</f>
        <v>56.809277578369361</v>
      </c>
      <c r="Q50" s="142">
        <f>'OD EIAData'!O42</f>
        <v>638.6792663260245</v>
      </c>
      <c r="R50" s="142">
        <f>'OD EIAData'!P42</f>
        <v>191.909026387175</v>
      </c>
      <c r="S50" s="142">
        <f>'OD EIAData'!Q42</f>
        <v>523.83827707795945</v>
      </c>
      <c r="T50" s="142">
        <f>'OD EIAData'!R42</f>
        <v>974.97567427809224</v>
      </c>
      <c r="U50" s="281"/>
      <c r="V50" s="349">
        <f>V49*(1+1.3%)</f>
        <v>6492.6107513217294</v>
      </c>
      <c r="W50" s="328">
        <f t="shared" si="7"/>
        <v>1.2999999999999901E-2</v>
      </c>
      <c r="X50" s="222">
        <f>'OD EIAData'!S42</f>
        <v>7732.9462258627145</v>
      </c>
    </row>
    <row r="51" spans="1:24" x14ac:dyDescent="0.2">
      <c r="A51" s="25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349"/>
      <c r="W51" s="328"/>
      <c r="X51" s="216"/>
    </row>
    <row r="52" spans="1:24" x14ac:dyDescent="0.2">
      <c r="A52" s="21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3"/>
      <c r="N52" s="43"/>
      <c r="O52" s="43"/>
      <c r="P52" s="43"/>
      <c r="Q52" s="43"/>
      <c r="R52" s="42"/>
      <c r="S52" s="42"/>
      <c r="T52" s="43"/>
      <c r="U52" s="43"/>
      <c r="V52" s="350"/>
      <c r="X52" s="9"/>
    </row>
    <row r="53" spans="1:24" x14ac:dyDescent="0.2">
      <c r="A53" s="6" t="s">
        <v>60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3"/>
      <c r="N53" s="43"/>
      <c r="O53" s="43"/>
      <c r="P53" s="43"/>
      <c r="Q53" s="43"/>
      <c r="R53" s="42"/>
      <c r="S53" s="42"/>
      <c r="T53" s="43"/>
      <c r="U53" s="43"/>
      <c r="V53" s="350"/>
      <c r="X53" s="9"/>
    </row>
    <row r="54" spans="1:24" x14ac:dyDescent="0.2">
      <c r="A54" s="4"/>
      <c r="B54" s="140">
        <f>'OD EIAData'!BM5</f>
        <v>919.13428064024072</v>
      </c>
      <c r="C54" s="140">
        <f>'OD EIAData'!BM6</f>
        <v>418.88968674901759</v>
      </c>
      <c r="D54" s="140">
        <f>'OD EIAData'!BM7</f>
        <v>9.3587965337677108</v>
      </c>
      <c r="E54" s="140">
        <f>'OD EIAData'!BM8</f>
        <v>99.2573307558159</v>
      </c>
      <c r="F54" s="140">
        <f>'OD EIAData'!BM9</f>
        <v>2821.7797014184434</v>
      </c>
      <c r="G54" s="140">
        <f>'OD EIAData'!BM10</f>
        <v>664.51554558329576</v>
      </c>
      <c r="H54" s="140">
        <f>'OD EIAData'!BM11</f>
        <v>16.588492083481007</v>
      </c>
      <c r="I54" s="140">
        <f>'OD EIAData'!BM12</f>
        <v>440.90917356139823</v>
      </c>
      <c r="J54" s="140">
        <f>'OD EIAData'!BM13</f>
        <v>2139.998090022028</v>
      </c>
      <c r="K54" s="140">
        <f>'OD EIAData'!BM14</f>
        <v>577.19558573148345</v>
      </c>
      <c r="L54" s="140">
        <f>'OD EIAData'!BM15</f>
        <v>702.65994438463133</v>
      </c>
      <c r="M54" s="140">
        <f>'OD EIAData'!BM16</f>
        <v>127.37087069516286</v>
      </c>
      <c r="N54" s="140">
        <f>'OD EIAData'!BM17</f>
        <v>259.12054736191692</v>
      </c>
      <c r="O54" s="140">
        <f>'OD EIAData'!BM18</f>
        <v>270.30410944160957</v>
      </c>
      <c r="P54" s="140">
        <f>'OD EIAData'!BM19</f>
        <v>104.82412726214093</v>
      </c>
      <c r="Q54" s="140">
        <f>'OD EIAData'!BM20</f>
        <v>799.22911484244662</v>
      </c>
      <c r="R54" s="140">
        <f>'OD EIAData'!BM21</f>
        <v>725.96154439582835</v>
      </c>
      <c r="S54" s="140">
        <f>'OD EIAData'!BM22</f>
        <v>240.20316110961355</v>
      </c>
      <c r="T54" s="140">
        <f>'OD EIAData'!BM23</f>
        <v>2119.4256904455815</v>
      </c>
      <c r="U54" s="140"/>
      <c r="V54" s="351">
        <v>3129.8778002153022</v>
      </c>
      <c r="X54" s="44">
        <v>4138.583394638028</v>
      </c>
    </row>
  </sheetData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"/>
  <sheetViews>
    <sheetView tabSelected="1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" style="207" bestFit="1" customWidth="1"/>
    <col min="2" max="2" width="8" style="377" bestFit="1" customWidth="1"/>
    <col min="3" max="3" width="8.28515625" style="377" bestFit="1" customWidth="1"/>
    <col min="4" max="4" width="8.42578125" style="377" bestFit="1" customWidth="1"/>
    <col min="5" max="5" width="2.28515625" style="377" customWidth="1"/>
    <col min="6" max="6" width="13.85546875" style="377" bestFit="1" customWidth="1"/>
    <col min="7" max="7" width="9.140625" style="377"/>
    <col min="8" max="8" width="7.5703125" style="377" bestFit="1" customWidth="1"/>
    <col min="9" max="9" width="11.5703125" style="377" bestFit="1" customWidth="1"/>
    <col min="10" max="10" width="2" style="377" customWidth="1"/>
    <col min="11" max="11" width="13.85546875" style="375" bestFit="1" customWidth="1"/>
    <col min="12" max="12" width="11.140625" style="375" customWidth="1"/>
    <col min="13" max="13" width="14.42578125" style="376" bestFit="1" customWidth="1"/>
    <col min="14" max="14" width="14.28515625" style="376" bestFit="1" customWidth="1"/>
    <col min="15" max="15" width="10.140625" style="375" bestFit="1" customWidth="1"/>
    <col min="16" max="16" width="10" style="375" bestFit="1" customWidth="1"/>
    <col min="17" max="17" width="12.5703125" style="376" bestFit="1" customWidth="1"/>
    <col min="18" max="18" width="12.42578125" style="207" bestFit="1" customWidth="1"/>
    <col min="19" max="16384" width="9.140625" style="207"/>
  </cols>
  <sheetData>
    <row r="1" spans="1:18" s="370" customFormat="1" ht="25.5" x14ac:dyDescent="0.2">
      <c r="A1" s="370" t="s">
        <v>15</v>
      </c>
      <c r="B1" s="371" t="s">
        <v>138</v>
      </c>
      <c r="C1" s="372" t="s">
        <v>139</v>
      </c>
      <c r="D1" s="372" t="s">
        <v>140</v>
      </c>
      <c r="E1" s="373"/>
      <c r="F1" s="373" t="s">
        <v>107</v>
      </c>
      <c r="G1" s="373" t="s">
        <v>108</v>
      </c>
      <c r="H1" s="373" t="s">
        <v>109</v>
      </c>
      <c r="I1" s="374" t="s">
        <v>110</v>
      </c>
      <c r="J1" s="373"/>
      <c r="K1" s="375" t="s">
        <v>111</v>
      </c>
      <c r="L1" s="375" t="s">
        <v>112</v>
      </c>
      <c r="M1" s="376" t="s">
        <v>141</v>
      </c>
      <c r="N1" s="376" t="s">
        <v>142</v>
      </c>
      <c r="O1" s="375" t="s">
        <v>143</v>
      </c>
      <c r="P1" s="375" t="s">
        <v>144</v>
      </c>
      <c r="Q1" s="376" t="s">
        <v>145</v>
      </c>
      <c r="R1" s="376" t="s">
        <v>146</v>
      </c>
    </row>
    <row r="2" spans="1:18" x14ac:dyDescent="0.2">
      <c r="A2" s="207">
        <v>1995</v>
      </c>
      <c r="J2" s="378"/>
      <c r="K2" s="379">
        <f t="shared" ref="K2:K11" si="0">(K3/K4)*K3</f>
        <v>1423.3373990267442</v>
      </c>
      <c r="L2" s="379">
        <f t="shared" ref="L2:L37" si="1">892 + 1.44*K2</f>
        <v>2941.6058545985115</v>
      </c>
      <c r="M2" s="380">
        <v>1.0769109708374249</v>
      </c>
      <c r="N2" s="381">
        <v>1.02</v>
      </c>
      <c r="O2" s="379">
        <f t="shared" ref="O2:O50" si="2">L2*M2</f>
        <v>3167.8476166967362</v>
      </c>
      <c r="P2" s="379">
        <f t="shared" ref="P2:P37" si="3">L2*N2</f>
        <v>3000.4379716904818</v>
      </c>
      <c r="Q2" s="382">
        <f t="shared" ref="Q2:Q50" si="4">O2/$O$12</f>
        <v>1.0198337590194564</v>
      </c>
      <c r="R2" s="383">
        <f t="shared" ref="R2:R50" si="5">P2/P$12</f>
        <v>0.96593911880286998</v>
      </c>
    </row>
    <row r="3" spans="1:18" x14ac:dyDescent="0.2">
      <c r="A3" s="207">
        <v>1996</v>
      </c>
      <c r="J3" s="378"/>
      <c r="K3" s="379">
        <f t="shared" si="0"/>
        <v>1434.3768897463565</v>
      </c>
      <c r="L3" s="379">
        <f t="shared" si="1"/>
        <v>2957.5027212347532</v>
      </c>
      <c r="M3" s="380">
        <v>1.0705869871632039</v>
      </c>
      <c r="N3" s="381">
        <v>1.018</v>
      </c>
      <c r="O3" s="379">
        <f t="shared" si="2"/>
        <v>3166.2639278536913</v>
      </c>
      <c r="P3" s="379">
        <f t="shared" si="3"/>
        <v>3010.7377702169788</v>
      </c>
      <c r="Q3" s="382">
        <f t="shared" si="4"/>
        <v>1.0193239177829629</v>
      </c>
      <c r="R3" s="383">
        <f t="shared" si="5"/>
        <v>0.96925496082540186</v>
      </c>
    </row>
    <row r="4" spans="1:18" x14ac:dyDescent="0.2">
      <c r="A4" s="207">
        <v>1997</v>
      </c>
      <c r="B4" s="384"/>
      <c r="C4" s="384"/>
      <c r="D4" s="384"/>
      <c r="E4" s="384"/>
      <c r="F4" s="385"/>
      <c r="I4" s="384"/>
      <c r="J4" s="378"/>
      <c r="K4" s="379">
        <f t="shared" si="0"/>
        <v>1445.5020034218694</v>
      </c>
      <c r="L4" s="379">
        <f t="shared" si="1"/>
        <v>2973.5228849274918</v>
      </c>
      <c r="M4" s="380">
        <v>1.0638591592086974</v>
      </c>
      <c r="N4" s="381">
        <v>1.016</v>
      </c>
      <c r="O4" s="379">
        <f t="shared" si="2"/>
        <v>3163.4095562467819</v>
      </c>
      <c r="P4" s="379">
        <f t="shared" si="3"/>
        <v>3021.0992510863316</v>
      </c>
      <c r="Q4" s="382">
        <f t="shared" si="4"/>
        <v>1.0184050022043947</v>
      </c>
      <c r="R4" s="383">
        <f t="shared" si="5"/>
        <v>0.9725906604115514</v>
      </c>
    </row>
    <row r="5" spans="1:18" x14ac:dyDescent="0.2">
      <c r="A5" s="207">
        <v>1998</v>
      </c>
      <c r="B5" s="384"/>
      <c r="C5" s="384"/>
      <c r="D5" s="384"/>
      <c r="E5" s="384"/>
      <c r="I5" s="384"/>
      <c r="J5" s="378"/>
      <c r="K5" s="379">
        <f t="shared" si="0"/>
        <v>1456.7134041500935</v>
      </c>
      <c r="L5" s="379">
        <f t="shared" si="1"/>
        <v>2989.6673019761347</v>
      </c>
      <c r="M5" s="380">
        <v>1.05674953017865</v>
      </c>
      <c r="N5" s="381">
        <v>1.014</v>
      </c>
      <c r="O5" s="379">
        <f t="shared" si="2"/>
        <v>3159.3295167537526</v>
      </c>
      <c r="P5" s="379">
        <f t="shared" si="3"/>
        <v>3031.5226442038006</v>
      </c>
      <c r="Q5" s="382">
        <f t="shared" si="4"/>
        <v>1.0170915040452051</v>
      </c>
      <c r="R5" s="383">
        <f t="shared" si="5"/>
        <v>0.97594629157534163</v>
      </c>
    </row>
    <row r="6" spans="1:18" x14ac:dyDescent="0.2">
      <c r="A6" s="207">
        <v>1999</v>
      </c>
      <c r="B6" s="384"/>
      <c r="C6" s="384"/>
      <c r="D6" s="384"/>
      <c r="E6" s="384"/>
      <c r="I6" s="384"/>
      <c r="J6" s="378"/>
      <c r="K6" s="379">
        <f t="shared" si="0"/>
        <v>1468.0117611786143</v>
      </c>
      <c r="L6" s="379">
        <f t="shared" si="1"/>
        <v>3005.9369360972046</v>
      </c>
      <c r="M6" s="380">
        <v>1.0492894712926248</v>
      </c>
      <c r="N6" s="381">
        <v>1.012</v>
      </c>
      <c r="O6" s="379">
        <f t="shared" si="2"/>
        <v>3154.0979784164083</v>
      </c>
      <c r="P6" s="379">
        <f t="shared" si="3"/>
        <v>3042.0081793303711</v>
      </c>
      <c r="Q6" s="382">
        <f t="shared" si="4"/>
        <v>1.015407300745808</v>
      </c>
      <c r="R6" s="383">
        <f t="shared" si="5"/>
        <v>0.97932192828434839</v>
      </c>
    </row>
    <row r="7" spans="1:18" x14ac:dyDescent="0.2">
      <c r="A7" s="207">
        <v>2000</v>
      </c>
      <c r="B7" s="384"/>
      <c r="C7" s="384"/>
      <c r="D7" s="384"/>
      <c r="E7" s="384"/>
      <c r="I7" s="384"/>
      <c r="J7" s="378"/>
      <c r="K7" s="379">
        <f t="shared" si="0"/>
        <v>1479.3977489457418</v>
      </c>
      <c r="L7" s="379">
        <f t="shared" si="1"/>
        <v>3022.332758481868</v>
      </c>
      <c r="M7" s="380">
        <v>1.0415196731996021</v>
      </c>
      <c r="N7" s="381">
        <v>1.01</v>
      </c>
      <c r="O7" s="379">
        <f t="shared" si="2"/>
        <v>3147.8190269144875</v>
      </c>
      <c r="P7" s="379">
        <f t="shared" si="3"/>
        <v>3052.5560860666869</v>
      </c>
      <c r="Q7" s="382">
        <f t="shared" si="4"/>
        <v>1.0133859008908548</v>
      </c>
      <c r="R7" s="383">
        <f t="shared" si="5"/>
        <v>0.98271764445452847</v>
      </c>
    </row>
    <row r="8" spans="1:18" x14ac:dyDescent="0.2">
      <c r="A8" s="207">
        <v>2001</v>
      </c>
      <c r="B8" s="386"/>
      <c r="C8" s="386"/>
      <c r="D8" s="386"/>
      <c r="E8" s="387"/>
      <c r="F8" s="387"/>
      <c r="G8" s="387"/>
      <c r="H8" s="387"/>
      <c r="I8" s="388"/>
      <c r="J8" s="378"/>
      <c r="K8" s="379">
        <f t="shared" si="0"/>
        <v>1490.8720471207703</v>
      </c>
      <c r="L8" s="379">
        <f t="shared" si="1"/>
        <v>3038.8557478539092</v>
      </c>
      <c r="M8" s="380">
        <v>1.0334896671545859</v>
      </c>
      <c r="N8" s="381">
        <v>1.008</v>
      </c>
      <c r="O8" s="379">
        <f t="shared" si="2"/>
        <v>3140.6260153803369</v>
      </c>
      <c r="P8" s="379">
        <f t="shared" si="3"/>
        <v>3063.1665938367405</v>
      </c>
      <c r="Q8" s="382">
        <f t="shared" si="4"/>
        <v>1.0110702352152461</v>
      </c>
      <c r="R8" s="383">
        <f t="shared" si="5"/>
        <v>0.98613351394496884</v>
      </c>
    </row>
    <row r="9" spans="1:18" x14ac:dyDescent="0.2">
      <c r="A9" s="207">
        <v>2002</v>
      </c>
      <c r="B9" s="389"/>
      <c r="C9" s="389"/>
      <c r="D9" s="389"/>
      <c r="E9" s="390"/>
      <c r="F9" s="387"/>
      <c r="G9" s="387"/>
      <c r="H9" s="387"/>
      <c r="I9" s="388"/>
      <c r="J9" s="378"/>
      <c r="K9" s="379">
        <f t="shared" si="0"/>
        <v>1502.4353406445503</v>
      </c>
      <c r="L9" s="379">
        <f t="shared" si="1"/>
        <v>3055.5068905281523</v>
      </c>
      <c r="M9" s="380">
        <v>1.0252568484637279</v>
      </c>
      <c r="N9" s="381">
        <v>1.006</v>
      </c>
      <c r="O9" s="379">
        <f t="shared" si="2"/>
        <v>3132.6793650420982</v>
      </c>
      <c r="P9" s="379">
        <f t="shared" si="3"/>
        <v>3073.8399318713214</v>
      </c>
      <c r="Q9" s="382">
        <f t="shared" si="4"/>
        <v>1.0085119485592391</v>
      </c>
      <c r="R9" s="383">
        <f t="shared" si="5"/>
        <v>0.98956961055255832</v>
      </c>
    </row>
    <row r="10" spans="1:18" x14ac:dyDescent="0.2">
      <c r="A10" s="207">
        <v>2003</v>
      </c>
      <c r="B10" s="389"/>
      <c r="C10" s="389"/>
      <c r="D10" s="389"/>
      <c r="E10" s="390"/>
      <c r="F10" s="387"/>
      <c r="G10" s="387"/>
      <c r="H10" s="387"/>
      <c r="I10" s="388"/>
      <c r="J10" s="378"/>
      <c r="K10" s="379">
        <f t="shared" si="0"/>
        <v>1514.0883197703747</v>
      </c>
      <c r="L10" s="379">
        <f t="shared" si="1"/>
        <v>3072.2871804693395</v>
      </c>
      <c r="M10" s="380">
        <v>1.0168850184771556</v>
      </c>
      <c r="N10" s="381">
        <v>1.004</v>
      </c>
      <c r="O10" s="379">
        <f t="shared" si="2"/>
        <v>3124.1628062786926</v>
      </c>
      <c r="P10" s="379">
        <f t="shared" si="3"/>
        <v>3084.5763291912167</v>
      </c>
      <c r="Q10" s="382">
        <f t="shared" si="4"/>
        <v>1.0057701897411016</v>
      </c>
      <c r="R10" s="383">
        <f t="shared" si="5"/>
        <v>0.9930260080065787</v>
      </c>
    </row>
    <row r="11" spans="1:18" x14ac:dyDescent="0.2">
      <c r="A11" s="207">
        <v>2004</v>
      </c>
      <c r="B11" s="389"/>
      <c r="C11" s="389"/>
      <c r="D11" s="389"/>
      <c r="E11" s="390"/>
      <c r="F11" s="387"/>
      <c r="G11" s="387"/>
      <c r="H11" s="387"/>
      <c r="I11" s="388"/>
      <c r="J11" s="378"/>
      <c r="K11" s="379">
        <f t="shared" si="0"/>
        <v>1525.8316801051826</v>
      </c>
      <c r="L11" s="379">
        <f t="shared" si="1"/>
        <v>3089.1976193514629</v>
      </c>
      <c r="M11" s="391">
        <v>1.0084425092385778</v>
      </c>
      <c r="N11" s="381">
        <v>1.002</v>
      </c>
      <c r="O11" s="379">
        <f t="shared" si="2"/>
        <v>3115.2781987926301</v>
      </c>
      <c r="P11" s="379">
        <f t="shared" si="3"/>
        <v>3095.3760145901656</v>
      </c>
      <c r="Q11" s="382">
        <f t="shared" si="4"/>
        <v>1.0029099440013234</v>
      </c>
      <c r="R11" s="383">
        <f t="shared" si="5"/>
        <v>0.99650277996321801</v>
      </c>
    </row>
    <row r="12" spans="1:18" x14ac:dyDescent="0.2">
      <c r="A12" s="207">
        <v>2005</v>
      </c>
      <c r="B12" s="121">
        <v>9289.1067809006363</v>
      </c>
      <c r="C12" s="121">
        <v>583.58132045088564</v>
      </c>
      <c r="D12" s="121">
        <v>726.06621621621616</v>
      </c>
      <c r="E12" s="51"/>
      <c r="F12" s="133">
        <v>5438660</v>
      </c>
      <c r="G12" s="133">
        <v>729591</v>
      </c>
      <c r="H12" s="133">
        <v>724503</v>
      </c>
      <c r="I12" s="388">
        <f>(F12+G12+H12)</f>
        <v>6892754</v>
      </c>
      <c r="J12" s="378"/>
      <c r="K12" s="379">
        <f t="shared" ref="K12:K37" si="6">(SUM(B12:D12)*1000000)/I12</f>
        <v>1537.6661226510823</v>
      </c>
      <c r="L12" s="379">
        <f t="shared" si="1"/>
        <v>3106.2392166175587</v>
      </c>
      <c r="M12" s="115">
        <v>1</v>
      </c>
      <c r="N12" s="115">
        <v>1</v>
      </c>
      <c r="O12" s="379">
        <f t="shared" si="2"/>
        <v>3106.2392166175587</v>
      </c>
      <c r="P12" s="379">
        <f t="shared" si="3"/>
        <v>3106.2392166175587</v>
      </c>
      <c r="Q12" s="382">
        <f t="shared" si="4"/>
        <v>1</v>
      </c>
      <c r="R12" s="383">
        <f t="shared" si="5"/>
        <v>1</v>
      </c>
    </row>
    <row r="13" spans="1:18" x14ac:dyDescent="0.2">
      <c r="A13" s="207">
        <v>2006</v>
      </c>
      <c r="B13" s="134">
        <v>9429</v>
      </c>
      <c r="C13" s="134">
        <v>602</v>
      </c>
      <c r="D13" s="134">
        <v>733</v>
      </c>
      <c r="E13" s="51"/>
      <c r="F13" s="133">
        <v>5486469</v>
      </c>
      <c r="G13" s="133">
        <v>739843</v>
      </c>
      <c r="H13" s="133">
        <v>720031</v>
      </c>
      <c r="I13" s="388">
        <f t="shared" ref="I13:I50" si="7">(F13+G13+H13)</f>
        <v>6946343</v>
      </c>
      <c r="J13" s="378"/>
      <c r="K13" s="379">
        <f t="shared" si="6"/>
        <v>1549.592353847197</v>
      </c>
      <c r="L13" s="379">
        <f t="shared" si="1"/>
        <v>3123.4129895399637</v>
      </c>
      <c r="M13" s="115">
        <v>0.98678549999999998</v>
      </c>
      <c r="N13" s="115">
        <v>0.98678549999999998</v>
      </c>
      <c r="O13" s="379">
        <f t="shared" si="2"/>
        <v>3082.1386485896878</v>
      </c>
      <c r="P13" s="379">
        <f t="shared" si="3"/>
        <v>3082.1386485896878</v>
      </c>
      <c r="Q13" s="382">
        <f t="shared" si="4"/>
        <v>0.99224123889140958</v>
      </c>
      <c r="R13" s="383">
        <f t="shared" si="5"/>
        <v>0.99224123889140958</v>
      </c>
    </row>
    <row r="14" spans="1:18" x14ac:dyDescent="0.2">
      <c r="A14" s="207">
        <v>2007</v>
      </c>
      <c r="B14" s="134">
        <v>9571</v>
      </c>
      <c r="C14" s="134">
        <v>621</v>
      </c>
      <c r="D14" s="134">
        <v>740</v>
      </c>
      <c r="E14" s="51"/>
      <c r="F14" s="133">
        <v>5543666</v>
      </c>
      <c r="G14" s="133">
        <v>756913</v>
      </c>
      <c r="H14" s="133">
        <v>721521</v>
      </c>
      <c r="I14" s="388">
        <f t="shared" si="7"/>
        <v>7022100</v>
      </c>
      <c r="J14" s="378"/>
      <c r="K14" s="379">
        <f t="shared" si="6"/>
        <v>1556.7992480881787</v>
      </c>
      <c r="L14" s="379">
        <f t="shared" si="1"/>
        <v>3133.7909172469772</v>
      </c>
      <c r="M14" s="131">
        <v>0.97374562301024992</v>
      </c>
      <c r="N14" s="131">
        <v>0.97374562301024992</v>
      </c>
      <c r="O14" s="379">
        <f t="shared" si="2"/>
        <v>3051.5151890985203</v>
      </c>
      <c r="P14" s="379">
        <f t="shared" si="3"/>
        <v>3051.5151890985203</v>
      </c>
      <c r="Q14" s="382">
        <f t="shared" si="4"/>
        <v>0.98238254567572281</v>
      </c>
      <c r="R14" s="383">
        <f t="shared" si="5"/>
        <v>0.98238254567572281</v>
      </c>
    </row>
    <row r="15" spans="1:18" x14ac:dyDescent="0.2">
      <c r="A15" s="207">
        <v>2008</v>
      </c>
      <c r="B15" s="134">
        <v>9658</v>
      </c>
      <c r="C15" s="134">
        <v>639</v>
      </c>
      <c r="D15" s="134">
        <v>744</v>
      </c>
      <c r="E15" s="51"/>
      <c r="F15" s="133">
        <v>5570130</v>
      </c>
      <c r="G15" s="133">
        <v>773341</v>
      </c>
      <c r="H15" s="133">
        <v>720847</v>
      </c>
      <c r="I15" s="388">
        <f t="shared" si="7"/>
        <v>7064318</v>
      </c>
      <c r="J15" s="378"/>
      <c r="K15" s="379">
        <f t="shared" si="6"/>
        <v>1562.9251118083869</v>
      </c>
      <c r="L15" s="379">
        <f t="shared" si="1"/>
        <v>3142.6121610040768</v>
      </c>
      <c r="M15" s="131">
        <v>0.96683539081863046</v>
      </c>
      <c r="N15" s="131">
        <v>0.97115279176668401</v>
      </c>
      <c r="O15" s="379">
        <f t="shared" si="2"/>
        <v>3038.3886568757575</v>
      </c>
      <c r="P15" s="379">
        <f t="shared" si="3"/>
        <v>3051.9565735990409</v>
      </c>
      <c r="Q15" s="382">
        <f t="shared" si="4"/>
        <v>0.97815668562201563</v>
      </c>
      <c r="R15" s="383">
        <f t="shared" si="5"/>
        <v>0.98252464178286081</v>
      </c>
    </row>
    <row r="16" spans="1:18" x14ac:dyDescent="0.2">
      <c r="A16" s="207">
        <v>2009</v>
      </c>
      <c r="B16" s="134">
        <v>9747</v>
      </c>
      <c r="C16" s="134">
        <v>651</v>
      </c>
      <c r="D16" s="134">
        <v>746</v>
      </c>
      <c r="E16" s="51"/>
      <c r="F16" s="133">
        <v>5598720</v>
      </c>
      <c r="G16" s="133">
        <v>782545</v>
      </c>
      <c r="H16" s="133">
        <v>718446</v>
      </c>
      <c r="I16" s="388">
        <f t="shared" si="7"/>
        <v>7099711</v>
      </c>
      <c r="J16" s="378"/>
      <c r="K16" s="379">
        <f t="shared" si="6"/>
        <v>1569.6413558242018</v>
      </c>
      <c r="L16" s="379">
        <f t="shared" si="1"/>
        <v>3152.2835523868507</v>
      </c>
      <c r="M16" s="131">
        <v>0.9568684684490294</v>
      </c>
      <c r="N16" s="131">
        <v>0.96646709673878217</v>
      </c>
      <c r="O16" s="379">
        <f t="shared" si="2"/>
        <v>3016.3207348894716</v>
      </c>
      <c r="P16" s="379">
        <f t="shared" si="3"/>
        <v>3046.5783329727342</v>
      </c>
      <c r="Q16" s="382">
        <f t="shared" si="4"/>
        <v>0.97105229975623031</v>
      </c>
      <c r="R16" s="383">
        <f t="shared" si="5"/>
        <v>0.98079321021843568</v>
      </c>
    </row>
    <row r="17" spans="1:18" x14ac:dyDescent="0.2">
      <c r="A17" s="207">
        <v>2010</v>
      </c>
      <c r="B17" s="134">
        <v>9830</v>
      </c>
      <c r="C17" s="134">
        <v>660</v>
      </c>
      <c r="D17" s="134">
        <v>744</v>
      </c>
      <c r="E17" s="51"/>
      <c r="F17" s="133">
        <v>5622533</v>
      </c>
      <c r="G17" s="133">
        <v>788535</v>
      </c>
      <c r="H17" s="133">
        <v>712309</v>
      </c>
      <c r="I17" s="388">
        <f t="shared" si="7"/>
        <v>7123377</v>
      </c>
      <c r="J17" s="378"/>
      <c r="K17" s="379">
        <f t="shared" si="6"/>
        <v>1577.0609922793642</v>
      </c>
      <c r="L17" s="379">
        <f t="shared" si="1"/>
        <v>3162.9678288822843</v>
      </c>
      <c r="M17" s="131">
        <v>0.94624796025621982</v>
      </c>
      <c r="N17" s="131">
        <v>0.96128543399132438</v>
      </c>
      <c r="O17" s="379">
        <f t="shared" si="2"/>
        <v>2992.9518564359055</v>
      </c>
      <c r="P17" s="379">
        <f t="shared" si="3"/>
        <v>3040.5149020877038</v>
      </c>
      <c r="Q17" s="382">
        <f t="shared" si="4"/>
        <v>0.9635290934530748</v>
      </c>
      <c r="R17" s="383">
        <f t="shared" si="5"/>
        <v>0.97884119349912035</v>
      </c>
    </row>
    <row r="18" spans="1:18" x14ac:dyDescent="0.2">
      <c r="A18" s="207">
        <v>2011</v>
      </c>
      <c r="B18" s="134">
        <v>9924</v>
      </c>
      <c r="C18" s="134">
        <v>671</v>
      </c>
      <c r="D18" s="134">
        <v>742</v>
      </c>
      <c r="E18" s="51"/>
      <c r="F18" s="133">
        <v>5653305</v>
      </c>
      <c r="G18" s="133">
        <v>795767</v>
      </c>
      <c r="H18" s="133">
        <v>705531</v>
      </c>
      <c r="I18" s="388">
        <f t="shared" si="7"/>
        <v>7154603</v>
      </c>
      <c r="J18" s="378"/>
      <c r="K18" s="379">
        <f t="shared" si="6"/>
        <v>1584.5742943389032</v>
      </c>
      <c r="L18" s="379">
        <f t="shared" si="1"/>
        <v>3173.7869838480206</v>
      </c>
      <c r="M18" s="131">
        <v>0.93970687333754865</v>
      </c>
      <c r="N18" s="131">
        <v>0.95839562207697615</v>
      </c>
      <c r="O18" s="379">
        <f t="shared" si="2"/>
        <v>2982.4294432312327</v>
      </c>
      <c r="P18" s="379">
        <f t="shared" si="3"/>
        <v>3041.7435507248333</v>
      </c>
      <c r="Q18" s="382">
        <f t="shared" si="4"/>
        <v>0.96014158448455078</v>
      </c>
      <c r="R18" s="383">
        <f t="shared" si="5"/>
        <v>0.97923673568098346</v>
      </c>
    </row>
    <row r="19" spans="1:18" x14ac:dyDescent="0.2">
      <c r="A19" s="207">
        <v>2012</v>
      </c>
      <c r="B19" s="134">
        <v>10068</v>
      </c>
      <c r="C19" s="134">
        <v>690</v>
      </c>
      <c r="D19" s="134">
        <v>744</v>
      </c>
      <c r="E19" s="51"/>
      <c r="F19" s="133">
        <v>5711901</v>
      </c>
      <c r="G19" s="133">
        <v>813352</v>
      </c>
      <c r="H19" s="133">
        <v>703747</v>
      </c>
      <c r="I19" s="388">
        <f t="shared" si="7"/>
        <v>7229000</v>
      </c>
      <c r="J19" s="378"/>
      <c r="K19" s="379">
        <f t="shared" si="6"/>
        <v>1591.0914372665652</v>
      </c>
      <c r="L19" s="379">
        <f t="shared" si="1"/>
        <v>3183.1716696638537</v>
      </c>
      <c r="M19" s="131">
        <v>0.93298696533764758</v>
      </c>
      <c r="N19" s="131">
        <v>0.95642975002728459</v>
      </c>
      <c r="O19" s="379">
        <f t="shared" si="2"/>
        <v>2969.8576762284515</v>
      </c>
      <c r="P19" s="379">
        <f t="shared" si="3"/>
        <v>3044.4800843105336</v>
      </c>
      <c r="Q19" s="382">
        <f t="shared" si="4"/>
        <v>0.95609432149993412</v>
      </c>
      <c r="R19" s="383">
        <f t="shared" si="5"/>
        <v>0.98011771534638092</v>
      </c>
    </row>
    <row r="20" spans="1:18" x14ac:dyDescent="0.2">
      <c r="A20" s="207">
        <v>2013</v>
      </c>
      <c r="B20" s="134">
        <v>10145</v>
      </c>
      <c r="C20" s="134">
        <v>707</v>
      </c>
      <c r="D20" s="134">
        <v>743</v>
      </c>
      <c r="E20" s="51"/>
      <c r="F20" s="133">
        <v>5733393</v>
      </c>
      <c r="G20" s="133">
        <v>827447</v>
      </c>
      <c r="H20" s="133">
        <v>698363</v>
      </c>
      <c r="I20" s="388">
        <f t="shared" si="7"/>
        <v>7259203</v>
      </c>
      <c r="J20" s="378"/>
      <c r="K20" s="379">
        <f t="shared" si="6"/>
        <v>1597.2827871048653</v>
      </c>
      <c r="L20" s="379">
        <f t="shared" si="1"/>
        <v>3192.0872134310061</v>
      </c>
      <c r="M20" s="131">
        <v>0.92760141815440911</v>
      </c>
      <c r="N20" s="131">
        <v>0.95531982226779433</v>
      </c>
      <c r="O20" s="379">
        <f t="shared" si="2"/>
        <v>2960.9846260511572</v>
      </c>
      <c r="P20" s="379">
        <f t="shared" si="3"/>
        <v>3049.4641893982075</v>
      </c>
      <c r="Q20" s="382">
        <f t="shared" si="4"/>
        <v>0.95323779643585471</v>
      </c>
      <c r="R20" s="383">
        <f t="shared" si="5"/>
        <v>0.98172226178987765</v>
      </c>
    </row>
    <row r="21" spans="1:18" x14ac:dyDescent="0.2">
      <c r="A21" s="207">
        <v>2014</v>
      </c>
      <c r="B21" s="134">
        <v>10257</v>
      </c>
      <c r="C21" s="134">
        <v>726</v>
      </c>
      <c r="D21" s="134">
        <v>749</v>
      </c>
      <c r="E21" s="51"/>
      <c r="F21" s="133">
        <v>5774173</v>
      </c>
      <c r="G21" s="133">
        <v>844502</v>
      </c>
      <c r="H21" s="133">
        <v>699945</v>
      </c>
      <c r="I21" s="388">
        <f t="shared" si="7"/>
        <v>7318620</v>
      </c>
      <c r="J21" s="378"/>
      <c r="K21" s="379">
        <f t="shared" si="6"/>
        <v>1603.0344518502122</v>
      </c>
      <c r="L21" s="379">
        <f t="shared" si="1"/>
        <v>3200.3696106643056</v>
      </c>
      <c r="M21" s="131">
        <v>0.92242606417191453</v>
      </c>
      <c r="N21" s="131">
        <v>0.95437888350952382</v>
      </c>
      <c r="O21" s="379">
        <f t="shared" si="2"/>
        <v>2952.1043438604779</v>
      </c>
      <c r="P21" s="379">
        <f t="shared" si="3"/>
        <v>3054.3651758436094</v>
      </c>
      <c r="Q21" s="382">
        <f t="shared" si="4"/>
        <v>0.95037894315012827</v>
      </c>
      <c r="R21" s="383">
        <f t="shared" si="5"/>
        <v>0.98330004962385487</v>
      </c>
    </row>
    <row r="22" spans="1:18" x14ac:dyDescent="0.2">
      <c r="A22" s="207">
        <v>2015</v>
      </c>
      <c r="B22" s="134">
        <v>10391</v>
      </c>
      <c r="C22" s="134">
        <v>747</v>
      </c>
      <c r="D22" s="134">
        <v>762</v>
      </c>
      <c r="E22" s="51"/>
      <c r="F22" s="133">
        <v>5826754</v>
      </c>
      <c r="G22" s="133">
        <v>864245</v>
      </c>
      <c r="H22" s="133">
        <v>707956</v>
      </c>
      <c r="I22" s="388">
        <f t="shared" si="7"/>
        <v>7398955</v>
      </c>
      <c r="J22" s="378"/>
      <c r="K22" s="379">
        <f t="shared" si="6"/>
        <v>1608.3352311238546</v>
      </c>
      <c r="L22" s="379">
        <f t="shared" si="1"/>
        <v>3208.0027328183505</v>
      </c>
      <c r="M22" s="131">
        <v>0.91679686019378381</v>
      </c>
      <c r="N22" s="131">
        <v>0.95331995243087508</v>
      </c>
      <c r="O22" s="379">
        <f t="shared" si="2"/>
        <v>2941.0868329409418</v>
      </c>
      <c r="P22" s="379">
        <f t="shared" si="3"/>
        <v>3058.2530126485071</v>
      </c>
      <c r="Q22" s="382">
        <f t="shared" si="4"/>
        <v>0.94683204603396443</v>
      </c>
      <c r="R22" s="383">
        <f t="shared" si="5"/>
        <v>0.98455167145133637</v>
      </c>
    </row>
    <row r="23" spans="1:18" x14ac:dyDescent="0.2">
      <c r="A23" s="207">
        <v>2016</v>
      </c>
      <c r="B23" s="134">
        <v>10530</v>
      </c>
      <c r="C23" s="134">
        <v>771</v>
      </c>
      <c r="D23" s="134">
        <v>781</v>
      </c>
      <c r="E23" s="51"/>
      <c r="F23" s="133">
        <v>5882496</v>
      </c>
      <c r="G23" s="133">
        <v>887682</v>
      </c>
      <c r="H23" s="133">
        <v>722318</v>
      </c>
      <c r="I23" s="388">
        <f t="shared" si="7"/>
        <v>7492496</v>
      </c>
      <c r="J23" s="378"/>
      <c r="K23" s="379">
        <f t="shared" si="6"/>
        <v>1612.5467400983598</v>
      </c>
      <c r="L23" s="379">
        <f t="shared" si="1"/>
        <v>3214.0673057416379</v>
      </c>
      <c r="M23" s="131">
        <v>0.91126595552346379</v>
      </c>
      <c r="N23" s="131">
        <v>0.95234401595045848</v>
      </c>
      <c r="O23" s="379">
        <f t="shared" si="2"/>
        <v>2928.8701144833785</v>
      </c>
      <c r="P23" s="379">
        <f t="shared" si="3"/>
        <v>3060.8977654850614</v>
      </c>
      <c r="Q23" s="382">
        <f t="shared" si="4"/>
        <v>0.94289908478867235</v>
      </c>
      <c r="R23" s="383">
        <f t="shared" si="5"/>
        <v>0.98540310389169883</v>
      </c>
    </row>
    <row r="24" spans="1:18" x14ac:dyDescent="0.2">
      <c r="A24" s="207">
        <v>2017</v>
      </c>
      <c r="B24" s="134">
        <v>10669</v>
      </c>
      <c r="C24" s="134">
        <v>797</v>
      </c>
      <c r="D24" s="134">
        <v>806</v>
      </c>
      <c r="E24" s="51"/>
      <c r="F24" s="133">
        <v>5937805</v>
      </c>
      <c r="G24" s="133">
        <v>913010</v>
      </c>
      <c r="H24" s="133">
        <v>741099</v>
      </c>
      <c r="I24" s="388">
        <f t="shared" si="7"/>
        <v>7591914</v>
      </c>
      <c r="J24" s="378"/>
      <c r="K24" s="379">
        <f t="shared" si="6"/>
        <v>1616.4566669222017</v>
      </c>
      <c r="L24" s="379">
        <f t="shared" si="1"/>
        <v>3219.6976003679706</v>
      </c>
      <c r="M24" s="131">
        <v>0.90582812147436864</v>
      </c>
      <c r="N24" s="131">
        <v>0.95143207530482321</v>
      </c>
      <c r="O24" s="379">
        <f t="shared" si="2"/>
        <v>2916.4926290568515</v>
      </c>
      <c r="P24" s="379">
        <f t="shared" si="3"/>
        <v>3063.3235697720575</v>
      </c>
      <c r="Q24" s="382">
        <f t="shared" si="4"/>
        <v>0.93891436739784462</v>
      </c>
      <c r="R24" s="383">
        <f t="shared" si="5"/>
        <v>0.98618404963277972</v>
      </c>
    </row>
    <row r="25" spans="1:18" x14ac:dyDescent="0.2">
      <c r="A25" s="207">
        <v>2018</v>
      </c>
      <c r="B25" s="134">
        <v>10805</v>
      </c>
      <c r="C25" s="134">
        <v>822</v>
      </c>
      <c r="D25" s="134">
        <v>832</v>
      </c>
      <c r="E25" s="51"/>
      <c r="F25" s="133">
        <v>5991474</v>
      </c>
      <c r="G25" s="133">
        <v>938016</v>
      </c>
      <c r="H25" s="133">
        <v>761792</v>
      </c>
      <c r="I25" s="388">
        <f t="shared" si="7"/>
        <v>7691282</v>
      </c>
      <c r="J25" s="378"/>
      <c r="K25" s="379">
        <f t="shared" si="6"/>
        <v>1619.8859955986532</v>
      </c>
      <c r="L25" s="379">
        <f t="shared" si="1"/>
        <v>3224.6358336620606</v>
      </c>
      <c r="M25" s="131">
        <v>0.90050427279284095</v>
      </c>
      <c r="N25" s="131">
        <v>0.95053013400837272</v>
      </c>
      <c r="O25" s="379">
        <f t="shared" si="2"/>
        <v>2903.7983464135905</v>
      </c>
      <c r="P25" s="379">
        <f t="shared" si="3"/>
        <v>3065.1135310989989</v>
      </c>
      <c r="Q25" s="382">
        <f t="shared" si="4"/>
        <v>0.93482766262142236</v>
      </c>
      <c r="R25" s="383">
        <f t="shared" si="5"/>
        <v>0.98676029672842058</v>
      </c>
    </row>
    <row r="26" spans="1:18" x14ac:dyDescent="0.2">
      <c r="A26" s="207">
        <v>2019</v>
      </c>
      <c r="B26" s="134">
        <v>10939</v>
      </c>
      <c r="C26" s="134">
        <v>847</v>
      </c>
      <c r="D26" s="134">
        <v>859</v>
      </c>
      <c r="E26" s="51"/>
      <c r="F26" s="133">
        <v>6044092</v>
      </c>
      <c r="G26" s="133">
        <v>962478</v>
      </c>
      <c r="H26" s="133">
        <v>782599</v>
      </c>
      <c r="I26" s="388">
        <f t="shared" si="7"/>
        <v>7789169</v>
      </c>
      <c r="J26" s="378"/>
      <c r="K26" s="379">
        <f t="shared" si="6"/>
        <v>1623.4080939828114</v>
      </c>
      <c r="L26" s="379">
        <f t="shared" si="1"/>
        <v>3229.7076553352481</v>
      </c>
      <c r="M26" s="131">
        <v>0.89530800406400368</v>
      </c>
      <c r="N26" s="131">
        <v>0.94962319303732989</v>
      </c>
      <c r="O26" s="379">
        <f t="shared" si="2"/>
        <v>2891.5831146084342</v>
      </c>
      <c r="P26" s="379">
        <f t="shared" si="3"/>
        <v>3067.0052962365662</v>
      </c>
      <c r="Q26" s="382">
        <f t="shared" si="4"/>
        <v>0.93089517997816429</v>
      </c>
      <c r="R26" s="383">
        <f t="shared" si="5"/>
        <v>0.98736931780041237</v>
      </c>
    </row>
    <row r="27" spans="1:18" x14ac:dyDescent="0.2">
      <c r="A27" s="207">
        <v>2020</v>
      </c>
      <c r="B27" s="134">
        <v>11070</v>
      </c>
      <c r="C27" s="134">
        <v>872</v>
      </c>
      <c r="D27" s="134">
        <v>884</v>
      </c>
      <c r="E27" s="51"/>
      <c r="F27" s="133">
        <v>6095231</v>
      </c>
      <c r="G27" s="133">
        <v>986146</v>
      </c>
      <c r="H27" s="133">
        <v>802538</v>
      </c>
      <c r="I27" s="388">
        <f t="shared" si="7"/>
        <v>7883915</v>
      </c>
      <c r="J27" s="378"/>
      <c r="K27" s="379">
        <f t="shared" si="6"/>
        <v>1626.8567076129054</v>
      </c>
      <c r="L27" s="379">
        <f t="shared" si="1"/>
        <v>3234.6736589625839</v>
      </c>
      <c r="M27" s="131">
        <v>0.8902706874073707</v>
      </c>
      <c r="N27" s="131">
        <v>0.94871225232661327</v>
      </c>
      <c r="O27" s="379">
        <f t="shared" si="2"/>
        <v>2879.7351419031347</v>
      </c>
      <c r="P27" s="379">
        <f t="shared" si="3"/>
        <v>3068.7745325359601</v>
      </c>
      <c r="Q27" s="382">
        <f t="shared" si="4"/>
        <v>0.92708093005114123</v>
      </c>
      <c r="R27" s="383">
        <f t="shared" si="5"/>
        <v>0.98793889283182945</v>
      </c>
    </row>
    <row r="28" spans="1:18" x14ac:dyDescent="0.2">
      <c r="A28" s="207">
        <v>2021</v>
      </c>
      <c r="B28" s="134">
        <v>11197</v>
      </c>
      <c r="C28" s="134">
        <v>895</v>
      </c>
      <c r="D28" s="134">
        <v>909</v>
      </c>
      <c r="E28" s="51"/>
      <c r="F28" s="133">
        <v>6143864</v>
      </c>
      <c r="G28" s="133">
        <v>1008790</v>
      </c>
      <c r="H28" s="133">
        <v>821054</v>
      </c>
      <c r="I28" s="388">
        <f t="shared" si="7"/>
        <v>7973708</v>
      </c>
      <c r="J28" s="378"/>
      <c r="K28" s="379">
        <f t="shared" si="6"/>
        <v>1630.4835842998014</v>
      </c>
      <c r="L28" s="379">
        <f t="shared" si="1"/>
        <v>3239.896361391714</v>
      </c>
      <c r="M28" s="131">
        <v>0.88523546222537197</v>
      </c>
      <c r="N28" s="131">
        <v>0.94774731513029975</v>
      </c>
      <c r="O28" s="379">
        <f t="shared" si="2"/>
        <v>2868.0711530388949</v>
      </c>
      <c r="P28" s="379">
        <f t="shared" si="3"/>
        <v>3070.6030778094241</v>
      </c>
      <c r="Q28" s="382">
        <f t="shared" si="4"/>
        <v>0.92332591054013879</v>
      </c>
      <c r="R28" s="383">
        <f t="shared" si="5"/>
        <v>0.98852756136182607</v>
      </c>
    </row>
    <row r="29" spans="1:18" x14ac:dyDescent="0.2">
      <c r="A29" s="207">
        <v>2022</v>
      </c>
      <c r="B29" s="134">
        <v>11322</v>
      </c>
      <c r="C29" s="134">
        <v>918</v>
      </c>
      <c r="D29" s="134">
        <v>931</v>
      </c>
      <c r="E29" s="51"/>
      <c r="F29" s="133">
        <v>6191679</v>
      </c>
      <c r="G29" s="133">
        <v>1030747</v>
      </c>
      <c r="H29" s="133">
        <v>838298</v>
      </c>
      <c r="I29" s="388">
        <f t="shared" si="7"/>
        <v>8060724</v>
      </c>
      <c r="J29" s="378"/>
      <c r="K29" s="379">
        <f t="shared" si="6"/>
        <v>1633.9723330063155</v>
      </c>
      <c r="L29" s="379">
        <f t="shared" si="1"/>
        <v>3244.9201595290942</v>
      </c>
      <c r="M29" s="131">
        <v>0.8801521331267852</v>
      </c>
      <c r="N29" s="131">
        <v>0.94671238248969403</v>
      </c>
      <c r="O29" s="379">
        <f t="shared" si="2"/>
        <v>2856.0234002356406</v>
      </c>
      <c r="P29" s="379">
        <f t="shared" si="3"/>
        <v>3072.0060952166268</v>
      </c>
      <c r="Q29" s="382">
        <f t="shared" si="4"/>
        <v>0.91944734486535051</v>
      </c>
      <c r="R29" s="383">
        <f t="shared" si="5"/>
        <v>0.9889792385538777</v>
      </c>
    </row>
    <row r="30" spans="1:18" x14ac:dyDescent="0.2">
      <c r="A30" s="207">
        <v>2023</v>
      </c>
      <c r="B30" s="134">
        <v>11450</v>
      </c>
      <c r="C30" s="134">
        <v>941</v>
      </c>
      <c r="D30" s="134">
        <v>952</v>
      </c>
      <c r="E30" s="51"/>
      <c r="F30" s="133">
        <v>6241201</v>
      </c>
      <c r="G30" s="133">
        <v>1051654</v>
      </c>
      <c r="H30" s="133">
        <v>854313</v>
      </c>
      <c r="I30" s="388">
        <f t="shared" si="7"/>
        <v>8147168</v>
      </c>
      <c r="J30" s="378"/>
      <c r="K30" s="379">
        <f t="shared" si="6"/>
        <v>1637.7470060762219</v>
      </c>
      <c r="L30" s="379">
        <f t="shared" si="1"/>
        <v>3250.3556887497593</v>
      </c>
      <c r="M30" s="131">
        <v>0.87517233202259459</v>
      </c>
      <c r="N30" s="131">
        <v>0.94566045095547446</v>
      </c>
      <c r="O30" s="379">
        <f t="shared" si="2"/>
        <v>2844.6213680260335</v>
      </c>
      <c r="P30" s="379">
        <f t="shared" si="3"/>
        <v>3073.7328263887894</v>
      </c>
      <c r="Q30" s="382">
        <f t="shared" si="4"/>
        <v>0.91577665776932471</v>
      </c>
      <c r="R30" s="383">
        <f t="shared" si="5"/>
        <v>0.98953512979461833</v>
      </c>
    </row>
    <row r="31" spans="1:18" x14ac:dyDescent="0.2">
      <c r="A31" s="207">
        <v>2024</v>
      </c>
      <c r="B31" s="134">
        <v>11582</v>
      </c>
      <c r="C31" s="134">
        <v>963</v>
      </c>
      <c r="D31" s="134">
        <v>973</v>
      </c>
      <c r="E31" s="51"/>
      <c r="F31" s="133">
        <v>6292539</v>
      </c>
      <c r="G31" s="133">
        <v>1072061</v>
      </c>
      <c r="H31" s="133">
        <v>869435</v>
      </c>
      <c r="I31" s="388">
        <f t="shared" si="7"/>
        <v>8234035</v>
      </c>
      <c r="J31" s="378"/>
      <c r="K31" s="379">
        <f t="shared" si="6"/>
        <v>1641.7224362053355</v>
      </c>
      <c r="L31" s="379">
        <f t="shared" si="1"/>
        <v>3256.080308135683</v>
      </c>
      <c r="M31" s="131">
        <v>0.87041736444158779</v>
      </c>
      <c r="N31" s="131">
        <v>0.94464551701323796</v>
      </c>
      <c r="O31" s="379">
        <f t="shared" si="2"/>
        <v>2834.1488402176142</v>
      </c>
      <c r="P31" s="379">
        <f t="shared" si="3"/>
        <v>3075.8416661154556</v>
      </c>
      <c r="Q31" s="382">
        <f t="shared" si="4"/>
        <v>0.91240520854146301</v>
      </c>
      <c r="R31" s="383">
        <f t="shared" si="5"/>
        <v>0.99021403427672794</v>
      </c>
    </row>
    <row r="32" spans="1:18" x14ac:dyDescent="0.2">
      <c r="A32" s="207">
        <v>2025</v>
      </c>
      <c r="B32" s="134">
        <v>11715</v>
      </c>
      <c r="C32" s="134">
        <v>985</v>
      </c>
      <c r="D32" s="134">
        <v>992</v>
      </c>
      <c r="E32" s="51"/>
      <c r="F32" s="133">
        <v>6344699</v>
      </c>
      <c r="G32" s="133">
        <v>1092496</v>
      </c>
      <c r="H32" s="133">
        <v>883435</v>
      </c>
      <c r="I32" s="388">
        <f t="shared" si="7"/>
        <v>8320630</v>
      </c>
      <c r="J32" s="378"/>
      <c r="K32" s="379">
        <f t="shared" si="6"/>
        <v>1645.5484740939087</v>
      </c>
      <c r="L32" s="379">
        <f t="shared" si="1"/>
        <v>3261.5898026952286</v>
      </c>
      <c r="M32" s="131">
        <v>0.86587781874791059</v>
      </c>
      <c r="N32" s="131">
        <v>0.94366958053282135</v>
      </c>
      <c r="O32" s="379">
        <f t="shared" si="2"/>
        <v>2824.1382640081724</v>
      </c>
      <c r="P32" s="379">
        <f t="shared" si="3"/>
        <v>3077.8630809795341</v>
      </c>
      <c r="Q32" s="382">
        <f t="shared" si="4"/>
        <v>0.90918247664242313</v>
      </c>
      <c r="R32" s="383">
        <f t="shared" si="5"/>
        <v>0.99086479383615411</v>
      </c>
    </row>
    <row r="33" spans="1:18" x14ac:dyDescent="0.2">
      <c r="A33" s="207">
        <f t="shared" ref="A33:A50" si="8">A32+1</f>
        <v>2026</v>
      </c>
      <c r="B33" s="134">
        <v>11848</v>
      </c>
      <c r="C33" s="134">
        <v>1007</v>
      </c>
      <c r="D33" s="134">
        <v>1010</v>
      </c>
      <c r="E33" s="39"/>
      <c r="F33" s="133">
        <v>6396310</v>
      </c>
      <c r="G33" s="133">
        <v>1113270</v>
      </c>
      <c r="H33" s="133">
        <v>896454</v>
      </c>
      <c r="I33" s="388">
        <f t="shared" si="7"/>
        <v>8406034</v>
      </c>
      <c r="K33" s="379">
        <f t="shared" si="6"/>
        <v>1649.4104116162271</v>
      </c>
      <c r="L33" s="379">
        <f t="shared" si="1"/>
        <v>3267.1509927273669</v>
      </c>
      <c r="M33" s="131">
        <v>0.86137591959765014</v>
      </c>
      <c r="N33" s="131">
        <v>0.94268164483338324</v>
      </c>
      <c r="O33" s="379">
        <f t="shared" si="2"/>
        <v>2814.2451908249113</v>
      </c>
      <c r="P33" s="379">
        <f t="shared" si="3"/>
        <v>3079.8832717432551</v>
      </c>
      <c r="Q33" s="382">
        <f t="shared" si="4"/>
        <v>0.9059975728106977</v>
      </c>
      <c r="R33" s="383">
        <f t="shared" si="5"/>
        <v>0.99151515931763845</v>
      </c>
    </row>
    <row r="34" spans="1:18" x14ac:dyDescent="0.2">
      <c r="A34" s="207">
        <f t="shared" si="8"/>
        <v>2027</v>
      </c>
      <c r="B34" s="134">
        <v>11976</v>
      </c>
      <c r="C34" s="134">
        <v>1030</v>
      </c>
      <c r="D34" s="134">
        <v>1026</v>
      </c>
      <c r="E34" s="39"/>
      <c r="F34" s="133">
        <v>6445760</v>
      </c>
      <c r="G34" s="133">
        <v>1134284</v>
      </c>
      <c r="H34" s="133">
        <v>908418</v>
      </c>
      <c r="I34" s="388">
        <f t="shared" si="7"/>
        <v>8488462</v>
      </c>
      <c r="K34" s="379">
        <f t="shared" si="6"/>
        <v>1653.0674225790256</v>
      </c>
      <c r="L34" s="379">
        <f t="shared" si="1"/>
        <v>3272.4170885137969</v>
      </c>
      <c r="M34" s="131">
        <v>0.8570057833493484</v>
      </c>
      <c r="N34" s="131">
        <v>0.94171770757198825</v>
      </c>
      <c r="O34" s="379">
        <f t="shared" si="2"/>
        <v>2804.4803703875605</v>
      </c>
      <c r="P34" s="379">
        <f t="shared" si="3"/>
        <v>3081.6931188146132</v>
      </c>
      <c r="Q34" s="382">
        <f t="shared" si="4"/>
        <v>0.90285395773266008</v>
      </c>
      <c r="R34" s="383">
        <f t="shared" si="5"/>
        <v>0.99209780828481264</v>
      </c>
    </row>
    <row r="35" spans="1:18" x14ac:dyDescent="0.2">
      <c r="A35" s="207">
        <f t="shared" si="8"/>
        <v>2028</v>
      </c>
      <c r="B35" s="134">
        <v>12100</v>
      </c>
      <c r="C35" s="134">
        <v>1052</v>
      </c>
      <c r="D35" s="134">
        <v>1041</v>
      </c>
      <c r="E35" s="39"/>
      <c r="F35" s="133">
        <v>6492771</v>
      </c>
      <c r="G35" s="133">
        <v>1155481</v>
      </c>
      <c r="H35" s="133">
        <v>919216</v>
      </c>
      <c r="I35" s="388">
        <f t="shared" si="7"/>
        <v>8567468</v>
      </c>
      <c r="K35" s="379">
        <f t="shared" si="6"/>
        <v>1656.6154667866865</v>
      </c>
      <c r="L35" s="379">
        <f t="shared" si="1"/>
        <v>3277.5262721728286</v>
      </c>
      <c r="M35" s="131">
        <v>0.85289603569301298</v>
      </c>
      <c r="N35" s="131">
        <v>0.94083276516915149</v>
      </c>
      <c r="O35" s="379">
        <f t="shared" si="2"/>
        <v>2795.3891644159048</v>
      </c>
      <c r="P35" s="379">
        <f t="shared" si="3"/>
        <v>3083.6041055629034</v>
      </c>
      <c r="Q35" s="382">
        <f t="shared" si="4"/>
        <v>0.89992720118312586</v>
      </c>
      <c r="R35" s="383">
        <f t="shared" si="5"/>
        <v>0.99271301742197982</v>
      </c>
    </row>
    <row r="36" spans="1:18" x14ac:dyDescent="0.2">
      <c r="A36" s="207">
        <f t="shared" si="8"/>
        <v>2029</v>
      </c>
      <c r="B36" s="134">
        <v>12221</v>
      </c>
      <c r="C36" s="134">
        <v>1075</v>
      </c>
      <c r="D36" s="134">
        <v>1056</v>
      </c>
      <c r="E36" s="39"/>
      <c r="F36" s="133">
        <v>6538419</v>
      </c>
      <c r="G36" s="133">
        <v>1176776</v>
      </c>
      <c r="H36" s="133">
        <v>928971</v>
      </c>
      <c r="I36" s="388">
        <f t="shared" si="7"/>
        <v>8644166</v>
      </c>
      <c r="K36" s="379">
        <f t="shared" si="6"/>
        <v>1660.3105493346611</v>
      </c>
      <c r="L36" s="379">
        <f t="shared" si="1"/>
        <v>3282.8471910419121</v>
      </c>
      <c r="M36" s="131">
        <v>0.84905190531522945</v>
      </c>
      <c r="N36" s="131">
        <v>0.9400248177550361</v>
      </c>
      <c r="O36" s="379">
        <f t="shared" si="2"/>
        <v>2787.3076624128844</v>
      </c>
      <c r="P36" s="379">
        <f t="shared" si="3"/>
        <v>3085.9578324768054</v>
      </c>
      <c r="Q36" s="382">
        <f t="shared" si="4"/>
        <v>0.89732550136561451</v>
      </c>
      <c r="R36" s="383">
        <f t="shared" si="5"/>
        <v>0.99347075909921767</v>
      </c>
    </row>
    <row r="37" spans="1:18" x14ac:dyDescent="0.2">
      <c r="A37" s="207">
        <f t="shared" si="8"/>
        <v>2030</v>
      </c>
      <c r="B37" s="134">
        <v>12342</v>
      </c>
      <c r="C37" s="134">
        <v>1098</v>
      </c>
      <c r="D37" s="134">
        <v>1069</v>
      </c>
      <c r="E37" s="39"/>
      <c r="F37" s="133">
        <v>6583920</v>
      </c>
      <c r="G37" s="133">
        <v>1198033</v>
      </c>
      <c r="H37" s="133">
        <v>937855</v>
      </c>
      <c r="I37" s="388">
        <f t="shared" si="7"/>
        <v>8719808</v>
      </c>
      <c r="K37" s="379">
        <f t="shared" si="6"/>
        <v>1663.9127834007354</v>
      </c>
      <c r="L37" s="379">
        <f t="shared" si="1"/>
        <v>3288.034408097059</v>
      </c>
      <c r="M37" s="131">
        <v>0.84530084555867091</v>
      </c>
      <c r="N37" s="131">
        <v>0.93922286995043147</v>
      </c>
      <c r="O37" s="379">
        <f t="shared" si="2"/>
        <v>2779.3782653904482</v>
      </c>
      <c r="P37" s="379">
        <f t="shared" si="3"/>
        <v>3088.1971132686881</v>
      </c>
      <c r="Q37" s="382">
        <f t="shared" si="4"/>
        <v>0.89477276911627068</v>
      </c>
      <c r="R37" s="383">
        <f t="shared" si="5"/>
        <v>0.9941916568265734</v>
      </c>
    </row>
    <row r="38" spans="1:18" x14ac:dyDescent="0.2">
      <c r="A38" s="207">
        <f t="shared" si="8"/>
        <v>2031</v>
      </c>
      <c r="B38" s="134">
        <v>12461</v>
      </c>
      <c r="C38" s="134">
        <v>1121</v>
      </c>
      <c r="D38" s="134">
        <v>1081</v>
      </c>
      <c r="E38" s="16"/>
      <c r="F38" s="133">
        <v>6628541</v>
      </c>
      <c r="G38" s="133">
        <v>1219323</v>
      </c>
      <c r="H38" s="133">
        <v>946063</v>
      </c>
      <c r="I38" s="388">
        <f t="shared" si="7"/>
        <v>8793927</v>
      </c>
      <c r="K38" s="379">
        <f>(SUM(B38:D38)*1000000)/I38</f>
        <v>1667.4006959575624</v>
      </c>
      <c r="L38" s="379">
        <f>892 + 1.44*K38</f>
        <v>3293.0570021788899</v>
      </c>
      <c r="M38" s="131">
        <v>0.84145566944357031</v>
      </c>
      <c r="N38" s="131">
        <v>0.93835192663645328</v>
      </c>
      <c r="O38" s="379">
        <f t="shared" si="2"/>
        <v>2770.9614842842748</v>
      </c>
      <c r="P38" s="379">
        <f>L38*N38</f>
        <v>3090.0463825182246</v>
      </c>
      <c r="Q38" s="382">
        <f t="shared" si="4"/>
        <v>0.8920631319894371</v>
      </c>
      <c r="R38" s="383">
        <f t="shared" si="5"/>
        <v>0.99478699708228957</v>
      </c>
    </row>
    <row r="39" spans="1:18" x14ac:dyDescent="0.2">
      <c r="A39" s="207">
        <f t="shared" si="8"/>
        <v>2032</v>
      </c>
      <c r="B39" s="134">
        <v>12577</v>
      </c>
      <c r="C39" s="134">
        <v>1144</v>
      </c>
      <c r="D39" s="134">
        <v>1092</v>
      </c>
      <c r="E39" s="16"/>
      <c r="F39" s="133">
        <v>6671188</v>
      </c>
      <c r="G39" s="133">
        <v>1240435</v>
      </c>
      <c r="H39" s="133">
        <v>953778</v>
      </c>
      <c r="I39" s="388">
        <f t="shared" si="7"/>
        <v>8865401</v>
      </c>
      <c r="K39" s="379">
        <f>(SUM(B39:D39)*1000000)/I39</f>
        <v>1670.8776061003896</v>
      </c>
      <c r="L39" s="379">
        <f>892 + 1.44*K39</f>
        <v>3298.0637527845611</v>
      </c>
      <c r="M39" s="132">
        <v>0.83734905899918644</v>
      </c>
      <c r="N39" s="132">
        <v>0.93725099829122926</v>
      </c>
      <c r="O39" s="379">
        <f t="shared" si="2"/>
        <v>2761.6305799134775</v>
      </c>
      <c r="P39" s="379">
        <f>L39*N39</f>
        <v>3091.1135447254478</v>
      </c>
      <c r="Q39" s="382">
        <f t="shared" si="4"/>
        <v>0.88905920868537236</v>
      </c>
      <c r="R39" s="383">
        <f t="shared" si="5"/>
        <v>0.99513055150060803</v>
      </c>
    </row>
    <row r="40" spans="1:18" x14ac:dyDescent="0.2">
      <c r="A40" s="207">
        <f t="shared" si="8"/>
        <v>2033</v>
      </c>
      <c r="B40" s="134">
        <v>12691</v>
      </c>
      <c r="C40" s="134">
        <v>1166</v>
      </c>
      <c r="D40" s="134">
        <v>1103</v>
      </c>
      <c r="E40" s="16"/>
      <c r="F40" s="133">
        <v>6713409</v>
      </c>
      <c r="G40" s="133">
        <v>1261326</v>
      </c>
      <c r="H40" s="133">
        <v>961060</v>
      </c>
      <c r="I40" s="388">
        <f t="shared" si="7"/>
        <v>8935795</v>
      </c>
      <c r="K40" s="379">
        <f>(SUM(B40:D40)*1000000)/I40</f>
        <v>1674.1655331170869</v>
      </c>
      <c r="L40" s="379">
        <f>892 + 1.44*K40</f>
        <v>3302.7983676886051</v>
      </c>
      <c r="M40" s="132">
        <v>0.8333010098445619</v>
      </c>
      <c r="N40" s="132">
        <v>0.93615106988092367</v>
      </c>
      <c r="O40" s="379">
        <f t="shared" si="2"/>
        <v>2752.2252151078851</v>
      </c>
      <c r="P40" s="379">
        <f>L40*N40</f>
        <v>3091.9182255126561</v>
      </c>
      <c r="Q40" s="382">
        <f t="shared" si="4"/>
        <v>0.8860313141319599</v>
      </c>
      <c r="R40" s="383">
        <f t="shared" si="5"/>
        <v>0.99538960456480974</v>
      </c>
    </row>
    <row r="41" spans="1:18" x14ac:dyDescent="0.2">
      <c r="A41" s="207">
        <f t="shared" si="8"/>
        <v>2034</v>
      </c>
      <c r="B41" s="134">
        <v>12807</v>
      </c>
      <c r="C41" s="134">
        <v>1189</v>
      </c>
      <c r="D41" s="134">
        <v>1114</v>
      </c>
      <c r="E41" s="16"/>
      <c r="F41" s="133">
        <v>6756217</v>
      </c>
      <c r="G41" s="133">
        <v>1282015</v>
      </c>
      <c r="H41" s="133">
        <v>967988</v>
      </c>
      <c r="I41" s="388">
        <f t="shared" si="7"/>
        <v>9006220</v>
      </c>
      <c r="K41" s="379">
        <f>(SUM(B41:D41)*1000000)/I41</f>
        <v>1677.7293914650097</v>
      </c>
      <c r="L41" s="379">
        <f>892 + 1.44*K41</f>
        <v>3307.9303237096137</v>
      </c>
      <c r="M41" s="132">
        <v>0.82932093361555115</v>
      </c>
      <c r="N41" s="132">
        <v>0.93505714108012883</v>
      </c>
      <c r="O41" s="379">
        <f t="shared" si="2"/>
        <v>2743.3358643940492</v>
      </c>
      <c r="P41" s="379">
        <f>L41*N41</f>
        <v>3093.1038713801763</v>
      </c>
      <c r="Q41" s="382">
        <f t="shared" si="4"/>
        <v>0.88316954139202397</v>
      </c>
      <c r="R41" s="383">
        <f t="shared" si="5"/>
        <v>0.99577130274863834</v>
      </c>
    </row>
    <row r="42" spans="1:18" x14ac:dyDescent="0.2">
      <c r="A42" s="207">
        <f t="shared" si="8"/>
        <v>2035</v>
      </c>
      <c r="B42" s="134">
        <v>12924</v>
      </c>
      <c r="C42" s="134">
        <v>1211</v>
      </c>
      <c r="D42" s="134">
        <v>1124</v>
      </c>
      <c r="E42" s="16"/>
      <c r="F42" s="133">
        <v>6799586</v>
      </c>
      <c r="G42" s="133">
        <v>1302633</v>
      </c>
      <c r="H42" s="133">
        <v>974707</v>
      </c>
      <c r="I42" s="388">
        <f t="shared" si="7"/>
        <v>9076926</v>
      </c>
      <c r="K42" s="379">
        <f>(SUM(B42:D42)*1000000)/I42</f>
        <v>1681.0757298230701</v>
      </c>
      <c r="L42" s="379">
        <f>892 + 1.44*K42</f>
        <v>3312.7490509452209</v>
      </c>
      <c r="M42" s="132">
        <v>0.82537954966727423</v>
      </c>
      <c r="N42" s="132">
        <v>0.93396021247457861</v>
      </c>
      <c r="O42" s="379">
        <f t="shared" si="2"/>
        <v>2734.2753198298565</v>
      </c>
      <c r="P42" s="379">
        <f>L42*N42</f>
        <v>3093.9758074957572</v>
      </c>
      <c r="Q42" s="382">
        <f t="shared" si="4"/>
        <v>0.88025265575239875</v>
      </c>
      <c r="R42" s="383">
        <f t="shared" si="5"/>
        <v>0.99605200750277201</v>
      </c>
    </row>
    <row r="43" spans="1:18" x14ac:dyDescent="0.2">
      <c r="A43" s="207">
        <f t="shared" si="8"/>
        <v>2036</v>
      </c>
      <c r="B43" s="392">
        <f>B42</f>
        <v>12924</v>
      </c>
      <c r="C43" s="392">
        <f t="shared" ref="C43:H50" si="9">C42</f>
        <v>1211</v>
      </c>
      <c r="D43" s="392">
        <f t="shared" si="9"/>
        <v>1124</v>
      </c>
      <c r="F43" s="392">
        <f t="shared" si="9"/>
        <v>6799586</v>
      </c>
      <c r="G43" s="392">
        <f t="shared" si="9"/>
        <v>1302633</v>
      </c>
      <c r="H43" s="392">
        <f t="shared" si="9"/>
        <v>974707</v>
      </c>
      <c r="I43" s="388">
        <f t="shared" si="7"/>
        <v>9076926</v>
      </c>
      <c r="K43" s="379">
        <f t="shared" ref="K43:K49" si="10">(SUM(B43:D43)*1000000)/I43</f>
        <v>1681.0757298230701</v>
      </c>
      <c r="L43" s="379">
        <f t="shared" ref="L43:L50" si="11">892 + 1.44*K43</f>
        <v>3312.7490509452209</v>
      </c>
      <c r="M43" s="393">
        <f t="shared" ref="M43:N50" si="12">M42</f>
        <v>0.82537954966727423</v>
      </c>
      <c r="N43" s="393">
        <f t="shared" si="12"/>
        <v>0.93396021247457861</v>
      </c>
      <c r="O43" s="379">
        <f t="shared" si="2"/>
        <v>2734.2753198298565</v>
      </c>
      <c r="P43" s="379">
        <f t="shared" ref="P43:P50" si="13">L43*N43</f>
        <v>3093.9758074957572</v>
      </c>
      <c r="Q43" s="382">
        <f t="shared" si="4"/>
        <v>0.88025265575239875</v>
      </c>
      <c r="R43" s="383">
        <f t="shared" si="5"/>
        <v>0.99605200750277201</v>
      </c>
    </row>
    <row r="44" spans="1:18" x14ac:dyDescent="0.2">
      <c r="A44" s="207">
        <f t="shared" si="8"/>
        <v>2037</v>
      </c>
      <c r="B44" s="392">
        <f t="shared" ref="B44:B50" si="14">B43</f>
        <v>12924</v>
      </c>
      <c r="C44" s="392">
        <f t="shared" si="9"/>
        <v>1211</v>
      </c>
      <c r="D44" s="392">
        <f t="shared" si="9"/>
        <v>1124</v>
      </c>
      <c r="F44" s="392">
        <f t="shared" si="9"/>
        <v>6799586</v>
      </c>
      <c r="G44" s="392">
        <f t="shared" si="9"/>
        <v>1302633</v>
      </c>
      <c r="H44" s="392">
        <f t="shared" si="9"/>
        <v>974707</v>
      </c>
      <c r="I44" s="388">
        <f t="shared" si="7"/>
        <v>9076926</v>
      </c>
      <c r="K44" s="379">
        <f t="shared" si="10"/>
        <v>1681.0757298230701</v>
      </c>
      <c r="L44" s="379">
        <f t="shared" si="11"/>
        <v>3312.7490509452209</v>
      </c>
      <c r="M44" s="393">
        <f t="shared" si="12"/>
        <v>0.82537954966727423</v>
      </c>
      <c r="N44" s="393">
        <f t="shared" si="12"/>
        <v>0.93396021247457861</v>
      </c>
      <c r="O44" s="379">
        <f t="shared" si="2"/>
        <v>2734.2753198298565</v>
      </c>
      <c r="P44" s="379">
        <f t="shared" si="13"/>
        <v>3093.9758074957572</v>
      </c>
      <c r="Q44" s="382">
        <f t="shared" si="4"/>
        <v>0.88025265575239875</v>
      </c>
      <c r="R44" s="383">
        <f t="shared" si="5"/>
        <v>0.99605200750277201</v>
      </c>
    </row>
    <row r="45" spans="1:18" x14ac:dyDescent="0.2">
      <c r="A45" s="207">
        <f t="shared" si="8"/>
        <v>2038</v>
      </c>
      <c r="B45" s="392">
        <f t="shared" si="14"/>
        <v>12924</v>
      </c>
      <c r="C45" s="392">
        <f t="shared" si="9"/>
        <v>1211</v>
      </c>
      <c r="D45" s="392">
        <f t="shared" si="9"/>
        <v>1124</v>
      </c>
      <c r="F45" s="392">
        <f t="shared" si="9"/>
        <v>6799586</v>
      </c>
      <c r="G45" s="392">
        <f t="shared" si="9"/>
        <v>1302633</v>
      </c>
      <c r="H45" s="392">
        <f t="shared" si="9"/>
        <v>974707</v>
      </c>
      <c r="I45" s="388">
        <f t="shared" si="7"/>
        <v>9076926</v>
      </c>
      <c r="K45" s="379">
        <f t="shared" si="10"/>
        <v>1681.0757298230701</v>
      </c>
      <c r="L45" s="379">
        <f t="shared" si="11"/>
        <v>3312.7490509452209</v>
      </c>
      <c r="M45" s="393">
        <f t="shared" si="12"/>
        <v>0.82537954966727423</v>
      </c>
      <c r="N45" s="393">
        <f t="shared" si="12"/>
        <v>0.93396021247457861</v>
      </c>
      <c r="O45" s="379">
        <f t="shared" si="2"/>
        <v>2734.2753198298565</v>
      </c>
      <c r="P45" s="379">
        <f t="shared" si="13"/>
        <v>3093.9758074957572</v>
      </c>
      <c r="Q45" s="382">
        <f t="shared" si="4"/>
        <v>0.88025265575239875</v>
      </c>
      <c r="R45" s="383">
        <f t="shared" si="5"/>
        <v>0.99605200750277201</v>
      </c>
    </row>
    <row r="46" spans="1:18" x14ac:dyDescent="0.2">
      <c r="A46" s="207">
        <f t="shared" si="8"/>
        <v>2039</v>
      </c>
      <c r="B46" s="392">
        <f t="shared" si="14"/>
        <v>12924</v>
      </c>
      <c r="C46" s="392">
        <f t="shared" si="9"/>
        <v>1211</v>
      </c>
      <c r="D46" s="392">
        <f t="shared" si="9"/>
        <v>1124</v>
      </c>
      <c r="F46" s="392">
        <f t="shared" si="9"/>
        <v>6799586</v>
      </c>
      <c r="G46" s="392">
        <f t="shared" si="9"/>
        <v>1302633</v>
      </c>
      <c r="H46" s="392">
        <f t="shared" si="9"/>
        <v>974707</v>
      </c>
      <c r="I46" s="388">
        <f t="shared" si="7"/>
        <v>9076926</v>
      </c>
      <c r="K46" s="379">
        <f t="shared" si="10"/>
        <v>1681.0757298230701</v>
      </c>
      <c r="L46" s="379">
        <f t="shared" si="11"/>
        <v>3312.7490509452209</v>
      </c>
      <c r="M46" s="393">
        <f t="shared" si="12"/>
        <v>0.82537954966727423</v>
      </c>
      <c r="N46" s="393">
        <f t="shared" si="12"/>
        <v>0.93396021247457861</v>
      </c>
      <c r="O46" s="379">
        <f t="shared" si="2"/>
        <v>2734.2753198298565</v>
      </c>
      <c r="P46" s="379">
        <f t="shared" si="13"/>
        <v>3093.9758074957572</v>
      </c>
      <c r="Q46" s="382">
        <f t="shared" si="4"/>
        <v>0.88025265575239875</v>
      </c>
      <c r="R46" s="383">
        <f t="shared" si="5"/>
        <v>0.99605200750277201</v>
      </c>
    </row>
    <row r="47" spans="1:18" x14ac:dyDescent="0.2">
      <c r="A47" s="207">
        <f t="shared" si="8"/>
        <v>2040</v>
      </c>
      <c r="B47" s="392">
        <f t="shared" si="14"/>
        <v>12924</v>
      </c>
      <c r="C47" s="392">
        <f t="shared" si="9"/>
        <v>1211</v>
      </c>
      <c r="D47" s="392">
        <f t="shared" si="9"/>
        <v>1124</v>
      </c>
      <c r="F47" s="392">
        <f t="shared" si="9"/>
        <v>6799586</v>
      </c>
      <c r="G47" s="392">
        <f t="shared" si="9"/>
        <v>1302633</v>
      </c>
      <c r="H47" s="392">
        <f t="shared" si="9"/>
        <v>974707</v>
      </c>
      <c r="I47" s="388">
        <f t="shared" si="7"/>
        <v>9076926</v>
      </c>
      <c r="K47" s="379">
        <f t="shared" si="10"/>
        <v>1681.0757298230701</v>
      </c>
      <c r="L47" s="379">
        <f t="shared" si="11"/>
        <v>3312.7490509452209</v>
      </c>
      <c r="M47" s="393">
        <f t="shared" si="12"/>
        <v>0.82537954966727423</v>
      </c>
      <c r="N47" s="393">
        <f t="shared" si="12"/>
        <v>0.93396021247457861</v>
      </c>
      <c r="O47" s="379">
        <f t="shared" si="2"/>
        <v>2734.2753198298565</v>
      </c>
      <c r="P47" s="379">
        <f t="shared" si="13"/>
        <v>3093.9758074957572</v>
      </c>
      <c r="Q47" s="382">
        <f t="shared" si="4"/>
        <v>0.88025265575239875</v>
      </c>
      <c r="R47" s="383">
        <f t="shared" si="5"/>
        <v>0.99605200750277201</v>
      </c>
    </row>
    <row r="48" spans="1:18" x14ac:dyDescent="0.2">
      <c r="A48" s="207">
        <f t="shared" si="8"/>
        <v>2041</v>
      </c>
      <c r="B48" s="392">
        <f t="shared" si="14"/>
        <v>12924</v>
      </c>
      <c r="C48" s="392">
        <f t="shared" si="9"/>
        <v>1211</v>
      </c>
      <c r="D48" s="392">
        <f t="shared" si="9"/>
        <v>1124</v>
      </c>
      <c r="F48" s="392">
        <f t="shared" si="9"/>
        <v>6799586</v>
      </c>
      <c r="G48" s="392">
        <f t="shared" si="9"/>
        <v>1302633</v>
      </c>
      <c r="H48" s="392">
        <f t="shared" si="9"/>
        <v>974707</v>
      </c>
      <c r="I48" s="388">
        <f t="shared" si="7"/>
        <v>9076926</v>
      </c>
      <c r="K48" s="379">
        <f t="shared" si="10"/>
        <v>1681.0757298230701</v>
      </c>
      <c r="L48" s="379">
        <f t="shared" si="11"/>
        <v>3312.7490509452209</v>
      </c>
      <c r="M48" s="393">
        <f t="shared" si="12"/>
        <v>0.82537954966727423</v>
      </c>
      <c r="N48" s="393">
        <f t="shared" si="12"/>
        <v>0.93396021247457861</v>
      </c>
      <c r="O48" s="379">
        <f t="shared" si="2"/>
        <v>2734.2753198298565</v>
      </c>
      <c r="P48" s="379">
        <f t="shared" si="13"/>
        <v>3093.9758074957572</v>
      </c>
      <c r="Q48" s="382">
        <f t="shared" si="4"/>
        <v>0.88025265575239875</v>
      </c>
      <c r="R48" s="383">
        <f t="shared" si="5"/>
        <v>0.99605200750277201</v>
      </c>
    </row>
    <row r="49" spans="1:18" x14ac:dyDescent="0.2">
      <c r="A49" s="207">
        <f t="shared" si="8"/>
        <v>2042</v>
      </c>
      <c r="B49" s="392">
        <f t="shared" si="14"/>
        <v>12924</v>
      </c>
      <c r="C49" s="392">
        <f t="shared" si="9"/>
        <v>1211</v>
      </c>
      <c r="D49" s="392">
        <f t="shared" si="9"/>
        <v>1124</v>
      </c>
      <c r="F49" s="392">
        <f t="shared" si="9"/>
        <v>6799586</v>
      </c>
      <c r="G49" s="392">
        <f t="shared" si="9"/>
        <v>1302633</v>
      </c>
      <c r="H49" s="392">
        <f t="shared" si="9"/>
        <v>974707</v>
      </c>
      <c r="I49" s="388">
        <f t="shared" si="7"/>
        <v>9076926</v>
      </c>
      <c r="K49" s="379">
        <f t="shared" si="10"/>
        <v>1681.0757298230701</v>
      </c>
      <c r="L49" s="379">
        <f t="shared" si="11"/>
        <v>3312.7490509452209</v>
      </c>
      <c r="M49" s="393">
        <f t="shared" si="12"/>
        <v>0.82537954966727423</v>
      </c>
      <c r="N49" s="393">
        <f t="shared" si="12"/>
        <v>0.93396021247457861</v>
      </c>
      <c r="O49" s="379">
        <f t="shared" si="2"/>
        <v>2734.2753198298565</v>
      </c>
      <c r="P49" s="379">
        <f t="shared" si="13"/>
        <v>3093.9758074957572</v>
      </c>
      <c r="Q49" s="382">
        <f t="shared" si="4"/>
        <v>0.88025265575239875</v>
      </c>
      <c r="R49" s="383">
        <f t="shared" si="5"/>
        <v>0.99605200750277201</v>
      </c>
    </row>
    <row r="50" spans="1:18" x14ac:dyDescent="0.2">
      <c r="A50" s="207">
        <f t="shared" si="8"/>
        <v>2043</v>
      </c>
      <c r="B50" s="392">
        <f t="shared" si="14"/>
        <v>12924</v>
      </c>
      <c r="C50" s="392">
        <f t="shared" si="9"/>
        <v>1211</v>
      </c>
      <c r="D50" s="392">
        <f t="shared" si="9"/>
        <v>1124</v>
      </c>
      <c r="F50" s="392">
        <f t="shared" si="9"/>
        <v>6799586</v>
      </c>
      <c r="G50" s="392">
        <f t="shared" si="9"/>
        <v>1302633</v>
      </c>
      <c r="H50" s="392">
        <f t="shared" si="9"/>
        <v>974707</v>
      </c>
      <c r="I50" s="388">
        <f t="shared" si="7"/>
        <v>9076926</v>
      </c>
      <c r="K50" s="379">
        <f t="shared" ref="K50" si="15">(SUM(B50:D50)*1000000)/I50</f>
        <v>1681.0757298230701</v>
      </c>
      <c r="L50" s="379">
        <f t="shared" si="11"/>
        <v>3312.7490509452209</v>
      </c>
      <c r="M50" s="393">
        <f t="shared" si="12"/>
        <v>0.82537954966727423</v>
      </c>
      <c r="N50" s="393">
        <f t="shared" si="12"/>
        <v>0.93396021247457861</v>
      </c>
      <c r="O50" s="379">
        <f t="shared" si="2"/>
        <v>2734.2753198298565</v>
      </c>
      <c r="P50" s="379">
        <f t="shared" si="13"/>
        <v>3093.9758074957572</v>
      </c>
      <c r="Q50" s="382">
        <f t="shared" si="4"/>
        <v>0.88025265575239875</v>
      </c>
      <c r="R50" s="383">
        <f t="shared" si="5"/>
        <v>0.99605200750277201</v>
      </c>
    </row>
  </sheetData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33"/>
  <sheetViews>
    <sheetView tabSelected="1" zoomScale="85" workbookViewId="0"/>
  </sheetViews>
  <sheetFormatPr defaultColWidth="9.140625" defaultRowHeight="12.75" x14ac:dyDescent="0.2"/>
  <cols>
    <col min="1" max="1" width="7.140625" style="14" customWidth="1"/>
    <col min="2" max="2" width="12" style="14" bestFit="1" customWidth="1"/>
    <col min="3" max="4" width="12" style="14" customWidth="1"/>
    <col min="5" max="5" width="12" style="14" bestFit="1" customWidth="1"/>
    <col min="6" max="6" width="12" style="14" customWidth="1"/>
    <col min="7" max="7" width="6.140625" style="14" bestFit="1" customWidth="1"/>
    <col min="8" max="8" width="6.42578125" style="14" bestFit="1" customWidth="1"/>
    <col min="9" max="9" width="8.140625" style="14" bestFit="1" customWidth="1"/>
    <col min="10" max="10" width="7.7109375" style="14" bestFit="1" customWidth="1"/>
    <col min="11" max="12" width="10.28515625" style="14" bestFit="1" customWidth="1"/>
    <col min="13" max="13" width="7.42578125" style="30" bestFit="1" customWidth="1"/>
    <col min="14" max="14" width="7.5703125" style="30" bestFit="1" customWidth="1"/>
    <col min="15" max="16" width="7" style="30" bestFit="1" customWidth="1"/>
    <col min="17" max="17" width="8.5703125" style="30" bestFit="1" customWidth="1"/>
    <col min="18" max="18" width="7" style="30" bestFit="1" customWidth="1"/>
    <col min="19" max="19" width="11.85546875" style="30" bestFit="1" customWidth="1"/>
    <col min="20" max="20" width="12.28515625" style="14" bestFit="1" customWidth="1"/>
    <col min="21" max="21" width="5.28515625" style="60" bestFit="1" customWidth="1"/>
    <col min="22" max="23" width="10.140625" style="60" customWidth="1"/>
    <col min="24" max="24" width="10.28515625" style="60" bestFit="1" customWidth="1"/>
    <col min="25" max="25" width="10.140625" style="60" customWidth="1"/>
    <col min="26" max="29" width="10.28515625" style="60" customWidth="1"/>
    <col min="30" max="30" width="10.28515625" style="60" bestFit="1" customWidth="1"/>
    <col min="31" max="31" width="10.28515625" style="60" customWidth="1"/>
    <col min="32" max="32" width="10.28515625" style="60" bestFit="1" customWidth="1"/>
    <col min="33" max="33" width="10.28515625" style="60" customWidth="1"/>
    <col min="34" max="34" width="10.28515625" style="60" bestFit="1" customWidth="1"/>
    <col min="35" max="36" width="10.28515625" style="60" customWidth="1"/>
    <col min="37" max="37" width="10.28515625" style="60" bestFit="1" customWidth="1"/>
    <col min="38" max="38" width="10.28515625" style="60" customWidth="1"/>
    <col min="39" max="39" width="10.28515625" style="60" bestFit="1" customWidth="1"/>
    <col min="40" max="40" width="10.28515625" style="60" customWidth="1"/>
    <col min="41" max="41" width="10.28515625" style="60" bestFit="1" customWidth="1"/>
    <col min="42" max="42" width="10.28515625" style="60" customWidth="1"/>
    <col min="43" max="43" width="10.28515625" style="60" bestFit="1" customWidth="1"/>
    <col min="44" max="44" width="10.28515625" style="60" customWidth="1"/>
    <col min="45" max="45" width="10.28515625" style="60" bestFit="1" customWidth="1"/>
    <col min="46" max="46" width="10.28515625" style="60" customWidth="1"/>
    <col min="47" max="47" width="10.28515625" style="60" bestFit="1" customWidth="1"/>
    <col min="48" max="48" width="10.28515625" style="60" customWidth="1"/>
    <col min="49" max="49" width="10.28515625" style="60" bestFit="1" customWidth="1"/>
    <col min="50" max="50" width="10.28515625" style="60" customWidth="1"/>
    <col min="51" max="51" width="10.28515625" style="60" bestFit="1" customWidth="1"/>
    <col min="52" max="54" width="10.28515625" style="60" customWidth="1"/>
    <col min="55" max="55" width="11.28515625" style="60" bestFit="1" customWidth="1"/>
    <col min="56" max="56" width="12.5703125" style="60" bestFit="1" customWidth="1"/>
    <col min="57" max="57" width="14.28515625" style="60" bestFit="1" customWidth="1"/>
    <col min="58" max="58" width="11.28515625" style="14" bestFit="1" customWidth="1"/>
    <col min="59" max="59" width="39.42578125" style="14" bestFit="1" customWidth="1"/>
    <col min="60" max="60" width="8.140625" style="14" bestFit="1" customWidth="1"/>
    <col min="61" max="61" width="10.5703125" style="14" bestFit="1" customWidth="1"/>
    <col min="62" max="62" width="11.5703125" style="14" bestFit="1" customWidth="1"/>
    <col min="63" max="63" width="14.7109375" style="14" bestFit="1" customWidth="1"/>
    <col min="64" max="64" width="13.140625" style="14" bestFit="1" customWidth="1"/>
    <col min="65" max="65" width="12.28515625" style="14" bestFit="1" customWidth="1"/>
    <col min="66" max="66" width="5.7109375" style="14" customWidth="1"/>
    <col min="67" max="67" width="6.28515625" style="14" customWidth="1"/>
    <col min="68" max="76" width="6.7109375" style="14" bestFit="1" customWidth="1"/>
    <col min="77" max="77" width="9.140625" style="14"/>
    <col min="78" max="87" width="7.7109375" style="14" customWidth="1"/>
    <col min="88" max="16384" width="9.140625" style="14"/>
  </cols>
  <sheetData>
    <row r="1" spans="1:87" ht="18" x14ac:dyDescent="0.25">
      <c r="A1" s="59" t="s">
        <v>80</v>
      </c>
      <c r="J1" s="30"/>
      <c r="M1" s="14"/>
      <c r="N1" s="14"/>
      <c r="O1" s="14"/>
      <c r="P1" s="14"/>
      <c r="Q1" s="14"/>
      <c r="R1" s="14"/>
      <c r="S1" s="14"/>
    </row>
    <row r="2" spans="1:87" ht="18" x14ac:dyDescent="0.25">
      <c r="A2" s="60"/>
      <c r="B2" s="278" t="s">
        <v>101</v>
      </c>
      <c r="C2" s="278" t="s">
        <v>169</v>
      </c>
      <c r="D2" s="278" t="s">
        <v>114</v>
      </c>
      <c r="E2" s="278" t="s">
        <v>102</v>
      </c>
      <c r="F2" s="278" t="s">
        <v>103</v>
      </c>
      <c r="G2" s="278" t="s">
        <v>102</v>
      </c>
      <c r="H2" s="278" t="s">
        <v>103</v>
      </c>
      <c r="I2" s="278" t="s">
        <v>104</v>
      </c>
      <c r="J2" s="278" t="s">
        <v>114</v>
      </c>
      <c r="K2" s="278" t="s">
        <v>114</v>
      </c>
      <c r="L2" s="278" t="s">
        <v>114</v>
      </c>
      <c r="M2" s="278" t="s">
        <v>114</v>
      </c>
      <c r="N2" s="278" t="s">
        <v>114</v>
      </c>
      <c r="O2" s="278" t="s">
        <v>114</v>
      </c>
      <c r="P2" s="278" t="s">
        <v>114</v>
      </c>
      <c r="Q2" s="278" t="s">
        <v>114</v>
      </c>
      <c r="R2" s="330" t="s">
        <v>114</v>
      </c>
      <c r="S2" s="330" t="s">
        <v>114</v>
      </c>
      <c r="T2" s="330"/>
      <c r="V2" s="63" t="s">
        <v>48</v>
      </c>
      <c r="W2" s="63"/>
      <c r="Y2" s="63"/>
      <c r="BG2" s="59" t="s">
        <v>154</v>
      </c>
      <c r="BO2" s="59" t="s">
        <v>149</v>
      </c>
      <c r="BZ2" s="59" t="s">
        <v>150</v>
      </c>
    </row>
    <row r="3" spans="1:87" x14ac:dyDescent="0.2">
      <c r="A3" s="64"/>
      <c r="B3" s="8" t="s">
        <v>52</v>
      </c>
      <c r="C3" s="8" t="s">
        <v>170</v>
      </c>
      <c r="D3" s="8" t="s">
        <v>147</v>
      </c>
      <c r="E3" s="8" t="s">
        <v>51</v>
      </c>
      <c r="F3" s="8" t="s">
        <v>171</v>
      </c>
      <c r="G3" s="8" t="s">
        <v>105</v>
      </c>
      <c r="H3" s="8" t="s">
        <v>106</v>
      </c>
      <c r="I3" s="8" t="s">
        <v>5</v>
      </c>
      <c r="J3" s="8" t="s">
        <v>45</v>
      </c>
      <c r="K3" s="8" t="s">
        <v>9</v>
      </c>
      <c r="L3" s="8" t="s">
        <v>43</v>
      </c>
      <c r="M3" s="8" t="s">
        <v>10</v>
      </c>
      <c r="N3" s="8" t="s">
        <v>11</v>
      </c>
      <c r="O3" s="8" t="s">
        <v>12</v>
      </c>
      <c r="P3" s="8" t="s">
        <v>100</v>
      </c>
      <c r="Q3" s="8" t="s">
        <v>174</v>
      </c>
      <c r="R3" s="23" t="s">
        <v>13</v>
      </c>
      <c r="S3" s="23" t="s">
        <v>14</v>
      </c>
      <c r="T3" s="65"/>
      <c r="BO3" s="64" t="s">
        <v>15</v>
      </c>
      <c r="BP3" s="64" t="s">
        <v>83</v>
      </c>
      <c r="BQ3" s="64" t="s">
        <v>84</v>
      </c>
      <c r="BR3" s="64" t="s">
        <v>85</v>
      </c>
      <c r="BS3" s="64" t="s">
        <v>86</v>
      </c>
      <c r="BT3" s="64" t="s">
        <v>87</v>
      </c>
      <c r="BU3" s="64" t="s">
        <v>88</v>
      </c>
      <c r="BV3" s="64" t="s">
        <v>89</v>
      </c>
      <c r="BW3" s="64" t="s">
        <v>90</v>
      </c>
      <c r="BX3" s="64" t="s">
        <v>91</v>
      </c>
      <c r="BZ3" s="64" t="s">
        <v>15</v>
      </c>
      <c r="CA3" s="64" t="s">
        <v>83</v>
      </c>
      <c r="CB3" s="64" t="s">
        <v>84</v>
      </c>
      <c r="CC3" s="64" t="s">
        <v>85</v>
      </c>
      <c r="CD3" s="64" t="s">
        <v>86</v>
      </c>
      <c r="CE3" s="64" t="s">
        <v>87</v>
      </c>
      <c r="CF3" s="64" t="s">
        <v>88</v>
      </c>
      <c r="CG3" s="64" t="s">
        <v>89</v>
      </c>
      <c r="CH3" s="64" t="s">
        <v>90</v>
      </c>
      <c r="CI3" s="64" t="s">
        <v>91</v>
      </c>
    </row>
    <row r="4" spans="1:87" x14ac:dyDescent="0.2">
      <c r="A4" s="26">
        <v>2005</v>
      </c>
      <c r="B4" s="272">
        <f>B5*(B5/B6)</f>
        <v>7.0620322320644684</v>
      </c>
      <c r="C4" s="135">
        <v>3.3</v>
      </c>
      <c r="D4" s="100">
        <f t="shared" ref="D4:D42" si="0">1000*(AB94/AB50)/ 3.412</f>
        <v>625.46563419179665</v>
      </c>
      <c r="E4" s="272">
        <f t="shared" ref="E4" si="1">E5*(E5/E6)</f>
        <v>11.519958958691054</v>
      </c>
      <c r="F4" s="135">
        <v>13.8</v>
      </c>
      <c r="G4" s="272">
        <f t="shared" ref="G4:K4" si="2">G5*(G5/G6)</f>
        <v>11.212047447874177</v>
      </c>
      <c r="H4" s="272">
        <f t="shared" si="2"/>
        <v>9.4785066617465841</v>
      </c>
      <c r="I4" s="272">
        <f t="shared" si="2"/>
        <v>0.88291869461439743</v>
      </c>
      <c r="J4" s="276">
        <f t="shared" si="2"/>
        <v>666.18340837714163</v>
      </c>
      <c r="K4" s="276">
        <f t="shared" si="2"/>
        <v>535.73422281363219</v>
      </c>
      <c r="L4" s="100">
        <f t="shared" ref="L4:L42" si="3">1000*(AQ94/AQ50)/ 3.412</f>
        <v>331.40747338337758</v>
      </c>
      <c r="M4" s="100">
        <f t="shared" ref="M4:M42" si="4">1000*(AM94/AM50)/ 3.412</f>
        <v>434.05618224643769</v>
      </c>
      <c r="N4" s="100">
        <f t="shared" ref="N4:N42" si="5">1000*(AK94/AK50)/ 3.412</f>
        <v>110.52562758422165</v>
      </c>
      <c r="O4" s="100">
        <f t="shared" ref="O4:O42" si="6">1000*(AS94/AS50)/ 3.412</f>
        <v>922.49348069682435</v>
      </c>
      <c r="P4" s="100">
        <f t="shared" ref="P4:P42" si="7">1000*(AY94/AY50)/ 3.412</f>
        <v>213.36398720339992</v>
      </c>
      <c r="Q4" s="100">
        <f t="shared" ref="Q4:Q42" si="8">1000*(BA94/BA50)/ 3.412</f>
        <v>482.72570571459363</v>
      </c>
      <c r="R4" s="101">
        <f t="shared" ref="R4:S34" si="9">1000*(BC94/BC50)/ 3.412</f>
        <v>2009.4019042164659</v>
      </c>
      <c r="S4" s="101">
        <f t="shared" si="9"/>
        <v>3997.88904540354</v>
      </c>
      <c r="T4" s="65"/>
      <c r="U4" s="66"/>
      <c r="V4" s="66" t="s">
        <v>36</v>
      </c>
      <c r="W4" s="66"/>
      <c r="X4" s="66" t="s">
        <v>39</v>
      </c>
      <c r="Y4" s="66"/>
      <c r="Z4" s="66" t="s">
        <v>167</v>
      </c>
      <c r="AA4" s="66"/>
      <c r="AB4" s="66" t="s">
        <v>147</v>
      </c>
      <c r="AC4" s="66"/>
      <c r="AD4" s="66" t="s">
        <v>4</v>
      </c>
      <c r="AE4" s="66"/>
      <c r="AF4" s="66" t="s">
        <v>2</v>
      </c>
      <c r="AG4" s="66"/>
      <c r="AH4" s="66" t="s">
        <v>40</v>
      </c>
      <c r="AI4" s="66"/>
      <c r="AJ4" s="66" t="s">
        <v>168</v>
      </c>
      <c r="AK4" s="66" t="s">
        <v>41</v>
      </c>
      <c r="AL4" s="66"/>
      <c r="AM4" s="66" t="s">
        <v>42</v>
      </c>
      <c r="AN4" s="66"/>
      <c r="AO4" s="66" t="s">
        <v>5</v>
      </c>
      <c r="AP4" s="66"/>
      <c r="AQ4" s="66" t="s">
        <v>43</v>
      </c>
      <c r="AR4" s="66"/>
      <c r="AS4" s="66" t="s">
        <v>44</v>
      </c>
      <c r="AT4" s="66"/>
      <c r="AU4" s="66" t="s">
        <v>45</v>
      </c>
      <c r="AV4" s="66"/>
      <c r="AW4" s="66" t="s">
        <v>9</v>
      </c>
      <c r="AX4" s="66"/>
      <c r="AY4" s="66" t="s">
        <v>100</v>
      </c>
      <c r="AZ4" s="66"/>
      <c r="BA4" s="66" t="s">
        <v>174</v>
      </c>
      <c r="BB4" s="66"/>
      <c r="BC4" s="66" t="s">
        <v>46</v>
      </c>
      <c r="BD4" s="66" t="s">
        <v>14</v>
      </c>
      <c r="BE4" s="90" t="s">
        <v>49</v>
      </c>
      <c r="BI4" s="8" t="s">
        <v>37</v>
      </c>
      <c r="BJ4" s="8" t="s">
        <v>38</v>
      </c>
      <c r="BK4" s="8" t="s">
        <v>35</v>
      </c>
      <c r="BL4" s="8" t="s">
        <v>75</v>
      </c>
      <c r="BM4" s="8" t="s">
        <v>74</v>
      </c>
      <c r="BO4" s="26">
        <v>1990</v>
      </c>
      <c r="BP4" s="29">
        <f t="shared" ref="BP4:BX19" si="10">BP66/BP$81</f>
        <v>1.083921568627451</v>
      </c>
      <c r="BQ4" s="29">
        <f t="shared" si="10"/>
        <v>1.3455696202531646</v>
      </c>
      <c r="BR4" s="29">
        <f t="shared" si="10"/>
        <v>0.94172932330827064</v>
      </c>
      <c r="BS4" s="29">
        <f t="shared" si="10"/>
        <v>0.89227642276422769</v>
      </c>
      <c r="BT4" s="29">
        <f t="shared" si="10"/>
        <v>0.98089552238805966</v>
      </c>
      <c r="BU4" s="29">
        <f t="shared" si="10"/>
        <v>0.94535131298793473</v>
      </c>
      <c r="BV4" s="29">
        <f t="shared" si="10"/>
        <v>0.78425196850393697</v>
      </c>
      <c r="BW4" s="29">
        <f t="shared" si="10"/>
        <v>0.80911854103343472</v>
      </c>
      <c r="BX4" s="29">
        <f t="shared" si="10"/>
        <v>0.89933909506863241</v>
      </c>
      <c r="BZ4" s="26">
        <v>1990</v>
      </c>
      <c r="CA4" s="29">
        <f t="shared" ref="CA4:CI19" si="11">CA66/CA$81</f>
        <v>0.70286885245901642</v>
      </c>
      <c r="CB4" s="29">
        <f t="shared" si="11"/>
        <v>0.71043376318874563</v>
      </c>
      <c r="CC4" s="29">
        <f t="shared" si="11"/>
        <v>0.61081081081081068</v>
      </c>
      <c r="CD4" s="29">
        <f t="shared" si="11"/>
        <v>0.56434316353887404</v>
      </c>
      <c r="CE4" s="29">
        <f t="shared" si="11"/>
        <v>0.59451219512195119</v>
      </c>
      <c r="CF4" s="29">
        <f t="shared" si="11"/>
        <v>0.54462242562929053</v>
      </c>
      <c r="CG4" s="29">
        <f t="shared" si="11"/>
        <v>0.61441213653603033</v>
      </c>
      <c r="CH4" s="29">
        <f t="shared" si="11"/>
        <v>0.65938864628820959</v>
      </c>
      <c r="CI4" s="29">
        <f t="shared" si="11"/>
        <v>0.67162162162162153</v>
      </c>
    </row>
    <row r="5" spans="1:87" x14ac:dyDescent="0.2">
      <c r="A5" s="26">
        <v>2006</v>
      </c>
      <c r="B5" s="273">
        <v>7.1493184332678767</v>
      </c>
      <c r="C5" s="135">
        <v>3.3058230000000002</v>
      </c>
      <c r="D5" s="100">
        <f t="shared" si="0"/>
        <v>533.93994402085536</v>
      </c>
      <c r="E5" s="273">
        <v>11.731493674165527</v>
      </c>
      <c r="F5" s="135">
        <v>13.899820999999999</v>
      </c>
      <c r="G5" s="273">
        <v>11.442723164233163</v>
      </c>
      <c r="H5" s="273">
        <v>9.5562644541554054</v>
      </c>
      <c r="I5" s="273">
        <v>0.88541958974073087</v>
      </c>
      <c r="J5" s="277">
        <v>653.83637638858977</v>
      </c>
      <c r="K5" s="277">
        <v>530.40085896318101</v>
      </c>
      <c r="L5" s="100">
        <f t="shared" si="3"/>
        <v>331.11462444562341</v>
      </c>
      <c r="M5" s="100">
        <f t="shared" si="4"/>
        <v>432.91685803373963</v>
      </c>
      <c r="N5" s="100">
        <f t="shared" si="5"/>
        <v>109.9791450154996</v>
      </c>
      <c r="O5" s="100">
        <f t="shared" si="6"/>
        <v>914.46699343519106</v>
      </c>
      <c r="P5" s="100">
        <f t="shared" si="7"/>
        <v>225.82494995553449</v>
      </c>
      <c r="Q5" s="100">
        <f t="shared" si="8"/>
        <v>458.71325765347331</v>
      </c>
      <c r="R5" s="101">
        <f t="shared" si="9"/>
        <v>1985.1797483947332</v>
      </c>
      <c r="S5" s="101">
        <f t="shared" si="9"/>
        <v>4248.1497410769371</v>
      </c>
      <c r="T5" s="65"/>
      <c r="U5" s="66" t="s">
        <v>15</v>
      </c>
      <c r="V5" s="67" t="s">
        <v>48</v>
      </c>
      <c r="W5" s="67"/>
      <c r="X5" s="67" t="s">
        <v>48</v>
      </c>
      <c r="Y5" s="67"/>
      <c r="Z5" s="67" t="s">
        <v>48</v>
      </c>
      <c r="AA5" s="67"/>
      <c r="AB5" s="67" t="s">
        <v>48</v>
      </c>
      <c r="AC5" s="67"/>
      <c r="AD5" s="67" t="s">
        <v>48</v>
      </c>
      <c r="AE5" s="67"/>
      <c r="AF5" s="67" t="s">
        <v>48</v>
      </c>
      <c r="AG5" s="67"/>
      <c r="AH5" s="67" t="s">
        <v>48</v>
      </c>
      <c r="AI5" s="67"/>
      <c r="AJ5" s="67" t="s">
        <v>48</v>
      </c>
      <c r="AK5" s="67" t="s">
        <v>48</v>
      </c>
      <c r="AL5" s="67"/>
      <c r="AM5" s="67" t="s">
        <v>48</v>
      </c>
      <c r="AN5" s="67"/>
      <c r="AO5" s="67" t="s">
        <v>48</v>
      </c>
      <c r="AP5" s="67"/>
      <c r="AQ5" s="67" t="s">
        <v>48</v>
      </c>
      <c r="AR5" s="67"/>
      <c r="AS5" s="67" t="s">
        <v>48</v>
      </c>
      <c r="AT5" s="67"/>
      <c r="AU5" s="67" t="s">
        <v>48</v>
      </c>
      <c r="AV5" s="67"/>
      <c r="AW5" s="67" t="s">
        <v>48</v>
      </c>
      <c r="AX5" s="67"/>
      <c r="AY5" s="67" t="s">
        <v>48</v>
      </c>
      <c r="AZ5" s="67"/>
      <c r="BA5" s="67" t="s">
        <v>48</v>
      </c>
      <c r="BB5" s="67"/>
      <c r="BC5" s="67" t="s">
        <v>48</v>
      </c>
      <c r="BD5" s="67" t="s">
        <v>48</v>
      </c>
      <c r="BE5" s="67" t="s">
        <v>48</v>
      </c>
      <c r="BG5" s="14" t="s">
        <v>115</v>
      </c>
      <c r="BH5" s="26" t="s">
        <v>0</v>
      </c>
      <c r="BI5" s="27">
        <f>V50</f>
        <v>2334318</v>
      </c>
      <c r="BJ5" s="27">
        <f>V94</f>
        <v>20494125</v>
      </c>
      <c r="BK5" s="27">
        <f t="shared" ref="BK5:BK13" si="12">1000*(BJ5/BI5)/3.412</f>
        <v>2573.1217711505083</v>
      </c>
      <c r="BL5" s="27">
        <f>$BK$5*V6</f>
        <v>871.42011256872252</v>
      </c>
      <c r="BM5" s="27">
        <f>BL5*$BL$28</f>
        <v>919.13428064024072</v>
      </c>
      <c r="BO5" s="26">
        <f t="shared" ref="BO5:BO13" si="13">BO6-1</f>
        <v>1991</v>
      </c>
      <c r="BP5" s="29">
        <f t="shared" si="10"/>
        <v>1.0207843137254902</v>
      </c>
      <c r="BQ5" s="29">
        <f t="shared" si="10"/>
        <v>1.1109704641350211</v>
      </c>
      <c r="BR5" s="29">
        <f t="shared" si="10"/>
        <v>1.0588972431077692</v>
      </c>
      <c r="BS5" s="29">
        <f t="shared" si="10"/>
        <v>1.0338753387533874</v>
      </c>
      <c r="BT5" s="29">
        <f t="shared" si="10"/>
        <v>1.0208955223880598</v>
      </c>
      <c r="BU5" s="29">
        <f t="shared" si="10"/>
        <v>1.1171043293115686</v>
      </c>
      <c r="BV5" s="29">
        <f t="shared" si="10"/>
        <v>0.81207349081364832</v>
      </c>
      <c r="BW5" s="29">
        <f t="shared" si="10"/>
        <v>0.87537993920972645</v>
      </c>
      <c r="BX5" s="29">
        <f t="shared" si="10"/>
        <v>0.9217081850533807</v>
      </c>
      <c r="BZ5" s="26">
        <f t="shared" ref="BZ5:BZ13" si="14">BZ6-1</f>
        <v>1991</v>
      </c>
      <c r="CA5" s="29">
        <f t="shared" si="11"/>
        <v>0.70081967213114749</v>
      </c>
      <c r="CB5" s="29">
        <f t="shared" si="11"/>
        <v>0.69167643610785468</v>
      </c>
      <c r="CC5" s="29">
        <f t="shared" si="11"/>
        <v>0.58648648648648649</v>
      </c>
      <c r="CD5" s="29">
        <f t="shared" si="11"/>
        <v>0.53351206434316356</v>
      </c>
      <c r="CE5" s="29">
        <f t="shared" si="11"/>
        <v>0.56707317073170738</v>
      </c>
      <c r="CF5" s="29">
        <f t="shared" si="11"/>
        <v>0.53432494279176201</v>
      </c>
      <c r="CG5" s="29">
        <f t="shared" si="11"/>
        <v>0.5802781289506953</v>
      </c>
      <c r="CH5" s="29">
        <f t="shared" si="11"/>
        <v>0.63755458515283836</v>
      </c>
      <c r="CI5" s="29">
        <f t="shared" si="11"/>
        <v>0.69324324324324316</v>
      </c>
    </row>
    <row r="6" spans="1:87" x14ac:dyDescent="0.2">
      <c r="A6" s="26">
        <v>2007</v>
      </c>
      <c r="B6" s="273">
        <v>7.2376834855257917</v>
      </c>
      <c r="C6" s="136">
        <v>3.3084030000000002</v>
      </c>
      <c r="D6" s="100">
        <f t="shared" si="0"/>
        <v>524.23621272693435</v>
      </c>
      <c r="E6" s="273">
        <v>11.946912686104191</v>
      </c>
      <c r="F6" s="136">
        <v>13.959336</v>
      </c>
      <c r="G6" s="273">
        <v>11.678144783279871</v>
      </c>
      <c r="H6" s="273">
        <v>9.6346601396940272</v>
      </c>
      <c r="I6" s="273">
        <v>0.88792756873160483</v>
      </c>
      <c r="J6" s="277">
        <v>641.71818408143679</v>
      </c>
      <c r="K6" s="277">
        <v>525.12059004068112</v>
      </c>
      <c r="L6" s="100">
        <f t="shared" si="3"/>
        <v>330.91645306583194</v>
      </c>
      <c r="M6" s="100">
        <f t="shared" si="4"/>
        <v>432.91899720505887</v>
      </c>
      <c r="N6" s="100">
        <f t="shared" si="5"/>
        <v>109.38776394353474</v>
      </c>
      <c r="O6" s="100">
        <f t="shared" si="6"/>
        <v>908.30124375978949</v>
      </c>
      <c r="P6" s="100">
        <f t="shared" si="7"/>
        <v>217.11185870931743</v>
      </c>
      <c r="Q6" s="100">
        <f t="shared" si="8"/>
        <v>459.56516805093412</v>
      </c>
      <c r="R6" s="101">
        <f t="shared" si="9"/>
        <v>1939.9335923414326</v>
      </c>
      <c r="S6" s="101">
        <f t="shared" si="9"/>
        <v>4571.464236516189</v>
      </c>
      <c r="T6" s="65"/>
      <c r="U6" s="8">
        <v>2005</v>
      </c>
      <c r="V6" s="53">
        <f t="shared" ref="V6:BD20" si="15">V50/$BC50</f>
        <v>0.33866260133467696</v>
      </c>
      <c r="W6" s="53"/>
      <c r="X6" s="53">
        <f t="shared" si="15"/>
        <v>0.14585055552541118</v>
      </c>
      <c r="Y6" s="53"/>
      <c r="Z6" s="53">
        <f t="shared" si="15"/>
        <v>4.7895224463255183E-3</v>
      </c>
      <c r="AA6" s="53"/>
      <c r="AB6" s="53">
        <f t="shared" ref="AB6:AB32" si="16">AB50/$BC50</f>
        <v>0.15045539127031082</v>
      </c>
      <c r="AC6" s="53"/>
      <c r="AD6" s="53">
        <f t="shared" si="15"/>
        <v>0.43823339698471758</v>
      </c>
      <c r="AE6" s="53"/>
      <c r="AF6" s="53">
        <f t="shared" si="15"/>
        <v>0.60157638006521053</v>
      </c>
      <c r="AG6" s="53"/>
      <c r="AH6" s="53">
        <f t="shared" si="15"/>
        <v>0.14585055552541118</v>
      </c>
      <c r="AI6" s="53"/>
      <c r="AJ6" s="53">
        <f t="shared" si="15"/>
        <v>4.7895224463255183E-3</v>
      </c>
      <c r="AK6" s="53">
        <f t="shared" si="15"/>
        <v>0.89918050172688591</v>
      </c>
      <c r="AL6" s="53"/>
      <c r="AM6" s="53">
        <f t="shared" si="15"/>
        <v>0.59041219228192388</v>
      </c>
      <c r="AN6" s="53"/>
      <c r="AO6" s="53">
        <f t="shared" si="15"/>
        <v>0.68160970201460835</v>
      </c>
      <c r="AP6" s="53"/>
      <c r="AQ6" s="53">
        <f t="shared" si="15"/>
        <v>1.6512366464841195</v>
      </c>
      <c r="AR6" s="53"/>
      <c r="AS6" s="53">
        <f t="shared" si="15"/>
        <v>0.8214036073244454</v>
      </c>
      <c r="AT6" s="53"/>
      <c r="AU6" s="53">
        <f t="shared" si="15"/>
        <v>1.201410640797568</v>
      </c>
      <c r="AV6" s="53"/>
      <c r="AW6" s="53">
        <f t="shared" si="15"/>
        <v>0.45856518308937183</v>
      </c>
      <c r="AX6" s="53"/>
      <c r="AY6" s="53">
        <f t="shared" si="15"/>
        <v>3.2258272963172629</v>
      </c>
      <c r="AZ6" s="53"/>
      <c r="BA6" s="53">
        <f t="shared" ref="BA6:BA36" si="17">BA50/$BC50</f>
        <v>0.4717662925443154</v>
      </c>
      <c r="BB6" s="53"/>
      <c r="BC6" s="53">
        <f t="shared" si="15"/>
        <v>1</v>
      </c>
      <c r="BD6" s="53">
        <f t="shared" si="15"/>
        <v>1</v>
      </c>
      <c r="BE6" s="105">
        <f t="shared" ref="BE6:BE31" si="18">AU6-1</f>
        <v>0.20141064079756799</v>
      </c>
      <c r="BG6" s="14" t="s">
        <v>20</v>
      </c>
      <c r="BH6" s="26" t="s">
        <v>1</v>
      </c>
      <c r="BI6" s="27">
        <f>X50</f>
        <v>1005312</v>
      </c>
      <c r="BJ6" s="27">
        <f>X94</f>
        <v>9340069</v>
      </c>
      <c r="BK6" s="27">
        <f t="shared" si="12"/>
        <v>2722.9533155983272</v>
      </c>
      <c r="BL6" s="27">
        <f>$BK$6*X6</f>
        <v>397.14425374977628</v>
      </c>
      <c r="BM6" s="27">
        <f t="shared" ref="BM6:BM24" si="19">BL6*$BL$28</f>
        <v>418.88968674901759</v>
      </c>
      <c r="BO6" s="26">
        <f t="shared" si="13"/>
        <v>1992</v>
      </c>
      <c r="BP6" s="29">
        <f t="shared" si="10"/>
        <v>1.044313725490196</v>
      </c>
      <c r="BQ6" s="29">
        <f t="shared" si="10"/>
        <v>1.0637130801687764</v>
      </c>
      <c r="BR6" s="29">
        <f t="shared" si="10"/>
        <v>1.1265664160401003</v>
      </c>
      <c r="BS6" s="29">
        <f t="shared" si="10"/>
        <v>1.1029810298102982</v>
      </c>
      <c r="BT6" s="29">
        <f t="shared" si="10"/>
        <v>1.04</v>
      </c>
      <c r="BU6" s="29">
        <f t="shared" si="10"/>
        <v>1.170333569907736</v>
      </c>
      <c r="BV6" s="29">
        <f t="shared" si="10"/>
        <v>0.83779527559055122</v>
      </c>
      <c r="BW6" s="29">
        <f t="shared" si="10"/>
        <v>0.95805471124620067</v>
      </c>
      <c r="BX6" s="29">
        <f t="shared" si="10"/>
        <v>0.9440772750381291</v>
      </c>
      <c r="BZ6" s="26">
        <f t="shared" si="14"/>
        <v>1992</v>
      </c>
      <c r="CA6" s="29">
        <f t="shared" si="11"/>
        <v>0.68032786885245899</v>
      </c>
      <c r="CB6" s="29">
        <f t="shared" si="11"/>
        <v>0.6846424384525206</v>
      </c>
      <c r="CC6" s="29">
        <f t="shared" si="11"/>
        <v>0.57837837837837835</v>
      </c>
      <c r="CD6" s="29">
        <f t="shared" si="11"/>
        <v>0.54691689008042899</v>
      </c>
      <c r="CE6" s="29">
        <f t="shared" si="11"/>
        <v>0.55589430894308944</v>
      </c>
      <c r="CF6" s="29">
        <f t="shared" si="11"/>
        <v>0.52517162471395873</v>
      </c>
      <c r="CG6" s="29">
        <f t="shared" si="11"/>
        <v>0.5752212389380531</v>
      </c>
      <c r="CH6" s="29">
        <f t="shared" si="11"/>
        <v>0.61572052401746735</v>
      </c>
      <c r="CI6" s="29">
        <f t="shared" si="11"/>
        <v>0.64999999999999991</v>
      </c>
    </row>
    <row r="7" spans="1:87" x14ac:dyDescent="0.2">
      <c r="A7" s="26">
        <v>2008</v>
      </c>
      <c r="B7" s="273">
        <v>7.2955227821573905</v>
      </c>
      <c r="C7" s="136">
        <v>3.3115579999999998</v>
      </c>
      <c r="D7" s="100">
        <f t="shared" si="0"/>
        <v>576.61851116012792</v>
      </c>
      <c r="E7" s="273">
        <v>12.091365945217705</v>
      </c>
      <c r="F7" s="136">
        <v>14.011077</v>
      </c>
      <c r="G7" s="273">
        <v>11.882268005355439</v>
      </c>
      <c r="H7" s="273">
        <v>9.7236867825604634</v>
      </c>
      <c r="I7" s="273">
        <v>0.89003327185459302</v>
      </c>
      <c r="J7" s="277">
        <v>631.02578946127517</v>
      </c>
      <c r="K7" s="277">
        <v>520.34729348969699</v>
      </c>
      <c r="L7" s="100">
        <f t="shared" si="3"/>
        <v>331.29103268549198</v>
      </c>
      <c r="M7" s="100">
        <f t="shared" si="4"/>
        <v>434.43420898297279</v>
      </c>
      <c r="N7" s="100">
        <f t="shared" si="5"/>
        <v>106.95894621882289</v>
      </c>
      <c r="O7" s="100">
        <f t="shared" si="6"/>
        <v>900.81947550189284</v>
      </c>
      <c r="P7" s="100">
        <f t="shared" si="7"/>
        <v>207.00907655867826</v>
      </c>
      <c r="Q7" s="100">
        <f t="shared" si="8"/>
        <v>524.57710434617502</v>
      </c>
      <c r="R7" s="101">
        <f t="shared" si="9"/>
        <v>1902.3936931178162</v>
      </c>
      <c r="S7" s="101">
        <f t="shared" si="9"/>
        <v>4808.0565437272035</v>
      </c>
      <c r="T7" s="65"/>
      <c r="U7" s="8">
        <v>2006</v>
      </c>
      <c r="V7" s="53">
        <f t="shared" si="15"/>
        <v>0.33567850018347783</v>
      </c>
      <c r="W7" s="53"/>
      <c r="X7" s="53">
        <f t="shared" si="15"/>
        <v>0.14961951922040129</v>
      </c>
      <c r="Y7" s="53"/>
      <c r="Z7" s="53">
        <f t="shared" si="15"/>
        <v>5.0756203659968998E-3</v>
      </c>
      <c r="AA7" s="53"/>
      <c r="AB7" s="53">
        <f t="shared" si="16"/>
        <v>0.15875288623092756</v>
      </c>
      <c r="AC7" s="53"/>
      <c r="AD7" s="53">
        <f t="shared" si="15"/>
        <v>0.43228213752185862</v>
      </c>
      <c r="AE7" s="53"/>
      <c r="AF7" s="53">
        <f t="shared" si="15"/>
        <v>0.60111356436041241</v>
      </c>
      <c r="AG7" s="53"/>
      <c r="AH7" s="53">
        <f t="shared" si="15"/>
        <v>0.14961951922040129</v>
      </c>
      <c r="AI7" s="53"/>
      <c r="AJ7" s="53">
        <f t="shared" si="15"/>
        <v>5.0756203659968998E-3</v>
      </c>
      <c r="AK7" s="53">
        <f t="shared" si="15"/>
        <v>0.89844224507773374</v>
      </c>
      <c r="AL7" s="53"/>
      <c r="AM7" s="53">
        <f t="shared" si="15"/>
        <v>0.59230806771275191</v>
      </c>
      <c r="AN7" s="53"/>
      <c r="AO7" s="53">
        <f t="shared" si="15"/>
        <v>0.68229512996982733</v>
      </c>
      <c r="AP7" s="53"/>
      <c r="AQ7" s="53">
        <f t="shared" si="15"/>
        <v>1.6491509273296754</v>
      </c>
      <c r="AR7" s="53"/>
      <c r="AS7" s="53">
        <f t="shared" si="15"/>
        <v>0.82165047133434099</v>
      </c>
      <c r="AT7" s="53"/>
      <c r="AU7" s="53">
        <f t="shared" si="15"/>
        <v>1.1998874803619688</v>
      </c>
      <c r="AV7" s="53"/>
      <c r="AW7" s="53">
        <f t="shared" si="15"/>
        <v>0.45796730740189479</v>
      </c>
      <c r="AX7" s="53"/>
      <c r="AY7" s="53">
        <f t="shared" si="15"/>
        <v>3.2368607481663374</v>
      </c>
      <c r="AZ7" s="53"/>
      <c r="BA7" s="53">
        <f t="shared" si="17"/>
        <v>0.46959990314327987</v>
      </c>
      <c r="BB7" s="53"/>
      <c r="BC7" s="53">
        <f t="shared" si="15"/>
        <v>1</v>
      </c>
      <c r="BD7" s="53">
        <f t="shared" si="15"/>
        <v>1</v>
      </c>
      <c r="BE7" s="105">
        <f t="shared" si="18"/>
        <v>0.19988748036196879</v>
      </c>
      <c r="BG7" s="331" t="s">
        <v>163</v>
      </c>
      <c r="BH7" s="26" t="s">
        <v>164</v>
      </c>
      <c r="BI7" s="27">
        <f>Z50</f>
        <v>33013</v>
      </c>
      <c r="BJ7" s="27">
        <f>Z94</f>
        <v>208675</v>
      </c>
      <c r="BK7" s="27">
        <f>1000*(BJ7/BI7)/3.412</f>
        <v>1852.5775966119993</v>
      </c>
      <c r="BL7" s="27">
        <f>$BK$7*Z6</f>
        <v>8.8729619825329529</v>
      </c>
      <c r="BM7" s="27">
        <f t="shared" si="19"/>
        <v>9.3587965337677108</v>
      </c>
      <c r="BO7" s="26">
        <f t="shared" si="13"/>
        <v>1993</v>
      </c>
      <c r="BP7" s="29">
        <f t="shared" si="10"/>
        <v>1.0949019607843138</v>
      </c>
      <c r="BQ7" s="29">
        <f t="shared" si="10"/>
        <v>1.0502109704641351</v>
      </c>
      <c r="BR7" s="29">
        <f t="shared" si="10"/>
        <v>1.1409774436090225</v>
      </c>
      <c r="BS7" s="29">
        <f t="shared" si="10"/>
        <v>1.1165311653116532</v>
      </c>
      <c r="BT7" s="29">
        <f t="shared" si="10"/>
        <v>1.0358208955223882</v>
      </c>
      <c r="BU7" s="29">
        <f t="shared" si="10"/>
        <v>1.1724627395315828</v>
      </c>
      <c r="BV7" s="29">
        <f t="shared" si="10"/>
        <v>0.88083989501312343</v>
      </c>
      <c r="BW7" s="29">
        <f t="shared" si="10"/>
        <v>0.9659574468085107</v>
      </c>
      <c r="BX7" s="29">
        <f t="shared" si="10"/>
        <v>0.94611082867310614</v>
      </c>
      <c r="BZ7" s="26">
        <f t="shared" si="14"/>
        <v>1993</v>
      </c>
      <c r="CA7" s="29">
        <f t="shared" si="11"/>
        <v>0.7018442622950819</v>
      </c>
      <c r="CB7" s="29">
        <f t="shared" si="11"/>
        <v>0.70457209847596725</v>
      </c>
      <c r="CC7" s="29">
        <f t="shared" si="11"/>
        <v>0.60270270270270265</v>
      </c>
      <c r="CD7" s="29">
        <f t="shared" si="11"/>
        <v>0.56702412868632712</v>
      </c>
      <c r="CE7" s="29">
        <f t="shared" si="11"/>
        <v>0.58536585365853655</v>
      </c>
      <c r="CF7" s="29">
        <f t="shared" si="11"/>
        <v>0.53775743707093826</v>
      </c>
      <c r="CG7" s="29">
        <f t="shared" si="11"/>
        <v>0.57901390644753481</v>
      </c>
      <c r="CH7" s="29">
        <f t="shared" si="11"/>
        <v>0.60553129548762741</v>
      </c>
      <c r="CI7" s="29">
        <f t="shared" si="11"/>
        <v>0.66486486486486485</v>
      </c>
    </row>
    <row r="8" spans="1:87" x14ac:dyDescent="0.2">
      <c r="A8" s="26">
        <v>2009</v>
      </c>
      <c r="B8" s="273">
        <v>7.4271160297289596</v>
      </c>
      <c r="C8" s="136">
        <v>3.3173560000000002</v>
      </c>
      <c r="D8" s="100">
        <f t="shared" si="0"/>
        <v>551.79539909444304</v>
      </c>
      <c r="E8" s="273">
        <v>12.45351991577868</v>
      </c>
      <c r="F8" s="136">
        <v>14.066179</v>
      </c>
      <c r="G8" s="273">
        <v>12.256263390646293</v>
      </c>
      <c r="H8" s="273">
        <v>9.8182594505674103</v>
      </c>
      <c r="I8" s="273">
        <v>0.89241345643186221</v>
      </c>
      <c r="J8" s="277">
        <v>621.16119108692885</v>
      </c>
      <c r="K8" s="277">
        <v>516.5742803585739</v>
      </c>
      <c r="L8" s="100">
        <f t="shared" si="3"/>
        <v>330.09551519454595</v>
      </c>
      <c r="M8" s="100">
        <f t="shared" si="4"/>
        <v>434.42156713561747</v>
      </c>
      <c r="N8" s="100">
        <f t="shared" si="5"/>
        <v>103.94227833086076</v>
      </c>
      <c r="O8" s="100">
        <f t="shared" si="6"/>
        <v>889.78382951916672</v>
      </c>
      <c r="P8" s="100">
        <f t="shared" si="7"/>
        <v>198.51790070008198</v>
      </c>
      <c r="Q8" s="100">
        <f t="shared" si="8"/>
        <v>521.8929234098299</v>
      </c>
      <c r="R8" s="101">
        <f t="shared" si="9"/>
        <v>1850.3865646921006</v>
      </c>
      <c r="S8" s="101">
        <f t="shared" si="9"/>
        <v>4671.1573105174311</v>
      </c>
      <c r="T8" s="65"/>
      <c r="U8" s="8">
        <v>2007</v>
      </c>
      <c r="V8" s="53">
        <f t="shared" si="15"/>
        <v>0.33295737742270831</v>
      </c>
      <c r="W8" s="53"/>
      <c r="X8" s="53">
        <f t="shared" si="15"/>
        <v>0.15503816522123012</v>
      </c>
      <c r="Y8" s="53"/>
      <c r="Z8" s="53">
        <f t="shared" si="15"/>
        <v>5.5085373321371103E-3</v>
      </c>
      <c r="AA8" s="53"/>
      <c r="AB8" s="53">
        <f t="shared" si="16"/>
        <v>0.15654946525968017</v>
      </c>
      <c r="AC8" s="53"/>
      <c r="AD8" s="53">
        <f t="shared" si="15"/>
        <v>0.4251820680423235</v>
      </c>
      <c r="AE8" s="53"/>
      <c r="AF8" s="53">
        <f t="shared" si="15"/>
        <v>0.60263112174420752</v>
      </c>
      <c r="AG8" s="53"/>
      <c r="AH8" s="53">
        <f t="shared" si="15"/>
        <v>0.15503816522123012</v>
      </c>
      <c r="AI8" s="53"/>
      <c r="AJ8" s="53">
        <f t="shared" si="15"/>
        <v>5.5085373321371103E-3</v>
      </c>
      <c r="AK8" s="53">
        <f t="shared" si="15"/>
        <v>0.89942111334216257</v>
      </c>
      <c r="AL8" s="53"/>
      <c r="AM8" s="53">
        <f t="shared" si="15"/>
        <v>0.59624072570883357</v>
      </c>
      <c r="AN8" s="53"/>
      <c r="AO8" s="53">
        <f t="shared" si="15"/>
        <v>0.68438116802665871</v>
      </c>
      <c r="AP8" s="53"/>
      <c r="AQ8" s="53">
        <f t="shared" si="15"/>
        <v>1.6500074051921789</v>
      </c>
      <c r="AR8" s="53"/>
      <c r="AS8" s="53">
        <f t="shared" si="15"/>
        <v>0.82396348670625597</v>
      </c>
      <c r="AT8" s="53"/>
      <c r="AU8" s="53">
        <f t="shared" si="15"/>
        <v>1.2000256333575425</v>
      </c>
      <c r="AV8" s="53"/>
      <c r="AW8" s="53">
        <f t="shared" si="15"/>
        <v>0.45802295609575483</v>
      </c>
      <c r="AX8" s="53"/>
      <c r="AY8" s="53">
        <f t="shared" si="15"/>
        <v>3.4855378020819985</v>
      </c>
      <c r="AZ8" s="53"/>
      <c r="BA8" s="53">
        <f t="shared" si="17"/>
        <v>0.46697483658734568</v>
      </c>
      <c r="BB8" s="53"/>
      <c r="BC8" s="53">
        <f t="shared" si="15"/>
        <v>1</v>
      </c>
      <c r="BD8" s="53">
        <f t="shared" si="15"/>
        <v>1</v>
      </c>
      <c r="BE8" s="105">
        <f t="shared" si="18"/>
        <v>0.20002563335754253</v>
      </c>
      <c r="BG8" s="14" t="s">
        <v>148</v>
      </c>
      <c r="BH8" s="26" t="s">
        <v>147</v>
      </c>
      <c r="BI8" s="27">
        <f>AB50</f>
        <v>1037052</v>
      </c>
      <c r="BJ8" s="27">
        <f>AB94</f>
        <v>2213161</v>
      </c>
      <c r="BK8" s="27">
        <f>1000*(BJ8/BI8)/3.412</f>
        <v>625.46563419179665</v>
      </c>
      <c r="BL8" s="27">
        <f>BK8*AB6</f>
        <v>94.104676718459871</v>
      </c>
      <c r="BM8" s="27">
        <f t="shared" si="19"/>
        <v>99.2573307558159</v>
      </c>
      <c r="BO8" s="26">
        <f t="shared" si="13"/>
        <v>1994</v>
      </c>
      <c r="BP8" s="29">
        <f t="shared" si="10"/>
        <v>1.1411764705882355</v>
      </c>
      <c r="BQ8" s="29">
        <f t="shared" si="10"/>
        <v>1.0696202531645571</v>
      </c>
      <c r="BR8" s="29">
        <f t="shared" si="10"/>
        <v>1.1604010025062657</v>
      </c>
      <c r="BS8" s="29">
        <f t="shared" si="10"/>
        <v>1.1510840108401084</v>
      </c>
      <c r="BT8" s="29">
        <f t="shared" si="10"/>
        <v>1.0602985074626867</v>
      </c>
      <c r="BU8" s="29">
        <f t="shared" si="10"/>
        <v>1.2072391767210788</v>
      </c>
      <c r="BV8" s="29">
        <f t="shared" si="10"/>
        <v>0.90603674540682422</v>
      </c>
      <c r="BW8" s="29">
        <f t="shared" si="10"/>
        <v>1.0249240121580547</v>
      </c>
      <c r="BX8" s="29">
        <f t="shared" si="10"/>
        <v>0.97661413319776302</v>
      </c>
      <c r="BZ8" s="26">
        <f t="shared" si="14"/>
        <v>1994</v>
      </c>
      <c r="CA8" s="29">
        <f t="shared" si="11"/>
        <v>0.73975409836065575</v>
      </c>
      <c r="CB8" s="29">
        <f t="shared" si="11"/>
        <v>0.73388042203985937</v>
      </c>
      <c r="CC8" s="29">
        <f t="shared" si="11"/>
        <v>0.5972972972972973</v>
      </c>
      <c r="CD8" s="29">
        <f t="shared" si="11"/>
        <v>0.55495978552278813</v>
      </c>
      <c r="CE8" s="29">
        <f t="shared" si="11"/>
        <v>0.59247967479674801</v>
      </c>
      <c r="CF8" s="29">
        <f t="shared" si="11"/>
        <v>0.55491990846681916</v>
      </c>
      <c r="CG8" s="29">
        <f t="shared" si="11"/>
        <v>0.58786346396965872</v>
      </c>
      <c r="CH8" s="29">
        <f t="shared" si="11"/>
        <v>0.62736535662299853</v>
      </c>
      <c r="CI8" s="29">
        <f t="shared" si="11"/>
        <v>0.67162162162162153</v>
      </c>
    </row>
    <row r="9" spans="1:87" x14ac:dyDescent="0.2">
      <c r="A9" s="26">
        <v>2010</v>
      </c>
      <c r="B9" s="273">
        <v>7.4697073514413974</v>
      </c>
      <c r="C9" s="136">
        <v>3.3234880000000002</v>
      </c>
      <c r="D9" s="100">
        <f t="shared" si="0"/>
        <v>598.27357529615711</v>
      </c>
      <c r="E9" s="273">
        <v>12.564630926138568</v>
      </c>
      <c r="F9" s="136">
        <v>14.118752000000001</v>
      </c>
      <c r="G9" s="273">
        <v>12.571036444997583</v>
      </c>
      <c r="H9" s="273">
        <v>9.9223769513750497</v>
      </c>
      <c r="I9" s="273">
        <v>0.8942953872890933</v>
      </c>
      <c r="J9" s="277">
        <v>612.69932999556579</v>
      </c>
      <c r="K9" s="277">
        <v>513.86544850921223</v>
      </c>
      <c r="L9" s="100">
        <f t="shared" si="3"/>
        <v>330.07492524795077</v>
      </c>
      <c r="M9" s="100">
        <f t="shared" si="4"/>
        <v>427.94894804679029</v>
      </c>
      <c r="N9" s="100">
        <f t="shared" si="5"/>
        <v>101.37010971405736</v>
      </c>
      <c r="O9" s="100">
        <f t="shared" si="6"/>
        <v>884.87274599410068</v>
      </c>
      <c r="P9" s="100">
        <f t="shared" si="7"/>
        <v>193.87628466526695</v>
      </c>
      <c r="Q9" s="100">
        <f t="shared" si="8"/>
        <v>593.83499995737009</v>
      </c>
      <c r="R9" s="101">
        <f t="shared" si="9"/>
        <v>1809.2759994356122</v>
      </c>
      <c r="S9" s="101">
        <f t="shared" si="9"/>
        <v>4821.2668852520537</v>
      </c>
      <c r="T9" s="65"/>
      <c r="U9" s="8">
        <v>2008</v>
      </c>
      <c r="V9" s="53">
        <f t="shared" si="15"/>
        <v>0.33154297414131129</v>
      </c>
      <c r="W9" s="53"/>
      <c r="X9" s="53">
        <f t="shared" si="15"/>
        <v>0.15851756673467984</v>
      </c>
      <c r="Y9" s="53"/>
      <c r="Z9" s="53">
        <f t="shared" si="15"/>
        <v>6.2926810486164412E-3</v>
      </c>
      <c r="AA9" s="53"/>
      <c r="AB9" s="53">
        <f t="shared" si="16"/>
        <v>0.15507597477916482</v>
      </c>
      <c r="AC9" s="53"/>
      <c r="AD9" s="53">
        <f t="shared" si="15"/>
        <v>0.42021805926630146</v>
      </c>
      <c r="AE9" s="53"/>
      <c r="AF9" s="53">
        <f t="shared" si="15"/>
        <v>0.60448382986156624</v>
      </c>
      <c r="AG9" s="53"/>
      <c r="AH9" s="53">
        <f t="shared" si="15"/>
        <v>0.15851756673467984</v>
      </c>
      <c r="AI9" s="53"/>
      <c r="AJ9" s="53">
        <f t="shared" si="15"/>
        <v>6.2926810486164412E-3</v>
      </c>
      <c r="AK9" s="53">
        <f t="shared" si="15"/>
        <v>0.8999453308868598</v>
      </c>
      <c r="AL9" s="53"/>
      <c r="AM9" s="53">
        <f t="shared" si="15"/>
        <v>0.59913299486234906</v>
      </c>
      <c r="AN9" s="53"/>
      <c r="AO9" s="53">
        <f t="shared" si="15"/>
        <v>0.68705174370689426</v>
      </c>
      <c r="AP9" s="53"/>
      <c r="AQ9" s="53">
        <f t="shared" si="15"/>
        <v>1.6508700486020023</v>
      </c>
      <c r="AR9" s="53"/>
      <c r="AS9" s="53">
        <f t="shared" si="15"/>
        <v>0.82548591385608627</v>
      </c>
      <c r="AT9" s="53"/>
      <c r="AU9" s="53">
        <f t="shared" si="15"/>
        <v>1.1998904919059419</v>
      </c>
      <c r="AV9" s="53"/>
      <c r="AW9" s="53">
        <f t="shared" si="15"/>
        <v>0.45772599704599937</v>
      </c>
      <c r="AX9" s="53"/>
      <c r="AY9" s="53">
        <f t="shared" si="15"/>
        <v>3.7403596497213178</v>
      </c>
      <c r="AZ9" s="53"/>
      <c r="BA9" s="53">
        <f t="shared" si="17"/>
        <v>0.46445629995705179</v>
      </c>
      <c r="BB9" s="53"/>
      <c r="BC9" s="53">
        <f t="shared" si="15"/>
        <v>1</v>
      </c>
      <c r="BD9" s="53">
        <f t="shared" si="15"/>
        <v>1</v>
      </c>
      <c r="BE9" s="105">
        <f t="shared" si="18"/>
        <v>0.19989049190594188</v>
      </c>
      <c r="BG9" s="14" t="s">
        <v>21</v>
      </c>
      <c r="BH9" s="26" t="s">
        <v>2</v>
      </c>
      <c r="BI9" s="27">
        <f>AF50</f>
        <v>4146518</v>
      </c>
      <c r="BJ9" s="27">
        <f>AF94</f>
        <v>62917799</v>
      </c>
      <c r="BK9" s="27">
        <f t="shared" si="12"/>
        <v>4447.1414594605158</v>
      </c>
      <c r="BL9" s="27">
        <f>$BK$9*AF6</f>
        <v>2675.2952608201745</v>
      </c>
      <c r="BM9" s="27">
        <f t="shared" si="19"/>
        <v>2821.7797014184434</v>
      </c>
      <c r="BO9" s="26">
        <f t="shared" si="13"/>
        <v>1995</v>
      </c>
      <c r="BP9" s="29">
        <f t="shared" si="10"/>
        <v>1.0721568627450981</v>
      </c>
      <c r="BQ9" s="29">
        <f t="shared" si="10"/>
        <v>1.1578059071729958</v>
      </c>
      <c r="BR9" s="29">
        <f t="shared" si="10"/>
        <v>1.2355889724310776</v>
      </c>
      <c r="BS9" s="29">
        <f t="shared" si="10"/>
        <v>1.1592140921409213</v>
      </c>
      <c r="BT9" s="29">
        <f t="shared" si="10"/>
        <v>1.0949253731343283</v>
      </c>
      <c r="BU9" s="29">
        <f t="shared" si="10"/>
        <v>1.0298083747338538</v>
      </c>
      <c r="BV9" s="29">
        <f t="shared" si="10"/>
        <v>0.92545931758530176</v>
      </c>
      <c r="BW9" s="29">
        <f t="shared" si="10"/>
        <v>1.0996960486322189</v>
      </c>
      <c r="BX9" s="29">
        <f t="shared" si="10"/>
        <v>1.0660904931367563</v>
      </c>
      <c r="BZ9" s="26">
        <f t="shared" si="14"/>
        <v>1995</v>
      </c>
      <c r="CA9" s="29">
        <f t="shared" si="11"/>
        <v>0.71721311475409832</v>
      </c>
      <c r="CB9" s="29">
        <f t="shared" si="11"/>
        <v>0.70339976553341155</v>
      </c>
      <c r="CC9" s="29">
        <f t="shared" si="11"/>
        <v>0.52702702702702697</v>
      </c>
      <c r="CD9" s="29">
        <f t="shared" si="11"/>
        <v>0.51474530831099197</v>
      </c>
      <c r="CE9" s="29">
        <f t="shared" si="11"/>
        <v>0.54166666666666663</v>
      </c>
      <c r="CF9" s="29">
        <f t="shared" si="11"/>
        <v>0.50800915331807783</v>
      </c>
      <c r="CG9" s="29">
        <f t="shared" si="11"/>
        <v>0.5689001264222503</v>
      </c>
      <c r="CH9" s="29">
        <f t="shared" si="11"/>
        <v>0.59970887918486171</v>
      </c>
      <c r="CI9" s="29">
        <f t="shared" si="11"/>
        <v>0.66081081081081072</v>
      </c>
    </row>
    <row r="10" spans="1:87" x14ac:dyDescent="0.2">
      <c r="A10" s="26">
        <v>2011</v>
      </c>
      <c r="B10" s="273">
        <v>7.5039452036262126</v>
      </c>
      <c r="C10" s="136">
        <v>3.3268019999999998</v>
      </c>
      <c r="D10" s="100">
        <f t="shared" si="0"/>
        <v>509.06540927287637</v>
      </c>
      <c r="E10" s="273">
        <v>12.62696153156714</v>
      </c>
      <c r="F10" s="136">
        <v>14.155542000000001</v>
      </c>
      <c r="G10" s="273">
        <v>12.729062875895734</v>
      </c>
      <c r="H10" s="273">
        <v>10.014895603620875</v>
      </c>
      <c r="I10" s="273">
        <v>0.89590851843833308</v>
      </c>
      <c r="J10" s="277">
        <v>607.12058353685688</v>
      </c>
      <c r="K10" s="277">
        <v>512.49681530582814</v>
      </c>
      <c r="L10" s="100">
        <f t="shared" si="3"/>
        <v>328.92853911352898</v>
      </c>
      <c r="M10" s="100">
        <f t="shared" si="4"/>
        <v>421.96543094946509</v>
      </c>
      <c r="N10" s="100">
        <f t="shared" si="5"/>
        <v>100.48012012401459</v>
      </c>
      <c r="O10" s="100">
        <f t="shared" si="6"/>
        <v>867.76923140759607</v>
      </c>
      <c r="P10" s="100">
        <f t="shared" si="7"/>
        <v>189.74116945998625</v>
      </c>
      <c r="Q10" s="100">
        <f t="shared" si="8"/>
        <v>545.5561867575326</v>
      </c>
      <c r="R10" s="101">
        <f t="shared" si="9"/>
        <v>1731.6968882082508</v>
      </c>
      <c r="S10" s="101">
        <f t="shared" si="9"/>
        <v>4753.8685520336949</v>
      </c>
      <c r="T10" s="65"/>
      <c r="U10" s="8">
        <v>2009</v>
      </c>
      <c r="V10" s="53">
        <f t="shared" si="15"/>
        <v>0.32993004926538561</v>
      </c>
      <c r="W10" s="53"/>
      <c r="X10" s="53">
        <f t="shared" si="15"/>
        <v>0.16217913658739067</v>
      </c>
      <c r="Y10" s="53"/>
      <c r="Z10" s="53">
        <f t="shared" si="15"/>
        <v>7.0244408540009583E-3</v>
      </c>
      <c r="AA10" s="53"/>
      <c r="AB10" s="53">
        <f t="shared" si="16"/>
        <v>0.15372822921947105</v>
      </c>
      <c r="AC10" s="53"/>
      <c r="AD10" s="53">
        <f t="shared" si="15"/>
        <v>0.41573185162043919</v>
      </c>
      <c r="AE10" s="53"/>
      <c r="AF10" s="53">
        <f t="shared" si="15"/>
        <v>0.6058808590941237</v>
      </c>
      <c r="AG10" s="53"/>
      <c r="AH10" s="53">
        <f t="shared" si="15"/>
        <v>0.16217913658739067</v>
      </c>
      <c r="AI10" s="53"/>
      <c r="AJ10" s="53">
        <f t="shared" si="15"/>
        <v>7.0244408540009583E-3</v>
      </c>
      <c r="AK10" s="53">
        <f t="shared" si="15"/>
        <v>0.90050200634927258</v>
      </c>
      <c r="AL10" s="53"/>
      <c r="AM10" s="53">
        <f t="shared" si="15"/>
        <v>0.60213563622519284</v>
      </c>
      <c r="AN10" s="53"/>
      <c r="AO10" s="53">
        <f t="shared" si="15"/>
        <v>0.68963990224390825</v>
      </c>
      <c r="AP10" s="53"/>
      <c r="AQ10" s="53">
        <f t="shared" si="15"/>
        <v>1.6517465288375823</v>
      </c>
      <c r="AR10" s="53"/>
      <c r="AS10" s="53">
        <f t="shared" si="15"/>
        <v>0.8271428231374488</v>
      </c>
      <c r="AT10" s="53"/>
      <c r="AU10" s="53">
        <f t="shared" si="15"/>
        <v>1.2000361704863762</v>
      </c>
      <c r="AV10" s="53"/>
      <c r="AW10" s="53">
        <f t="shared" si="15"/>
        <v>0.45777863352466036</v>
      </c>
      <c r="AX10" s="53"/>
      <c r="AY10" s="53">
        <f t="shared" si="15"/>
        <v>3.9234508277872155</v>
      </c>
      <c r="AZ10" s="53"/>
      <c r="BA10" s="53">
        <f t="shared" si="17"/>
        <v>0.4619730296064164</v>
      </c>
      <c r="BB10" s="53"/>
      <c r="BC10" s="53">
        <f t="shared" si="15"/>
        <v>1</v>
      </c>
      <c r="BD10" s="53">
        <f t="shared" si="15"/>
        <v>1</v>
      </c>
      <c r="BE10" s="105">
        <f t="shared" si="18"/>
        <v>0.20003617048637623</v>
      </c>
      <c r="BG10" s="14" t="s">
        <v>22</v>
      </c>
      <c r="BH10" s="26" t="s">
        <v>3</v>
      </c>
      <c r="BI10" s="27">
        <f>AH50</f>
        <v>1005312</v>
      </c>
      <c r="BJ10" s="27">
        <f>AH94</f>
        <v>14816839</v>
      </c>
      <c r="BK10" s="27">
        <f t="shared" si="12"/>
        <v>4319.6212877802727</v>
      </c>
      <c r="BL10" s="27">
        <f>$BK$10*AH6</f>
        <v>630.01916448214479</v>
      </c>
      <c r="BM10" s="27">
        <f t="shared" si="19"/>
        <v>664.51554558329576</v>
      </c>
      <c r="BO10" s="26">
        <f t="shared" si="13"/>
        <v>1996</v>
      </c>
      <c r="BP10" s="29">
        <f t="shared" si="10"/>
        <v>1.0588235294117647</v>
      </c>
      <c r="BQ10" s="29">
        <f t="shared" si="10"/>
        <v>1.1413502109704643</v>
      </c>
      <c r="BR10" s="29">
        <f t="shared" si="10"/>
        <v>1.2124060150375939</v>
      </c>
      <c r="BS10" s="29">
        <f t="shared" si="10"/>
        <v>1.1212737127371275</v>
      </c>
      <c r="BT10" s="29">
        <f t="shared" si="10"/>
        <v>1.0698507462686568</v>
      </c>
      <c r="BU10" s="29">
        <f t="shared" si="10"/>
        <v>1.0028388928317957</v>
      </c>
      <c r="BV10" s="29">
        <f t="shared" si="10"/>
        <v>0.91706036745406816</v>
      </c>
      <c r="BW10" s="29">
        <f t="shared" si="10"/>
        <v>1.0680851063829788</v>
      </c>
      <c r="BX10" s="29">
        <f t="shared" si="10"/>
        <v>1.0284697508896796</v>
      </c>
      <c r="BZ10" s="26">
        <f t="shared" si="14"/>
        <v>1996</v>
      </c>
      <c r="CA10" s="29">
        <f t="shared" si="11"/>
        <v>0.7018442622950819</v>
      </c>
      <c r="CB10" s="29">
        <f t="shared" si="11"/>
        <v>0.71160609613130132</v>
      </c>
      <c r="CC10" s="29">
        <f t="shared" si="11"/>
        <v>0.55810810810810807</v>
      </c>
      <c r="CD10" s="29">
        <f t="shared" si="11"/>
        <v>0.5630026809651475</v>
      </c>
      <c r="CE10" s="29">
        <f t="shared" si="11"/>
        <v>0.5792682926829269</v>
      </c>
      <c r="CF10" s="29">
        <f t="shared" si="11"/>
        <v>0.5389016018306636</v>
      </c>
      <c r="CG10" s="29">
        <f t="shared" si="11"/>
        <v>0.572692793931732</v>
      </c>
      <c r="CH10" s="29">
        <f t="shared" si="11"/>
        <v>0.54148471615720528</v>
      </c>
      <c r="CI10" s="29">
        <f t="shared" si="11"/>
        <v>0.64324324324324322</v>
      </c>
    </row>
    <row r="11" spans="1:87" x14ac:dyDescent="0.2">
      <c r="A11" s="26">
        <v>2012</v>
      </c>
      <c r="B11" s="273">
        <v>7.5557531472919797</v>
      </c>
      <c r="C11" s="136">
        <v>3.3280539999999998</v>
      </c>
      <c r="D11" s="100">
        <f t="shared" si="0"/>
        <v>508.66367701744895</v>
      </c>
      <c r="E11" s="273">
        <v>12.746315758264554</v>
      </c>
      <c r="F11" s="136">
        <v>14.183756000000001</v>
      </c>
      <c r="G11" s="273">
        <v>12.930696944524179</v>
      </c>
      <c r="H11" s="273">
        <v>10.108561422075836</v>
      </c>
      <c r="I11" s="273">
        <v>0.89780003217728965</v>
      </c>
      <c r="J11" s="277">
        <v>602.05445966407012</v>
      </c>
      <c r="K11" s="277">
        <v>512.46034783201901</v>
      </c>
      <c r="L11" s="100">
        <f t="shared" si="3"/>
        <v>330.05891472604372</v>
      </c>
      <c r="M11" s="100">
        <f t="shared" si="4"/>
        <v>417.28564094141103</v>
      </c>
      <c r="N11" s="100">
        <f t="shared" si="5"/>
        <v>100.33676143734998</v>
      </c>
      <c r="O11" s="100">
        <f t="shared" si="6"/>
        <v>872.18527161226473</v>
      </c>
      <c r="P11" s="100">
        <f t="shared" si="7"/>
        <v>189.98900793915473</v>
      </c>
      <c r="Q11" s="100">
        <f t="shared" si="8"/>
        <v>559.66193927224697</v>
      </c>
      <c r="R11" s="101">
        <f t="shared" si="9"/>
        <v>1694.093713982872</v>
      </c>
      <c r="S11" s="101">
        <f t="shared" si="9"/>
        <v>4792.2004181737066</v>
      </c>
      <c r="T11" s="65"/>
      <c r="U11" s="8">
        <v>2010</v>
      </c>
      <c r="V11" s="53">
        <f t="shared" si="15"/>
        <v>0.32809326250737536</v>
      </c>
      <c r="W11" s="53"/>
      <c r="X11" s="53">
        <f t="shared" si="15"/>
        <v>0.16567275605376494</v>
      </c>
      <c r="Y11" s="53"/>
      <c r="Z11" s="53">
        <f t="shared" si="15"/>
        <v>7.7155820897869083E-3</v>
      </c>
      <c r="AA11" s="53"/>
      <c r="AB11" s="53">
        <f t="shared" si="16"/>
        <v>0.15255755802339255</v>
      </c>
      <c r="AC11" s="53"/>
      <c r="AD11" s="53">
        <f t="shared" si="15"/>
        <v>0.41196471841936766</v>
      </c>
      <c r="AE11" s="53"/>
      <c r="AF11" s="53">
        <f t="shared" si="15"/>
        <v>0.6070487354523002</v>
      </c>
      <c r="AG11" s="53"/>
      <c r="AH11" s="53">
        <f t="shared" si="15"/>
        <v>0.16567275605376494</v>
      </c>
      <c r="AI11" s="53"/>
      <c r="AJ11" s="53">
        <f t="shared" si="15"/>
        <v>7.7155820897869083E-3</v>
      </c>
      <c r="AK11" s="53">
        <f t="shared" si="15"/>
        <v>0.90094852483590293</v>
      </c>
      <c r="AL11" s="53"/>
      <c r="AM11" s="53">
        <f t="shared" si="15"/>
        <v>0.60494229071408123</v>
      </c>
      <c r="AN11" s="53"/>
      <c r="AO11" s="53">
        <f t="shared" si="15"/>
        <v>0.69194891692521676</v>
      </c>
      <c r="AP11" s="53"/>
      <c r="AQ11" s="53">
        <f t="shared" si="15"/>
        <v>1.6526219235623778</v>
      </c>
      <c r="AR11" s="53"/>
      <c r="AS11" s="53">
        <f t="shared" si="15"/>
        <v>0.82863731626165515</v>
      </c>
      <c r="AT11" s="53"/>
      <c r="AU11" s="53">
        <f t="shared" si="15"/>
        <v>1.2003243686246003</v>
      </c>
      <c r="AV11" s="53"/>
      <c r="AW11" s="53">
        <f t="shared" si="15"/>
        <v>0.45787173695846789</v>
      </c>
      <c r="AX11" s="53"/>
      <c r="AY11" s="53">
        <f t="shared" si="15"/>
        <v>4.0711013891304644</v>
      </c>
      <c r="AZ11" s="53"/>
      <c r="BA11" s="53">
        <f t="shared" si="17"/>
        <v>0.45986952536697129</v>
      </c>
      <c r="BB11" s="53"/>
      <c r="BC11" s="53">
        <f t="shared" si="15"/>
        <v>1</v>
      </c>
      <c r="BD11" s="53">
        <f t="shared" si="15"/>
        <v>1</v>
      </c>
      <c r="BE11" s="105">
        <f t="shared" si="18"/>
        <v>0.20032436862460035</v>
      </c>
      <c r="BG11" s="125" t="s">
        <v>165</v>
      </c>
      <c r="BH11" s="26" t="s">
        <v>166</v>
      </c>
      <c r="BI11" s="27">
        <f>AJ50</f>
        <v>33013</v>
      </c>
      <c r="BJ11" s="27">
        <f>AJ94</f>
        <v>369877</v>
      </c>
      <c r="BK11" s="27">
        <f>1000*(BJ11/BI11)/3.412</f>
        <v>3283.698783764497</v>
      </c>
      <c r="BL11" s="27">
        <f>$BK$11*AJ6</f>
        <v>15.727349031811862</v>
      </c>
      <c r="BM11" s="27">
        <f t="shared" si="19"/>
        <v>16.588492083481007</v>
      </c>
      <c r="BO11" s="26">
        <f t="shared" si="13"/>
        <v>1997</v>
      </c>
      <c r="BP11" s="29">
        <f t="shared" si="10"/>
        <v>1.0615686274509804</v>
      </c>
      <c r="BQ11" s="29">
        <f t="shared" si="10"/>
        <v>1.1337552742616035</v>
      </c>
      <c r="BR11" s="29">
        <f t="shared" si="10"/>
        <v>1.2030075187969924</v>
      </c>
      <c r="BS11" s="29">
        <f t="shared" si="10"/>
        <v>1.1050135501355012</v>
      </c>
      <c r="BT11" s="29">
        <f t="shared" si="10"/>
        <v>1.0602985074626867</v>
      </c>
      <c r="BU11" s="29">
        <f t="shared" si="10"/>
        <v>0.99929027679205107</v>
      </c>
      <c r="BV11" s="29">
        <f t="shared" si="10"/>
        <v>0.90183727034120731</v>
      </c>
      <c r="BW11" s="29">
        <f t="shared" si="10"/>
        <v>1.0395136778115504</v>
      </c>
      <c r="BX11" s="29">
        <f t="shared" si="10"/>
        <v>1.0228774783934926</v>
      </c>
      <c r="BZ11" s="26">
        <f t="shared" si="14"/>
        <v>1997</v>
      </c>
      <c r="CA11" s="29">
        <f t="shared" si="11"/>
        <v>0.73053278688524592</v>
      </c>
      <c r="CB11" s="29">
        <f t="shared" si="11"/>
        <v>0.77373974208675267</v>
      </c>
      <c r="CC11" s="29">
        <f t="shared" si="11"/>
        <v>0.60810810810810811</v>
      </c>
      <c r="CD11" s="29">
        <f t="shared" si="11"/>
        <v>0.61260053619302957</v>
      </c>
      <c r="CE11" s="29">
        <f t="shared" si="11"/>
        <v>0.6239837398373983</v>
      </c>
      <c r="CF11" s="29">
        <f t="shared" si="11"/>
        <v>0.597254004576659</v>
      </c>
      <c r="CG11" s="29">
        <f t="shared" si="11"/>
        <v>0.60809102402022752</v>
      </c>
      <c r="CH11" s="29">
        <f t="shared" si="11"/>
        <v>0.58951965065502177</v>
      </c>
      <c r="CI11" s="29">
        <f t="shared" si="11"/>
        <v>0.66351351351351351</v>
      </c>
    </row>
    <row r="12" spans="1:87" x14ac:dyDescent="0.2">
      <c r="A12" s="26">
        <v>2013</v>
      </c>
      <c r="B12" s="273">
        <v>7.5952923732964592</v>
      </c>
      <c r="C12" s="136">
        <v>3.3305479999999998</v>
      </c>
      <c r="D12" s="100">
        <f t="shared" si="0"/>
        <v>488.13650115041224</v>
      </c>
      <c r="E12" s="273">
        <v>12.838628898765572</v>
      </c>
      <c r="F12" s="136">
        <v>14.205299999999999</v>
      </c>
      <c r="G12" s="273">
        <v>13.126534263570701</v>
      </c>
      <c r="H12" s="273">
        <v>10.200966225036705</v>
      </c>
      <c r="I12" s="273">
        <v>0.89939571748212199</v>
      </c>
      <c r="J12" s="277">
        <v>598.25098859697232</v>
      </c>
      <c r="K12" s="277">
        <v>512.1654316621474</v>
      </c>
      <c r="L12" s="100">
        <f t="shared" si="3"/>
        <v>328.95775826688026</v>
      </c>
      <c r="M12" s="100">
        <f t="shared" si="4"/>
        <v>407.95291675803401</v>
      </c>
      <c r="N12" s="100">
        <f t="shared" si="5"/>
        <v>99.685417401379254</v>
      </c>
      <c r="O12" s="100">
        <f t="shared" si="6"/>
        <v>867.40142220189921</v>
      </c>
      <c r="P12" s="100">
        <f t="shared" si="7"/>
        <v>188.72739015082587</v>
      </c>
      <c r="Q12" s="100">
        <f t="shared" si="8"/>
        <v>556.30015838775967</v>
      </c>
      <c r="R12" s="213">
        <f t="shared" si="9"/>
        <v>1475.1771637161594</v>
      </c>
      <c r="S12" s="101">
        <f t="shared" si="9"/>
        <v>4817.8438226066828</v>
      </c>
      <c r="T12" s="65"/>
      <c r="U12" s="8">
        <v>2011</v>
      </c>
      <c r="V12" s="53">
        <f t="shared" si="15"/>
        <v>0.32625933262823947</v>
      </c>
      <c r="W12" s="53">
        <f>V12/V11-1</f>
        <v>-5.5896602847632648E-3</v>
      </c>
      <c r="X12" s="53">
        <f t="shared" si="15"/>
        <v>0.16842520821910034</v>
      </c>
      <c r="Y12" s="53">
        <f>X12/X11-1</f>
        <v>1.6613788717573907E-2</v>
      </c>
      <c r="Z12" s="53">
        <f t="shared" si="15"/>
        <v>9.4804002402369501E-3</v>
      </c>
      <c r="AA12" s="53"/>
      <c r="AB12" s="53">
        <f t="shared" si="16"/>
        <v>0.15122096921380543</v>
      </c>
      <c r="AC12" s="53">
        <f>AB12/AB11-1</f>
        <v>-8.7612100436359475E-3</v>
      </c>
      <c r="AD12" s="53">
        <f t="shared" si="15"/>
        <v>0.40782151015227541</v>
      </c>
      <c r="AE12" s="53">
        <f>AD12/AD11-1</f>
        <v>-1.0057191992044801E-2</v>
      </c>
      <c r="AF12" s="53">
        <f t="shared" si="15"/>
        <v>0.6080288452063658</v>
      </c>
      <c r="AG12" s="53">
        <f>AF12/AF11-1</f>
        <v>1.6145487121974611E-3</v>
      </c>
      <c r="AH12" s="53">
        <f t="shared" si="15"/>
        <v>0.16842520821910034</v>
      </c>
      <c r="AI12" s="53">
        <f>AH12/AH11-1</f>
        <v>1.6613788717573907E-2</v>
      </c>
      <c r="AJ12" s="53">
        <f t="shared" si="15"/>
        <v>9.4804002402369501E-3</v>
      </c>
      <c r="AK12" s="53">
        <f t="shared" si="15"/>
        <v>0.90148523964222749</v>
      </c>
      <c r="AL12" s="53">
        <f>AK12/AK11-1</f>
        <v>5.9572194362855768E-4</v>
      </c>
      <c r="AM12" s="53">
        <f t="shared" si="15"/>
        <v>0.60799977301326158</v>
      </c>
      <c r="AN12" s="53">
        <f>AM12/AM11-1</f>
        <v>5.0541718542627123E-3</v>
      </c>
      <c r="AO12" s="53">
        <f t="shared" si="15"/>
        <v>0.69436207711315356</v>
      </c>
      <c r="AP12" s="53">
        <f>AO12/AO11-1</f>
        <v>3.4874831492763825E-3</v>
      </c>
      <c r="AQ12" s="53">
        <f t="shared" si="15"/>
        <v>1.6554781586064244</v>
      </c>
      <c r="AR12" s="53">
        <f>AQ12/AQ11-1</f>
        <v>1.7283051878493882E-3</v>
      </c>
      <c r="AS12" s="53">
        <f t="shared" si="15"/>
        <v>0.83020972652151348</v>
      </c>
      <c r="AT12" s="53">
        <f>AS12/AS11-1</f>
        <v>1.8975856252192447E-3</v>
      </c>
      <c r="AU12" s="53">
        <f t="shared" si="15"/>
        <v>1.2006729094542352</v>
      </c>
      <c r="AV12" s="53"/>
      <c r="AW12" s="53">
        <f t="shared" si="15"/>
        <v>0.45796810808370497</v>
      </c>
      <c r="AX12" s="53">
        <f>AW12/AW11-1</f>
        <v>2.1047624794934272E-4</v>
      </c>
      <c r="AY12" s="53">
        <f t="shared" si="15"/>
        <v>4.0733023201986187</v>
      </c>
      <c r="AZ12" s="53"/>
      <c r="BA12" s="53">
        <f t="shared" si="17"/>
        <v>0.45749862011910375</v>
      </c>
      <c r="BB12" s="53">
        <f>BA12/BA11-1</f>
        <v>-5.1556041813720643E-3</v>
      </c>
      <c r="BC12" s="53">
        <f t="shared" si="15"/>
        <v>1</v>
      </c>
      <c r="BD12" s="53">
        <f t="shared" si="15"/>
        <v>1</v>
      </c>
      <c r="BE12" s="105">
        <f t="shared" si="18"/>
        <v>0.20067290945423522</v>
      </c>
      <c r="BG12" s="14" t="s">
        <v>23</v>
      </c>
      <c r="BH12" s="26" t="s">
        <v>4</v>
      </c>
      <c r="BI12" s="27">
        <f>AD50</f>
        <v>3020635</v>
      </c>
      <c r="BJ12" s="27">
        <f>AD94</f>
        <v>9831042</v>
      </c>
      <c r="BK12" s="27">
        <f t="shared" si="12"/>
        <v>953.87678387562005</v>
      </c>
      <c r="BL12" s="27">
        <f>$BK$12*AD6</f>
        <v>418.02066330267024</v>
      </c>
      <c r="BM12" s="27">
        <f t="shared" si="19"/>
        <v>440.90917356139823</v>
      </c>
      <c r="BO12" s="26">
        <f t="shared" si="13"/>
        <v>1998</v>
      </c>
      <c r="BP12" s="29">
        <f t="shared" si="10"/>
        <v>1.0066666666666668</v>
      </c>
      <c r="BQ12" s="29">
        <f t="shared" si="10"/>
        <v>1.0945147679324896</v>
      </c>
      <c r="BR12" s="29">
        <f t="shared" si="10"/>
        <v>1.1835839598997493</v>
      </c>
      <c r="BS12" s="29">
        <f t="shared" si="10"/>
        <v>1.1016260162601628</v>
      </c>
      <c r="BT12" s="29">
        <f t="shared" si="10"/>
        <v>1.0352238805970149</v>
      </c>
      <c r="BU12" s="29">
        <f t="shared" si="10"/>
        <v>1.0163236337828248</v>
      </c>
      <c r="BV12" s="29">
        <f t="shared" si="10"/>
        <v>0.86876640419947504</v>
      </c>
      <c r="BW12" s="29">
        <f t="shared" si="10"/>
        <v>1.0297872340425533</v>
      </c>
      <c r="BX12" s="29">
        <f t="shared" si="10"/>
        <v>0.96136248093543464</v>
      </c>
      <c r="BZ12" s="26">
        <f t="shared" si="14"/>
        <v>1998</v>
      </c>
      <c r="CA12" s="29">
        <f t="shared" si="11"/>
        <v>0.72028688524590168</v>
      </c>
      <c r="CB12" s="29">
        <f t="shared" si="11"/>
        <v>0.74560375146541624</v>
      </c>
      <c r="CC12" s="29">
        <f t="shared" si="11"/>
        <v>0.57432432432432434</v>
      </c>
      <c r="CD12" s="29">
        <f t="shared" si="11"/>
        <v>0.579088471849866</v>
      </c>
      <c r="CE12" s="29">
        <f t="shared" si="11"/>
        <v>0.59857723577235766</v>
      </c>
      <c r="CF12" s="29">
        <f t="shared" si="11"/>
        <v>0.57093821510297482</v>
      </c>
      <c r="CG12" s="29">
        <f t="shared" si="11"/>
        <v>0.5802781289506953</v>
      </c>
      <c r="CH12" s="29">
        <f t="shared" si="11"/>
        <v>0.62299854439592428</v>
      </c>
      <c r="CI12" s="29">
        <f t="shared" si="11"/>
        <v>0.66891891891891886</v>
      </c>
    </row>
    <row r="13" spans="1:87" x14ac:dyDescent="0.2">
      <c r="A13" s="26">
        <v>2014</v>
      </c>
      <c r="B13" s="273">
        <v>7.635276291780289</v>
      </c>
      <c r="C13" s="136">
        <v>3.3323320000000001</v>
      </c>
      <c r="D13" s="100">
        <f t="shared" si="0"/>
        <v>477.20453272330167</v>
      </c>
      <c r="E13" s="273">
        <v>12.930065224586755</v>
      </c>
      <c r="F13" s="136">
        <v>14.223682999999999</v>
      </c>
      <c r="G13" s="273">
        <v>13.314643387856268</v>
      </c>
      <c r="H13" s="273">
        <v>10.419650598827442</v>
      </c>
      <c r="I13" s="273">
        <v>0.90115040773372079</v>
      </c>
      <c r="J13" s="277">
        <v>586.7019452343286</v>
      </c>
      <c r="K13" s="277">
        <v>498.38133561714113</v>
      </c>
      <c r="L13" s="100">
        <f t="shared" si="3"/>
        <v>328.65736082972791</v>
      </c>
      <c r="M13" s="100">
        <f t="shared" si="4"/>
        <v>399.64312438561626</v>
      </c>
      <c r="N13" s="100">
        <f t="shared" si="5"/>
        <v>99.271630484309156</v>
      </c>
      <c r="O13" s="100">
        <f t="shared" si="6"/>
        <v>862.7625119393374</v>
      </c>
      <c r="P13" s="100">
        <f t="shared" si="7"/>
        <v>187.76518042757556</v>
      </c>
      <c r="Q13" s="100">
        <f t="shared" si="8"/>
        <v>561.85662958823025</v>
      </c>
      <c r="R13" s="101">
        <f t="shared" si="9"/>
        <v>1379.7716408159679</v>
      </c>
      <c r="S13" s="101">
        <f t="shared" si="9"/>
        <v>4886.6071724942231</v>
      </c>
      <c r="T13" s="65"/>
      <c r="U13" s="8">
        <v>2012</v>
      </c>
      <c r="V13" s="53">
        <f t="shared" si="15"/>
        <v>0.32374173467976208</v>
      </c>
      <c r="W13" s="53">
        <f t="shared" ref="W13:AA37" si="20">V13/V12-1</f>
        <v>-7.7165545831178184E-3</v>
      </c>
      <c r="X13" s="53">
        <f t="shared" si="15"/>
        <v>0.17275708950062249</v>
      </c>
      <c r="Y13" s="53">
        <f t="shared" si="20"/>
        <v>2.5719910501086574E-2</v>
      </c>
      <c r="Z13" s="53">
        <f t="shared" si="15"/>
        <v>1.2211094203900954E-2</v>
      </c>
      <c r="AA13" s="53"/>
      <c r="AB13" s="53">
        <f t="shared" si="16"/>
        <v>0.14911855028358004</v>
      </c>
      <c r="AC13" s="53">
        <f t="shared" ref="AC13:AE28" si="21">AB13/AB12-1</f>
        <v>-1.3902958968956658E-2</v>
      </c>
      <c r="AD13" s="53">
        <f t="shared" si="15"/>
        <v>0.40139286208327568</v>
      </c>
      <c r="AE13" s="53">
        <f t="shared" si="21"/>
        <v>-1.5763386454528461E-2</v>
      </c>
      <c r="AF13" s="53">
        <f t="shared" si="15"/>
        <v>0.60756218010789875</v>
      </c>
      <c r="AG13" s="53">
        <f t="shared" ref="AG13:AG44" si="22">AF13/AF12-1</f>
        <v>-7.6750486781373972E-4</v>
      </c>
      <c r="AH13" s="53">
        <f t="shared" si="15"/>
        <v>0.17275708950062249</v>
      </c>
      <c r="AI13" s="53">
        <f t="shared" ref="AI13:AI44" si="23">AH13/AH12-1</f>
        <v>2.5719910501086574E-2</v>
      </c>
      <c r="AJ13" s="53">
        <f t="shared" si="15"/>
        <v>1.2211094203900954E-2</v>
      </c>
      <c r="AK13" s="53">
        <f t="shared" si="15"/>
        <v>0.90248014939825705</v>
      </c>
      <c r="AL13" s="53">
        <f t="shared" ref="AL13:AL44" si="24">AK13/AK12-1</f>
        <v>1.1036339945227347E-3</v>
      </c>
      <c r="AM13" s="53">
        <f t="shared" si="15"/>
        <v>0.61212754184534512</v>
      </c>
      <c r="AN13" s="53">
        <f t="shared" ref="AN13:AN44" si="25">AM13/AM12-1</f>
        <v>6.7890960084182606E-3</v>
      </c>
      <c r="AO13" s="53">
        <f t="shared" si="15"/>
        <v>0.69747129616821135</v>
      </c>
      <c r="AP13" s="53">
        <f t="shared" ref="AP13:AR36" si="26">AO13/AO12-1</f>
        <v>4.4778065472477202E-3</v>
      </c>
      <c r="AQ13" s="53">
        <f t="shared" si="15"/>
        <v>1.6588839396873702</v>
      </c>
      <c r="AR13" s="53">
        <f t="shared" si="26"/>
        <v>2.0572793807276391E-3</v>
      </c>
      <c r="AS13" s="53">
        <f t="shared" si="15"/>
        <v>0.83223931387467143</v>
      </c>
      <c r="AT13" s="53">
        <f t="shared" ref="AT13:AT44" si="27">AS13/AS12-1</f>
        <v>2.4446682426400024E-3</v>
      </c>
      <c r="AU13" s="53">
        <f t="shared" si="15"/>
        <v>1.200900262830267</v>
      </c>
      <c r="AV13" s="53"/>
      <c r="AW13" s="53">
        <f t="shared" si="15"/>
        <v>0.45794618896112876</v>
      </c>
      <c r="AX13" s="53">
        <f t="shared" ref="AX13:AX44" si="28">AW13/AW12-1</f>
        <v>-4.7861678988847522E-5</v>
      </c>
      <c r="AY13" s="53">
        <f t="shared" si="15"/>
        <v>4.0627656660672296</v>
      </c>
      <c r="AZ13" s="53"/>
      <c r="BA13" s="53">
        <f t="shared" si="17"/>
        <v>0.45347295614884492</v>
      </c>
      <c r="BB13" s="53">
        <f t="shared" ref="BB13:BB44" si="29">BA13/BA12-1</f>
        <v>-8.7992920485985282E-3</v>
      </c>
      <c r="BC13" s="53">
        <f t="shared" si="15"/>
        <v>1</v>
      </c>
      <c r="BD13" s="53">
        <f t="shared" si="15"/>
        <v>1</v>
      </c>
      <c r="BE13" s="105">
        <f t="shared" si="18"/>
        <v>0.20090026283026696</v>
      </c>
      <c r="BG13" s="14" t="s">
        <v>24</v>
      </c>
      <c r="BH13" s="26" t="s">
        <v>5</v>
      </c>
      <c r="BI13" s="27">
        <f>AO50</f>
        <v>4698168</v>
      </c>
      <c r="BJ13" s="27">
        <f>AO94</f>
        <v>47715975</v>
      </c>
      <c r="BK13" s="27">
        <f t="shared" si="12"/>
        <v>2976.6394783383407</v>
      </c>
      <c r="BL13" s="27">
        <f>$BK$13*AO6</f>
        <v>2028.9063478351156</v>
      </c>
      <c r="BM13" s="27">
        <f t="shared" si="19"/>
        <v>2139.998090022028</v>
      </c>
      <c r="BO13" s="26">
        <f t="shared" si="13"/>
        <v>1999</v>
      </c>
      <c r="BP13" s="29">
        <f t="shared" si="10"/>
        <v>0.95764705882352952</v>
      </c>
      <c r="BQ13" s="29">
        <f t="shared" si="10"/>
        <v>1.0244725738396625</v>
      </c>
      <c r="BR13" s="29">
        <f t="shared" si="10"/>
        <v>1.1328320802005012</v>
      </c>
      <c r="BS13" s="29">
        <f t="shared" si="10"/>
        <v>1.0907859078590787</v>
      </c>
      <c r="BT13" s="29">
        <f t="shared" si="10"/>
        <v>1.008955223880597</v>
      </c>
      <c r="BU13" s="29">
        <f t="shared" si="10"/>
        <v>0.9971611071682045</v>
      </c>
      <c r="BV13" s="29">
        <f t="shared" si="10"/>
        <v>0.84619422572178482</v>
      </c>
      <c r="BW13" s="29">
        <f t="shared" si="10"/>
        <v>0.98905775075987845</v>
      </c>
      <c r="BX13" s="29">
        <f t="shared" si="10"/>
        <v>0.94509405185561757</v>
      </c>
      <c r="BZ13" s="26">
        <f t="shared" si="14"/>
        <v>1999</v>
      </c>
      <c r="CA13" s="29">
        <f t="shared" si="11"/>
        <v>0.70389344262295084</v>
      </c>
      <c r="CB13" s="29">
        <f t="shared" si="11"/>
        <v>0.7198124267291911</v>
      </c>
      <c r="CC13" s="29">
        <f t="shared" si="11"/>
        <v>0.55810810810810807</v>
      </c>
      <c r="CD13" s="29">
        <f t="shared" si="11"/>
        <v>0.57238605898123318</v>
      </c>
      <c r="CE13" s="29">
        <f t="shared" si="11"/>
        <v>0.55081300813008127</v>
      </c>
      <c r="CF13" s="29">
        <f t="shared" si="11"/>
        <v>0.54919908466819223</v>
      </c>
      <c r="CG13" s="29">
        <f t="shared" si="11"/>
        <v>0.5777496839443742</v>
      </c>
      <c r="CH13" s="29">
        <f t="shared" si="11"/>
        <v>0.62008733624454149</v>
      </c>
      <c r="CI13" s="29">
        <f t="shared" si="11"/>
        <v>0.63783783783783776</v>
      </c>
    </row>
    <row r="14" spans="1:87" x14ac:dyDescent="0.2">
      <c r="A14" s="26">
        <v>2015</v>
      </c>
      <c r="B14" s="273">
        <v>7.7196976347319382</v>
      </c>
      <c r="C14" s="136">
        <v>3.3338220000000001</v>
      </c>
      <c r="D14" s="100">
        <f t="shared" si="0"/>
        <v>466.46549424398955</v>
      </c>
      <c r="E14" s="273">
        <v>13.171210355277122</v>
      </c>
      <c r="F14" s="136">
        <v>14.239455</v>
      </c>
      <c r="G14" s="273">
        <v>13.553538884491955</v>
      </c>
      <c r="H14" s="273">
        <v>10.552511931522398</v>
      </c>
      <c r="I14" s="273">
        <v>0.91566968633018497</v>
      </c>
      <c r="J14" s="277">
        <v>580.17728566208984</v>
      </c>
      <c r="K14" s="277">
        <v>492.0947901058417</v>
      </c>
      <c r="L14" s="100">
        <f t="shared" si="3"/>
        <v>328.40752335776909</v>
      </c>
      <c r="M14" s="100">
        <f t="shared" si="4"/>
        <v>391.49249812430116</v>
      </c>
      <c r="N14" s="100">
        <f t="shared" si="5"/>
        <v>95.534062964431186</v>
      </c>
      <c r="O14" s="100">
        <f t="shared" si="6"/>
        <v>840.55453418864613</v>
      </c>
      <c r="P14" s="100">
        <f t="shared" si="7"/>
        <v>186.83683348054376</v>
      </c>
      <c r="Q14" s="100">
        <f t="shared" si="8"/>
        <v>566.92481304903333</v>
      </c>
      <c r="R14" s="101">
        <f t="shared" si="9"/>
        <v>1320.4908456215621</v>
      </c>
      <c r="S14" s="101">
        <f t="shared" si="9"/>
        <v>4952.0930850566565</v>
      </c>
      <c r="T14" s="65"/>
      <c r="U14" s="8">
        <v>2013</v>
      </c>
      <c r="V14" s="53">
        <f t="shared" si="15"/>
        <v>0.32242258550973157</v>
      </c>
      <c r="W14" s="53">
        <f t="shared" si="20"/>
        <v>-4.0746960577553448E-3</v>
      </c>
      <c r="X14" s="53">
        <f t="shared" si="15"/>
        <v>0.17531986638202568</v>
      </c>
      <c r="Y14" s="53">
        <f t="shared" si="20"/>
        <v>1.4834568519365821E-2</v>
      </c>
      <c r="Z14" s="53">
        <f t="shared" si="15"/>
        <v>1.3711422590055686E-2</v>
      </c>
      <c r="AA14" s="53"/>
      <c r="AB14" s="53">
        <f t="shared" si="16"/>
        <v>0.14787201845712264</v>
      </c>
      <c r="AC14" s="53">
        <f t="shared" si="21"/>
        <v>-8.3593343959343924E-3</v>
      </c>
      <c r="AD14" s="53">
        <f t="shared" si="15"/>
        <v>0.39748041210584689</v>
      </c>
      <c r="AE14" s="53">
        <f t="shared" si="21"/>
        <v>-9.7471837369571546E-3</v>
      </c>
      <c r="AF14" s="53">
        <f t="shared" si="15"/>
        <v>0.60874410041983951</v>
      </c>
      <c r="AG14" s="53">
        <f t="shared" si="22"/>
        <v>1.9453487241929412E-3</v>
      </c>
      <c r="AH14" s="53">
        <f t="shared" si="15"/>
        <v>0.17531986638202568</v>
      </c>
      <c r="AI14" s="53">
        <f t="shared" si="23"/>
        <v>1.4834568519365821E-2</v>
      </c>
      <c r="AJ14" s="53">
        <f t="shared" si="15"/>
        <v>1.3711422590055686E-2</v>
      </c>
      <c r="AK14" s="53">
        <f t="shared" si="15"/>
        <v>0.90293452325275925</v>
      </c>
      <c r="AL14" s="53">
        <f t="shared" si="24"/>
        <v>5.0347240856774E-4</v>
      </c>
      <c r="AM14" s="53">
        <f t="shared" si="15"/>
        <v>0.61488223982715462</v>
      </c>
      <c r="AN14" s="53">
        <f t="shared" si="25"/>
        <v>4.5002026432352515E-3</v>
      </c>
      <c r="AO14" s="53">
        <f t="shared" si="15"/>
        <v>0.6998520360981777</v>
      </c>
      <c r="AP14" s="53">
        <f t="shared" si="26"/>
        <v>3.4133876806770047E-3</v>
      </c>
      <c r="AQ14" s="53">
        <f t="shared" si="15"/>
        <v>1.6617539143071216</v>
      </c>
      <c r="AR14" s="53">
        <f t="shared" si="26"/>
        <v>1.7300635391601649E-3</v>
      </c>
      <c r="AS14" s="53">
        <f t="shared" si="15"/>
        <v>0.8334370866884423</v>
      </c>
      <c r="AT14" s="53">
        <f t="shared" si="27"/>
        <v>1.4392168139647499E-3</v>
      </c>
      <c r="AU14" s="53">
        <f t="shared" si="15"/>
        <v>1.2009131029949156</v>
      </c>
      <c r="AV14" s="53"/>
      <c r="AW14" s="53">
        <f t="shared" si="15"/>
        <v>0.45762572006871827</v>
      </c>
      <c r="AX14" s="53">
        <f t="shared" si="28"/>
        <v>-6.9979595886038304E-4</v>
      </c>
      <c r="AY14" s="53">
        <f t="shared" si="15"/>
        <v>4.0449035520841612</v>
      </c>
      <c r="AZ14" s="53"/>
      <c r="BA14" s="53">
        <f t="shared" si="17"/>
        <v>0.45102554646839327</v>
      </c>
      <c r="BB14" s="53">
        <f t="shared" si="29"/>
        <v>-5.3970355834148664E-3</v>
      </c>
      <c r="BC14" s="53">
        <f t="shared" si="15"/>
        <v>1</v>
      </c>
      <c r="BD14" s="53">
        <f t="shared" si="15"/>
        <v>1</v>
      </c>
      <c r="BE14" s="105">
        <f t="shared" si="18"/>
        <v>0.2009131029949156</v>
      </c>
      <c r="BG14" s="14" t="s">
        <v>25</v>
      </c>
      <c r="BH14" s="26" t="s">
        <v>6</v>
      </c>
      <c r="BI14" s="332"/>
      <c r="BJ14" s="332"/>
      <c r="BK14" s="27">
        <f>L4</f>
        <v>331.40747338337758</v>
      </c>
      <c r="BL14" s="27">
        <f>$BK$14*AQ6</f>
        <v>547.23216496934344</v>
      </c>
      <c r="BM14" s="27">
        <f t="shared" si="19"/>
        <v>577.19558573148345</v>
      </c>
      <c r="BO14" s="26">
        <f>BO15-1</f>
        <v>2000</v>
      </c>
      <c r="BP14" s="29">
        <f t="shared" si="10"/>
        <v>0.93803921568627457</v>
      </c>
      <c r="BQ14" s="29">
        <f t="shared" si="10"/>
        <v>1.0291139240506331</v>
      </c>
      <c r="BR14" s="29">
        <f t="shared" si="10"/>
        <v>1.1027568922305764</v>
      </c>
      <c r="BS14" s="29">
        <f t="shared" si="10"/>
        <v>1.0670731707317074</v>
      </c>
      <c r="BT14" s="29">
        <f t="shared" si="10"/>
        <v>0.9850746268656716</v>
      </c>
      <c r="BU14" s="29">
        <f t="shared" si="10"/>
        <v>0.9772888573456352</v>
      </c>
      <c r="BV14" s="29">
        <f t="shared" si="10"/>
        <v>0.87349081364829395</v>
      </c>
      <c r="BW14" s="29">
        <f t="shared" si="10"/>
        <v>0.96534954407294837</v>
      </c>
      <c r="BX14" s="29">
        <f t="shared" si="10"/>
        <v>0.95017793594306044</v>
      </c>
      <c r="BZ14" s="26">
        <f>BZ15-1</f>
        <v>2000</v>
      </c>
      <c r="CA14" s="29">
        <f t="shared" si="11"/>
        <v>0.74590163934426235</v>
      </c>
      <c r="CB14" s="29">
        <f t="shared" si="11"/>
        <v>0.73505275498241496</v>
      </c>
      <c r="CC14" s="29">
        <f t="shared" si="11"/>
        <v>0.6527027027027027</v>
      </c>
      <c r="CD14" s="29">
        <f t="shared" si="11"/>
        <v>0.70911528150134051</v>
      </c>
      <c r="CE14" s="29">
        <f t="shared" si="11"/>
        <v>0.6707317073170731</v>
      </c>
      <c r="CF14" s="29">
        <f t="shared" si="11"/>
        <v>0.63958810068649885</v>
      </c>
      <c r="CG14" s="29">
        <f t="shared" si="11"/>
        <v>0.67888748419721867</v>
      </c>
      <c r="CH14" s="29">
        <f t="shared" si="11"/>
        <v>0.67831149927219803</v>
      </c>
      <c r="CI14" s="29">
        <f t="shared" si="11"/>
        <v>0.7675675675675675</v>
      </c>
    </row>
    <row r="15" spans="1:87" x14ac:dyDescent="0.2">
      <c r="A15" s="26">
        <v>2016</v>
      </c>
      <c r="B15" s="273">
        <v>7.7724918360180952</v>
      </c>
      <c r="C15" s="136">
        <v>3.3352529999999998</v>
      </c>
      <c r="D15" s="100">
        <f t="shared" si="0"/>
        <v>456.99523312190672</v>
      </c>
      <c r="E15" s="273">
        <v>13.312646989338417</v>
      </c>
      <c r="F15" s="136">
        <v>14.253272000000001</v>
      </c>
      <c r="G15" s="273">
        <v>13.744421035619197</v>
      </c>
      <c r="H15" s="273">
        <v>10.666220541043755</v>
      </c>
      <c r="I15" s="273">
        <v>0.92300591408560773</v>
      </c>
      <c r="J15" s="277">
        <v>574.49029315673295</v>
      </c>
      <c r="K15" s="277">
        <v>486.45131570292983</v>
      </c>
      <c r="L15" s="100">
        <f t="shared" si="3"/>
        <v>328.50193252057164</v>
      </c>
      <c r="M15" s="100">
        <f t="shared" si="4"/>
        <v>383.91988906672003</v>
      </c>
      <c r="N15" s="100">
        <f t="shared" si="5"/>
        <v>91.595181421688324</v>
      </c>
      <c r="O15" s="100">
        <f t="shared" si="6"/>
        <v>820.31364689948157</v>
      </c>
      <c r="P15" s="100">
        <f t="shared" si="7"/>
        <v>186.33383948957794</v>
      </c>
      <c r="Q15" s="100">
        <f t="shared" si="8"/>
        <v>571.45173986577925</v>
      </c>
      <c r="R15" s="101">
        <f t="shared" si="9"/>
        <v>1280.1764434167699</v>
      </c>
      <c r="S15" s="101">
        <f t="shared" si="9"/>
        <v>5047.970631620412</v>
      </c>
      <c r="T15" s="65"/>
      <c r="U15" s="8">
        <v>2014</v>
      </c>
      <c r="V15" s="53">
        <f t="shared" si="15"/>
        <v>0.32077427165230604</v>
      </c>
      <c r="W15" s="53">
        <f t="shared" si="20"/>
        <v>-5.1122778970946747E-3</v>
      </c>
      <c r="X15" s="53">
        <f t="shared" si="15"/>
        <v>0.17867097895504891</v>
      </c>
      <c r="Y15" s="53">
        <f t="shared" si="20"/>
        <v>1.9114277475668962E-2</v>
      </c>
      <c r="Z15" s="53">
        <f t="shared" si="15"/>
        <v>1.5868292109714674E-2</v>
      </c>
      <c r="AA15" s="53"/>
      <c r="AB15" s="53">
        <f t="shared" si="16"/>
        <v>0.14621212742292947</v>
      </c>
      <c r="AC15" s="53">
        <f t="shared" si="21"/>
        <v>-1.122518683055973E-2</v>
      </c>
      <c r="AD15" s="53">
        <f t="shared" si="15"/>
        <v>0.39212884396238634</v>
      </c>
      <c r="AE15" s="53">
        <f t="shared" si="21"/>
        <v>-1.3463727973683004E-2</v>
      </c>
      <c r="AF15" s="53">
        <f t="shared" si="15"/>
        <v>0.60912043527331661</v>
      </c>
      <c r="AG15" s="53">
        <f t="shared" si="22"/>
        <v>6.1821519620064436E-4</v>
      </c>
      <c r="AH15" s="53">
        <f t="shared" si="15"/>
        <v>0.17867097895504891</v>
      </c>
      <c r="AI15" s="53">
        <f t="shared" si="23"/>
        <v>1.9114277475668962E-2</v>
      </c>
      <c r="AJ15" s="53">
        <f t="shared" si="15"/>
        <v>1.5868292109714674E-2</v>
      </c>
      <c r="AK15" s="53">
        <f t="shared" si="15"/>
        <v>0.90375507950952505</v>
      </c>
      <c r="AL15" s="53">
        <f t="shared" si="24"/>
        <v>9.0876606845169405E-4</v>
      </c>
      <c r="AM15" s="53">
        <f t="shared" si="15"/>
        <v>0.61851441938507534</v>
      </c>
      <c r="AN15" s="53">
        <f t="shared" si="25"/>
        <v>5.9071141149591444E-3</v>
      </c>
      <c r="AO15" s="53">
        <f t="shared" si="15"/>
        <v>0.70247765289084552</v>
      </c>
      <c r="AP15" s="53">
        <f t="shared" si="26"/>
        <v>3.7516741500192019E-3</v>
      </c>
      <c r="AQ15" s="53">
        <f t="shared" si="15"/>
        <v>1.6648400928043812</v>
      </c>
      <c r="AR15" s="53">
        <f t="shared" si="26"/>
        <v>1.8571814218029115E-3</v>
      </c>
      <c r="AS15" s="53">
        <f t="shared" si="15"/>
        <v>0.83510743828754597</v>
      </c>
      <c r="AT15" s="53">
        <f t="shared" si="27"/>
        <v>2.0041723913926113E-3</v>
      </c>
      <c r="AU15" s="53">
        <f t="shared" si="15"/>
        <v>1.2008650537942946</v>
      </c>
      <c r="AV15" s="53"/>
      <c r="AW15" s="53">
        <f t="shared" si="15"/>
        <v>0.45748392456501363</v>
      </c>
      <c r="AX15" s="53">
        <f t="shared" si="28"/>
        <v>-3.0985038096931206E-4</v>
      </c>
      <c r="AY15" s="53">
        <f t="shared" si="15"/>
        <v>4.025574630189845</v>
      </c>
      <c r="AZ15" s="53"/>
      <c r="BA15" s="53">
        <f t="shared" si="17"/>
        <v>0.44759339875550308</v>
      </c>
      <c r="BB15" s="53">
        <f t="shared" si="29"/>
        <v>-7.6096525790267933E-3</v>
      </c>
      <c r="BC15" s="53">
        <f t="shared" si="15"/>
        <v>1</v>
      </c>
      <c r="BD15" s="53">
        <f t="shared" si="15"/>
        <v>1</v>
      </c>
      <c r="BE15" s="105">
        <f t="shared" si="18"/>
        <v>0.20086505379429465</v>
      </c>
      <c r="BG15" s="14" t="s">
        <v>26</v>
      </c>
      <c r="BH15" s="26" t="s">
        <v>7</v>
      </c>
      <c r="BI15" s="332"/>
      <c r="BJ15" s="332"/>
      <c r="BK15" s="27">
        <f>J4</f>
        <v>666.18340837714163</v>
      </c>
      <c r="BL15" s="27">
        <f>$BK$15*1</f>
        <v>666.18340837714163</v>
      </c>
      <c r="BM15" s="27">
        <f t="shared" si="19"/>
        <v>702.65994438463133</v>
      </c>
      <c r="BO15" s="28">
        <v>2001</v>
      </c>
      <c r="BP15" s="29">
        <f t="shared" si="10"/>
        <v>0.98078431372549024</v>
      </c>
      <c r="BQ15" s="29">
        <f t="shared" si="10"/>
        <v>1.0113924050632912</v>
      </c>
      <c r="BR15" s="29">
        <f t="shared" si="10"/>
        <v>1.0664160401002505</v>
      </c>
      <c r="BS15" s="29">
        <f t="shared" si="10"/>
        <v>1.0447154471544715</v>
      </c>
      <c r="BT15" s="29">
        <f t="shared" si="10"/>
        <v>1.0065671641791045</v>
      </c>
      <c r="BU15" s="29">
        <f t="shared" si="10"/>
        <v>0.96664300922640167</v>
      </c>
      <c r="BV15" s="29">
        <f t="shared" si="10"/>
        <v>0.92913385826771644</v>
      </c>
      <c r="BW15" s="29">
        <f t="shared" si="10"/>
        <v>0.99209726443769009</v>
      </c>
      <c r="BX15" s="29">
        <f t="shared" si="10"/>
        <v>1.0676156583629892</v>
      </c>
      <c r="BZ15" s="28">
        <v>2001</v>
      </c>
      <c r="CA15" s="29">
        <f t="shared" si="11"/>
        <v>0.89241803278688536</v>
      </c>
      <c r="CB15" s="29">
        <f t="shared" si="11"/>
        <v>0.86400937866354055</v>
      </c>
      <c r="CC15" s="29">
        <f t="shared" si="11"/>
        <v>0.78648648648648645</v>
      </c>
      <c r="CD15" s="29">
        <f t="shared" si="11"/>
        <v>0.86327077747989278</v>
      </c>
      <c r="CE15" s="29">
        <f t="shared" si="11"/>
        <v>0.80182926829268286</v>
      </c>
      <c r="CF15" s="29">
        <f t="shared" si="11"/>
        <v>0.83180778032036606</v>
      </c>
      <c r="CG15" s="29">
        <f t="shared" si="11"/>
        <v>0.82048040455120097</v>
      </c>
      <c r="CH15" s="29">
        <f t="shared" si="11"/>
        <v>0.85735080058224156</v>
      </c>
      <c r="CI15" s="29">
        <f t="shared" si="11"/>
        <v>0.95270270270270263</v>
      </c>
    </row>
    <row r="16" spans="1:87" x14ac:dyDescent="0.2">
      <c r="A16" s="26">
        <v>2017</v>
      </c>
      <c r="B16" s="273">
        <v>7.818471781299448</v>
      </c>
      <c r="C16" s="136">
        <v>3.3345129999999998</v>
      </c>
      <c r="D16" s="100">
        <f t="shared" si="0"/>
        <v>447.77982964277294</v>
      </c>
      <c r="E16" s="273">
        <v>13.436670398255115</v>
      </c>
      <c r="F16" s="136">
        <v>14.254208</v>
      </c>
      <c r="G16" s="273">
        <v>13.913943063027574</v>
      </c>
      <c r="H16" s="273">
        <v>10.7661646875353</v>
      </c>
      <c r="I16" s="273">
        <v>0.93009448243949511</v>
      </c>
      <c r="J16" s="277">
        <v>569.60198343941704</v>
      </c>
      <c r="K16" s="277">
        <v>481.47063206253006</v>
      </c>
      <c r="L16" s="100">
        <f t="shared" si="3"/>
        <v>328.66365902542094</v>
      </c>
      <c r="M16" s="100">
        <f t="shared" si="4"/>
        <v>376.92342140897767</v>
      </c>
      <c r="N16" s="100">
        <f t="shared" si="5"/>
        <v>87.655632465839105</v>
      </c>
      <c r="O16" s="100">
        <f t="shared" si="6"/>
        <v>800.9002269410704</v>
      </c>
      <c r="P16" s="100">
        <f t="shared" si="7"/>
        <v>185.94853674286867</v>
      </c>
      <c r="Q16" s="100">
        <f t="shared" si="8"/>
        <v>575.15105146864869</v>
      </c>
      <c r="R16" s="101">
        <f t="shared" si="9"/>
        <v>1250.9545692456691</v>
      </c>
      <c r="S16" s="101">
        <f t="shared" si="9"/>
        <v>5140.8390598840633</v>
      </c>
      <c r="T16" s="65"/>
      <c r="U16" s="8">
        <v>2015</v>
      </c>
      <c r="V16" s="53">
        <f t="shared" si="15"/>
        <v>0.31907695073155601</v>
      </c>
      <c r="W16" s="53">
        <f t="shared" si="20"/>
        <v>-5.2913249931396678E-3</v>
      </c>
      <c r="X16" s="53">
        <f t="shared" si="15"/>
        <v>0.18241799010806256</v>
      </c>
      <c r="Y16" s="53">
        <f t="shared" si="20"/>
        <v>2.0971571180322224E-2</v>
      </c>
      <c r="Z16" s="53">
        <f t="shared" si="15"/>
        <v>1.8414492316820415E-2</v>
      </c>
      <c r="AA16" s="53"/>
      <c r="AB16" s="53">
        <f t="shared" si="16"/>
        <v>0.14431781244783892</v>
      </c>
      <c r="AC16" s="53">
        <f t="shared" si="21"/>
        <v>-1.2955936066856411E-2</v>
      </c>
      <c r="AD16" s="53">
        <f t="shared" si="15"/>
        <v>0.38585935446289377</v>
      </c>
      <c r="AE16" s="53">
        <f t="shared" si="21"/>
        <v>-1.5988340556998049E-2</v>
      </c>
      <c r="AF16" s="53">
        <f t="shared" si="15"/>
        <v>0.60906060382851357</v>
      </c>
      <c r="AG16" s="53">
        <f t="shared" si="22"/>
        <v>-9.8225968689136245E-5</v>
      </c>
      <c r="AH16" s="53">
        <f t="shared" si="15"/>
        <v>0.18241799010806256</v>
      </c>
      <c r="AI16" s="53">
        <f t="shared" si="23"/>
        <v>2.0971571180322224E-2</v>
      </c>
      <c r="AJ16" s="53">
        <f t="shared" si="15"/>
        <v>1.8414492316820415E-2</v>
      </c>
      <c r="AK16" s="53">
        <f t="shared" si="15"/>
        <v>0.90482845212600971</v>
      </c>
      <c r="AL16" s="53">
        <f t="shared" si="24"/>
        <v>1.1876808671074102E-3</v>
      </c>
      <c r="AM16" s="53">
        <f t="shared" si="15"/>
        <v>0.62274064378010141</v>
      </c>
      <c r="AN16" s="53">
        <f t="shared" si="25"/>
        <v>6.8328631678915563E-3</v>
      </c>
      <c r="AO16" s="53">
        <f t="shared" si="15"/>
        <v>0.70516958138007324</v>
      </c>
      <c r="AP16" s="53">
        <f t="shared" si="26"/>
        <v>3.8320485757088463E-3</v>
      </c>
      <c r="AQ16" s="53">
        <f t="shared" si="15"/>
        <v>1.6680300123463381</v>
      </c>
      <c r="AR16" s="53">
        <f t="shared" si="26"/>
        <v>1.9160516110490189E-3</v>
      </c>
      <c r="AS16" s="53">
        <f t="shared" si="15"/>
        <v>0.83707564108715349</v>
      </c>
      <c r="AT16" s="53">
        <f t="shared" si="27"/>
        <v>2.3568258518251728E-3</v>
      </c>
      <c r="AU16" s="53">
        <f t="shared" si="15"/>
        <v>1.200697936397775</v>
      </c>
      <c r="AV16" s="53"/>
      <c r="AW16" s="53">
        <f t="shared" si="15"/>
        <v>0.45744189551092013</v>
      </c>
      <c r="AX16" s="53">
        <f t="shared" si="28"/>
        <v>-9.1870012992156802E-5</v>
      </c>
      <c r="AY16" s="53">
        <f t="shared" si="15"/>
        <v>4.0097500255103595</v>
      </c>
      <c r="AZ16" s="53"/>
      <c r="BA16" s="53">
        <f t="shared" si="17"/>
        <v>0.44350898201164896</v>
      </c>
      <c r="BB16" s="53">
        <f t="shared" si="29"/>
        <v>-9.1252836954488492E-3</v>
      </c>
      <c r="BC16" s="53">
        <f t="shared" si="15"/>
        <v>1</v>
      </c>
      <c r="BD16" s="53">
        <f t="shared" si="15"/>
        <v>1</v>
      </c>
      <c r="BE16" s="105">
        <f t="shared" si="18"/>
        <v>0.200697936397775</v>
      </c>
      <c r="BG16" s="14" t="s">
        <v>27</v>
      </c>
      <c r="BH16" s="26" t="s">
        <v>8</v>
      </c>
      <c r="BI16" s="332"/>
      <c r="BJ16" s="332"/>
      <c r="BK16" s="27">
        <f>BK15*0.9</f>
        <v>599.56506753942745</v>
      </c>
      <c r="BL16" s="27">
        <f>$BK$16*BE6</f>
        <v>120.75878445295321</v>
      </c>
      <c r="BM16" s="27">
        <f t="shared" si="19"/>
        <v>127.37087069516286</v>
      </c>
      <c r="BO16" s="28">
        <v>2002</v>
      </c>
      <c r="BP16" s="29">
        <f t="shared" si="10"/>
        <v>0.90313725490196084</v>
      </c>
      <c r="BQ16" s="29">
        <f t="shared" si="10"/>
        <v>0.98438818565400843</v>
      </c>
      <c r="BR16" s="29">
        <f t="shared" si="10"/>
        <v>1.0407268170426065</v>
      </c>
      <c r="BS16" s="29">
        <f t="shared" si="10"/>
        <v>1.0291327913279134</v>
      </c>
      <c r="BT16" s="29">
        <f t="shared" si="10"/>
        <v>0.97194029850746277</v>
      </c>
      <c r="BU16" s="29">
        <f t="shared" si="10"/>
        <v>0.96025550035486151</v>
      </c>
      <c r="BV16" s="29">
        <f t="shared" si="10"/>
        <v>0.83254593175853009</v>
      </c>
      <c r="BW16" s="29">
        <f t="shared" si="10"/>
        <v>0.98601823708206682</v>
      </c>
      <c r="BX16" s="29">
        <f t="shared" si="10"/>
        <v>1.0955770208439246</v>
      </c>
      <c r="BZ16" s="28">
        <v>2002</v>
      </c>
      <c r="CA16" s="29">
        <f t="shared" si="11"/>
        <v>0.73463114754098358</v>
      </c>
      <c r="CB16" s="29">
        <f t="shared" si="11"/>
        <v>0.72567409144196959</v>
      </c>
      <c r="CC16" s="29">
        <f t="shared" si="11"/>
        <v>0.56486486486486476</v>
      </c>
      <c r="CD16" s="29">
        <f t="shared" si="11"/>
        <v>0.64611260053619302</v>
      </c>
      <c r="CE16" s="29">
        <f t="shared" si="11"/>
        <v>0.68089430894308944</v>
      </c>
      <c r="CF16" s="29">
        <f t="shared" si="11"/>
        <v>0.66132723112128144</v>
      </c>
      <c r="CG16" s="29">
        <f t="shared" si="11"/>
        <v>0.66118836915297097</v>
      </c>
      <c r="CH16" s="29">
        <f t="shared" si="11"/>
        <v>0.69723435225618635</v>
      </c>
      <c r="CI16" s="29">
        <f t="shared" si="11"/>
        <v>0.69324324324324316</v>
      </c>
    </row>
    <row r="17" spans="1:87" x14ac:dyDescent="0.2">
      <c r="A17" s="26">
        <v>2018</v>
      </c>
      <c r="B17" s="273">
        <v>7.8583930950288376</v>
      </c>
      <c r="C17" s="136">
        <v>3.3345250000000002</v>
      </c>
      <c r="D17" s="100">
        <f t="shared" si="0"/>
        <v>438.53245848057009</v>
      </c>
      <c r="E17" s="273">
        <v>13.544742644589398</v>
      </c>
      <c r="F17" s="136">
        <v>14.257866</v>
      </c>
      <c r="G17" s="273">
        <v>14.05962969022341</v>
      </c>
      <c r="H17" s="273">
        <v>10.859432691495577</v>
      </c>
      <c r="I17" s="273">
        <v>0.93681671057920068</v>
      </c>
      <c r="J17" s="277">
        <v>565.33716386250103</v>
      </c>
      <c r="K17" s="277">
        <v>476.85420687675719</v>
      </c>
      <c r="L17" s="100">
        <f t="shared" si="3"/>
        <v>328.80817800504337</v>
      </c>
      <c r="M17" s="100">
        <f t="shared" si="4"/>
        <v>369.84487144829444</v>
      </c>
      <c r="N17" s="100">
        <f t="shared" si="5"/>
        <v>83.747419850860737</v>
      </c>
      <c r="O17" s="100">
        <f t="shared" si="6"/>
        <v>782.43612228842971</v>
      </c>
      <c r="P17" s="100">
        <f t="shared" si="7"/>
        <v>185.45087517809648</v>
      </c>
      <c r="Q17" s="100">
        <f t="shared" si="8"/>
        <v>578.34244745998274</v>
      </c>
      <c r="R17" s="101">
        <f t="shared" si="9"/>
        <v>1227.7035994188141</v>
      </c>
      <c r="S17" s="101">
        <f t="shared" si="9"/>
        <v>5241.4794264165421</v>
      </c>
      <c r="T17" s="65"/>
      <c r="U17" s="8">
        <v>2016</v>
      </c>
      <c r="V17" s="53">
        <f t="shared" si="15"/>
        <v>0.31766249858525114</v>
      </c>
      <c r="W17" s="53">
        <f t="shared" si="20"/>
        <v>-4.4329499296703601E-3</v>
      </c>
      <c r="X17" s="53">
        <f t="shared" si="15"/>
        <v>0.18626015949824998</v>
      </c>
      <c r="Y17" s="53">
        <f t="shared" si="20"/>
        <v>2.1062447776731608E-2</v>
      </c>
      <c r="Z17" s="53">
        <f t="shared" si="15"/>
        <v>2.1025169716473655E-2</v>
      </c>
      <c r="AA17" s="53"/>
      <c r="AB17" s="53">
        <f t="shared" si="16"/>
        <v>0.14235696622327193</v>
      </c>
      <c r="AC17" s="53">
        <f t="shared" si="21"/>
        <v>-1.3587000740298172E-2</v>
      </c>
      <c r="AD17" s="53">
        <f t="shared" si="15"/>
        <v>0.37913894114858387</v>
      </c>
      <c r="AE17" s="53">
        <f t="shared" si="21"/>
        <v>-1.7416743268190427E-2</v>
      </c>
      <c r="AF17" s="53">
        <f t="shared" si="15"/>
        <v>0.60894713857705096</v>
      </c>
      <c r="AG17" s="53">
        <f t="shared" si="22"/>
        <v>-1.8629550286031193E-4</v>
      </c>
      <c r="AH17" s="53">
        <f t="shared" si="15"/>
        <v>0.18626015949824998</v>
      </c>
      <c r="AI17" s="53">
        <f t="shared" si="23"/>
        <v>2.1062447776731608E-2</v>
      </c>
      <c r="AJ17" s="53">
        <f t="shared" si="15"/>
        <v>2.1025169716473655E-2</v>
      </c>
      <c r="AK17" s="53">
        <f t="shared" si="15"/>
        <v>0.90604252574842881</v>
      </c>
      <c r="AL17" s="53">
        <f t="shared" si="24"/>
        <v>1.3417721553368178E-3</v>
      </c>
      <c r="AM17" s="53">
        <f t="shared" si="15"/>
        <v>0.62723103222210597</v>
      </c>
      <c r="AN17" s="53">
        <f t="shared" si="25"/>
        <v>7.2106879273969859E-3</v>
      </c>
      <c r="AO17" s="53">
        <f t="shared" si="15"/>
        <v>0.7079862304898128</v>
      </c>
      <c r="AP17" s="53">
        <f t="shared" si="26"/>
        <v>3.9942861747199743E-3</v>
      </c>
      <c r="AQ17" s="53">
        <f t="shared" si="15"/>
        <v>1.6698926499260061</v>
      </c>
      <c r="AR17" s="53">
        <f t="shared" si="26"/>
        <v>1.1166691042014953E-3</v>
      </c>
      <c r="AS17" s="53">
        <f t="shared" si="15"/>
        <v>0.83913024444724427</v>
      </c>
      <c r="AT17" s="53">
        <f t="shared" si="27"/>
        <v>2.4545014324182102E-3</v>
      </c>
      <c r="AU17" s="53">
        <f t="shared" si="15"/>
        <v>1.2002994729660184</v>
      </c>
      <c r="AV17" s="53"/>
      <c r="AW17" s="53">
        <f t="shared" si="15"/>
        <v>0.45735653379060864</v>
      </c>
      <c r="AX17" s="53">
        <f t="shared" si="28"/>
        <v>-1.8660669507797323E-4</v>
      </c>
      <c r="AY17" s="53">
        <f t="shared" si="15"/>
        <v>3.9990287615769162</v>
      </c>
      <c r="AZ17" s="53"/>
      <c r="BA17" s="53">
        <f t="shared" si="17"/>
        <v>0.43902646060805373</v>
      </c>
      <c r="BB17" s="53">
        <f t="shared" si="29"/>
        <v>-1.0106946162090291E-2</v>
      </c>
      <c r="BC17" s="53">
        <f t="shared" si="15"/>
        <v>1</v>
      </c>
      <c r="BD17" s="53">
        <f t="shared" si="15"/>
        <v>1</v>
      </c>
      <c r="BE17" s="105">
        <f t="shared" si="18"/>
        <v>0.20029947296601835</v>
      </c>
      <c r="BG17" s="14" t="s">
        <v>28</v>
      </c>
      <c r="BH17" s="26" t="s">
        <v>9</v>
      </c>
      <c r="BI17" s="332"/>
      <c r="BJ17" s="332"/>
      <c r="BK17" s="27">
        <f>K4</f>
        <v>535.73422281363219</v>
      </c>
      <c r="BL17" s="27">
        <f>$BK$17*AW6</f>
        <v>245.66906197177556</v>
      </c>
      <c r="BM17" s="27">
        <f t="shared" si="19"/>
        <v>259.12054736191692</v>
      </c>
      <c r="BO17" s="28">
        <v>2003</v>
      </c>
      <c r="BP17" s="29">
        <f t="shared" si="10"/>
        <v>0.92352941176470593</v>
      </c>
      <c r="BQ17" s="29">
        <f t="shared" si="10"/>
        <v>0.98902953586497899</v>
      </c>
      <c r="BR17" s="29">
        <f t="shared" si="10"/>
        <v>1.0294486215538847</v>
      </c>
      <c r="BS17" s="29">
        <f t="shared" si="10"/>
        <v>1.0142276422764229</v>
      </c>
      <c r="BT17" s="29">
        <f t="shared" si="10"/>
        <v>0.97492537313432825</v>
      </c>
      <c r="BU17" s="29">
        <f t="shared" si="10"/>
        <v>0.97019162526614622</v>
      </c>
      <c r="BV17" s="29">
        <f t="shared" si="10"/>
        <v>0.91181102362204725</v>
      </c>
      <c r="BW17" s="29">
        <f t="shared" si="10"/>
        <v>0.98358662613981762</v>
      </c>
      <c r="BX17" s="29">
        <f t="shared" si="10"/>
        <v>1.0371123538383322</v>
      </c>
      <c r="BZ17" s="28">
        <v>2003</v>
      </c>
      <c r="CA17" s="29">
        <f t="shared" si="11"/>
        <v>0.85143442622950827</v>
      </c>
      <c r="CB17" s="29">
        <f t="shared" si="11"/>
        <v>0.87690504103165312</v>
      </c>
      <c r="CC17" s="29">
        <f t="shared" si="11"/>
        <v>0.7743243243243243</v>
      </c>
      <c r="CD17" s="29">
        <f t="shared" si="11"/>
        <v>0.79356568364611257</v>
      </c>
      <c r="CE17" s="29">
        <f t="shared" si="11"/>
        <v>0.78760162601626016</v>
      </c>
      <c r="CF17" s="29">
        <f t="shared" si="11"/>
        <v>0.76659038901601828</v>
      </c>
      <c r="CG17" s="29">
        <f t="shared" si="11"/>
        <v>0.79646017699115046</v>
      </c>
      <c r="CH17" s="29">
        <f t="shared" si="11"/>
        <v>0.75400291120815133</v>
      </c>
      <c r="CI17" s="29">
        <f t="shared" si="11"/>
        <v>0.81216216216216208</v>
      </c>
    </row>
    <row r="18" spans="1:87" x14ac:dyDescent="0.2">
      <c r="A18" s="26">
        <v>2019</v>
      </c>
      <c r="B18" s="273">
        <v>7.8939579576833134</v>
      </c>
      <c r="C18" s="136">
        <v>3.3349419999999999</v>
      </c>
      <c r="D18" s="100">
        <f t="shared" si="0"/>
        <v>429.42555322894378</v>
      </c>
      <c r="E18" s="273">
        <v>13.642327006047207</v>
      </c>
      <c r="F18" s="136">
        <v>14.262814000000001</v>
      </c>
      <c r="G18" s="273">
        <v>14.188567517923714</v>
      </c>
      <c r="H18" s="273">
        <v>10.943669477595282</v>
      </c>
      <c r="I18" s="273">
        <v>0.94315748647008857</v>
      </c>
      <c r="J18" s="277">
        <v>561.57704513679948</v>
      </c>
      <c r="K18" s="277">
        <v>472.4249847580972</v>
      </c>
      <c r="L18" s="100">
        <f t="shared" si="3"/>
        <v>328.99642436566</v>
      </c>
      <c r="M18" s="100">
        <f t="shared" si="4"/>
        <v>362.60486587139661</v>
      </c>
      <c r="N18" s="100">
        <f t="shared" si="5"/>
        <v>79.98067356503465</v>
      </c>
      <c r="O18" s="100">
        <f t="shared" si="6"/>
        <v>765.27659559803544</v>
      </c>
      <c r="P18" s="100">
        <f t="shared" si="7"/>
        <v>185.06933170221558</v>
      </c>
      <c r="Q18" s="100">
        <f t="shared" si="8"/>
        <v>573.86311445651086</v>
      </c>
      <c r="R18" s="101">
        <f t="shared" si="9"/>
        <v>1209.2391816136676</v>
      </c>
      <c r="S18" s="101">
        <f t="shared" si="9"/>
        <v>5346.734848924134</v>
      </c>
      <c r="T18" s="65"/>
      <c r="U18" s="8">
        <v>2017</v>
      </c>
      <c r="V18" s="53">
        <f t="shared" si="15"/>
        <v>0.31656272713310502</v>
      </c>
      <c r="W18" s="53">
        <f t="shared" si="20"/>
        <v>-3.4620751805582994E-3</v>
      </c>
      <c r="X18" s="53">
        <f t="shared" si="15"/>
        <v>0.19015501229334264</v>
      </c>
      <c r="Y18" s="53">
        <f t="shared" si="20"/>
        <v>2.0910820679981512E-2</v>
      </c>
      <c r="Z18" s="53">
        <f t="shared" si="15"/>
        <v>2.3304531637212959E-2</v>
      </c>
      <c r="AA18" s="53"/>
      <c r="AB18" s="53">
        <f t="shared" si="16"/>
        <v>0.14043520514062724</v>
      </c>
      <c r="AC18" s="53">
        <f t="shared" si="21"/>
        <v>-1.3499592844867236E-2</v>
      </c>
      <c r="AD18" s="53">
        <f t="shared" si="15"/>
        <v>0.37235827486981543</v>
      </c>
      <c r="AE18" s="53">
        <f t="shared" si="21"/>
        <v>-1.7884383646340152E-2</v>
      </c>
      <c r="AF18" s="53">
        <f t="shared" si="15"/>
        <v>0.60902283666543111</v>
      </c>
      <c r="AG18" s="53">
        <f t="shared" si="22"/>
        <v>1.243097858329989E-4</v>
      </c>
      <c r="AH18" s="53">
        <f t="shared" si="15"/>
        <v>0.19015501229334264</v>
      </c>
      <c r="AI18" s="53">
        <f t="shared" si="23"/>
        <v>2.0910820679981512E-2</v>
      </c>
      <c r="AJ18" s="53">
        <f t="shared" si="15"/>
        <v>2.3304531637212959E-2</v>
      </c>
      <c r="AK18" s="53">
        <f t="shared" si="15"/>
        <v>0.90731717983106763</v>
      </c>
      <c r="AL18" s="53">
        <f t="shared" si="24"/>
        <v>1.4068369269819581E-3</v>
      </c>
      <c r="AM18" s="53">
        <f t="shared" si="15"/>
        <v>0.63180958056163439</v>
      </c>
      <c r="AN18" s="53">
        <f t="shared" si="25"/>
        <v>7.2996202424933099E-3</v>
      </c>
      <c r="AO18" s="53">
        <f t="shared" si="15"/>
        <v>0.71163279773717136</v>
      </c>
      <c r="AP18" s="53">
        <f t="shared" si="26"/>
        <v>5.1506188825674037E-3</v>
      </c>
      <c r="AQ18" s="53">
        <f t="shared" si="15"/>
        <v>1.6716756802039643</v>
      </c>
      <c r="AR18" s="53">
        <f t="shared" si="26"/>
        <v>1.0677514378167885E-3</v>
      </c>
      <c r="AS18" s="53">
        <f t="shared" si="15"/>
        <v>0.84118603029486372</v>
      </c>
      <c r="AT18" s="53">
        <f t="shared" si="27"/>
        <v>2.4499007886120694E-3</v>
      </c>
      <c r="AU18" s="53">
        <f t="shared" si="15"/>
        <v>1.1997405397374101</v>
      </c>
      <c r="AV18" s="53"/>
      <c r="AW18" s="53">
        <f t="shared" si="15"/>
        <v>0.45724516900481221</v>
      </c>
      <c r="AX18" s="53">
        <f t="shared" si="28"/>
        <v>-2.434966542916861E-4</v>
      </c>
      <c r="AY18" s="53">
        <f t="shared" si="15"/>
        <v>3.9952860372232877</v>
      </c>
      <c r="AZ18" s="53"/>
      <c r="BA18" s="53">
        <f t="shared" si="17"/>
        <v>0.43429021983125732</v>
      </c>
      <c r="BB18" s="53">
        <f t="shared" si="29"/>
        <v>-1.0788053116973173E-2</v>
      </c>
      <c r="BC18" s="53">
        <f t="shared" si="15"/>
        <v>1</v>
      </c>
      <c r="BD18" s="53">
        <f t="shared" si="15"/>
        <v>1</v>
      </c>
      <c r="BE18" s="105">
        <f t="shared" si="18"/>
        <v>0.19974053973741013</v>
      </c>
      <c r="BG18" s="14" t="s">
        <v>29</v>
      </c>
      <c r="BH18" s="26" t="s">
        <v>10</v>
      </c>
      <c r="BI18" s="332"/>
      <c r="BJ18" s="332"/>
      <c r="BK18" s="27">
        <f>M4</f>
        <v>434.05618224643769</v>
      </c>
      <c r="BL18" s="27">
        <f>$BK$18*AM6</f>
        <v>256.27206213364155</v>
      </c>
      <c r="BM18" s="27">
        <f t="shared" si="19"/>
        <v>270.30410944160957</v>
      </c>
      <c r="BO18" s="28">
        <v>2004</v>
      </c>
      <c r="BP18" s="29">
        <f t="shared" si="10"/>
        <v>0.915686274509804</v>
      </c>
      <c r="BQ18" s="29">
        <f t="shared" si="10"/>
        <v>0.9776371308016879</v>
      </c>
      <c r="BR18" s="29">
        <f t="shared" si="10"/>
        <v>1.0181704260651629</v>
      </c>
      <c r="BS18" s="29">
        <f t="shared" si="10"/>
        <v>1.0060975609756098</v>
      </c>
      <c r="BT18" s="29">
        <f t="shared" si="10"/>
        <v>0.97552238805970148</v>
      </c>
      <c r="BU18" s="29">
        <f t="shared" si="10"/>
        <v>0.99148332150461327</v>
      </c>
      <c r="BV18" s="29">
        <f t="shared" si="10"/>
        <v>0.93175853018372701</v>
      </c>
      <c r="BW18" s="29">
        <f t="shared" si="10"/>
        <v>0.98237082066869308</v>
      </c>
      <c r="BX18" s="29">
        <f t="shared" si="10"/>
        <v>1.0081342145399084</v>
      </c>
      <c r="BZ18" s="28">
        <v>2004</v>
      </c>
      <c r="CA18" s="29">
        <f t="shared" si="11"/>
        <v>0.94569672131147542</v>
      </c>
      <c r="CB18" s="29">
        <f t="shared" si="11"/>
        <v>0.93200468933177028</v>
      </c>
      <c r="CC18" s="29">
        <f t="shared" si="11"/>
        <v>0.84189189189189195</v>
      </c>
      <c r="CD18" s="29">
        <f t="shared" si="11"/>
        <v>0.88471849865951735</v>
      </c>
      <c r="CE18" s="29">
        <f t="shared" si="11"/>
        <v>0.86788617886178854</v>
      </c>
      <c r="CF18" s="29">
        <f t="shared" si="11"/>
        <v>0.84668192219679639</v>
      </c>
      <c r="CG18" s="29">
        <f t="shared" si="11"/>
        <v>0.87357774968394442</v>
      </c>
      <c r="CH18" s="29">
        <f t="shared" si="11"/>
        <v>0.87190684133915575</v>
      </c>
      <c r="CI18" s="29">
        <f t="shared" si="11"/>
        <v>0.86486486486486491</v>
      </c>
    </row>
    <row r="19" spans="1:87" x14ac:dyDescent="0.2">
      <c r="A19" s="26">
        <v>2020</v>
      </c>
      <c r="B19" s="273">
        <v>7.9270415292061527</v>
      </c>
      <c r="C19" s="136">
        <v>3.3356319999999999</v>
      </c>
      <c r="D19" s="100">
        <f t="shared" si="0"/>
        <v>420.48538208687728</v>
      </c>
      <c r="E19" s="273">
        <v>13.727833420247292</v>
      </c>
      <c r="F19" s="136">
        <v>14.278371</v>
      </c>
      <c r="G19" s="273">
        <v>14.314729754811003</v>
      </c>
      <c r="H19" s="273">
        <v>11.039761593119149</v>
      </c>
      <c r="I19" s="273">
        <v>0.94909895098020136</v>
      </c>
      <c r="J19" s="277">
        <v>558.00115103846008</v>
      </c>
      <c r="K19" s="277">
        <v>468.26730085436054</v>
      </c>
      <c r="L19" s="100">
        <f t="shared" si="3"/>
        <v>329.16260409006964</v>
      </c>
      <c r="M19" s="100">
        <f t="shared" si="4"/>
        <v>355.18136124074647</v>
      </c>
      <c r="N19" s="100">
        <f t="shared" si="5"/>
        <v>76.615365865777122</v>
      </c>
      <c r="O19" s="100">
        <f t="shared" si="6"/>
        <v>748.97512130199311</v>
      </c>
      <c r="P19" s="100">
        <f t="shared" si="7"/>
        <v>184.68586236787786</v>
      </c>
      <c r="Q19" s="100">
        <f t="shared" si="8"/>
        <v>574.57845024020685</v>
      </c>
      <c r="R19" s="101">
        <f t="shared" si="9"/>
        <v>1156.1344173288071</v>
      </c>
      <c r="S19" s="101">
        <f t="shared" si="9"/>
        <v>5445.7501732501569</v>
      </c>
      <c r="T19" s="65"/>
      <c r="U19" s="8">
        <v>2018</v>
      </c>
      <c r="V19" s="53">
        <f t="shared" si="15"/>
        <v>0.31566298050182012</v>
      </c>
      <c r="W19" s="53">
        <f t="shared" si="20"/>
        <v>-2.8422380595254371E-3</v>
      </c>
      <c r="X19" s="53">
        <f t="shared" si="15"/>
        <v>0.19395459690595143</v>
      </c>
      <c r="Y19" s="53">
        <f t="shared" si="20"/>
        <v>1.9981511750778225E-2</v>
      </c>
      <c r="Z19" s="53">
        <f t="shared" si="15"/>
        <v>2.5275760269874385E-2</v>
      </c>
      <c r="AA19" s="53"/>
      <c r="AB19" s="53">
        <f t="shared" si="16"/>
        <v>0.13860719188296566</v>
      </c>
      <c r="AC19" s="53">
        <f t="shared" si="21"/>
        <v>-1.301677350655106E-2</v>
      </c>
      <c r="AD19" s="53">
        <f t="shared" si="15"/>
        <v>0.36579662532202045</v>
      </c>
      <c r="AE19" s="53">
        <f t="shared" si="21"/>
        <v>-1.7621871167195269E-2</v>
      </c>
      <c r="AF19" s="53">
        <f t="shared" si="15"/>
        <v>0.60929036277697268</v>
      </c>
      <c r="AG19" s="53">
        <f t="shared" si="22"/>
        <v>4.3927106741414867E-4</v>
      </c>
      <c r="AH19" s="53">
        <f t="shared" si="15"/>
        <v>0.19395459690595143</v>
      </c>
      <c r="AI19" s="53">
        <f t="shared" si="23"/>
        <v>1.9981511750778225E-2</v>
      </c>
      <c r="AJ19" s="53">
        <f t="shared" si="15"/>
        <v>2.5275760269874385E-2</v>
      </c>
      <c r="AK19" s="53">
        <f t="shared" si="15"/>
        <v>0.90859053146146507</v>
      </c>
      <c r="AL19" s="53">
        <f t="shared" si="24"/>
        <v>1.4034250190595454E-3</v>
      </c>
      <c r="AM19" s="53">
        <f t="shared" si="15"/>
        <v>0.63638428548062598</v>
      </c>
      <c r="AN19" s="53">
        <f t="shared" si="25"/>
        <v>7.2406387299872588E-3</v>
      </c>
      <c r="AO19" s="53">
        <f t="shared" si="15"/>
        <v>0.7150413936194252</v>
      </c>
      <c r="AP19" s="53">
        <f t="shared" si="26"/>
        <v>4.7898240399997238E-3</v>
      </c>
      <c r="AQ19" s="53">
        <f t="shared" si="15"/>
        <v>1.6734283049301795</v>
      </c>
      <c r="AR19" s="53">
        <f t="shared" si="26"/>
        <v>1.0484238940422497E-3</v>
      </c>
      <c r="AS19" s="53">
        <f t="shared" si="15"/>
        <v>0.84320975358854344</v>
      </c>
      <c r="AT19" s="53">
        <f t="shared" si="27"/>
        <v>2.4057975534499398E-3</v>
      </c>
      <c r="AU19" s="53">
        <f t="shared" si="15"/>
        <v>1.1991388431733487</v>
      </c>
      <c r="AV19" s="53"/>
      <c r="AW19" s="53">
        <f t="shared" si="15"/>
        <v>0.45716019774076677</v>
      </c>
      <c r="AX19" s="53">
        <f t="shared" si="28"/>
        <v>-1.8583304932529021E-4</v>
      </c>
      <c r="AY19" s="53">
        <f t="shared" si="15"/>
        <v>3.9982530870666295</v>
      </c>
      <c r="AZ19" s="53"/>
      <c r="BA19" s="53">
        <f t="shared" si="17"/>
        <v>0.42969338531599804</v>
      </c>
      <c r="BB19" s="53">
        <f t="shared" si="29"/>
        <v>-1.058470650581389E-2</v>
      </c>
      <c r="BC19" s="53">
        <f t="shared" si="15"/>
        <v>1</v>
      </c>
      <c r="BD19" s="53">
        <f t="shared" si="15"/>
        <v>1</v>
      </c>
      <c r="BE19" s="105">
        <f t="shared" si="18"/>
        <v>0.19913884317334873</v>
      </c>
      <c r="BG19" s="14" t="s">
        <v>30</v>
      </c>
      <c r="BH19" s="26" t="s">
        <v>11</v>
      </c>
      <c r="BI19" s="332"/>
      <c r="BJ19" s="332"/>
      <c r="BK19" s="27">
        <f>N4</f>
        <v>110.52562758422165</v>
      </c>
      <c r="BL19" s="27">
        <f>$BK$19*AK6</f>
        <v>99.382489264859359</v>
      </c>
      <c r="BM19" s="27">
        <f t="shared" si="19"/>
        <v>104.82412726214093</v>
      </c>
      <c r="BO19" s="28">
        <v>2005</v>
      </c>
      <c r="BP19" s="29">
        <f t="shared" si="10"/>
        <v>1</v>
      </c>
      <c r="BQ19" s="29">
        <f t="shared" si="10"/>
        <v>1</v>
      </c>
      <c r="BR19" s="29">
        <f t="shared" si="10"/>
        <v>1</v>
      </c>
      <c r="BS19" s="29">
        <f t="shared" si="10"/>
        <v>1</v>
      </c>
      <c r="BT19" s="29">
        <f t="shared" si="10"/>
        <v>1</v>
      </c>
      <c r="BU19" s="29">
        <f t="shared" si="10"/>
        <v>1</v>
      </c>
      <c r="BV19" s="29">
        <f t="shared" si="10"/>
        <v>1</v>
      </c>
      <c r="BW19" s="29">
        <f t="shared" si="10"/>
        <v>1</v>
      </c>
      <c r="BX19" s="29">
        <f t="shared" si="10"/>
        <v>1</v>
      </c>
      <c r="BZ19" s="28">
        <v>2005</v>
      </c>
      <c r="CA19" s="29">
        <f t="shared" si="11"/>
        <v>1</v>
      </c>
      <c r="CB19" s="29">
        <f t="shared" si="11"/>
        <v>1</v>
      </c>
      <c r="CC19" s="29">
        <f t="shared" si="11"/>
        <v>1</v>
      </c>
      <c r="CD19" s="29">
        <f t="shared" si="11"/>
        <v>1</v>
      </c>
      <c r="CE19" s="29">
        <f t="shared" si="11"/>
        <v>1</v>
      </c>
      <c r="CF19" s="29">
        <f t="shared" si="11"/>
        <v>1</v>
      </c>
      <c r="CG19" s="29">
        <f t="shared" si="11"/>
        <v>1</v>
      </c>
      <c r="CH19" s="29">
        <f t="shared" si="11"/>
        <v>1</v>
      </c>
      <c r="CI19" s="29">
        <f t="shared" si="11"/>
        <v>1</v>
      </c>
    </row>
    <row r="20" spans="1:87" x14ac:dyDescent="0.2">
      <c r="A20" s="26">
        <v>2021</v>
      </c>
      <c r="B20" s="273">
        <v>7.9555547310816221</v>
      </c>
      <c r="C20" s="136">
        <v>3.3365279999999999</v>
      </c>
      <c r="D20" s="100">
        <f t="shared" si="0"/>
        <v>411.57729582256735</v>
      </c>
      <c r="E20" s="273">
        <v>13.805823365108106</v>
      </c>
      <c r="F20" s="136">
        <v>14.293405</v>
      </c>
      <c r="G20" s="273">
        <v>14.415726050970072</v>
      </c>
      <c r="H20" s="273">
        <v>11.107200771893995</v>
      </c>
      <c r="I20" s="273">
        <v>0.95479661493906631</v>
      </c>
      <c r="J20" s="277">
        <v>554.68486448447015</v>
      </c>
      <c r="K20" s="277">
        <v>464.24668202818481</v>
      </c>
      <c r="L20" s="100">
        <f t="shared" si="3"/>
        <v>329.24403959933665</v>
      </c>
      <c r="M20" s="100">
        <f t="shared" si="4"/>
        <v>347.52380912576609</v>
      </c>
      <c r="N20" s="100">
        <f t="shared" si="5"/>
        <v>73.716061215639286</v>
      </c>
      <c r="O20" s="100">
        <f t="shared" si="6"/>
        <v>734.1250934847061</v>
      </c>
      <c r="P20" s="100">
        <f t="shared" si="7"/>
        <v>184.59002001228802</v>
      </c>
      <c r="Q20" s="100">
        <f t="shared" si="8"/>
        <v>569.67098028906935</v>
      </c>
      <c r="R20" s="101">
        <f t="shared" si="9"/>
        <v>1129.0855932606335</v>
      </c>
      <c r="S20" s="101">
        <f t="shared" si="9"/>
        <v>5539.901750820366</v>
      </c>
      <c r="T20" s="65"/>
      <c r="U20" s="8">
        <v>2019</v>
      </c>
      <c r="V20" s="53">
        <f t="shared" si="15"/>
        <v>0.31484770711740878</v>
      </c>
      <c r="W20" s="53">
        <f t="shared" si="20"/>
        <v>-2.5827335949095698E-3</v>
      </c>
      <c r="X20" s="53">
        <f t="shared" si="15"/>
        <v>0.197679238953475</v>
      </c>
      <c r="Y20" s="53">
        <f t="shared" si="20"/>
        <v>1.9203680175364113E-2</v>
      </c>
      <c r="Z20" s="53">
        <f t="shared" si="15"/>
        <v>2.7001596704346768E-2</v>
      </c>
      <c r="AA20" s="53"/>
      <c r="AB20" s="53">
        <f t="shared" si="16"/>
        <v>0.13685554903225236</v>
      </c>
      <c r="AC20" s="53">
        <f t="shared" si="21"/>
        <v>-1.2637460054686911E-2</v>
      </c>
      <c r="AD20" s="53">
        <f t="shared" si="15"/>
        <v>0.35949534539563849</v>
      </c>
      <c r="AE20" s="53">
        <f t="shared" si="21"/>
        <v>-1.7226183868795375E-2</v>
      </c>
      <c r="AF20" s="53">
        <f t="shared" si="15"/>
        <v>0.60965540739968538</v>
      </c>
      <c r="AG20" s="53">
        <f t="shared" si="22"/>
        <v>5.9913080037721222E-4</v>
      </c>
      <c r="AH20" s="53">
        <f t="shared" si="15"/>
        <v>0.197679238953475</v>
      </c>
      <c r="AI20" s="53">
        <f t="shared" si="23"/>
        <v>1.9203680175364113E-2</v>
      </c>
      <c r="AJ20" s="53">
        <f t="shared" si="15"/>
        <v>2.7001596704346768E-2</v>
      </c>
      <c r="AK20" s="53">
        <f t="shared" si="15"/>
        <v>0.90984648041402105</v>
      </c>
      <c r="AL20" s="53">
        <f t="shared" si="24"/>
        <v>1.382304689589775E-3</v>
      </c>
      <c r="AM20" s="53">
        <f t="shared" si="15"/>
        <v>0.64093358354402119</v>
      </c>
      <c r="AN20" s="53">
        <f t="shared" si="25"/>
        <v>7.1486649925043277E-3</v>
      </c>
      <c r="AO20" s="53">
        <f t="shared" si="15"/>
        <v>0.71823014752921654</v>
      </c>
      <c r="AP20" s="53">
        <f t="shared" si="26"/>
        <v>4.4595375012492777E-3</v>
      </c>
      <c r="AQ20" s="53">
        <f t="shared" si="15"/>
        <v>1.6750029431894469</v>
      </c>
      <c r="AR20" s="53">
        <f t="shared" si="26"/>
        <v>9.4096547466548941E-4</v>
      </c>
      <c r="AS20" s="53">
        <f t="shared" si="15"/>
        <v>0.84518014694507204</v>
      </c>
      <c r="AT20" s="53">
        <f t="shared" si="27"/>
        <v>2.3367772350153526E-3</v>
      </c>
      <c r="AU20" s="53">
        <f t="shared" si="15"/>
        <v>1.1985527596076038</v>
      </c>
      <c r="AV20" s="53"/>
      <c r="AW20" s="53">
        <f t="shared" si="15"/>
        <v>0.45708958169992203</v>
      </c>
      <c r="AX20" s="53">
        <f t="shared" si="28"/>
        <v>-1.5446673002972311E-4</v>
      </c>
      <c r="AY20" s="53">
        <f t="shared" si="15"/>
        <v>4.0068115096745238</v>
      </c>
      <c r="AZ20" s="53"/>
      <c r="BA20" s="53">
        <f t="shared" si="17"/>
        <v>0.42544551286536469</v>
      </c>
      <c r="BB20" s="53">
        <f t="shared" si="29"/>
        <v>-9.8858222997997292E-3</v>
      </c>
      <c r="BC20" s="53">
        <f t="shared" si="15"/>
        <v>1</v>
      </c>
      <c r="BD20" s="53">
        <f t="shared" si="15"/>
        <v>1</v>
      </c>
      <c r="BE20" s="105">
        <f t="shared" si="18"/>
        <v>0.19855275960760377</v>
      </c>
      <c r="BG20" s="14" t="s">
        <v>31</v>
      </c>
      <c r="BH20" s="26" t="s">
        <v>12</v>
      </c>
      <c r="BI20" s="332"/>
      <c r="BJ20" s="332"/>
      <c r="BK20" s="27">
        <f>O4</f>
        <v>922.49348069682435</v>
      </c>
      <c r="BL20" s="27">
        <f>$BK$20*AS6</f>
        <v>757.73947277765512</v>
      </c>
      <c r="BM20" s="27">
        <f t="shared" si="19"/>
        <v>799.22911484244662</v>
      </c>
      <c r="BO20" s="28">
        <v>2006</v>
      </c>
      <c r="BP20" s="29">
        <f t="shared" ref="BP20:BX35" si="30">BP88/BP$81</f>
        <v>1.152156862745098</v>
      </c>
      <c r="BQ20" s="29">
        <f t="shared" si="30"/>
        <v>1.0362869198312237</v>
      </c>
      <c r="BR20" s="29">
        <f t="shared" si="30"/>
        <v>1.0520050125313283</v>
      </c>
      <c r="BS20" s="29">
        <f t="shared" si="30"/>
        <v>1.0108401084010841</v>
      </c>
      <c r="BT20" s="29">
        <f t="shared" si="30"/>
        <v>1.0704477611940297</v>
      </c>
      <c r="BU20" s="29">
        <f t="shared" si="30"/>
        <v>1.0645848119233499</v>
      </c>
      <c r="BV20" s="29">
        <f t="shared" si="30"/>
        <v>1.1076115485564304</v>
      </c>
      <c r="BW20" s="29">
        <f t="shared" si="30"/>
        <v>1.003647416413374</v>
      </c>
      <c r="BX20" s="29">
        <f t="shared" si="30"/>
        <v>1.0859176410777833</v>
      </c>
      <c r="BZ20" s="28">
        <v>2006</v>
      </c>
      <c r="CA20" s="29">
        <f t="shared" ref="CA20:CI35" si="31">CA88/CA$81</f>
        <v>1.0973360655737705</v>
      </c>
      <c r="CB20" s="29">
        <f t="shared" si="31"/>
        <v>1.1113716295427902</v>
      </c>
      <c r="CC20" s="29">
        <f t="shared" si="31"/>
        <v>1.0202702702702702</v>
      </c>
      <c r="CD20" s="29">
        <f t="shared" si="31"/>
        <v>1.0281501340482573</v>
      </c>
      <c r="CE20" s="29">
        <f t="shared" si="31"/>
        <v>1.068089430894309</v>
      </c>
      <c r="CF20" s="29">
        <f t="shared" si="31"/>
        <v>1.0800915331807779</v>
      </c>
      <c r="CG20" s="29">
        <f t="shared" si="31"/>
        <v>1.0379266750948168</v>
      </c>
      <c r="CH20" s="29">
        <f t="shared" si="31"/>
        <v>1.066957787481805</v>
      </c>
      <c r="CI20" s="29">
        <f t="shared" si="31"/>
        <v>0.99054054054054053</v>
      </c>
    </row>
    <row r="21" spans="1:87" x14ac:dyDescent="0.2">
      <c r="A21" s="26">
        <v>2022</v>
      </c>
      <c r="B21" s="273">
        <v>7.9811119745167272</v>
      </c>
      <c r="C21" s="136">
        <v>3.3376610000000002</v>
      </c>
      <c r="D21" s="100">
        <f t="shared" si="0"/>
        <v>402.64748910755401</v>
      </c>
      <c r="E21" s="273">
        <v>13.877305800658281</v>
      </c>
      <c r="F21" s="136">
        <v>14.309097</v>
      </c>
      <c r="G21" s="273">
        <v>14.501238178887728</v>
      </c>
      <c r="H21" s="273">
        <v>11.165479345696623</v>
      </c>
      <c r="I21" s="273">
        <v>0.96028622244341422</v>
      </c>
      <c r="J21" s="277">
        <v>551.72844755323456</v>
      </c>
      <c r="K21" s="277">
        <v>460.3085544878769</v>
      </c>
      <c r="L21" s="100">
        <f t="shared" si="3"/>
        <v>329.3229315946499</v>
      </c>
      <c r="M21" s="100">
        <f t="shared" si="4"/>
        <v>340.56660123253715</v>
      </c>
      <c r="N21" s="100">
        <f t="shared" si="5"/>
        <v>71.321556044416468</v>
      </c>
      <c r="O21" s="100">
        <f t="shared" si="6"/>
        <v>720.18633536618677</v>
      </c>
      <c r="P21" s="100">
        <f t="shared" si="7"/>
        <v>184.45390724929186</v>
      </c>
      <c r="Q21" s="100">
        <f t="shared" si="8"/>
        <v>567.38653807174683</v>
      </c>
      <c r="R21" s="101">
        <f t="shared" si="9"/>
        <v>1108.2328879242345</v>
      </c>
      <c r="S21" s="101">
        <f t="shared" si="9"/>
        <v>5644.4992880601931</v>
      </c>
      <c r="T21" s="65"/>
      <c r="U21" s="8">
        <v>2020</v>
      </c>
      <c r="V21" s="53">
        <f t="shared" ref="V21:BD32" si="32">V65/$BC65</f>
        <v>0.31407454291427545</v>
      </c>
      <c r="W21" s="53">
        <f t="shared" si="20"/>
        <v>-2.4556767785036682E-3</v>
      </c>
      <c r="X21" s="53">
        <f t="shared" si="32"/>
        <v>0.2013046183273158</v>
      </c>
      <c r="Y21" s="53">
        <f t="shared" si="20"/>
        <v>1.8339707260275562E-2</v>
      </c>
      <c r="Z21" s="53">
        <f t="shared" si="32"/>
        <v>2.8510327673497243E-2</v>
      </c>
      <c r="AA21" s="53"/>
      <c r="AB21" s="53">
        <f t="shared" si="16"/>
        <v>0.13518397902564905</v>
      </c>
      <c r="AC21" s="53">
        <f t="shared" si="21"/>
        <v>-1.2214119328178508E-2</v>
      </c>
      <c r="AD21" s="53">
        <f t="shared" si="32"/>
        <v>0.35350825065972935</v>
      </c>
      <c r="AE21" s="53">
        <f t="shared" si="21"/>
        <v>-1.6654164824637996E-2</v>
      </c>
      <c r="AF21" s="53">
        <f t="shared" si="32"/>
        <v>0.6100972676646057</v>
      </c>
      <c r="AG21" s="53">
        <f t="shared" si="22"/>
        <v>7.2477051717623198E-4</v>
      </c>
      <c r="AH21" s="53">
        <f t="shared" si="32"/>
        <v>0.2013046183273158</v>
      </c>
      <c r="AI21" s="53">
        <f t="shared" si="23"/>
        <v>1.8339707260275562E-2</v>
      </c>
      <c r="AJ21" s="53">
        <f t="shared" si="32"/>
        <v>2.8510327673497243E-2</v>
      </c>
      <c r="AK21" s="53">
        <f t="shared" si="32"/>
        <v>0.91106804170263123</v>
      </c>
      <c r="AL21" s="53">
        <f t="shared" si="24"/>
        <v>1.3426015431243776E-3</v>
      </c>
      <c r="AM21" s="53">
        <f t="shared" si="32"/>
        <v>0.64542489359664579</v>
      </c>
      <c r="AN21" s="53">
        <f t="shared" si="25"/>
        <v>7.0074500196886103E-3</v>
      </c>
      <c r="AO21" s="53">
        <f t="shared" si="32"/>
        <v>0.72118547701237268</v>
      </c>
      <c r="AP21" s="53">
        <f t="shared" si="26"/>
        <v>4.1147388386895134E-3</v>
      </c>
      <c r="AQ21" s="53">
        <f t="shared" si="32"/>
        <v>1.6764948632754157</v>
      </c>
      <c r="AR21" s="53">
        <f t="shared" si="26"/>
        <v>8.9069699371879807E-4</v>
      </c>
      <c r="AS21" s="53">
        <f t="shared" si="32"/>
        <v>0.84708155783008821</v>
      </c>
      <c r="AT21" s="53">
        <f t="shared" si="27"/>
        <v>2.24971077691416E-3</v>
      </c>
      <c r="AU21" s="53">
        <f t="shared" si="32"/>
        <v>1.1980089841151256</v>
      </c>
      <c r="AV21" s="53"/>
      <c r="AW21" s="53">
        <f t="shared" si="32"/>
        <v>0.4570256021278768</v>
      </c>
      <c r="AX21" s="53">
        <f t="shared" si="28"/>
        <v>-1.3997162614665104E-4</v>
      </c>
      <c r="AY21" s="53">
        <f t="shared" si="32"/>
        <v>4.019040286456665</v>
      </c>
      <c r="AZ21" s="53"/>
      <c r="BA21" s="53">
        <f t="shared" si="17"/>
        <v>0.42147549789666683</v>
      </c>
      <c r="BB21" s="53">
        <f t="shared" si="29"/>
        <v>-9.3314298744389124E-3</v>
      </c>
      <c r="BC21" s="53">
        <f t="shared" si="32"/>
        <v>1</v>
      </c>
      <c r="BD21" s="53">
        <f t="shared" si="32"/>
        <v>1</v>
      </c>
      <c r="BE21" s="105">
        <f t="shared" si="18"/>
        <v>0.19800898411512557</v>
      </c>
      <c r="BG21" s="14" t="s">
        <v>117</v>
      </c>
      <c r="BH21" s="26" t="s">
        <v>100</v>
      </c>
      <c r="BI21" s="332"/>
      <c r="BJ21" s="332"/>
      <c r="BK21" s="27">
        <f>P4</f>
        <v>213.36398720339992</v>
      </c>
      <c r="BL21" s="27">
        <f>$BK$21*AY6</f>
        <v>688.27537397181459</v>
      </c>
      <c r="BM21" s="27">
        <f t="shared" si="19"/>
        <v>725.96154439582835</v>
      </c>
      <c r="BO21" s="28">
        <v>2007</v>
      </c>
      <c r="BP21" s="29">
        <f t="shared" si="30"/>
        <v>1.1694117647058824</v>
      </c>
      <c r="BQ21" s="29">
        <f t="shared" si="30"/>
        <v>1.0510548523206751</v>
      </c>
      <c r="BR21" s="29">
        <f t="shared" si="30"/>
        <v>1.0895989974937343</v>
      </c>
      <c r="BS21" s="29">
        <f t="shared" si="30"/>
        <v>1.0047425474254743</v>
      </c>
      <c r="BT21" s="29">
        <f t="shared" si="30"/>
        <v>1.0686567164179104</v>
      </c>
      <c r="BU21" s="29">
        <f t="shared" si="30"/>
        <v>1.0589070262597586</v>
      </c>
      <c r="BV21" s="29">
        <f t="shared" si="30"/>
        <v>1.0456692913385828</v>
      </c>
      <c r="BW21" s="29">
        <f t="shared" si="30"/>
        <v>1.0103343465045593</v>
      </c>
      <c r="BX21" s="29">
        <f t="shared" si="30"/>
        <v>1.0732079308591762</v>
      </c>
      <c r="BZ21" s="28">
        <v>2007</v>
      </c>
      <c r="CA21" s="29">
        <f t="shared" si="31"/>
        <v>1.0174180327868851</v>
      </c>
      <c r="CB21" s="29">
        <f t="shared" si="31"/>
        <v>1.0480656506447832</v>
      </c>
      <c r="CC21" s="29">
        <f t="shared" si="31"/>
        <v>0.92837837837837833</v>
      </c>
      <c r="CD21" s="29">
        <f t="shared" si="31"/>
        <v>0.95040214477211793</v>
      </c>
      <c r="CE21" s="29">
        <f t="shared" si="31"/>
        <v>0.97560975609756095</v>
      </c>
      <c r="CF21" s="29">
        <f t="shared" si="31"/>
        <v>0.94393592677345539</v>
      </c>
      <c r="CG21" s="29">
        <f t="shared" si="31"/>
        <v>0.92414664981036654</v>
      </c>
      <c r="CH21" s="29">
        <f t="shared" si="31"/>
        <v>0.94177583697234346</v>
      </c>
      <c r="CI21" s="29">
        <f t="shared" si="31"/>
        <v>0.95810810810810809</v>
      </c>
    </row>
    <row r="22" spans="1:87" x14ac:dyDescent="0.2">
      <c r="A22" s="26">
        <v>2023</v>
      </c>
      <c r="B22" s="273">
        <v>8.0026938389125934</v>
      </c>
      <c r="C22" s="136">
        <v>3.3391850000000001</v>
      </c>
      <c r="D22" s="100">
        <f t="shared" si="0"/>
        <v>393.7508514982726</v>
      </c>
      <c r="E22" s="273">
        <v>13.938461888969197</v>
      </c>
      <c r="F22" s="136">
        <v>14.326931999999999</v>
      </c>
      <c r="G22" s="273">
        <v>14.571823013714878</v>
      </c>
      <c r="H22" s="273">
        <v>11.222577028938471</v>
      </c>
      <c r="I22" s="273">
        <v>0.96560258392017795</v>
      </c>
      <c r="J22" s="277">
        <v>549.16327390614492</v>
      </c>
      <c r="K22" s="277">
        <v>456.45627884866326</v>
      </c>
      <c r="L22" s="100">
        <f t="shared" si="3"/>
        <v>329.41013307825131</v>
      </c>
      <c r="M22" s="100">
        <f t="shared" si="4"/>
        <v>334.02348350145263</v>
      </c>
      <c r="N22" s="100">
        <f t="shared" si="5"/>
        <v>69.299490847233926</v>
      </c>
      <c r="O22" s="100">
        <f t="shared" si="6"/>
        <v>707.18633103689831</v>
      </c>
      <c r="P22" s="100">
        <f t="shared" si="7"/>
        <v>184.4727077018141</v>
      </c>
      <c r="Q22" s="100">
        <f t="shared" si="8"/>
        <v>562.26925305453199</v>
      </c>
      <c r="R22" s="101">
        <f t="shared" si="9"/>
        <v>1091.7309949291243</v>
      </c>
      <c r="S22" s="101">
        <f t="shared" si="9"/>
        <v>5752.3842247948132</v>
      </c>
      <c r="T22" s="65"/>
      <c r="U22" s="8">
        <v>2021</v>
      </c>
      <c r="V22" s="53">
        <f t="shared" si="32"/>
        <v>0.31334255029153313</v>
      </c>
      <c r="W22" s="53">
        <f t="shared" si="20"/>
        <v>-2.3306334093499137E-3</v>
      </c>
      <c r="X22" s="53">
        <f t="shared" si="32"/>
        <v>0.20479066953542818</v>
      </c>
      <c r="Y22" s="53">
        <f t="shared" si="20"/>
        <v>1.7317293746555551E-2</v>
      </c>
      <c r="Z22" s="53">
        <f t="shared" si="32"/>
        <v>2.9814234481623857E-2</v>
      </c>
      <c r="AA22" s="53"/>
      <c r="AB22" s="53">
        <f t="shared" si="16"/>
        <v>0.13360634726027087</v>
      </c>
      <c r="AC22" s="53">
        <f t="shared" si="21"/>
        <v>-1.1670256910242593E-2</v>
      </c>
      <c r="AD22" s="53">
        <f t="shared" si="32"/>
        <v>0.34788996537119243</v>
      </c>
      <c r="AE22" s="53">
        <f t="shared" si="21"/>
        <v>-1.5892939635926084E-2</v>
      </c>
      <c r="AF22" s="53">
        <f t="shared" si="32"/>
        <v>0.61062920789173614</v>
      </c>
      <c r="AG22" s="53">
        <f t="shared" si="22"/>
        <v>8.7189413118782255E-4</v>
      </c>
      <c r="AH22" s="53">
        <f t="shared" si="32"/>
        <v>0.20479066953542818</v>
      </c>
      <c r="AI22" s="53">
        <f t="shared" si="23"/>
        <v>1.7317293746555551E-2</v>
      </c>
      <c r="AJ22" s="53">
        <f t="shared" si="32"/>
        <v>2.9814234481623857E-2</v>
      </c>
      <c r="AK22" s="53">
        <f t="shared" si="32"/>
        <v>0.91223430805341754</v>
      </c>
      <c r="AL22" s="53">
        <f t="shared" si="24"/>
        <v>1.2801089462064486E-3</v>
      </c>
      <c r="AM22" s="53">
        <f t="shared" si="32"/>
        <v>0.64980759265325494</v>
      </c>
      <c r="AN22" s="53">
        <f t="shared" si="25"/>
        <v>6.7904090779431492E-3</v>
      </c>
      <c r="AO22" s="53">
        <f t="shared" si="32"/>
        <v>0.72396945059939488</v>
      </c>
      <c r="AP22" s="53">
        <f t="shared" si="26"/>
        <v>3.8602740567590388E-3</v>
      </c>
      <c r="AQ22" s="53">
        <f t="shared" si="32"/>
        <v>1.6788297238875565</v>
      </c>
      <c r="AR22" s="53">
        <f t="shared" si="26"/>
        <v>1.3927037077698934E-3</v>
      </c>
      <c r="AS22" s="53">
        <f t="shared" si="32"/>
        <v>0.84889188317405151</v>
      </c>
      <c r="AT22" s="53">
        <f t="shared" si="27"/>
        <v>2.1371322834611295E-3</v>
      </c>
      <c r="AU22" s="53">
        <f t="shared" si="32"/>
        <v>1.1975132523036962</v>
      </c>
      <c r="AV22" s="53"/>
      <c r="AW22" s="53">
        <f t="shared" si="32"/>
        <v>0.45695954755303303</v>
      </c>
      <c r="AX22" s="53">
        <f t="shared" si="28"/>
        <v>-1.4453145411597035E-4</v>
      </c>
      <c r="AY22" s="53">
        <f t="shared" si="32"/>
        <v>4.0320553499074707</v>
      </c>
      <c r="AZ22" s="53"/>
      <c r="BA22" s="53">
        <f t="shared" si="17"/>
        <v>0.41780499110326086</v>
      </c>
      <c r="BB22" s="53">
        <f t="shared" si="29"/>
        <v>-8.7087074141279919E-3</v>
      </c>
      <c r="BC22" s="53">
        <f t="shared" si="32"/>
        <v>1</v>
      </c>
      <c r="BD22" s="53">
        <f t="shared" si="32"/>
        <v>1</v>
      </c>
      <c r="BE22" s="105">
        <f t="shared" si="18"/>
        <v>0.19751325230369621</v>
      </c>
      <c r="BG22" s="14" t="s">
        <v>175</v>
      </c>
      <c r="BH22" s="26" t="s">
        <v>174</v>
      </c>
      <c r="BI22" s="332"/>
      <c r="BJ22" s="332"/>
      <c r="BK22" s="27">
        <f>Q4</f>
        <v>482.72570571459363</v>
      </c>
      <c r="BL22" s="27">
        <f>BK22*BA6</f>
        <v>227.73371650081208</v>
      </c>
      <c r="BM22" s="27">
        <f t="shared" si="19"/>
        <v>240.20316110961355</v>
      </c>
      <c r="BO22" s="28">
        <v>2008</v>
      </c>
      <c r="BP22" s="29">
        <f t="shared" si="30"/>
        <v>1.2133333333333334</v>
      </c>
      <c r="BQ22" s="29">
        <f t="shared" si="30"/>
        <v>1.0970464135021096</v>
      </c>
      <c r="BR22" s="29">
        <f t="shared" si="30"/>
        <v>1.1372180451127818</v>
      </c>
      <c r="BS22" s="29">
        <f t="shared" si="30"/>
        <v>1.0264227642276422</v>
      </c>
      <c r="BT22" s="29">
        <f t="shared" si="30"/>
        <v>1.1128358208955225</v>
      </c>
      <c r="BU22" s="29">
        <f t="shared" si="30"/>
        <v>1.1554293825408091</v>
      </c>
      <c r="BV22" s="29">
        <f t="shared" si="30"/>
        <v>1.0876640419947505</v>
      </c>
      <c r="BW22" s="29">
        <f t="shared" si="30"/>
        <v>1.0449848024316111</v>
      </c>
      <c r="BX22" s="29">
        <f t="shared" si="30"/>
        <v>1.0259278088459582</v>
      </c>
      <c r="BZ22" s="28">
        <v>2008</v>
      </c>
      <c r="CA22" s="29">
        <f t="shared" si="31"/>
        <v>1.0286885245901638</v>
      </c>
      <c r="CB22" s="29">
        <f t="shared" si="31"/>
        <v>1.1031652989449003</v>
      </c>
      <c r="CC22" s="29">
        <f t="shared" si="31"/>
        <v>0.99729729729729721</v>
      </c>
      <c r="CD22" s="29">
        <f t="shared" si="31"/>
        <v>0.94235924932975879</v>
      </c>
      <c r="CE22" s="29">
        <f t="shared" si="31"/>
        <v>0.99796747967479682</v>
      </c>
      <c r="CF22" s="29">
        <f t="shared" si="31"/>
        <v>0.98970251716247137</v>
      </c>
      <c r="CG22" s="29">
        <f t="shared" si="31"/>
        <v>1.0050568900126422</v>
      </c>
      <c r="CH22" s="29">
        <f t="shared" si="31"/>
        <v>0.95050946142649206</v>
      </c>
      <c r="CI22" s="29">
        <f t="shared" si="31"/>
        <v>1.0013513513513512</v>
      </c>
    </row>
    <row r="23" spans="1:87" x14ac:dyDescent="0.2">
      <c r="A23" s="26">
        <v>2024</v>
      </c>
      <c r="B23" s="273">
        <v>8.0209409360031998</v>
      </c>
      <c r="C23" s="136">
        <v>3.3408060000000002</v>
      </c>
      <c r="D23" s="100">
        <f t="shared" si="0"/>
        <v>384.81582432316566</v>
      </c>
      <c r="E23" s="273">
        <v>13.990705534099373</v>
      </c>
      <c r="F23" s="136">
        <v>14.344944</v>
      </c>
      <c r="G23" s="273">
        <v>14.628230887423127</v>
      </c>
      <c r="H23" s="273">
        <v>11.275054646556331</v>
      </c>
      <c r="I23" s="273">
        <v>0.97075257976685347</v>
      </c>
      <c r="J23" s="277">
        <v>546.99227029634028</v>
      </c>
      <c r="K23" s="277">
        <v>452.66325105453086</v>
      </c>
      <c r="L23" s="100">
        <f t="shared" si="3"/>
        <v>329.45959242741395</v>
      </c>
      <c r="M23" s="100">
        <f t="shared" si="4"/>
        <v>327.8439153843193</v>
      </c>
      <c r="N23" s="100">
        <f t="shared" si="5"/>
        <v>67.401804770606972</v>
      </c>
      <c r="O23" s="100">
        <f t="shared" si="6"/>
        <v>694.61188966577618</v>
      </c>
      <c r="P23" s="100">
        <f t="shared" si="7"/>
        <v>184.54783851606828</v>
      </c>
      <c r="Q23" s="100">
        <f t="shared" si="8"/>
        <v>557.83411928343378</v>
      </c>
      <c r="R23" s="101">
        <f t="shared" si="9"/>
        <v>1077.7174695754325</v>
      </c>
      <c r="S23" s="101">
        <f t="shared" si="9"/>
        <v>5864.2265284275773</v>
      </c>
      <c r="T23" s="65"/>
      <c r="U23" s="8">
        <v>2022</v>
      </c>
      <c r="V23" s="53">
        <f t="shared" si="32"/>
        <v>0.31260616292035304</v>
      </c>
      <c r="W23" s="53">
        <f t="shared" si="20"/>
        <v>-2.3501033309869523E-3</v>
      </c>
      <c r="X23" s="53">
        <f t="shared" si="32"/>
        <v>0.2082107636981492</v>
      </c>
      <c r="Y23" s="53">
        <f t="shared" si="20"/>
        <v>1.6700439382709931E-2</v>
      </c>
      <c r="Z23" s="53">
        <f t="shared" si="32"/>
        <v>3.0974512959381813E-2</v>
      </c>
      <c r="AA23" s="53"/>
      <c r="AB23" s="53">
        <f t="shared" si="16"/>
        <v>0.13208416514447088</v>
      </c>
      <c r="AC23" s="53">
        <f t="shared" si="21"/>
        <v>-1.1393037434327291E-2</v>
      </c>
      <c r="AD23" s="53">
        <f t="shared" si="32"/>
        <v>0.34252804090550676</v>
      </c>
      <c r="AE23" s="53">
        <f t="shared" si="21"/>
        <v>-1.5412702289255731E-2</v>
      </c>
      <c r="AF23" s="53">
        <f t="shared" si="32"/>
        <v>0.61117400868706084</v>
      </c>
      <c r="AG23" s="53">
        <f t="shared" si="22"/>
        <v>8.9219576837096248E-4</v>
      </c>
      <c r="AH23" s="53">
        <f t="shared" si="32"/>
        <v>0.2082107636981492</v>
      </c>
      <c r="AI23" s="53">
        <f t="shared" si="23"/>
        <v>1.6700439382709931E-2</v>
      </c>
      <c r="AJ23" s="53">
        <f t="shared" si="32"/>
        <v>3.0974512959381813E-2</v>
      </c>
      <c r="AK23" s="53">
        <f t="shared" si="32"/>
        <v>0.9133442603914983</v>
      </c>
      <c r="AL23" s="53">
        <f t="shared" si="24"/>
        <v>1.2167404013221361E-3</v>
      </c>
      <c r="AM23" s="53">
        <f t="shared" si="32"/>
        <v>0.65415513544440917</v>
      </c>
      <c r="AN23" s="53">
        <f t="shared" si="25"/>
        <v>6.6905078369470239E-3</v>
      </c>
      <c r="AO23" s="53">
        <f t="shared" si="32"/>
        <v>0.72663088328045966</v>
      </c>
      <c r="AP23" s="53">
        <f t="shared" si="26"/>
        <v>3.6761671074121427E-3</v>
      </c>
      <c r="AQ23" s="53">
        <f t="shared" si="32"/>
        <v>1.6810241859167985</v>
      </c>
      <c r="AR23" s="53">
        <f t="shared" si="26"/>
        <v>1.3071379413991391E-3</v>
      </c>
      <c r="AS23" s="53">
        <f t="shared" si="32"/>
        <v>0.8506433169030474</v>
      </c>
      <c r="AT23" s="53">
        <f t="shared" si="27"/>
        <v>2.0631999948534929E-3</v>
      </c>
      <c r="AU23" s="53">
        <f t="shared" si="32"/>
        <v>1.1970701391090923</v>
      </c>
      <c r="AV23" s="53"/>
      <c r="AW23" s="53">
        <f t="shared" si="32"/>
        <v>0.45689692389914355</v>
      </c>
      <c r="AX23" s="53">
        <f t="shared" si="28"/>
        <v>-1.3704419619819941E-4</v>
      </c>
      <c r="AY23" s="53">
        <f t="shared" si="32"/>
        <v>4.0496743220584159</v>
      </c>
      <c r="AZ23" s="53"/>
      <c r="BA23" s="53">
        <f t="shared" si="17"/>
        <v>0.41432072354790961</v>
      </c>
      <c r="BB23" s="53">
        <f t="shared" si="29"/>
        <v>-8.3394589091687621E-3</v>
      </c>
      <c r="BC23" s="53">
        <f t="shared" si="32"/>
        <v>1</v>
      </c>
      <c r="BD23" s="53">
        <f t="shared" si="32"/>
        <v>1</v>
      </c>
      <c r="BE23" s="105">
        <f t="shared" si="18"/>
        <v>0.19707013910909232</v>
      </c>
      <c r="BG23" s="14" t="s">
        <v>32</v>
      </c>
      <c r="BH23" s="26" t="s">
        <v>13</v>
      </c>
      <c r="BI23" s="332"/>
      <c r="BJ23" s="332"/>
      <c r="BK23" s="27">
        <f>R4</f>
        <v>2009.4019042164659</v>
      </c>
      <c r="BL23" s="27">
        <f>$BK$23</f>
        <v>2009.4019042164659</v>
      </c>
      <c r="BM23" s="27">
        <f t="shared" si="19"/>
        <v>2119.4256904455815</v>
      </c>
      <c r="BO23" s="28">
        <v>2009</v>
      </c>
      <c r="BP23" s="29">
        <f t="shared" si="30"/>
        <v>1.1878431372549019</v>
      </c>
      <c r="BQ23" s="29">
        <f t="shared" si="30"/>
        <v>1.0843881856540085</v>
      </c>
      <c r="BR23" s="29">
        <f t="shared" si="30"/>
        <v>1.1854636591478698</v>
      </c>
      <c r="BS23" s="29">
        <f t="shared" si="30"/>
        <v>1.0724932249322494</v>
      </c>
      <c r="BT23" s="29">
        <f t="shared" si="30"/>
        <v>1.1701492537313434</v>
      </c>
      <c r="BU23" s="29">
        <f t="shared" si="30"/>
        <v>1.1809794180269695</v>
      </c>
      <c r="BV23" s="29">
        <f t="shared" si="30"/>
        <v>1.0031496062992125</v>
      </c>
      <c r="BW23" s="29">
        <f t="shared" si="30"/>
        <v>1.0717325227963526</v>
      </c>
      <c r="BX23" s="29">
        <f t="shared" si="30"/>
        <v>1.0691408235892221</v>
      </c>
      <c r="BZ23" s="28">
        <v>2009</v>
      </c>
      <c r="CA23" s="29">
        <f t="shared" si="31"/>
        <v>0.99180327868852458</v>
      </c>
      <c r="CB23" s="29">
        <f t="shared" si="31"/>
        <v>1.0058616647127785</v>
      </c>
      <c r="CC23" s="29">
        <f t="shared" si="31"/>
        <v>0.84729729729729719</v>
      </c>
      <c r="CD23" s="29">
        <f t="shared" si="31"/>
        <v>0.79624664879356577</v>
      </c>
      <c r="CE23" s="29">
        <f t="shared" si="31"/>
        <v>0.88211382113821135</v>
      </c>
      <c r="CF23" s="29">
        <f t="shared" si="31"/>
        <v>0.87185354691075512</v>
      </c>
      <c r="CG23" s="29">
        <f t="shared" si="31"/>
        <v>0.8508217446270544</v>
      </c>
      <c r="CH23" s="29">
        <f t="shared" si="31"/>
        <v>0.8675400291120815</v>
      </c>
      <c r="CI23" s="29">
        <f t="shared" si="31"/>
        <v>0.80675675675675673</v>
      </c>
    </row>
    <row r="24" spans="1:87" x14ac:dyDescent="0.2">
      <c r="A24" s="26">
        <v>2025</v>
      </c>
      <c r="B24" s="273">
        <v>8.0361259348455096</v>
      </c>
      <c r="C24" s="136">
        <v>3.342616</v>
      </c>
      <c r="D24" s="100">
        <f t="shared" si="0"/>
        <v>375.85359868167393</v>
      </c>
      <c r="E24" s="273">
        <v>14.034720387994108</v>
      </c>
      <c r="F24" s="136">
        <v>14.363856999999999</v>
      </c>
      <c r="G24" s="273">
        <v>14.672992341432238</v>
      </c>
      <c r="H24" s="273">
        <v>11.321808742299726</v>
      </c>
      <c r="I24" s="273">
        <v>0.97565016606731236</v>
      </c>
      <c r="J24" s="277">
        <v>545.21915206469214</v>
      </c>
      <c r="K24" s="277">
        <v>448.79838828056711</v>
      </c>
      <c r="L24" s="100">
        <f t="shared" si="3"/>
        <v>329.48147231463878</v>
      </c>
      <c r="M24" s="100">
        <f t="shared" si="4"/>
        <v>323.03032893682263</v>
      </c>
      <c r="N24" s="100">
        <f t="shared" si="5"/>
        <v>65.550107884228765</v>
      </c>
      <c r="O24" s="100">
        <f t="shared" si="6"/>
        <v>682.78469356820165</v>
      </c>
      <c r="P24" s="100">
        <f t="shared" si="7"/>
        <v>184.6376965710092</v>
      </c>
      <c r="Q24" s="100">
        <f t="shared" si="8"/>
        <v>553.73474674180761</v>
      </c>
      <c r="R24" s="101">
        <f t="shared" si="9"/>
        <v>1065.4145517058091</v>
      </c>
      <c r="S24" s="101">
        <f t="shared" si="9"/>
        <v>5982.0669409221155</v>
      </c>
      <c r="T24" s="65"/>
      <c r="U24" s="8">
        <v>2023</v>
      </c>
      <c r="V24" s="53">
        <f t="shared" si="32"/>
        <v>0.31178159085463808</v>
      </c>
      <c r="W24" s="53">
        <f t="shared" si="20"/>
        <v>-2.6377345155701448E-3</v>
      </c>
      <c r="X24" s="53">
        <f t="shared" si="32"/>
        <v>0.21164194723859875</v>
      </c>
      <c r="Y24" s="53">
        <f t="shared" si="20"/>
        <v>1.6479376375679866E-2</v>
      </c>
      <c r="Z24" s="53">
        <f t="shared" si="32"/>
        <v>3.2052487441034727E-2</v>
      </c>
      <c r="AA24" s="53"/>
      <c r="AB24" s="53">
        <f t="shared" si="16"/>
        <v>0.13057948479766221</v>
      </c>
      <c r="AC24" s="53">
        <f t="shared" si="21"/>
        <v>-1.1391829937849707E-2</v>
      </c>
      <c r="AD24" s="53">
        <f t="shared" si="32"/>
        <v>0.33731684433167453</v>
      </c>
      <c r="AE24" s="53">
        <f t="shared" si="21"/>
        <v>-1.521392689502421E-2</v>
      </c>
      <c r="AF24" s="53">
        <f t="shared" si="32"/>
        <v>0.6116408793828727</v>
      </c>
      <c r="AG24" s="53">
        <f t="shared" si="22"/>
        <v>7.6389160726053618E-4</v>
      </c>
      <c r="AH24" s="53">
        <f t="shared" si="32"/>
        <v>0.21164194723859875</v>
      </c>
      <c r="AI24" s="53">
        <f t="shared" si="23"/>
        <v>1.6479376375679866E-2</v>
      </c>
      <c r="AJ24" s="53">
        <f t="shared" si="32"/>
        <v>3.2052487441034727E-2</v>
      </c>
      <c r="AK24" s="53">
        <f t="shared" si="32"/>
        <v>0.91442118291902164</v>
      </c>
      <c r="AL24" s="53">
        <f t="shared" si="24"/>
        <v>1.1790981497619146E-3</v>
      </c>
      <c r="AM24" s="53">
        <f t="shared" si="32"/>
        <v>0.65856393289054549</v>
      </c>
      <c r="AN24" s="53">
        <f t="shared" si="25"/>
        <v>6.7396817776890217E-3</v>
      </c>
      <c r="AO24" s="53">
        <f t="shared" si="32"/>
        <v>0.72917914544047702</v>
      </c>
      <c r="AP24" s="53">
        <f t="shared" si="26"/>
        <v>3.5069554826969718E-3</v>
      </c>
      <c r="AQ24" s="53">
        <f t="shared" si="32"/>
        <v>1.6831721157585064</v>
      </c>
      <c r="AR24" s="53">
        <f t="shared" si="26"/>
        <v>1.2777507068029159E-3</v>
      </c>
      <c r="AS24" s="53">
        <f t="shared" si="32"/>
        <v>0.85238318394809087</v>
      </c>
      <c r="AT24" s="53">
        <f t="shared" si="27"/>
        <v>2.0453543929290774E-3</v>
      </c>
      <c r="AU24" s="53">
        <f t="shared" si="32"/>
        <v>1.1967098260401652</v>
      </c>
      <c r="AV24" s="53"/>
      <c r="AW24" s="53">
        <f t="shared" si="32"/>
        <v>0.45687753094081279</v>
      </c>
      <c r="AX24" s="53">
        <f t="shared" si="28"/>
        <v>-4.2444930828722249E-5</v>
      </c>
      <c r="AY24" s="53">
        <f t="shared" si="32"/>
        <v>4.0678850614102959</v>
      </c>
      <c r="AZ24" s="53"/>
      <c r="BA24" s="53">
        <f t="shared" si="17"/>
        <v>0.41092843550053221</v>
      </c>
      <c r="BB24" s="53">
        <f t="shared" si="29"/>
        <v>-8.1875896004635074E-3</v>
      </c>
      <c r="BC24" s="53">
        <f t="shared" si="32"/>
        <v>1</v>
      </c>
      <c r="BD24" s="53">
        <f t="shared" si="32"/>
        <v>1</v>
      </c>
      <c r="BE24" s="105">
        <f t="shared" si="18"/>
        <v>0.19670982604016518</v>
      </c>
      <c r="BG24" s="14" t="s">
        <v>33</v>
      </c>
      <c r="BH24" s="26" t="s">
        <v>14</v>
      </c>
      <c r="BI24" s="332"/>
      <c r="BJ24" s="332"/>
      <c r="BK24" s="27">
        <f>S4</f>
        <v>3997.88904540354</v>
      </c>
      <c r="BL24" s="27">
        <f>$BK$24</f>
        <v>3997.88904540354</v>
      </c>
      <c r="BM24" s="27">
        <f t="shared" si="19"/>
        <v>4216.7914405770534</v>
      </c>
      <c r="BO24" s="28">
        <v>2010</v>
      </c>
      <c r="BP24" s="29">
        <f t="shared" si="30"/>
        <v>1.2219607843137255</v>
      </c>
      <c r="BQ24" s="29">
        <f t="shared" si="30"/>
        <v>1.1118143459915613</v>
      </c>
      <c r="BR24" s="29">
        <f t="shared" si="30"/>
        <v>1.2487468671679196</v>
      </c>
      <c r="BS24" s="29">
        <f t="shared" si="30"/>
        <v>1.1327913279132791</v>
      </c>
      <c r="BT24" s="29">
        <f t="shared" si="30"/>
        <v>1.1808955223880597</v>
      </c>
      <c r="BU24" s="29">
        <f t="shared" si="30"/>
        <v>1.1249112845990064</v>
      </c>
      <c r="BV24" s="29">
        <f t="shared" si="30"/>
        <v>0.96115485564304448</v>
      </c>
      <c r="BW24" s="29">
        <f t="shared" si="30"/>
        <v>0.98419452887538006</v>
      </c>
      <c r="BX24" s="29">
        <f t="shared" si="30"/>
        <v>1.0437214031520081</v>
      </c>
      <c r="BZ24" s="28">
        <v>2010</v>
      </c>
      <c r="CA24" s="29">
        <f t="shared" si="31"/>
        <v>0.89446721311475419</v>
      </c>
      <c r="CB24" s="29">
        <f t="shared" si="31"/>
        <v>0.89331770222743268</v>
      </c>
      <c r="CC24" s="29">
        <f t="shared" si="31"/>
        <v>0.79999999999999993</v>
      </c>
      <c r="CD24" s="29">
        <f t="shared" si="31"/>
        <v>0.78552278820375343</v>
      </c>
      <c r="CE24" s="29">
        <f t="shared" si="31"/>
        <v>0.80081300813008127</v>
      </c>
      <c r="CF24" s="29">
        <f t="shared" si="31"/>
        <v>0.77345537757437066</v>
      </c>
      <c r="CG24" s="29">
        <f t="shared" si="31"/>
        <v>0.76106194690265483</v>
      </c>
      <c r="CH24" s="29">
        <f t="shared" si="31"/>
        <v>0.84133915574963614</v>
      </c>
      <c r="CI24" s="29">
        <f t="shared" si="31"/>
        <v>0.8540540540540541</v>
      </c>
    </row>
    <row r="25" spans="1:87" x14ac:dyDescent="0.2">
      <c r="A25" s="26">
        <f t="shared" ref="A25:A42" si="33">A24+1</f>
        <v>2026</v>
      </c>
      <c r="B25" s="273">
        <v>8.0486505346126727</v>
      </c>
      <c r="C25" s="136">
        <v>3.3446470000000001</v>
      </c>
      <c r="D25" s="100">
        <f t="shared" si="0"/>
        <v>366.96051238745656</v>
      </c>
      <c r="E25" s="273">
        <v>14.071214237469412</v>
      </c>
      <c r="F25" s="136">
        <v>14.383884999999999</v>
      </c>
      <c r="G25" s="273">
        <v>14.707224509420543</v>
      </c>
      <c r="H25" s="273">
        <v>11.362345396945585</v>
      </c>
      <c r="I25" s="273">
        <v>0.98005189237020607</v>
      </c>
      <c r="J25" s="277">
        <v>543.86386135514078</v>
      </c>
      <c r="K25" s="277">
        <v>445.16851006870934</v>
      </c>
      <c r="L25" s="100">
        <f t="shared" si="3"/>
        <v>329.46941112716655</v>
      </c>
      <c r="M25" s="100">
        <f t="shared" si="4"/>
        <v>319.60989537214908</v>
      </c>
      <c r="N25" s="100">
        <f t="shared" si="5"/>
        <v>63.744623055310612</v>
      </c>
      <c r="O25" s="100">
        <f t="shared" si="6"/>
        <v>671.64439878896007</v>
      </c>
      <c r="P25" s="100">
        <f t="shared" si="7"/>
        <v>184.78206822402399</v>
      </c>
      <c r="Q25" s="100">
        <f t="shared" si="8"/>
        <v>547.29557654918642</v>
      </c>
      <c r="R25" s="101">
        <f t="shared" si="9"/>
        <v>1054.4300712212589</v>
      </c>
      <c r="S25" s="101">
        <f t="shared" si="9"/>
        <v>6093.2371875187528</v>
      </c>
      <c r="T25" s="65"/>
      <c r="U25" s="8">
        <v>2024</v>
      </c>
      <c r="V25" s="53">
        <f t="shared" si="32"/>
        <v>0.31088937562203706</v>
      </c>
      <c r="W25" s="53">
        <f t="shared" si="20"/>
        <v>-2.8616674581566359E-3</v>
      </c>
      <c r="X25" s="53">
        <f t="shared" si="32"/>
        <v>0.21510699189401064</v>
      </c>
      <c r="Y25" s="53">
        <f t="shared" si="20"/>
        <v>1.6372201733267477E-2</v>
      </c>
      <c r="Z25" s="53">
        <f t="shared" si="32"/>
        <v>3.3056939884273023E-2</v>
      </c>
      <c r="AA25" s="53"/>
      <c r="AB25" s="53">
        <f t="shared" si="16"/>
        <v>0.1290827644040862</v>
      </c>
      <c r="AC25" s="53">
        <f t="shared" si="21"/>
        <v>-1.1462140441856006E-2</v>
      </c>
      <c r="AD25" s="53">
        <f t="shared" si="32"/>
        <v>0.3322135502217321</v>
      </c>
      <c r="AE25" s="53">
        <f t="shared" si="21"/>
        <v>-1.5129081739317152E-2</v>
      </c>
      <c r="AF25" s="53">
        <f t="shared" si="32"/>
        <v>0.61202144513595091</v>
      </c>
      <c r="AG25" s="53">
        <f t="shared" si="22"/>
        <v>6.2220457445905097E-4</v>
      </c>
      <c r="AH25" s="53">
        <f t="shared" si="32"/>
        <v>0.21510699189401064</v>
      </c>
      <c r="AI25" s="53">
        <f t="shared" si="23"/>
        <v>1.6372201733267477E-2</v>
      </c>
      <c r="AJ25" s="53">
        <f t="shared" si="32"/>
        <v>3.3056939884273023E-2</v>
      </c>
      <c r="AK25" s="53">
        <f t="shared" si="32"/>
        <v>0.91548056329612393</v>
      </c>
      <c r="AL25" s="53">
        <f t="shared" si="24"/>
        <v>1.1585256300827851E-3</v>
      </c>
      <c r="AM25" s="53">
        <f t="shared" si="32"/>
        <v>0.66304733948786954</v>
      </c>
      <c r="AN25" s="53">
        <f t="shared" si="25"/>
        <v>6.8078532294437721E-3</v>
      </c>
      <c r="AO25" s="53">
        <f t="shared" si="32"/>
        <v>0.73162368146358381</v>
      </c>
      <c r="AP25" s="53">
        <f t="shared" si="26"/>
        <v>3.3524491730081429E-3</v>
      </c>
      <c r="AQ25" s="53">
        <f t="shared" si="32"/>
        <v>1.6853772178524866</v>
      </c>
      <c r="AR25" s="53">
        <f t="shared" si="26"/>
        <v>1.3100871107210033E-3</v>
      </c>
      <c r="AS25" s="53">
        <f t="shared" si="32"/>
        <v>0.85411380932920489</v>
      </c>
      <c r="AT25" s="53">
        <f t="shared" si="27"/>
        <v>2.030337310384267E-3</v>
      </c>
      <c r="AU25" s="53">
        <f t="shared" si="32"/>
        <v>1.1964114799123395</v>
      </c>
      <c r="AV25" s="53"/>
      <c r="AW25" s="53">
        <f t="shared" si="32"/>
        <v>0.45688219688160181</v>
      </c>
      <c r="AX25" s="53">
        <f t="shared" si="28"/>
        <v>1.0212672922227384E-5</v>
      </c>
      <c r="AY25" s="53">
        <f t="shared" si="32"/>
        <v>4.0866216866943121</v>
      </c>
      <c r="AZ25" s="53"/>
      <c r="BA25" s="53">
        <f t="shared" si="17"/>
        <v>0.40771043601344903</v>
      </c>
      <c r="BB25" s="53">
        <f t="shared" si="29"/>
        <v>-7.8310460145292193E-3</v>
      </c>
      <c r="BC25" s="53">
        <f t="shared" si="32"/>
        <v>1</v>
      </c>
      <c r="BD25" s="53">
        <f t="shared" si="32"/>
        <v>1</v>
      </c>
      <c r="BE25" s="105">
        <f t="shared" si="18"/>
        <v>0.19641147991233954</v>
      </c>
      <c r="BI25" s="332"/>
      <c r="BJ25" s="332"/>
      <c r="BK25" s="332"/>
      <c r="BL25" s="332"/>
      <c r="BM25" s="332"/>
      <c r="BO25" s="28">
        <v>2011</v>
      </c>
      <c r="BP25" s="29">
        <f t="shared" si="30"/>
        <v>1.2937254901960784</v>
      </c>
      <c r="BQ25" s="29">
        <f t="shared" si="30"/>
        <v>1.078902953586498</v>
      </c>
      <c r="BR25" s="29">
        <f t="shared" si="30"/>
        <v>1.1372180451127818</v>
      </c>
      <c r="BS25" s="29">
        <f t="shared" si="30"/>
        <v>1.0210027100271004</v>
      </c>
      <c r="BT25" s="29">
        <f t="shared" si="30"/>
        <v>1.0961194029850745</v>
      </c>
      <c r="BU25" s="29">
        <f t="shared" si="30"/>
        <v>1.0390347764371894</v>
      </c>
      <c r="BV25" s="29">
        <f t="shared" si="30"/>
        <v>0.8671916010498687</v>
      </c>
      <c r="BW25" s="29">
        <f t="shared" si="30"/>
        <v>0.93130699088145907</v>
      </c>
      <c r="BX25" s="29">
        <f t="shared" si="30"/>
        <v>1.0427046263345197</v>
      </c>
      <c r="BZ25" s="28">
        <v>2011</v>
      </c>
      <c r="CA25" s="29">
        <f t="shared" si="31"/>
        <v>0.81147540983606559</v>
      </c>
      <c r="CB25" s="29">
        <f t="shared" si="31"/>
        <v>0.81711606096131306</v>
      </c>
      <c r="CC25" s="29">
        <f t="shared" si="31"/>
        <v>0.73918918918918908</v>
      </c>
      <c r="CD25" s="29">
        <f t="shared" si="31"/>
        <v>0.72788203753351199</v>
      </c>
      <c r="CE25" s="29">
        <f t="shared" si="31"/>
        <v>0.76117886178861793</v>
      </c>
      <c r="CF25" s="29">
        <f t="shared" si="31"/>
        <v>0.72997711670480547</v>
      </c>
      <c r="CG25" s="29">
        <f t="shared" si="31"/>
        <v>0.73830594184576481</v>
      </c>
      <c r="CH25" s="29">
        <f t="shared" si="31"/>
        <v>0.79621542940320233</v>
      </c>
      <c r="CI25" s="29">
        <f t="shared" si="31"/>
        <v>0.79729729729729726</v>
      </c>
    </row>
    <row r="26" spans="1:87" x14ac:dyDescent="0.2">
      <c r="A26" s="26">
        <f t="shared" si="33"/>
        <v>2027</v>
      </c>
      <c r="B26" s="273">
        <v>8.0588108335001927</v>
      </c>
      <c r="C26" s="136">
        <v>3.3468979999999999</v>
      </c>
      <c r="D26" s="100">
        <f t="shared" si="0"/>
        <v>357.93818962937678</v>
      </c>
      <c r="E26" s="273">
        <v>14.100804384273554</v>
      </c>
      <c r="F26" s="136">
        <v>14.405049999999999</v>
      </c>
      <c r="G26" s="273">
        <v>14.731505262642544</v>
      </c>
      <c r="H26" s="273">
        <v>11.396952574282738</v>
      </c>
      <c r="I26" s="273">
        <v>0.98393036972039893</v>
      </c>
      <c r="J26" s="277">
        <v>542.94891228335916</v>
      </c>
      <c r="K26" s="277">
        <v>441.73776168054229</v>
      </c>
      <c r="L26" s="100">
        <f t="shared" si="3"/>
        <v>329.40991895333542</v>
      </c>
      <c r="M26" s="100">
        <f t="shared" si="4"/>
        <v>317.41994457983418</v>
      </c>
      <c r="N26" s="100">
        <f t="shared" si="5"/>
        <v>62.08722522070773</v>
      </c>
      <c r="O26" s="100">
        <f t="shared" si="6"/>
        <v>661.8954271056308</v>
      </c>
      <c r="P26" s="100">
        <f t="shared" si="7"/>
        <v>184.95528856475121</v>
      </c>
      <c r="Q26" s="100">
        <f t="shared" si="8"/>
        <v>544.04129933955744</v>
      </c>
      <c r="R26" s="101">
        <f t="shared" si="9"/>
        <v>1044.4228839671246</v>
      </c>
      <c r="S26" s="101">
        <f t="shared" si="9"/>
        <v>6208.6636278159976</v>
      </c>
      <c r="T26" s="65"/>
      <c r="U26" s="8">
        <v>2025</v>
      </c>
      <c r="V26" s="53">
        <f t="shared" si="32"/>
        <v>0.30995669799041659</v>
      </c>
      <c r="W26" s="53">
        <f t="shared" si="20"/>
        <v>-3.0000305727860832E-3</v>
      </c>
      <c r="X26" s="53">
        <f t="shared" si="32"/>
        <v>0.21858723438008901</v>
      </c>
      <c r="Y26" s="53">
        <f t="shared" si="20"/>
        <v>1.6179123028196019E-2</v>
      </c>
      <c r="Z26" s="53">
        <f t="shared" si="32"/>
        <v>3.3979878927436986E-2</v>
      </c>
      <c r="AA26" s="53"/>
      <c r="AB26" s="53">
        <f t="shared" si="16"/>
        <v>0.12760007355212286</v>
      </c>
      <c r="AC26" s="53">
        <f t="shared" si="21"/>
        <v>-1.1486358064984326E-2</v>
      </c>
      <c r="AD26" s="53">
        <f t="shared" si="32"/>
        <v>0.32723916338065745</v>
      </c>
      <c r="AE26" s="53">
        <f t="shared" si="21"/>
        <v>-1.4973461611528349E-2</v>
      </c>
      <c r="AF26" s="53">
        <f t="shared" si="32"/>
        <v>0.61233656586099849</v>
      </c>
      <c r="AG26" s="53">
        <f t="shared" si="22"/>
        <v>5.1488510337671656E-4</v>
      </c>
      <c r="AH26" s="53">
        <f t="shared" si="32"/>
        <v>0.21858723438008901</v>
      </c>
      <c r="AI26" s="53">
        <f t="shared" si="23"/>
        <v>1.6179123028196019E-2</v>
      </c>
      <c r="AJ26" s="53">
        <f t="shared" si="32"/>
        <v>3.3979878927436986E-2</v>
      </c>
      <c r="AK26" s="53">
        <f t="shared" si="32"/>
        <v>0.91651389377967774</v>
      </c>
      <c r="AL26" s="53">
        <f t="shared" si="24"/>
        <v>1.1287301172548947E-3</v>
      </c>
      <c r="AM26" s="53">
        <f t="shared" si="32"/>
        <v>0.66756123033952963</v>
      </c>
      <c r="AN26" s="53">
        <f t="shared" si="25"/>
        <v>6.8077957377019604E-3</v>
      </c>
      <c r="AO26" s="53">
        <f t="shared" si="32"/>
        <v>0.73396737987387972</v>
      </c>
      <c r="AP26" s="53">
        <f t="shared" si="26"/>
        <v>3.2034206514577335E-3</v>
      </c>
      <c r="AQ26" s="53">
        <f t="shared" si="32"/>
        <v>1.6874800345646903</v>
      </c>
      <c r="AR26" s="53">
        <f t="shared" si="26"/>
        <v>1.2476831239496278E-3</v>
      </c>
      <c r="AS26" s="53">
        <f t="shared" si="32"/>
        <v>0.85581308146137969</v>
      </c>
      <c r="AT26" s="53">
        <f t="shared" si="27"/>
        <v>1.9895148791815309E-3</v>
      </c>
      <c r="AU26" s="53">
        <f t="shared" si="32"/>
        <v>1.1961530557181368</v>
      </c>
      <c r="AV26" s="53"/>
      <c r="AW26" s="53">
        <f t="shared" si="32"/>
        <v>0.45687694321223271</v>
      </c>
      <c r="AX26" s="53">
        <f t="shared" si="28"/>
        <v>-1.1498958385702807E-5</v>
      </c>
      <c r="AY26" s="53">
        <f t="shared" si="32"/>
        <v>4.1059420981343964</v>
      </c>
      <c r="AZ26" s="53"/>
      <c r="BA26" s="53">
        <f t="shared" si="17"/>
        <v>0.40455121787653098</v>
      </c>
      <c r="BB26" s="53">
        <f t="shared" si="29"/>
        <v>-7.7486810683792262E-3</v>
      </c>
      <c r="BC26" s="53">
        <f t="shared" si="32"/>
        <v>1</v>
      </c>
      <c r="BD26" s="53">
        <f t="shared" si="32"/>
        <v>1</v>
      </c>
      <c r="BE26" s="105">
        <f t="shared" si="18"/>
        <v>0.19615305571813679</v>
      </c>
      <c r="BI26" s="332"/>
      <c r="BJ26" s="332"/>
      <c r="BK26" s="332"/>
      <c r="BL26" s="27">
        <f>SUM(BL5:BL24)</f>
        <v>16756.048274531411</v>
      </c>
      <c r="BM26" s="27">
        <f>SUM(BM5:BM24)</f>
        <v>17673.517233594954</v>
      </c>
      <c r="BO26" s="28">
        <v>2012</v>
      </c>
      <c r="BP26" s="29">
        <f t="shared" si="30"/>
        <v>1.3160784313725491</v>
      </c>
      <c r="BQ26" s="29">
        <f t="shared" si="30"/>
        <v>1.1130801687763714</v>
      </c>
      <c r="BR26" s="29">
        <f t="shared" si="30"/>
        <v>1.131578947368421</v>
      </c>
      <c r="BS26" s="29">
        <f t="shared" si="30"/>
        <v>1.0203252032520325</v>
      </c>
      <c r="BT26" s="29">
        <f t="shared" si="30"/>
        <v>1.1002985074626865</v>
      </c>
      <c r="BU26" s="29">
        <f t="shared" si="30"/>
        <v>1.0369056068133429</v>
      </c>
      <c r="BV26" s="29">
        <f t="shared" si="30"/>
        <v>0.87611548556430452</v>
      </c>
      <c r="BW26" s="29">
        <f t="shared" si="30"/>
        <v>0.95987841945288754</v>
      </c>
      <c r="BX26" s="29">
        <f t="shared" si="30"/>
        <v>1.0416878495170308</v>
      </c>
      <c r="BZ26" s="28">
        <v>2012</v>
      </c>
      <c r="CA26" s="29">
        <f t="shared" si="31"/>
        <v>0.81045081967213117</v>
      </c>
      <c r="CB26" s="29">
        <f t="shared" si="31"/>
        <v>0.82297772567409144</v>
      </c>
      <c r="CC26" s="29">
        <f t="shared" si="31"/>
        <v>0.7121621621621621</v>
      </c>
      <c r="CD26" s="29">
        <f t="shared" si="31"/>
        <v>0.71983914209115285</v>
      </c>
      <c r="CE26" s="29">
        <f t="shared" si="31"/>
        <v>0.75406504065040647</v>
      </c>
      <c r="CF26" s="29">
        <f t="shared" si="31"/>
        <v>0.72540045766590389</v>
      </c>
      <c r="CG26" s="29">
        <f t="shared" si="31"/>
        <v>0.72945638432364091</v>
      </c>
      <c r="CH26" s="29">
        <f t="shared" si="31"/>
        <v>0.7889374090247453</v>
      </c>
      <c r="CI26" s="29">
        <f t="shared" si="31"/>
        <v>0.79054054054054046</v>
      </c>
    </row>
    <row r="27" spans="1:87" x14ac:dyDescent="0.2">
      <c r="A27" s="26">
        <f t="shared" si="33"/>
        <v>2028</v>
      </c>
      <c r="B27" s="273">
        <v>8.0677913116560092</v>
      </c>
      <c r="C27" s="136">
        <v>3.349342</v>
      </c>
      <c r="D27" s="100">
        <f t="shared" si="0"/>
        <v>349.05234168591141</v>
      </c>
      <c r="E27" s="273">
        <v>14.126335329043666</v>
      </c>
      <c r="F27" s="136">
        <v>14.427125</v>
      </c>
      <c r="G27" s="273">
        <v>14.75171017154501</v>
      </c>
      <c r="H27" s="273">
        <v>11.425125961365802</v>
      </c>
      <c r="I27" s="273">
        <v>0.98734296630378626</v>
      </c>
      <c r="J27" s="277">
        <v>542.13572721280798</v>
      </c>
      <c r="K27" s="277">
        <v>438.50383879903649</v>
      </c>
      <c r="L27" s="100">
        <f t="shared" si="3"/>
        <v>329.37129474983703</v>
      </c>
      <c r="M27" s="100">
        <f t="shared" si="4"/>
        <v>316.41023492887791</v>
      </c>
      <c r="N27" s="100">
        <f t="shared" si="5"/>
        <v>60.562851608393963</v>
      </c>
      <c r="O27" s="100">
        <f t="shared" si="6"/>
        <v>654.02148725595259</v>
      </c>
      <c r="P27" s="100">
        <f t="shared" si="7"/>
        <v>185.29266901309492</v>
      </c>
      <c r="Q27" s="100">
        <f t="shared" si="8"/>
        <v>536.26648096792098</v>
      </c>
      <c r="R27" s="101">
        <f t="shared" si="9"/>
        <v>1035.8894012326903</v>
      </c>
      <c r="S27" s="101">
        <f t="shared" si="9"/>
        <v>6324.2277980935451</v>
      </c>
      <c r="T27" s="65"/>
      <c r="U27" s="23">
        <v>2026</v>
      </c>
      <c r="V27" s="53">
        <f t="shared" si="32"/>
        <v>0.30903182166524668</v>
      </c>
      <c r="W27" s="53">
        <f t="shared" si="20"/>
        <v>-2.9838888179100076E-3</v>
      </c>
      <c r="X27" s="53">
        <f t="shared" si="32"/>
        <v>0.22204180949065874</v>
      </c>
      <c r="Y27" s="53">
        <f t="shared" si="20"/>
        <v>1.5804102743542492E-2</v>
      </c>
      <c r="Z27" s="53">
        <f t="shared" si="32"/>
        <v>3.4810946517703834E-2</v>
      </c>
      <c r="AA27" s="53"/>
      <c r="AB27" s="53">
        <f t="shared" si="16"/>
        <v>0.12614736033663437</v>
      </c>
      <c r="AC27" s="53">
        <f t="shared" si="21"/>
        <v>-1.13848932453402E-2</v>
      </c>
      <c r="AD27" s="53">
        <f t="shared" si="32"/>
        <v>0.32242589073515526</v>
      </c>
      <c r="AE27" s="53">
        <f t="shared" si="21"/>
        <v>-1.4708730445882501E-2</v>
      </c>
      <c r="AF27" s="53">
        <f t="shared" si="32"/>
        <v>0.61262707241012826</v>
      </c>
      <c r="AG27" s="53">
        <f t="shared" si="22"/>
        <v>4.7442299762279205E-4</v>
      </c>
      <c r="AH27" s="53">
        <f t="shared" si="32"/>
        <v>0.22204180949065874</v>
      </c>
      <c r="AI27" s="53">
        <f t="shared" si="23"/>
        <v>1.5804102743542492E-2</v>
      </c>
      <c r="AJ27" s="53">
        <f t="shared" si="32"/>
        <v>3.4810946517703834E-2</v>
      </c>
      <c r="AK27" s="53">
        <f t="shared" si="32"/>
        <v>0.91751104028368191</v>
      </c>
      <c r="AL27" s="53">
        <f t="shared" si="24"/>
        <v>1.0879775099665867E-3</v>
      </c>
      <c r="AM27" s="53">
        <f t="shared" si="32"/>
        <v>0.67205652511041469</v>
      </c>
      <c r="AN27" s="53">
        <f t="shared" si="25"/>
        <v>6.7339062944065109E-3</v>
      </c>
      <c r="AO27" s="53">
        <f t="shared" si="32"/>
        <v>0.73622590629540641</v>
      </c>
      <c r="AP27" s="53">
        <f t="shared" si="26"/>
        <v>3.0771482268254768E-3</v>
      </c>
      <c r="AQ27" s="53">
        <f t="shared" si="32"/>
        <v>1.6895609748901801</v>
      </c>
      <c r="AR27" s="53">
        <f t="shared" si="26"/>
        <v>1.2331644125358476E-3</v>
      </c>
      <c r="AS27" s="53">
        <f t="shared" si="32"/>
        <v>0.85745882065192691</v>
      </c>
      <c r="AT27" s="53">
        <f t="shared" si="27"/>
        <v>1.9230124266587101E-3</v>
      </c>
      <c r="AU27" s="53">
        <f t="shared" si="32"/>
        <v>1.1959103424992095</v>
      </c>
      <c r="AV27" s="53"/>
      <c r="AW27" s="53">
        <f t="shared" si="32"/>
        <v>0.45683648198425086</v>
      </c>
      <c r="AX27" s="53">
        <f t="shared" si="28"/>
        <v>-8.8560450648644817E-5</v>
      </c>
      <c r="AY27" s="53">
        <f t="shared" si="32"/>
        <v>4.1252872638868698</v>
      </c>
      <c r="AZ27" s="53"/>
      <c r="BA27" s="53">
        <f t="shared" si="17"/>
        <v>0.40146161673864272</v>
      </c>
      <c r="BB27" s="53">
        <f t="shared" si="29"/>
        <v>-7.6371074943375472E-3</v>
      </c>
      <c r="BC27" s="53">
        <f t="shared" si="32"/>
        <v>1</v>
      </c>
      <c r="BD27" s="53">
        <f t="shared" si="32"/>
        <v>1</v>
      </c>
      <c r="BE27" s="105">
        <f t="shared" si="18"/>
        <v>0.19591034249920947</v>
      </c>
      <c r="BI27" s="332"/>
      <c r="BJ27" s="332"/>
      <c r="BK27" s="332" t="s">
        <v>153</v>
      </c>
      <c r="BL27" s="27">
        <v>17673.517233594957</v>
      </c>
      <c r="BM27" s="27"/>
      <c r="BO27" s="28">
        <v>2013</v>
      </c>
      <c r="BP27" s="29">
        <f t="shared" si="30"/>
        <v>1.328235294117647</v>
      </c>
      <c r="BQ27" s="29">
        <f t="shared" si="30"/>
        <v>1.1295358649789029</v>
      </c>
      <c r="BR27" s="29">
        <f t="shared" si="30"/>
        <v>1.1409774436090225</v>
      </c>
      <c r="BS27" s="29">
        <f t="shared" si="30"/>
        <v>1.046070460704607</v>
      </c>
      <c r="BT27" s="29">
        <f t="shared" si="30"/>
        <v>1.1062686567164179</v>
      </c>
      <c r="BU27" s="29">
        <f t="shared" si="30"/>
        <v>1.0312278211497516</v>
      </c>
      <c r="BV27" s="29">
        <f t="shared" si="30"/>
        <v>0.87874015748031487</v>
      </c>
      <c r="BW27" s="29">
        <f t="shared" si="30"/>
        <v>0.98723404255319147</v>
      </c>
      <c r="BX27" s="29">
        <f t="shared" si="30"/>
        <v>1.0350788002033553</v>
      </c>
      <c r="BZ27" s="28">
        <v>2013</v>
      </c>
      <c r="CA27" s="29">
        <f t="shared" si="31"/>
        <v>0.82274590163934425</v>
      </c>
      <c r="CB27" s="29">
        <f t="shared" si="31"/>
        <v>0.8429073856975382</v>
      </c>
      <c r="CC27" s="29">
        <f t="shared" si="31"/>
        <v>0.70540540540540531</v>
      </c>
      <c r="CD27" s="29">
        <f t="shared" si="31"/>
        <v>0.71447721179624668</v>
      </c>
      <c r="CE27" s="29">
        <f t="shared" si="31"/>
        <v>0.75508130081300806</v>
      </c>
      <c r="CF27" s="29">
        <f t="shared" si="31"/>
        <v>0.72540045766590389</v>
      </c>
      <c r="CG27" s="29">
        <f t="shared" si="31"/>
        <v>0.72566371681415931</v>
      </c>
      <c r="CH27" s="29">
        <f t="shared" si="31"/>
        <v>0.79184861717612809</v>
      </c>
      <c r="CI27" s="29">
        <f t="shared" si="31"/>
        <v>0.78783783783783778</v>
      </c>
    </row>
    <row r="28" spans="1:87" x14ac:dyDescent="0.2">
      <c r="A28" s="26">
        <f t="shared" si="33"/>
        <v>2029</v>
      </c>
      <c r="B28" s="273">
        <v>8.0753240961059021</v>
      </c>
      <c r="C28" s="136">
        <v>3.3519139999999998</v>
      </c>
      <c r="D28" s="100">
        <f t="shared" si="0"/>
        <v>340.33745453258416</v>
      </c>
      <c r="E28" s="273">
        <v>14.147276285903795</v>
      </c>
      <c r="F28" s="136">
        <v>14.449783</v>
      </c>
      <c r="G28" s="273">
        <v>14.767425606577278</v>
      </c>
      <c r="H28" s="273">
        <v>11.444206090028436</v>
      </c>
      <c r="I28" s="273">
        <v>0.9903785794200366</v>
      </c>
      <c r="J28" s="277">
        <v>541.31658654470505</v>
      </c>
      <c r="K28" s="277">
        <v>435.44977180467026</v>
      </c>
      <c r="L28" s="100">
        <f t="shared" si="3"/>
        <v>329.35319879028862</v>
      </c>
      <c r="M28" s="100">
        <f t="shared" si="4"/>
        <v>315.72788272531017</v>
      </c>
      <c r="N28" s="100">
        <f t="shared" si="5"/>
        <v>59.164125014364345</v>
      </c>
      <c r="O28" s="100">
        <f t="shared" si="6"/>
        <v>648.0225878107816</v>
      </c>
      <c r="P28" s="100">
        <f t="shared" si="7"/>
        <v>185.80681674282997</v>
      </c>
      <c r="Q28" s="100">
        <f t="shared" si="8"/>
        <v>535.62350067198099</v>
      </c>
      <c r="R28" s="101">
        <f t="shared" si="9"/>
        <v>1028.8691820986162</v>
      </c>
      <c r="S28" s="101">
        <f t="shared" si="9"/>
        <v>6436.1394421853329</v>
      </c>
      <c r="T28" s="65"/>
      <c r="U28" s="23">
        <v>2027</v>
      </c>
      <c r="V28" s="53">
        <f t="shared" si="32"/>
        <v>0.30815499910348892</v>
      </c>
      <c r="W28" s="53">
        <f t="shared" si="20"/>
        <v>-2.8373212733656672E-3</v>
      </c>
      <c r="X28" s="53">
        <f t="shared" si="32"/>
        <v>0.22540785362530927</v>
      </c>
      <c r="Y28" s="53">
        <f t="shared" si="20"/>
        <v>1.5159505961385822E-2</v>
      </c>
      <c r="Z28" s="53">
        <f t="shared" si="32"/>
        <v>3.5543659145791072E-2</v>
      </c>
      <c r="AA28" s="53"/>
      <c r="AB28" s="53">
        <f t="shared" si="16"/>
        <v>0.12474804033993438</v>
      </c>
      <c r="AC28" s="53">
        <f t="shared" si="21"/>
        <v>-1.1092741005168882E-2</v>
      </c>
      <c r="AD28" s="53">
        <f t="shared" si="32"/>
        <v>0.31783060347092323</v>
      </c>
      <c r="AE28" s="53">
        <f t="shared" si="21"/>
        <v>-1.4252227864686717E-2</v>
      </c>
      <c r="AF28" s="53">
        <f t="shared" si="32"/>
        <v>0.61294378180640974</v>
      </c>
      <c r="AG28" s="53">
        <f t="shared" si="22"/>
        <v>5.1696931223665921E-4</v>
      </c>
      <c r="AH28" s="53">
        <f t="shared" si="32"/>
        <v>0.22540785362530927</v>
      </c>
      <c r="AI28" s="53">
        <f t="shared" si="23"/>
        <v>1.5159505961385822E-2</v>
      </c>
      <c r="AJ28" s="53">
        <f t="shared" si="32"/>
        <v>3.5543659145791072E-2</v>
      </c>
      <c r="AK28" s="53">
        <f t="shared" si="32"/>
        <v>0.91846084720647858</v>
      </c>
      <c r="AL28" s="53">
        <f t="shared" si="24"/>
        <v>1.0351994483934757E-3</v>
      </c>
      <c r="AM28" s="53">
        <f t="shared" si="32"/>
        <v>0.67638719475919196</v>
      </c>
      <c r="AN28" s="53">
        <f t="shared" si="25"/>
        <v>6.4439068545101286E-3</v>
      </c>
      <c r="AO28" s="53">
        <f t="shared" si="32"/>
        <v>0.73840408309538286</v>
      </c>
      <c r="AP28" s="53">
        <f t="shared" si="26"/>
        <v>2.9585712501434269E-3</v>
      </c>
      <c r="AQ28" s="53">
        <f t="shared" si="32"/>
        <v>1.6916997449007842</v>
      </c>
      <c r="AR28" s="53">
        <f t="shared" si="26"/>
        <v>1.2658732312063048E-3</v>
      </c>
      <c r="AS28" s="53">
        <f t="shared" si="32"/>
        <v>0.85902817259475273</v>
      </c>
      <c r="AT28" s="53">
        <f t="shared" si="27"/>
        <v>1.8302359309017024E-3</v>
      </c>
      <c r="AU28" s="53">
        <f t="shared" si="32"/>
        <v>1.1956712535203669</v>
      </c>
      <c r="AV28" s="53"/>
      <c r="AW28" s="53">
        <f t="shared" si="32"/>
        <v>0.45675117589028497</v>
      </c>
      <c r="AX28" s="53">
        <f t="shared" si="28"/>
        <v>-1.8673222767884301E-4</v>
      </c>
      <c r="AY28" s="53">
        <f t="shared" si="32"/>
        <v>4.144768157058369</v>
      </c>
      <c r="AZ28" s="53"/>
      <c r="BA28" s="53">
        <f t="shared" si="17"/>
        <v>0.39848585055808694</v>
      </c>
      <c r="BB28" s="53">
        <f t="shared" si="29"/>
        <v>-7.4123304856141825E-3</v>
      </c>
      <c r="BC28" s="53">
        <f t="shared" si="32"/>
        <v>1</v>
      </c>
      <c r="BD28" s="53">
        <f t="shared" si="32"/>
        <v>1</v>
      </c>
      <c r="BE28" s="105">
        <f t="shared" si="18"/>
        <v>0.19567125352036685</v>
      </c>
      <c r="BI28" s="331"/>
      <c r="BJ28" s="331"/>
      <c r="BK28" s="331" t="s">
        <v>76</v>
      </c>
      <c r="BL28" s="69">
        <f>BL27/BL26</f>
        <v>1.0547544948565268</v>
      </c>
      <c r="BM28" s="13"/>
      <c r="BO28" s="28">
        <v>2014</v>
      </c>
      <c r="BP28" s="29">
        <f t="shared" si="30"/>
        <v>1.3203921568627452</v>
      </c>
      <c r="BQ28" s="29">
        <f t="shared" si="30"/>
        <v>1.1358649789029538</v>
      </c>
      <c r="BR28" s="29">
        <f t="shared" si="30"/>
        <v>1.1416040100250626</v>
      </c>
      <c r="BS28" s="29">
        <f t="shared" si="30"/>
        <v>1.0420054200542006</v>
      </c>
      <c r="BT28" s="29">
        <f t="shared" si="30"/>
        <v>1.102686567164179</v>
      </c>
      <c r="BU28" s="29">
        <f t="shared" si="30"/>
        <v>1.0198722498225692</v>
      </c>
      <c r="BV28" s="29">
        <f t="shared" si="30"/>
        <v>0.88136482939632543</v>
      </c>
      <c r="BW28" s="29">
        <f t="shared" si="30"/>
        <v>0.99209726443769009</v>
      </c>
      <c r="BX28" s="29">
        <f t="shared" si="30"/>
        <v>1.0366039654295882</v>
      </c>
      <c r="BZ28" s="28">
        <v>2014</v>
      </c>
      <c r="CA28" s="29">
        <f t="shared" si="31"/>
        <v>0.82889344262295084</v>
      </c>
      <c r="CB28" s="29">
        <f t="shared" si="31"/>
        <v>0.85932004689331776</v>
      </c>
      <c r="CC28" s="29">
        <f t="shared" si="31"/>
        <v>0.69729729729729728</v>
      </c>
      <c r="CD28" s="29">
        <f t="shared" si="31"/>
        <v>0.70643431635388731</v>
      </c>
      <c r="CE28" s="29">
        <f t="shared" si="31"/>
        <v>0.74288617886178854</v>
      </c>
      <c r="CF28" s="29">
        <f t="shared" si="31"/>
        <v>0.72311212814645309</v>
      </c>
      <c r="CG28" s="29">
        <f t="shared" si="31"/>
        <v>0.7193426042983565</v>
      </c>
      <c r="CH28" s="29">
        <f t="shared" si="31"/>
        <v>0.7831149927219796</v>
      </c>
      <c r="CI28" s="29">
        <f t="shared" si="31"/>
        <v>0.77567567567567564</v>
      </c>
    </row>
    <row r="29" spans="1:87" x14ac:dyDescent="0.2">
      <c r="A29" s="26">
        <f t="shared" si="33"/>
        <v>2030</v>
      </c>
      <c r="B29" s="273">
        <v>8.0819678074129335</v>
      </c>
      <c r="C29" s="136">
        <v>3.3545720000000001</v>
      </c>
      <c r="D29" s="100">
        <f t="shared" si="0"/>
        <v>331.68785546345759</v>
      </c>
      <c r="E29" s="273">
        <v>14.165765209712536</v>
      </c>
      <c r="F29" s="136">
        <v>14.472835</v>
      </c>
      <c r="G29" s="273">
        <v>14.779140059645957</v>
      </c>
      <c r="H29" s="273">
        <v>11.47885995033009</v>
      </c>
      <c r="I29" s="273">
        <v>0.99295612969892877</v>
      </c>
      <c r="J29" s="277">
        <v>540.47093745039126</v>
      </c>
      <c r="K29" s="277">
        <v>432.56288491193226</v>
      </c>
      <c r="L29" s="100">
        <f t="shared" si="3"/>
        <v>329.36413534827159</v>
      </c>
      <c r="M29" s="100">
        <f t="shared" si="4"/>
        <v>315.37285467795004</v>
      </c>
      <c r="N29" s="100">
        <f t="shared" si="5"/>
        <v>58.077102451704064</v>
      </c>
      <c r="O29" s="100">
        <f t="shared" si="6"/>
        <v>643.63135862527861</v>
      </c>
      <c r="P29" s="100">
        <f t="shared" si="7"/>
        <v>186.45642335467332</v>
      </c>
      <c r="Q29" s="100">
        <f t="shared" si="8"/>
        <v>525.8067311104777</v>
      </c>
      <c r="R29" s="101">
        <f t="shared" si="9"/>
        <v>1022.9015679586341</v>
      </c>
      <c r="S29" s="101">
        <f t="shared" si="9"/>
        <v>6557.0254113105611</v>
      </c>
      <c r="T29" s="72"/>
      <c r="U29" s="23">
        <v>2028</v>
      </c>
      <c r="V29" s="53">
        <f t="shared" si="32"/>
        <v>0.30732242011292016</v>
      </c>
      <c r="W29" s="53">
        <f t="shared" si="20"/>
        <v>-2.7018188670993037E-3</v>
      </c>
      <c r="X29" s="53">
        <f t="shared" si="32"/>
        <v>0.22867485469452586</v>
      </c>
      <c r="Y29" s="53">
        <f t="shared" si="20"/>
        <v>1.4493732213285204E-2</v>
      </c>
      <c r="Z29" s="53">
        <f t="shared" si="32"/>
        <v>3.6187704465309938E-2</v>
      </c>
      <c r="AA29" s="53"/>
      <c r="AB29" s="53">
        <f t="shared" si="16"/>
        <v>0.12340320384038785</v>
      </c>
      <c r="AC29" s="53">
        <f t="shared" ref="AC29:AE44" si="34">AB29/AB28-1</f>
        <v>-1.0780421847765287E-2</v>
      </c>
      <c r="AD29" s="53">
        <f t="shared" si="32"/>
        <v>0.31345818858033669</v>
      </c>
      <c r="AE29" s="53">
        <f t="shared" si="34"/>
        <v>-1.3757060656956366E-2</v>
      </c>
      <c r="AF29" s="53">
        <f t="shared" si="32"/>
        <v>0.6132918150380019</v>
      </c>
      <c r="AG29" s="53">
        <f t="shared" si="22"/>
        <v>5.6780612174001099E-4</v>
      </c>
      <c r="AH29" s="53">
        <f t="shared" si="32"/>
        <v>0.22867485469452586</v>
      </c>
      <c r="AI29" s="53">
        <f t="shared" si="23"/>
        <v>1.4493732213285204E-2</v>
      </c>
      <c r="AJ29" s="53">
        <f t="shared" si="32"/>
        <v>3.6187704465309938E-2</v>
      </c>
      <c r="AK29" s="53">
        <f t="shared" si="32"/>
        <v>0.91935855494295393</v>
      </c>
      <c r="AL29" s="53">
        <f t="shared" si="24"/>
        <v>9.7740446879779341E-4</v>
      </c>
      <c r="AM29" s="53">
        <f t="shared" si="32"/>
        <v>0.68054307293590122</v>
      </c>
      <c r="AN29" s="53">
        <f t="shared" si="25"/>
        <v>6.1442295314133588E-3</v>
      </c>
      <c r="AO29" s="53">
        <f t="shared" si="32"/>
        <v>0.74050547956525781</v>
      </c>
      <c r="AP29" s="53">
        <f t="shared" si="26"/>
        <v>2.8458624728426862E-3</v>
      </c>
      <c r="AQ29" s="53">
        <f t="shared" si="32"/>
        <v>1.6937350685173262</v>
      </c>
      <c r="AR29" s="53">
        <f t="shared" si="26"/>
        <v>1.2031234400058377E-3</v>
      </c>
      <c r="AS29" s="53">
        <f t="shared" si="32"/>
        <v>0.86051561558210665</v>
      </c>
      <c r="AT29" s="53">
        <f t="shared" si="27"/>
        <v>1.7315415661642852E-3</v>
      </c>
      <c r="AU29" s="53">
        <f t="shared" si="32"/>
        <v>1.1954348706058779</v>
      </c>
      <c r="AV29" s="53"/>
      <c r="AW29" s="53">
        <f t="shared" si="32"/>
        <v>0.4566200889224214</v>
      </c>
      <c r="AX29" s="53">
        <f t="shared" si="28"/>
        <v>-2.8699864342562886E-4</v>
      </c>
      <c r="AY29" s="53">
        <f t="shared" si="32"/>
        <v>4.1642425743521887</v>
      </c>
      <c r="AZ29" s="53"/>
      <c r="BA29" s="53">
        <f t="shared" si="17"/>
        <v>0.39561069851676134</v>
      </c>
      <c r="BB29" s="53">
        <f t="shared" si="29"/>
        <v>-7.2151923018066721E-3</v>
      </c>
      <c r="BC29" s="53">
        <f t="shared" si="32"/>
        <v>1</v>
      </c>
      <c r="BD29" s="53">
        <f t="shared" si="32"/>
        <v>1</v>
      </c>
      <c r="BE29" s="105">
        <f t="shared" si="18"/>
        <v>0.19543487060587794</v>
      </c>
      <c r="BK29" s="15"/>
      <c r="BL29" s="65"/>
      <c r="BO29" s="28">
        <v>2015</v>
      </c>
      <c r="BP29" s="29">
        <f t="shared" si="30"/>
        <v>1.3094117647058823</v>
      </c>
      <c r="BQ29" s="29">
        <f t="shared" si="30"/>
        <v>1.131223628691983</v>
      </c>
      <c r="BR29" s="29">
        <f t="shared" si="30"/>
        <v>1.1447368421052631</v>
      </c>
      <c r="BS29" s="29">
        <f t="shared" si="30"/>
        <v>1.0392953929539295</v>
      </c>
      <c r="BT29" s="29">
        <f t="shared" si="30"/>
        <v>1.1032835820895524</v>
      </c>
      <c r="BU29" s="29">
        <f t="shared" si="30"/>
        <v>1.0127750177430801</v>
      </c>
      <c r="BV29" s="29">
        <f t="shared" si="30"/>
        <v>0.88713910761154846</v>
      </c>
      <c r="BW29" s="29">
        <f t="shared" si="30"/>
        <v>1.0024316109422491</v>
      </c>
      <c r="BX29" s="29">
        <f t="shared" si="30"/>
        <v>1.0325368581596337</v>
      </c>
      <c r="BZ29" s="28">
        <v>2015</v>
      </c>
      <c r="CA29" s="29">
        <f t="shared" si="31"/>
        <v>0.82172131147540983</v>
      </c>
      <c r="CB29" s="29">
        <f t="shared" si="31"/>
        <v>0.8440797186400939</v>
      </c>
      <c r="CC29" s="29">
        <f t="shared" si="31"/>
        <v>0.70945945945945943</v>
      </c>
      <c r="CD29" s="29">
        <f t="shared" si="31"/>
        <v>0.71715817694369965</v>
      </c>
      <c r="CE29" s="29">
        <f t="shared" si="31"/>
        <v>0.75406504065040647</v>
      </c>
      <c r="CF29" s="29">
        <f t="shared" si="31"/>
        <v>0.73798627002288331</v>
      </c>
      <c r="CG29" s="29">
        <f t="shared" si="31"/>
        <v>0.73072060682680151</v>
      </c>
      <c r="CH29" s="29">
        <f t="shared" si="31"/>
        <v>0.79621542940320233</v>
      </c>
      <c r="CI29" s="29">
        <f t="shared" si="31"/>
        <v>0.78243243243243243</v>
      </c>
    </row>
    <row r="30" spans="1:87" x14ac:dyDescent="0.2">
      <c r="A30" s="26">
        <f t="shared" si="33"/>
        <v>2031</v>
      </c>
      <c r="B30" s="273">
        <v>8.0886714016290853</v>
      </c>
      <c r="C30" s="136">
        <v>3.357316</v>
      </c>
      <c r="D30" s="100">
        <f t="shared" si="0"/>
        <v>322.93862412188832</v>
      </c>
      <c r="E30" s="273">
        <v>14.183734031885001</v>
      </c>
      <c r="F30" s="136">
        <v>14.496015</v>
      </c>
      <c r="G30" s="273">
        <v>14.791544950575904</v>
      </c>
      <c r="H30" s="273">
        <v>11.497620855324922</v>
      </c>
      <c r="I30" s="273">
        <v>0.99516301376201866</v>
      </c>
      <c r="J30" s="277">
        <v>539.5574261634689</v>
      </c>
      <c r="K30" s="277">
        <v>429.87715201545706</v>
      </c>
      <c r="L30" s="100">
        <f t="shared" si="3"/>
        <v>329.38570207230572</v>
      </c>
      <c r="M30" s="100">
        <f t="shared" si="4"/>
        <v>315.37282126184851</v>
      </c>
      <c r="N30" s="100">
        <f t="shared" si="5"/>
        <v>57.367054479116582</v>
      </c>
      <c r="O30" s="100">
        <f t="shared" si="6"/>
        <v>640.31407299486</v>
      </c>
      <c r="P30" s="100">
        <f t="shared" si="7"/>
        <v>187.10621576754264</v>
      </c>
      <c r="Q30" s="100">
        <f t="shared" si="8"/>
        <v>526.35503708275883</v>
      </c>
      <c r="R30" s="101">
        <f t="shared" si="9"/>
        <v>1018.4333713660682</v>
      </c>
      <c r="S30" s="101">
        <f t="shared" si="9"/>
        <v>6668.5344909009173</v>
      </c>
      <c r="T30" s="72"/>
      <c r="U30" s="23">
        <v>2029</v>
      </c>
      <c r="V30" s="53">
        <f t="shared" si="32"/>
        <v>0.30650695509549447</v>
      </c>
      <c r="W30" s="53">
        <f t="shared" si="20"/>
        <v>-2.6534511121123483E-3</v>
      </c>
      <c r="X30" s="53">
        <f t="shared" si="32"/>
        <v>0.23187829803361018</v>
      </c>
      <c r="Y30" s="53">
        <f t="shared" si="20"/>
        <v>1.4008725810118472E-2</v>
      </c>
      <c r="Z30" s="53">
        <f t="shared" si="32"/>
        <v>3.6764911733532191E-2</v>
      </c>
      <c r="AA30" s="53"/>
      <c r="AB30" s="53">
        <f t="shared" si="16"/>
        <v>0.1220963364192682</v>
      </c>
      <c r="AC30" s="53">
        <f t="shared" si="34"/>
        <v>-1.0590222785544334E-2</v>
      </c>
      <c r="AD30" s="53">
        <f t="shared" si="32"/>
        <v>0.30925886892963417</v>
      </c>
      <c r="AE30" s="53">
        <f t="shared" si="34"/>
        <v>-1.3396745734164384E-2</v>
      </c>
      <c r="AF30" s="53">
        <f t="shared" si="32"/>
        <v>0.61363745212667131</v>
      </c>
      <c r="AG30" s="53">
        <f t="shared" si="22"/>
        <v>5.6357688166430719E-4</v>
      </c>
      <c r="AH30" s="53">
        <f t="shared" si="32"/>
        <v>0.23187829803361018</v>
      </c>
      <c r="AI30" s="53">
        <f t="shared" si="23"/>
        <v>1.4008725810118472E-2</v>
      </c>
      <c r="AJ30" s="53">
        <f t="shared" si="32"/>
        <v>3.6764911733532191E-2</v>
      </c>
      <c r="AK30" s="53">
        <f t="shared" si="32"/>
        <v>0.92021832991175778</v>
      </c>
      <c r="AL30" s="53">
        <f t="shared" si="24"/>
        <v>9.3519004547393259E-4</v>
      </c>
      <c r="AM30" s="53">
        <f t="shared" si="32"/>
        <v>0.68457477563480384</v>
      </c>
      <c r="AN30" s="53">
        <f t="shared" si="25"/>
        <v>5.9242432393142863E-3</v>
      </c>
      <c r="AO30" s="53">
        <f t="shared" si="32"/>
        <v>0.74252680941111038</v>
      </c>
      <c r="AP30" s="53">
        <f t="shared" si="26"/>
        <v>2.7296622396897341E-3</v>
      </c>
      <c r="AQ30" s="53">
        <f t="shared" si="32"/>
        <v>1.6958399456928523</v>
      </c>
      <c r="AR30" s="53">
        <f t="shared" si="26"/>
        <v>1.2427428673178476E-3</v>
      </c>
      <c r="AS30" s="53">
        <f t="shared" si="32"/>
        <v>0.86194538605575133</v>
      </c>
      <c r="AT30" s="53">
        <f t="shared" si="27"/>
        <v>1.661527632682791E-3</v>
      </c>
      <c r="AU30" s="53">
        <f t="shared" si="32"/>
        <v>1.1952125861534819</v>
      </c>
      <c r="AV30" s="53"/>
      <c r="AW30" s="53">
        <f t="shared" si="32"/>
        <v>0.4564584946656508</v>
      </c>
      <c r="AX30" s="53">
        <f t="shared" si="28"/>
        <v>-3.5389213197334346E-4</v>
      </c>
      <c r="AY30" s="53">
        <f t="shared" si="32"/>
        <v>4.1838908461498772</v>
      </c>
      <c r="AZ30" s="53"/>
      <c r="BA30" s="53">
        <f t="shared" si="17"/>
        <v>0.39282447838229856</v>
      </c>
      <c r="BB30" s="53">
        <f t="shared" si="29"/>
        <v>-7.0428331309263514E-3</v>
      </c>
      <c r="BC30" s="53">
        <f t="shared" si="32"/>
        <v>1</v>
      </c>
      <c r="BD30" s="53">
        <f t="shared" si="32"/>
        <v>1</v>
      </c>
      <c r="BE30" s="105">
        <f t="shared" si="18"/>
        <v>0.19521258615348192</v>
      </c>
      <c r="BK30" s="15"/>
      <c r="BL30" s="65"/>
      <c r="BO30" s="28">
        <v>2016</v>
      </c>
      <c r="BP30" s="29">
        <f t="shared" si="30"/>
        <v>1.2788235294117647</v>
      </c>
      <c r="BQ30" s="29">
        <f t="shared" si="30"/>
        <v>1.1172995780590718</v>
      </c>
      <c r="BR30" s="29">
        <f t="shared" si="30"/>
        <v>1.1416040100250626</v>
      </c>
      <c r="BS30" s="29">
        <f t="shared" si="30"/>
        <v>1.0284552845528456</v>
      </c>
      <c r="BT30" s="29">
        <f t="shared" si="30"/>
        <v>1.1020895522388061</v>
      </c>
      <c r="BU30" s="29">
        <f t="shared" si="30"/>
        <v>1.0113555713271825</v>
      </c>
      <c r="BV30" s="29">
        <f t="shared" si="30"/>
        <v>0.89553805774278206</v>
      </c>
      <c r="BW30" s="29">
        <f t="shared" si="30"/>
        <v>1.0012158054711247</v>
      </c>
      <c r="BX30" s="29">
        <f t="shared" si="30"/>
        <v>1.0157600406710727</v>
      </c>
      <c r="BZ30" s="28">
        <v>2016</v>
      </c>
      <c r="CA30" s="29">
        <f t="shared" si="31"/>
        <v>0.81967213114754101</v>
      </c>
      <c r="CB30" s="29">
        <f t="shared" si="31"/>
        <v>0.82297772567409144</v>
      </c>
      <c r="CC30" s="29">
        <f t="shared" si="31"/>
        <v>0.72297297297297292</v>
      </c>
      <c r="CD30" s="29">
        <f t="shared" si="31"/>
        <v>0.73056300268096519</v>
      </c>
      <c r="CE30" s="29">
        <f t="shared" si="31"/>
        <v>0.76219512195121952</v>
      </c>
      <c r="CF30" s="29">
        <f t="shared" si="31"/>
        <v>0.74485125858123569</v>
      </c>
      <c r="CG30" s="29">
        <f t="shared" si="31"/>
        <v>0.73577749683944371</v>
      </c>
      <c r="CH30" s="29">
        <f t="shared" si="31"/>
        <v>0.80640465793304217</v>
      </c>
      <c r="CI30" s="29">
        <f t="shared" si="31"/>
        <v>0.7986486486486486</v>
      </c>
    </row>
    <row r="31" spans="1:87" x14ac:dyDescent="0.2">
      <c r="A31" s="26">
        <f t="shared" si="33"/>
        <v>2032</v>
      </c>
      <c r="B31" s="273">
        <v>8.0947571538967615</v>
      </c>
      <c r="C31" s="136">
        <v>3.360147</v>
      </c>
      <c r="D31" s="100">
        <f t="shared" si="0"/>
        <v>313.93900184917436</v>
      </c>
      <c r="E31" s="273">
        <v>14.20010140849994</v>
      </c>
      <c r="F31" s="136">
        <v>14.51933</v>
      </c>
      <c r="G31" s="273">
        <v>14.805938117291035</v>
      </c>
      <c r="H31" s="273">
        <v>11.514369333247819</v>
      </c>
      <c r="I31" s="273">
        <v>0.99699602800987341</v>
      </c>
      <c r="J31" s="277">
        <v>538.55117452441368</v>
      </c>
      <c r="K31" s="277">
        <v>427.3756400439799</v>
      </c>
      <c r="L31" s="100">
        <f t="shared" si="3"/>
        <v>329.32268229408254</v>
      </c>
      <c r="M31" s="100">
        <f t="shared" si="4"/>
        <v>315.37275858685092</v>
      </c>
      <c r="N31" s="100">
        <f t="shared" si="5"/>
        <v>56.987954057199239</v>
      </c>
      <c r="O31" s="100">
        <f t="shared" si="6"/>
        <v>637.92035046484057</v>
      </c>
      <c r="P31" s="100">
        <f t="shared" si="7"/>
        <v>187.7066205866696</v>
      </c>
      <c r="Q31" s="100">
        <f t="shared" si="8"/>
        <v>525.90331554791555</v>
      </c>
      <c r="R31" s="101">
        <f t="shared" si="9"/>
        <v>1014.519767394069</v>
      </c>
      <c r="S31" s="101">
        <f t="shared" si="9"/>
        <v>6768.2896021059323</v>
      </c>
      <c r="T31" s="72"/>
      <c r="U31" s="23">
        <v>2030</v>
      </c>
      <c r="V31" s="53">
        <f t="shared" si="32"/>
        <v>0.30567874888988383</v>
      </c>
      <c r="W31" s="53">
        <f t="shared" si="20"/>
        <v>-2.7020796489025667E-3</v>
      </c>
      <c r="X31" s="53">
        <f t="shared" si="32"/>
        <v>0.23505448743825552</v>
      </c>
      <c r="Y31" s="53">
        <f t="shared" si="20"/>
        <v>1.369765705363668E-2</v>
      </c>
      <c r="Z31" s="53">
        <f t="shared" si="32"/>
        <v>3.7296119364096089E-2</v>
      </c>
      <c r="AA31" s="53"/>
      <c r="AB31" s="53">
        <f t="shared" si="16"/>
        <v>0.12081171970758989</v>
      </c>
      <c r="AC31" s="53">
        <f t="shared" si="34"/>
        <v>-1.0521337079820725E-2</v>
      </c>
      <c r="AD31" s="53">
        <f t="shared" si="32"/>
        <v>0.30518217832319244</v>
      </c>
      <c r="AE31" s="53">
        <f t="shared" si="34"/>
        <v>-1.318212997593704E-2</v>
      </c>
      <c r="AF31" s="53">
        <f t="shared" si="32"/>
        <v>0.61394711901913435</v>
      </c>
      <c r="AG31" s="53">
        <f t="shared" si="22"/>
        <v>5.0464144812178979E-4</v>
      </c>
      <c r="AH31" s="53">
        <f t="shared" si="32"/>
        <v>0.23505448743825552</v>
      </c>
      <c r="AI31" s="53">
        <f t="shared" si="23"/>
        <v>1.369765705363668E-2</v>
      </c>
      <c r="AJ31" s="53">
        <f t="shared" si="32"/>
        <v>3.7296119364096089E-2</v>
      </c>
      <c r="AK31" s="53">
        <f t="shared" si="32"/>
        <v>0.92105135801155258</v>
      </c>
      <c r="AL31" s="53">
        <f t="shared" si="24"/>
        <v>9.0525049623235709E-4</v>
      </c>
      <c r="AM31" s="53">
        <f t="shared" si="32"/>
        <v>0.68853477049035938</v>
      </c>
      <c r="AN31" s="53">
        <f t="shared" si="25"/>
        <v>5.7846052710361917E-3</v>
      </c>
      <c r="AO31" s="53">
        <f t="shared" si="32"/>
        <v>0.744447698848415</v>
      </c>
      <c r="AP31" s="53">
        <f t="shared" si="26"/>
        <v>2.5869630738695193E-3</v>
      </c>
      <c r="AQ31" s="53">
        <f t="shared" si="32"/>
        <v>1.6978526362048338</v>
      </c>
      <c r="AR31" s="53">
        <f t="shared" si="26"/>
        <v>1.1868399002472607E-3</v>
      </c>
      <c r="AS31" s="53">
        <f t="shared" si="32"/>
        <v>0.8633402249223836</v>
      </c>
      <c r="AT31" s="53">
        <f t="shared" si="27"/>
        <v>1.6182450642436841E-3</v>
      </c>
      <c r="AU31" s="53">
        <f t="shared" si="32"/>
        <v>1.1950124360536378</v>
      </c>
      <c r="AV31" s="53"/>
      <c r="AW31" s="53">
        <f t="shared" si="32"/>
        <v>0.45628676686459152</v>
      </c>
      <c r="AX31" s="53">
        <f t="shared" si="28"/>
        <v>-3.7621777897911546E-4</v>
      </c>
      <c r="AY31" s="53">
        <f t="shared" si="32"/>
        <v>4.203608955610032</v>
      </c>
      <c r="AZ31" s="53"/>
      <c r="BA31" s="53">
        <f t="shared" si="17"/>
        <v>0.39010824550265327</v>
      </c>
      <c r="BB31" s="53">
        <f t="shared" si="29"/>
        <v>-6.914622252745195E-3</v>
      </c>
      <c r="BC31" s="53">
        <f t="shared" si="32"/>
        <v>1</v>
      </c>
      <c r="BD31" s="53">
        <f t="shared" si="32"/>
        <v>1</v>
      </c>
      <c r="BE31" s="105">
        <f t="shared" si="18"/>
        <v>0.19501243605363783</v>
      </c>
      <c r="BH31" s="26"/>
      <c r="BI31" s="70"/>
      <c r="BJ31" s="70"/>
      <c r="BK31" s="15"/>
      <c r="BL31" s="65"/>
      <c r="BO31" s="28">
        <v>2017</v>
      </c>
      <c r="BP31" s="29">
        <f t="shared" si="30"/>
        <v>1.2521568627450981</v>
      </c>
      <c r="BQ31" s="29">
        <f t="shared" si="30"/>
        <v>1.1012658227848102</v>
      </c>
      <c r="BR31" s="29">
        <f t="shared" si="30"/>
        <v>1.1303258145363408</v>
      </c>
      <c r="BS31" s="29">
        <f t="shared" si="30"/>
        <v>1.0230352303523036</v>
      </c>
      <c r="BT31" s="29">
        <f t="shared" si="30"/>
        <v>1.1092537313432835</v>
      </c>
      <c r="BU31" s="29">
        <f t="shared" si="30"/>
        <v>1.0269694819020583</v>
      </c>
      <c r="BV31" s="29">
        <f t="shared" si="30"/>
        <v>0.8971128608923884</v>
      </c>
      <c r="BW31" s="29">
        <f t="shared" si="30"/>
        <v>1.003647416413374</v>
      </c>
      <c r="BX31" s="29">
        <f t="shared" si="30"/>
        <v>1.0035587188612098</v>
      </c>
      <c r="BZ31" s="28">
        <v>2017</v>
      </c>
      <c r="CA31" s="29">
        <f t="shared" si="31"/>
        <v>0.83094262295081966</v>
      </c>
      <c r="CB31" s="29">
        <f t="shared" si="31"/>
        <v>0.82297772567409144</v>
      </c>
      <c r="CC31" s="29">
        <f t="shared" si="31"/>
        <v>0.73648648648648651</v>
      </c>
      <c r="CD31" s="29">
        <f t="shared" si="31"/>
        <v>0.74798927613941024</v>
      </c>
      <c r="CE31" s="29">
        <f t="shared" si="31"/>
        <v>0.77134146341463417</v>
      </c>
      <c r="CF31" s="29">
        <f t="shared" si="31"/>
        <v>0.75171624713958807</v>
      </c>
      <c r="CG31" s="29">
        <f t="shared" si="31"/>
        <v>0.74083438685208602</v>
      </c>
      <c r="CH31" s="29">
        <f t="shared" si="31"/>
        <v>0.81804949053857356</v>
      </c>
      <c r="CI31" s="29">
        <f t="shared" si="31"/>
        <v>0.81756756756756754</v>
      </c>
    </row>
    <row r="32" spans="1:87" x14ac:dyDescent="0.2">
      <c r="A32" s="26">
        <f t="shared" si="33"/>
        <v>2033</v>
      </c>
      <c r="B32" s="273">
        <v>8.099888129101851</v>
      </c>
      <c r="C32" s="136">
        <v>3.3630409999999999</v>
      </c>
      <c r="D32" s="100">
        <f t="shared" si="0"/>
        <v>304.80724806014035</v>
      </c>
      <c r="E32" s="273">
        <v>14.213596896331415</v>
      </c>
      <c r="F32" s="136">
        <v>14.542725000000001</v>
      </c>
      <c r="G32" s="273">
        <v>14.819023805858137</v>
      </c>
      <c r="H32" s="273">
        <v>11.529592741262183</v>
      </c>
      <c r="I32" s="273">
        <v>0.99840088215962142</v>
      </c>
      <c r="J32" s="277">
        <v>537.66179946372642</v>
      </c>
      <c r="K32" s="277">
        <v>424.99354763359929</v>
      </c>
      <c r="L32" s="100">
        <f t="shared" si="3"/>
        <v>329.18600465719777</v>
      </c>
      <c r="M32" s="100">
        <f t="shared" si="4"/>
        <v>315.37280790453929</v>
      </c>
      <c r="N32" s="100">
        <f t="shared" si="5"/>
        <v>56.949201006514144</v>
      </c>
      <c r="O32" s="100">
        <f t="shared" si="6"/>
        <v>636.22942774744786</v>
      </c>
      <c r="P32" s="100">
        <f t="shared" si="7"/>
        <v>188.13402347194253</v>
      </c>
      <c r="Q32" s="100">
        <f t="shared" si="8"/>
        <v>525.64916699304865</v>
      </c>
      <c r="R32" s="101">
        <f t="shared" si="9"/>
        <v>1010.3927042898039</v>
      </c>
      <c r="S32" s="101">
        <f t="shared" si="9"/>
        <v>6859.0788715097469</v>
      </c>
      <c r="T32" s="72"/>
      <c r="U32" s="23">
        <v>2031</v>
      </c>
      <c r="V32" s="53">
        <f>V76/$BC76</f>
        <v>0.30486732491638829</v>
      </c>
      <c r="W32" s="53">
        <f t="shared" si="20"/>
        <v>-2.6544991316613809E-3</v>
      </c>
      <c r="X32" s="53">
        <f>X76/$BC76</f>
        <v>0.23817664167555633</v>
      </c>
      <c r="Y32" s="53">
        <f t="shared" si="20"/>
        <v>1.3282682969925963E-2</v>
      </c>
      <c r="Z32" s="53">
        <f>Z76/$BC76</f>
        <v>3.7777775503480979E-2</v>
      </c>
      <c r="AA32" s="53"/>
      <c r="AB32" s="53">
        <f t="shared" si="16"/>
        <v>0.11955807684098356</v>
      </c>
      <c r="AC32" s="53">
        <f t="shared" si="34"/>
        <v>-1.0376831566015432E-2</v>
      </c>
      <c r="AD32" s="53">
        <f t="shared" si="32"/>
        <v>0.30123834323391585</v>
      </c>
      <c r="AE32" s="53">
        <f t="shared" si="34"/>
        <v>-1.292288793187657E-2</v>
      </c>
      <c r="AF32" s="53">
        <f t="shared" si="32"/>
        <v>0.6142448078088435</v>
      </c>
      <c r="AG32" s="53">
        <f t="shared" si="22"/>
        <v>4.8487692260001936E-4</v>
      </c>
      <c r="AH32" s="53">
        <f t="shared" si="32"/>
        <v>0.23817664167555633</v>
      </c>
      <c r="AI32" s="53">
        <f t="shared" si="23"/>
        <v>1.3282682969925963E-2</v>
      </c>
      <c r="AJ32" s="53">
        <f t="shared" si="32"/>
        <v>3.7777775503480979E-2</v>
      </c>
      <c r="AK32" s="53">
        <f t="shared" si="32"/>
        <v>0.92185720895795475</v>
      </c>
      <c r="AL32" s="53">
        <f t="shared" si="24"/>
        <v>8.7492509445064037E-4</v>
      </c>
      <c r="AM32" s="53">
        <f t="shared" si="32"/>
        <v>0.69240363264330029</v>
      </c>
      <c r="AN32" s="53">
        <f t="shared" si="25"/>
        <v>5.6189786177183176E-3</v>
      </c>
      <c r="AO32" s="53">
        <f t="shared" si="32"/>
        <v>0.74632334337094219</v>
      </c>
      <c r="AP32" s="53">
        <f t="shared" si="26"/>
        <v>2.5195114786822348E-3</v>
      </c>
      <c r="AQ32" s="53">
        <f t="shared" si="32"/>
        <v>1.6995144490055467</v>
      </c>
      <c r="AR32" s="53">
        <f t="shared" si="26"/>
        <v>9.7877328413353837E-4</v>
      </c>
      <c r="AS32" s="53">
        <f t="shared" si="32"/>
        <v>0.86469730758510954</v>
      </c>
      <c r="AT32" s="53">
        <f t="shared" si="27"/>
        <v>1.5718978724150734E-3</v>
      </c>
      <c r="AU32" s="53">
        <f t="shared" si="32"/>
        <v>1.1948237687213006</v>
      </c>
      <c r="AV32" s="53"/>
      <c r="AW32" s="53">
        <f t="shared" si="32"/>
        <v>0.45609885094565827</v>
      </c>
      <c r="AX32" s="53">
        <f t="shared" si="28"/>
        <v>-4.1183731937821655E-4</v>
      </c>
      <c r="AY32" s="53">
        <f t="shared" si="32"/>
        <v>4.2238144574090732</v>
      </c>
      <c r="AZ32" s="53"/>
      <c r="BA32" s="53">
        <f t="shared" si="17"/>
        <v>0.38746489480751889</v>
      </c>
      <c r="BB32" s="53">
        <f t="shared" si="29"/>
        <v>-6.7759416152007867E-3</v>
      </c>
      <c r="BC32" s="53">
        <f t="shared" si="32"/>
        <v>1</v>
      </c>
      <c r="BD32" s="53">
        <f t="shared" si="32"/>
        <v>1</v>
      </c>
      <c r="BE32" s="105">
        <f>AU32-1</f>
        <v>0.19482376872130058</v>
      </c>
      <c r="BK32" s="15"/>
      <c r="BL32" s="65"/>
      <c r="BO32" s="28">
        <v>2018</v>
      </c>
      <c r="BP32" s="29">
        <f t="shared" si="30"/>
        <v>1.2313725490196077</v>
      </c>
      <c r="BQ32" s="29">
        <f t="shared" si="30"/>
        <v>1.0886075949367089</v>
      </c>
      <c r="BR32" s="29">
        <f t="shared" si="30"/>
        <v>1.1177944862155387</v>
      </c>
      <c r="BS32" s="29">
        <f t="shared" si="30"/>
        <v>1.0142276422764229</v>
      </c>
      <c r="BT32" s="29">
        <f t="shared" si="30"/>
        <v>1.1164179104477612</v>
      </c>
      <c r="BU32" s="29">
        <f t="shared" si="30"/>
        <v>1.0262597586941093</v>
      </c>
      <c r="BV32" s="29">
        <f t="shared" si="30"/>
        <v>0.90393700787401565</v>
      </c>
      <c r="BW32" s="29">
        <f t="shared" si="30"/>
        <v>1.0042553191489363</v>
      </c>
      <c r="BX32" s="29">
        <f t="shared" si="30"/>
        <v>0.98678190137264865</v>
      </c>
      <c r="BZ32" s="28">
        <v>2018</v>
      </c>
      <c r="CA32" s="29">
        <f t="shared" si="31"/>
        <v>0.83913934426229508</v>
      </c>
      <c r="CB32" s="29">
        <f t="shared" si="31"/>
        <v>0.82415005861664725</v>
      </c>
      <c r="CC32" s="29">
        <f t="shared" si="31"/>
        <v>0.74729729729729732</v>
      </c>
      <c r="CD32" s="29">
        <f t="shared" si="31"/>
        <v>0.76005361930294901</v>
      </c>
      <c r="CE32" s="29">
        <f t="shared" si="31"/>
        <v>0.77947154471544711</v>
      </c>
      <c r="CF32" s="29">
        <f t="shared" si="31"/>
        <v>0.75858123569794045</v>
      </c>
      <c r="CG32" s="29">
        <f t="shared" si="31"/>
        <v>0.74462705436156762</v>
      </c>
      <c r="CH32" s="29">
        <f t="shared" si="31"/>
        <v>0.8340611353711791</v>
      </c>
      <c r="CI32" s="29">
        <f t="shared" si="31"/>
        <v>0.83513513513513504</v>
      </c>
    </row>
    <row r="33" spans="1:87" x14ac:dyDescent="0.2">
      <c r="A33" s="26">
        <f t="shared" si="33"/>
        <v>2034</v>
      </c>
      <c r="B33" s="273">
        <v>8.1040094300469576</v>
      </c>
      <c r="C33" s="136">
        <v>3.36599</v>
      </c>
      <c r="D33" s="100">
        <f t="shared" si="0"/>
        <v>295.59585213801108</v>
      </c>
      <c r="E33" s="273">
        <v>14.223621727067526</v>
      </c>
      <c r="F33" s="136">
        <v>14.566195</v>
      </c>
      <c r="G33" s="273">
        <v>14.83007060690732</v>
      </c>
      <c r="H33" s="273">
        <v>11.543258886169117</v>
      </c>
      <c r="I33" s="273">
        <v>0.99953704201496185</v>
      </c>
      <c r="J33" s="277">
        <v>536.90120877695097</v>
      </c>
      <c r="K33" s="277">
        <v>422.73971730722548</v>
      </c>
      <c r="L33" s="100">
        <f t="shared" si="3"/>
        <v>329.00133654947155</v>
      </c>
      <c r="M33" s="100">
        <f t="shared" si="4"/>
        <v>315.37285444279377</v>
      </c>
      <c r="N33" s="100">
        <f t="shared" si="5"/>
        <v>56.923364936639864</v>
      </c>
      <c r="O33" s="100">
        <f t="shared" si="6"/>
        <v>635.29815251080481</v>
      </c>
      <c r="P33" s="100">
        <f t="shared" si="7"/>
        <v>188.4731909217991</v>
      </c>
      <c r="Q33" s="100">
        <f t="shared" si="8"/>
        <v>525.52582056366975</v>
      </c>
      <c r="R33" s="101">
        <f t="shared" si="9"/>
        <v>1006.249470162321</v>
      </c>
      <c r="S33" s="101">
        <f t="shared" si="9"/>
        <v>6942.7783611515397</v>
      </c>
      <c r="T33" s="72"/>
      <c r="U33" s="23">
        <v>2032</v>
      </c>
      <c r="V33" s="53">
        <f t="shared" ref="V33:BD36" si="35">V77/$BC77</f>
        <v>0.30410468742474256</v>
      </c>
      <c r="W33" s="53">
        <f t="shared" si="20"/>
        <v>-2.5015389624155615E-3</v>
      </c>
      <c r="X33" s="53">
        <f t="shared" si="35"/>
        <v>0.24119980585198572</v>
      </c>
      <c r="Y33" s="53">
        <f t="shared" si="20"/>
        <v>1.2692949884428817E-2</v>
      </c>
      <c r="Z33" s="53">
        <f t="shared" si="35"/>
        <v>3.8207634375478333E-2</v>
      </c>
      <c r="AA33" s="53"/>
      <c r="AB33" s="53">
        <f t="shared" si="35"/>
        <v>0.11835257085381699</v>
      </c>
      <c r="AC33" s="53">
        <f t="shared" si="34"/>
        <v>-1.0083015878299295E-2</v>
      </c>
      <c r="AD33" s="53">
        <f t="shared" si="35"/>
        <v>0.29746291228112526</v>
      </c>
      <c r="AE33" s="53">
        <f t="shared" si="34"/>
        <v>-1.2533035842183349E-2</v>
      </c>
      <c r="AF33" s="53">
        <f t="shared" si="35"/>
        <v>0.61457321558269051</v>
      </c>
      <c r="AG33" s="53">
        <f t="shared" si="22"/>
        <v>5.3465290983667479E-4</v>
      </c>
      <c r="AH33" s="53">
        <f t="shared" si="35"/>
        <v>0.24119980585198572</v>
      </c>
      <c r="AI33" s="53">
        <f t="shared" si="23"/>
        <v>1.2692949884428817E-2</v>
      </c>
      <c r="AJ33" s="53">
        <f t="shared" si="35"/>
        <v>3.8207634375478333E-2</v>
      </c>
      <c r="AK33" s="53">
        <f t="shared" si="35"/>
        <v>0.92262549657934256</v>
      </c>
      <c r="AL33" s="53">
        <f t="shared" si="24"/>
        <v>8.3341282567639396E-4</v>
      </c>
      <c r="AM33" s="53">
        <f t="shared" si="35"/>
        <v>0.69615395851806361</v>
      </c>
      <c r="AN33" s="53">
        <f t="shared" si="25"/>
        <v>5.4163867691539025E-3</v>
      </c>
      <c r="AO33" s="53">
        <f t="shared" si="35"/>
        <v>0.74815126805882781</v>
      </c>
      <c r="AP33" s="53">
        <f t="shared" si="26"/>
        <v>2.4492396012021356E-3</v>
      </c>
      <c r="AQ33" s="53">
        <f t="shared" si="35"/>
        <v>1.7014893065750776</v>
      </c>
      <c r="AR33" s="53">
        <f t="shared" si="26"/>
        <v>1.1620128152993736E-3</v>
      </c>
      <c r="AS33" s="53">
        <f t="shared" si="35"/>
        <v>0.86600741466742448</v>
      </c>
      <c r="AT33" s="53">
        <f t="shared" si="27"/>
        <v>1.5151048474681961E-3</v>
      </c>
      <c r="AU33" s="53">
        <f t="shared" si="35"/>
        <v>1.1946337227159831</v>
      </c>
      <c r="AV33" s="53"/>
      <c r="AW33" s="53">
        <f t="shared" si="35"/>
        <v>0.45589398607011683</v>
      </c>
      <c r="AX33" s="53">
        <f t="shared" si="28"/>
        <v>-4.4916770808933748E-4</v>
      </c>
      <c r="AY33" s="53">
        <f t="shared" si="35"/>
        <v>4.2440224644096753</v>
      </c>
      <c r="AZ33" s="53"/>
      <c r="BA33" s="53">
        <f t="shared" si="17"/>
        <v>0.38509121020019288</v>
      </c>
      <c r="BB33" s="53">
        <f t="shared" si="29"/>
        <v>-6.1261926929023769E-3</v>
      </c>
      <c r="BC33" s="53">
        <f t="shared" si="35"/>
        <v>1</v>
      </c>
      <c r="BD33" s="53">
        <f t="shared" si="35"/>
        <v>1</v>
      </c>
      <c r="BE33" s="105">
        <f>AU33-1</f>
        <v>0.19463372271598312</v>
      </c>
      <c r="BO33" s="28">
        <v>2019</v>
      </c>
      <c r="BP33" s="29">
        <f t="shared" si="30"/>
        <v>1.2176470588235295</v>
      </c>
      <c r="BQ33" s="29">
        <f t="shared" si="30"/>
        <v>1.0839662447257385</v>
      </c>
      <c r="BR33" s="29">
        <f t="shared" si="30"/>
        <v>1.1077694235588971</v>
      </c>
      <c r="BS33" s="29">
        <f t="shared" si="30"/>
        <v>1.0060975609756098</v>
      </c>
      <c r="BT33" s="29">
        <f t="shared" si="30"/>
        <v>1.1200000000000001</v>
      </c>
      <c r="BU33" s="29">
        <f t="shared" si="30"/>
        <v>1.0262597586941093</v>
      </c>
      <c r="BV33" s="29">
        <f t="shared" si="30"/>
        <v>0.89606299212598428</v>
      </c>
      <c r="BW33" s="29">
        <f t="shared" si="30"/>
        <v>1.0072948328267477</v>
      </c>
      <c r="BX33" s="29">
        <f t="shared" si="30"/>
        <v>0.97559735638027456</v>
      </c>
      <c r="BZ33" s="28">
        <v>2019</v>
      </c>
      <c r="CA33" s="29">
        <f t="shared" si="31"/>
        <v>0.8473360655737705</v>
      </c>
      <c r="CB33" s="29">
        <f t="shared" si="31"/>
        <v>0.82766705744431424</v>
      </c>
      <c r="CC33" s="29">
        <f t="shared" si="31"/>
        <v>0.75675675675675669</v>
      </c>
      <c r="CD33" s="29">
        <f t="shared" si="31"/>
        <v>0.77077747989276135</v>
      </c>
      <c r="CE33" s="29">
        <f t="shared" si="31"/>
        <v>0.78556910569105698</v>
      </c>
      <c r="CF33" s="29">
        <f t="shared" si="31"/>
        <v>0.76544622425629294</v>
      </c>
      <c r="CG33" s="29">
        <f t="shared" si="31"/>
        <v>0.74968394437420982</v>
      </c>
      <c r="CH33" s="29">
        <f t="shared" si="31"/>
        <v>0.85007278020378452</v>
      </c>
      <c r="CI33" s="29">
        <f t="shared" si="31"/>
        <v>0.85135135135135132</v>
      </c>
    </row>
    <row r="34" spans="1:87" x14ac:dyDescent="0.2">
      <c r="A34" s="26">
        <f t="shared" si="33"/>
        <v>2035</v>
      </c>
      <c r="B34" s="273">
        <v>8.107164132742458</v>
      </c>
      <c r="C34" s="136">
        <v>3.368995</v>
      </c>
      <c r="D34" s="100">
        <f t="shared" si="0"/>
        <v>286.40212008504233</v>
      </c>
      <c r="E34" s="273">
        <v>14.23288253240586</v>
      </c>
      <c r="F34" s="136">
        <v>14.589767999999999</v>
      </c>
      <c r="G34" s="273">
        <v>14.839158563907842</v>
      </c>
      <c r="H34" s="273">
        <v>11.55532082000933</v>
      </c>
      <c r="I34" s="273">
        <v>1.0002479670862745</v>
      </c>
      <c r="J34" s="277">
        <v>536.2582533383636</v>
      </c>
      <c r="K34" s="277">
        <v>420.61255118473372</v>
      </c>
      <c r="L34" s="100">
        <f t="shared" si="3"/>
        <v>328.81468343272462</v>
      </c>
      <c r="M34" s="100">
        <f t="shared" si="4"/>
        <v>315.37283763768437</v>
      </c>
      <c r="N34" s="100">
        <f t="shared" si="5"/>
        <v>56.910677257525563</v>
      </c>
      <c r="O34" s="100">
        <f t="shared" si="6"/>
        <v>635.67294616813729</v>
      </c>
      <c r="P34" s="100">
        <f t="shared" si="7"/>
        <v>188.85189238694306</v>
      </c>
      <c r="Q34" s="100">
        <f t="shared" si="8"/>
        <v>525.33804758668998</v>
      </c>
      <c r="R34" s="101">
        <f t="shared" si="9"/>
        <v>1002.7256442630295</v>
      </c>
      <c r="S34" s="101">
        <f t="shared" si="9"/>
        <v>7026.4279933769449</v>
      </c>
      <c r="T34" s="72"/>
      <c r="U34" s="23">
        <v>2033</v>
      </c>
      <c r="V34" s="53">
        <f t="shared" si="35"/>
        <v>0.3033501775723369</v>
      </c>
      <c r="W34" s="53">
        <f t="shared" si="20"/>
        <v>-2.4810859010266917E-3</v>
      </c>
      <c r="X34" s="53">
        <f t="shared" si="35"/>
        <v>0.24417575604632827</v>
      </c>
      <c r="Y34" s="53">
        <f t="shared" si="20"/>
        <v>1.2338111897854276E-2</v>
      </c>
      <c r="Z34" s="53">
        <f t="shared" si="35"/>
        <v>3.8604959043935093E-2</v>
      </c>
      <c r="AA34" s="53"/>
      <c r="AB34" s="53">
        <f t="shared" si="35"/>
        <v>0.11717356989501214</v>
      </c>
      <c r="AC34" s="53">
        <f t="shared" si="34"/>
        <v>-9.961768893563705E-3</v>
      </c>
      <c r="AD34" s="53">
        <f t="shared" si="35"/>
        <v>0.29379601926857096</v>
      </c>
      <c r="AE34" s="53">
        <f t="shared" si="34"/>
        <v>-1.2327227567411114E-2</v>
      </c>
      <c r="AF34" s="53">
        <f t="shared" si="35"/>
        <v>0.6148823915499404</v>
      </c>
      <c r="AG34" s="53">
        <f t="shared" si="22"/>
        <v>5.0307426261131383E-4</v>
      </c>
      <c r="AH34" s="53">
        <f t="shared" si="35"/>
        <v>0.24417575604632827</v>
      </c>
      <c r="AI34" s="53">
        <f t="shared" si="23"/>
        <v>1.2338111897854276E-2</v>
      </c>
      <c r="AJ34" s="53">
        <f t="shared" si="35"/>
        <v>3.8604959043935093E-2</v>
      </c>
      <c r="AK34" s="53">
        <f t="shared" si="35"/>
        <v>0.92337223492705467</v>
      </c>
      <c r="AL34" s="53">
        <f t="shared" si="24"/>
        <v>8.0936235827078207E-4</v>
      </c>
      <c r="AM34" s="53">
        <f t="shared" si="35"/>
        <v>0.69984595662725024</v>
      </c>
      <c r="AN34" s="53">
        <f t="shared" si="25"/>
        <v>5.3034218422689516E-3</v>
      </c>
      <c r="AO34" s="53">
        <f t="shared" si="35"/>
        <v>0.74992141158117431</v>
      </c>
      <c r="AP34" s="53">
        <f t="shared" si="26"/>
        <v>2.3660235542197761E-3</v>
      </c>
      <c r="AQ34" s="53">
        <f t="shared" si="35"/>
        <v>1.7034483221694321</v>
      </c>
      <c r="AR34" s="53">
        <f t="shared" si="26"/>
        <v>1.1513534565186223E-3</v>
      </c>
      <c r="AS34" s="53">
        <f t="shared" si="35"/>
        <v>0.86729585895826844</v>
      </c>
      <c r="AT34" s="53">
        <f t="shared" si="27"/>
        <v>1.4877982209180463E-3</v>
      </c>
      <c r="AU34" s="53">
        <f t="shared" si="35"/>
        <v>1.1944579077742943</v>
      </c>
      <c r="AV34" s="53"/>
      <c r="AW34" s="53">
        <f t="shared" si="35"/>
        <v>0.45568961687236559</v>
      </c>
      <c r="AX34" s="53">
        <f t="shared" si="28"/>
        <v>-4.482822849077861E-4</v>
      </c>
      <c r="AY34" s="53">
        <f t="shared" si="35"/>
        <v>4.2644268361125119</v>
      </c>
      <c r="AZ34" s="53"/>
      <c r="BA34" s="53">
        <f t="shared" si="17"/>
        <v>0.38281932385422895</v>
      </c>
      <c r="BB34" s="53">
        <f t="shared" si="29"/>
        <v>-5.8996058226903347E-3</v>
      </c>
      <c r="BC34" s="53">
        <f t="shared" si="35"/>
        <v>1</v>
      </c>
      <c r="BD34" s="53">
        <f t="shared" si="35"/>
        <v>1</v>
      </c>
      <c r="BE34" s="105">
        <f>AU34-1</f>
        <v>0.19445790777429428</v>
      </c>
      <c r="BO34" s="28">
        <v>2020</v>
      </c>
      <c r="BP34" s="29">
        <f t="shared" si="30"/>
        <v>1.2047058823529411</v>
      </c>
      <c r="BQ34" s="29">
        <f t="shared" si="30"/>
        <v>1.0767932489451477</v>
      </c>
      <c r="BR34" s="29">
        <f t="shared" si="30"/>
        <v>1.0971177944862156</v>
      </c>
      <c r="BS34" s="29">
        <f t="shared" si="30"/>
        <v>0.99796747967479682</v>
      </c>
      <c r="BT34" s="29">
        <f t="shared" si="30"/>
        <v>1.1247761194029851</v>
      </c>
      <c r="BU34" s="29">
        <f t="shared" si="30"/>
        <v>1.022001419446416</v>
      </c>
      <c r="BV34" s="29">
        <f t="shared" si="30"/>
        <v>0.90026246719160097</v>
      </c>
      <c r="BW34" s="29">
        <f t="shared" si="30"/>
        <v>1.0072948328267477</v>
      </c>
      <c r="BX34" s="29">
        <f t="shared" si="30"/>
        <v>0.96593797661413316</v>
      </c>
      <c r="BZ34" s="28">
        <v>2020</v>
      </c>
      <c r="CA34" s="29">
        <f t="shared" si="31"/>
        <v>0.85655737704918034</v>
      </c>
      <c r="CB34" s="29">
        <f t="shared" si="31"/>
        <v>0.83235638921453692</v>
      </c>
      <c r="CC34" s="29">
        <f t="shared" si="31"/>
        <v>0.77162162162162162</v>
      </c>
      <c r="CD34" s="29">
        <f t="shared" si="31"/>
        <v>0.78686327077747986</v>
      </c>
      <c r="CE34" s="29">
        <f t="shared" si="31"/>
        <v>0.7967479674796748</v>
      </c>
      <c r="CF34" s="29">
        <f t="shared" si="31"/>
        <v>0.78146453089244849</v>
      </c>
      <c r="CG34" s="29">
        <f t="shared" si="31"/>
        <v>0.76359039190897593</v>
      </c>
      <c r="CH34" s="29">
        <f t="shared" si="31"/>
        <v>0.86462882096069871</v>
      </c>
      <c r="CI34" s="29">
        <f t="shared" si="31"/>
        <v>0.86486486486486491</v>
      </c>
    </row>
    <row r="35" spans="1:87" x14ac:dyDescent="0.2">
      <c r="A35" s="26">
        <f t="shared" si="33"/>
        <v>2036</v>
      </c>
      <c r="B35" s="221">
        <f>(B34+(B34-B33))</f>
        <v>8.1103188354379583</v>
      </c>
      <c r="C35" s="221">
        <f>(C34+(C34-C33))</f>
        <v>3.3719999999999999</v>
      </c>
      <c r="D35" s="100">
        <f t="shared" si="0"/>
        <v>277.49433490328454</v>
      </c>
      <c r="E35" s="221">
        <f t="shared" ref="E35:K42" si="36">(E34+(E34-E33))</f>
        <v>14.242143337744194</v>
      </c>
      <c r="F35" s="221">
        <f t="shared" si="36"/>
        <v>14.613340999999998</v>
      </c>
      <c r="G35" s="221">
        <f t="shared" si="36"/>
        <v>14.848246520908365</v>
      </c>
      <c r="H35" s="221">
        <f t="shared" si="36"/>
        <v>11.567382753849543</v>
      </c>
      <c r="I35" s="221">
        <f t="shared" si="36"/>
        <v>1.0009588921575872</v>
      </c>
      <c r="J35" s="221">
        <f t="shared" si="36"/>
        <v>535.61529789977624</v>
      </c>
      <c r="K35" s="221">
        <f t="shared" si="36"/>
        <v>418.48538506224196</v>
      </c>
      <c r="L35" s="100">
        <f t="shared" si="3"/>
        <v>328.62813621033769</v>
      </c>
      <c r="M35" s="100">
        <f t="shared" si="4"/>
        <v>315.37282083257577</v>
      </c>
      <c r="N35" s="100">
        <f t="shared" si="5"/>
        <v>56.897992406374804</v>
      </c>
      <c r="O35" s="100">
        <f t="shared" si="6"/>
        <v>636.04796093470043</v>
      </c>
      <c r="P35" s="100">
        <f t="shared" si="7"/>
        <v>189.23135478152744</v>
      </c>
      <c r="Q35" s="100">
        <f t="shared" si="8"/>
        <v>525.15034170192439</v>
      </c>
      <c r="R35" s="101">
        <f t="shared" ref="R35:S42" si="37">1000*(BC125/BC81)/ 3.412</f>
        <v>999.21415859281308</v>
      </c>
      <c r="S35" s="101">
        <f t="shared" si="37"/>
        <v>7111.0854729809435</v>
      </c>
      <c r="T35" s="72"/>
      <c r="U35" s="23">
        <v>2034</v>
      </c>
      <c r="V35" s="53">
        <f t="shared" si="35"/>
        <v>0.30257921747414562</v>
      </c>
      <c r="W35" s="53">
        <f t="shared" si="20"/>
        <v>-2.5414855674756875E-3</v>
      </c>
      <c r="X35" s="53">
        <f t="shared" si="35"/>
        <v>0.24713947693927085</v>
      </c>
      <c r="Y35" s="53">
        <f t="shared" si="20"/>
        <v>1.2137654208308257E-2</v>
      </c>
      <c r="Z35" s="53">
        <f t="shared" si="35"/>
        <v>3.8979838378365175E-2</v>
      </c>
      <c r="AA35" s="53"/>
      <c r="AB35" s="53">
        <f t="shared" si="35"/>
        <v>0.1160071594964369</v>
      </c>
      <c r="AC35" s="53">
        <f t="shared" si="34"/>
        <v>-9.9545520343908844E-3</v>
      </c>
      <c r="AD35" s="53">
        <f t="shared" si="35"/>
        <v>0.29019844063325123</v>
      </c>
      <c r="AE35" s="53">
        <f t="shared" si="34"/>
        <v>-1.2245157862506795E-2</v>
      </c>
      <c r="AF35" s="53">
        <f t="shared" si="35"/>
        <v>0.61514364516967168</v>
      </c>
      <c r="AG35" s="53">
        <f t="shared" si="22"/>
        <v>4.2488388563666213E-4</v>
      </c>
      <c r="AH35" s="53">
        <f t="shared" si="35"/>
        <v>0.24713947693927085</v>
      </c>
      <c r="AI35" s="53">
        <f t="shared" si="23"/>
        <v>1.2137654208308257E-2</v>
      </c>
      <c r="AJ35" s="53">
        <f t="shared" si="35"/>
        <v>3.8979838378365175E-2</v>
      </c>
      <c r="AK35" s="53">
        <f t="shared" si="35"/>
        <v>0.92410534053132165</v>
      </c>
      <c r="AL35" s="53">
        <f t="shared" si="24"/>
        <v>7.9394373854535516E-4</v>
      </c>
      <c r="AM35" s="53">
        <f t="shared" si="35"/>
        <v>0.70351290552529255</v>
      </c>
      <c r="AN35" s="53">
        <f t="shared" si="25"/>
        <v>5.2396514737533817E-3</v>
      </c>
      <c r="AO35" s="53">
        <f t="shared" si="35"/>
        <v>0.75164497425112864</v>
      </c>
      <c r="AP35" s="53">
        <f t="shared" si="26"/>
        <v>2.298324388845252E-3</v>
      </c>
      <c r="AQ35" s="53">
        <f t="shared" si="35"/>
        <v>1.7054007119524062</v>
      </c>
      <c r="AR35" s="53">
        <f t="shared" si="26"/>
        <v>1.1461397199814538E-3</v>
      </c>
      <c r="AS35" s="53">
        <f t="shared" si="35"/>
        <v>0.86857582870505046</v>
      </c>
      <c r="AT35" s="53">
        <f t="shared" si="27"/>
        <v>1.4758167395372279E-3</v>
      </c>
      <c r="AU35" s="53">
        <f t="shared" si="35"/>
        <v>1.1943024931658344</v>
      </c>
      <c r="AV35" s="53">
        <f t="shared" ref="AV35:AV44" si="38">AU35/AU34-1</f>
        <v>-1.3011308933397192E-4</v>
      </c>
      <c r="AW35" s="53">
        <f t="shared" si="35"/>
        <v>0.45549620151406472</v>
      </c>
      <c r="AX35" s="53">
        <f t="shared" si="28"/>
        <v>-4.2444539252040059E-4</v>
      </c>
      <c r="AY35" s="53">
        <f t="shared" si="35"/>
        <v>4.2853685563976898</v>
      </c>
      <c r="AZ35" s="53">
        <f t="shared" ref="AZ35:AZ44" si="39">AY35/AY34-1</f>
        <v>4.9107936634853466E-3</v>
      </c>
      <c r="BA35" s="53">
        <f t="shared" si="17"/>
        <v>0.38048071221888874</v>
      </c>
      <c r="BB35" s="53">
        <f t="shared" si="29"/>
        <v>-6.1089174177391126E-3</v>
      </c>
      <c r="BC35" s="53">
        <f t="shared" si="35"/>
        <v>1</v>
      </c>
      <c r="BD35" s="53">
        <f t="shared" si="35"/>
        <v>1</v>
      </c>
      <c r="BE35" s="105">
        <f>AU35-1</f>
        <v>0.19430249316583437</v>
      </c>
      <c r="BO35" s="26">
        <v>2021</v>
      </c>
      <c r="BP35" s="29">
        <f t="shared" si="30"/>
        <v>1.1945098039215687</v>
      </c>
      <c r="BQ35" s="29">
        <f t="shared" si="30"/>
        <v>1.0713080168776372</v>
      </c>
      <c r="BR35" s="29">
        <f t="shared" si="30"/>
        <v>1.0883458646616542</v>
      </c>
      <c r="BS35" s="29">
        <f t="shared" si="30"/>
        <v>0.99390243902439024</v>
      </c>
      <c r="BT35" s="29">
        <f t="shared" si="30"/>
        <v>1.1247761194029851</v>
      </c>
      <c r="BU35" s="29">
        <f t="shared" si="30"/>
        <v>1.0163236337828248</v>
      </c>
      <c r="BV35" s="29">
        <f t="shared" si="30"/>
        <v>0.89921259842519674</v>
      </c>
      <c r="BW35" s="29">
        <f t="shared" si="30"/>
        <v>1.0121580547112461</v>
      </c>
      <c r="BX35" s="29">
        <f t="shared" si="30"/>
        <v>0.95678698525673611</v>
      </c>
      <c r="BZ35" s="26">
        <v>2021</v>
      </c>
      <c r="CA35" s="29">
        <f t="shared" si="31"/>
        <v>0.86680327868852469</v>
      </c>
      <c r="CB35" s="29">
        <f t="shared" si="31"/>
        <v>0.84056271981242681</v>
      </c>
      <c r="CC35" s="29">
        <f t="shared" si="31"/>
        <v>0.78648648648648645</v>
      </c>
      <c r="CD35" s="29">
        <f t="shared" si="31"/>
        <v>0.80160857908847194</v>
      </c>
      <c r="CE35" s="29">
        <f t="shared" si="31"/>
        <v>0.80894308943089432</v>
      </c>
      <c r="CF35" s="29">
        <f t="shared" si="31"/>
        <v>0.79633867276887871</v>
      </c>
      <c r="CG35" s="29">
        <f t="shared" si="31"/>
        <v>0.77623261694058154</v>
      </c>
      <c r="CH35" s="29">
        <f t="shared" si="31"/>
        <v>0.88355167394468703</v>
      </c>
      <c r="CI35" s="29">
        <f t="shared" si="31"/>
        <v>0.88243243243243241</v>
      </c>
    </row>
    <row r="36" spans="1:87" x14ac:dyDescent="0.2">
      <c r="A36" s="26">
        <f t="shared" si="33"/>
        <v>2037</v>
      </c>
      <c r="B36" s="221">
        <f t="shared" ref="B36:C42" si="40">(B35+(B35-B34))</f>
        <v>8.1134735381334586</v>
      </c>
      <c r="C36" s="221">
        <f t="shared" si="40"/>
        <v>3.3750049999999998</v>
      </c>
      <c r="D36" s="100">
        <f t="shared" si="0"/>
        <v>268.86360296687553</v>
      </c>
      <c r="E36" s="221">
        <f t="shared" si="36"/>
        <v>14.251404143082528</v>
      </c>
      <c r="F36" s="221">
        <f t="shared" si="36"/>
        <v>14.636913999999997</v>
      </c>
      <c r="G36" s="221">
        <f t="shared" si="36"/>
        <v>14.857334477908887</v>
      </c>
      <c r="H36" s="221">
        <f t="shared" si="36"/>
        <v>11.579444687689756</v>
      </c>
      <c r="I36" s="221">
        <f t="shared" si="36"/>
        <v>1.0016698172288998</v>
      </c>
      <c r="J36" s="221">
        <f t="shared" si="36"/>
        <v>534.97234246118887</v>
      </c>
      <c r="K36" s="221">
        <f t="shared" si="36"/>
        <v>416.3582189397502</v>
      </c>
      <c r="L36" s="100">
        <f t="shared" si="3"/>
        <v>328.4416948222335</v>
      </c>
      <c r="M36" s="100">
        <f t="shared" si="4"/>
        <v>315.37280402746813</v>
      </c>
      <c r="N36" s="100">
        <f t="shared" si="5"/>
        <v>56.8853103825573</v>
      </c>
      <c r="O36" s="100">
        <f t="shared" si="6"/>
        <v>636.42319694093692</v>
      </c>
      <c r="P36" s="100">
        <f t="shared" si="7"/>
        <v>189.61157963449699</v>
      </c>
      <c r="Q36" s="100">
        <f t="shared" si="8"/>
        <v>524.9627028854004</v>
      </c>
      <c r="R36" s="101">
        <f t="shared" si="37"/>
        <v>995.71496993692222</v>
      </c>
      <c r="S36" s="101">
        <f t="shared" si="37"/>
        <v>7196.7629429498402</v>
      </c>
      <c r="T36" s="72"/>
      <c r="U36" s="23">
        <v>2035</v>
      </c>
      <c r="V36" s="53">
        <f t="shared" si="35"/>
        <v>0.30180272484319032</v>
      </c>
      <c r="W36" s="53">
        <f t="shared" si="20"/>
        <v>-2.5662457502444447E-3</v>
      </c>
      <c r="X36" s="53">
        <f t="shared" si="35"/>
        <v>0.25009259742780759</v>
      </c>
      <c r="Y36" s="53">
        <f t="shared" si="20"/>
        <v>1.1949205869940416E-2</v>
      </c>
      <c r="Z36" s="53">
        <f t="shared" si="35"/>
        <v>3.933280936740037E-2</v>
      </c>
      <c r="AA36" s="53">
        <f t="shared" si="20"/>
        <v>9.0552194087880622E-3</v>
      </c>
      <c r="AB36" s="53">
        <f t="shared" si="35"/>
        <v>0.11485264945423153</v>
      </c>
      <c r="AC36" s="53">
        <f t="shared" si="34"/>
        <v>-9.9520585386011495E-3</v>
      </c>
      <c r="AD36" s="53">
        <f t="shared" si="35"/>
        <v>0.28666202632917798</v>
      </c>
      <c r="AE36" s="53">
        <f t="shared" si="34"/>
        <v>-1.2186193338449169E-2</v>
      </c>
      <c r="AF36" s="53">
        <f t="shared" si="35"/>
        <v>0.61535634420727903</v>
      </c>
      <c r="AG36" s="53">
        <f t="shared" si="22"/>
        <v>3.457713320742517E-4</v>
      </c>
      <c r="AH36" s="53">
        <f t="shared" si="35"/>
        <v>0.25009259742780759</v>
      </c>
      <c r="AI36" s="53">
        <f t="shared" si="23"/>
        <v>1.1949205869940416E-2</v>
      </c>
      <c r="AJ36" s="53">
        <f t="shared" si="35"/>
        <v>3.933280936740037E-2</v>
      </c>
      <c r="AK36" s="53">
        <f t="shared" si="35"/>
        <v>0.92482796488590957</v>
      </c>
      <c r="AL36" s="53">
        <f t="shared" si="24"/>
        <v>7.8197184118899976E-4</v>
      </c>
      <c r="AM36" s="53">
        <f t="shared" si="35"/>
        <v>0.70716242481210045</v>
      </c>
      <c r="AN36" s="53">
        <f t="shared" si="25"/>
        <v>5.1875655132196385E-3</v>
      </c>
      <c r="AO36" s="53">
        <f t="shared" si="35"/>
        <v>0.75333455401090632</v>
      </c>
      <c r="AP36" s="53">
        <f t="shared" si="26"/>
        <v>2.2478428216206048E-3</v>
      </c>
      <c r="AQ36" s="53">
        <f t="shared" si="35"/>
        <v>1.7073443145840344</v>
      </c>
      <c r="AR36" s="53">
        <f t="shared" si="26"/>
        <v>1.1396750441150516E-3</v>
      </c>
      <c r="AS36" s="53">
        <f t="shared" si="35"/>
        <v>0.86985076225144942</v>
      </c>
      <c r="AT36" s="53">
        <f t="shared" si="27"/>
        <v>1.4678436864858924E-3</v>
      </c>
      <c r="AU36" s="53">
        <f t="shared" si="35"/>
        <v>1.1941616578123475</v>
      </c>
      <c r="AV36" s="53">
        <f t="shared" si="38"/>
        <v>-1.1792268231269887E-4</v>
      </c>
      <c r="AW36" s="53">
        <f t="shared" si="35"/>
        <v>0.45530777710427517</v>
      </c>
      <c r="AX36" s="53">
        <f t="shared" si="28"/>
        <v>-4.1366845467261104E-4</v>
      </c>
      <c r="AY36" s="53">
        <f t="shared" si="35"/>
        <v>4.3063590030369312</v>
      </c>
      <c r="AZ36" s="53">
        <f t="shared" si="39"/>
        <v>4.8981660183939901E-3</v>
      </c>
      <c r="BA36" s="53">
        <f t="shared" si="17"/>
        <v>0.37814729347799025</v>
      </c>
      <c r="BB36" s="53">
        <f t="shared" si="29"/>
        <v>-6.1328174227031074E-3</v>
      </c>
      <c r="BC36" s="53">
        <f t="shared" si="35"/>
        <v>1</v>
      </c>
      <c r="BD36" s="53">
        <f t="shared" si="35"/>
        <v>1</v>
      </c>
      <c r="BE36" s="105">
        <f>AU36-1</f>
        <v>0.19416165781234751</v>
      </c>
      <c r="BO36" s="26">
        <v>2022</v>
      </c>
      <c r="BP36" s="29">
        <f t="shared" ref="BP36:BX36" si="41">BP104/BP$81</f>
        <v>1.1823529411764706</v>
      </c>
      <c r="BQ36" s="29">
        <f t="shared" si="41"/>
        <v>1.0649789029535865</v>
      </c>
      <c r="BR36" s="29">
        <f t="shared" si="41"/>
        <v>1.0808270676691729</v>
      </c>
      <c r="BS36" s="29">
        <f t="shared" si="41"/>
        <v>0.99119241192411933</v>
      </c>
      <c r="BT36" s="29">
        <f t="shared" si="41"/>
        <v>1.120597014925373</v>
      </c>
      <c r="BU36" s="29">
        <f t="shared" si="41"/>
        <v>1.0056777856635912</v>
      </c>
      <c r="BV36" s="29">
        <f t="shared" si="41"/>
        <v>0.91076115485564313</v>
      </c>
      <c r="BW36" s="29">
        <f t="shared" si="41"/>
        <v>1.0206686930091184</v>
      </c>
      <c r="BX36" s="29">
        <f t="shared" si="41"/>
        <v>0.9527198779867817</v>
      </c>
      <c r="BZ36" s="26">
        <v>2022</v>
      </c>
      <c r="CA36" s="29">
        <f t="shared" ref="CA36:CI36" si="42">CA104/CA$81</f>
        <v>0.88012295081967218</v>
      </c>
      <c r="CB36" s="29">
        <f t="shared" si="42"/>
        <v>0.84994138335287228</v>
      </c>
      <c r="CC36" s="29">
        <f t="shared" si="42"/>
        <v>0.80135135135135127</v>
      </c>
      <c r="CD36" s="29">
        <f t="shared" si="42"/>
        <v>0.8163538873994638</v>
      </c>
      <c r="CE36" s="29">
        <f t="shared" si="42"/>
        <v>0.82113821138211385</v>
      </c>
      <c r="CF36" s="29">
        <f t="shared" si="42"/>
        <v>0.81006864988558347</v>
      </c>
      <c r="CG36" s="29">
        <f t="shared" si="42"/>
        <v>0.78761061946902655</v>
      </c>
      <c r="CH36" s="29">
        <f t="shared" si="42"/>
        <v>0.90393013100436681</v>
      </c>
      <c r="CI36" s="29">
        <f t="shared" si="42"/>
        <v>0.9</v>
      </c>
    </row>
    <row r="37" spans="1:87" x14ac:dyDescent="0.2">
      <c r="A37" s="26">
        <f t="shared" si="33"/>
        <v>2038</v>
      </c>
      <c r="B37" s="221">
        <f t="shared" si="40"/>
        <v>8.116628240828959</v>
      </c>
      <c r="C37" s="221">
        <f t="shared" si="40"/>
        <v>3.3780099999999997</v>
      </c>
      <c r="D37" s="100">
        <f t="shared" si="0"/>
        <v>260.5013072628102</v>
      </c>
      <c r="E37" s="221">
        <f t="shared" si="36"/>
        <v>14.260664948420862</v>
      </c>
      <c r="F37" s="221">
        <f t="shared" si="36"/>
        <v>14.660486999999996</v>
      </c>
      <c r="G37" s="221">
        <f t="shared" si="36"/>
        <v>14.86642243490941</v>
      </c>
      <c r="H37" s="221">
        <f t="shared" si="36"/>
        <v>11.59150662152997</v>
      </c>
      <c r="I37" s="221">
        <f t="shared" si="36"/>
        <v>1.0023807423002125</v>
      </c>
      <c r="J37" s="221">
        <f t="shared" si="36"/>
        <v>534.32938702260151</v>
      </c>
      <c r="K37" s="221">
        <f t="shared" si="36"/>
        <v>414.23105281725844</v>
      </c>
      <c r="L37" s="100">
        <f t="shared" si="3"/>
        <v>328.25535920836899</v>
      </c>
      <c r="M37" s="100">
        <f t="shared" si="4"/>
        <v>315.37278722236141</v>
      </c>
      <c r="N37" s="100">
        <f t="shared" si="5"/>
        <v>56.87263118544282</v>
      </c>
      <c r="O37" s="100">
        <f t="shared" si="6"/>
        <v>636.7986543173671</v>
      </c>
      <c r="P37" s="100">
        <f t="shared" si="7"/>
        <v>189.99256847786862</v>
      </c>
      <c r="Q37" s="100">
        <f t="shared" si="8"/>
        <v>524.77513111315454</v>
      </c>
      <c r="R37" s="101">
        <f t="shared" si="37"/>
        <v>992.22803523194307</v>
      </c>
      <c r="S37" s="101">
        <f t="shared" si="37"/>
        <v>7283.4726925739569</v>
      </c>
      <c r="T37" s="72"/>
      <c r="U37" s="23">
        <v>2036</v>
      </c>
      <c r="V37" s="218">
        <f>V36*(1+W36)</f>
        <v>0.30102822488314929</v>
      </c>
      <c r="W37" s="53">
        <f t="shared" si="20"/>
        <v>-2.5662457502444447E-3</v>
      </c>
      <c r="X37" s="218">
        <f>X36*(1+Y36)</f>
        <v>0.25308100536102057</v>
      </c>
      <c r="Y37" s="53">
        <f t="shared" si="20"/>
        <v>1.1949205869940416E-2</v>
      </c>
      <c r="Z37" s="218">
        <f>Z36*(1+AA36)</f>
        <v>3.9688976586186218E-2</v>
      </c>
      <c r="AA37" s="53">
        <f t="shared" si="20"/>
        <v>9.0552194087880622E-3</v>
      </c>
      <c r="AB37" s="218">
        <f>AB36*(1+AC36)</f>
        <v>0.11370962916354958</v>
      </c>
      <c r="AC37" s="53">
        <f t="shared" si="34"/>
        <v>-9.9520585386011495E-3</v>
      </c>
      <c r="AD37" s="218">
        <f>AD36*(1+AE36)</f>
        <v>0.283168707453539</v>
      </c>
      <c r="AE37" s="53">
        <f t="shared" si="34"/>
        <v>-1.2186193338449169E-2</v>
      </c>
      <c r="AF37" s="218">
        <f>AF36*(1+AG36)</f>
        <v>0.61556911679011594</v>
      </c>
      <c r="AG37" s="53">
        <f t="shared" si="22"/>
        <v>3.457713320742517E-4</v>
      </c>
      <c r="AH37" s="218">
        <f>AH36*(1+AI36)</f>
        <v>0.25308100536102057</v>
      </c>
      <c r="AI37" s="53">
        <f t="shared" si="23"/>
        <v>1.1949205869940416E-2</v>
      </c>
      <c r="AJ37" s="218">
        <f>AJ36*(1+AK36)</f>
        <v>7.5708891407898687E-2</v>
      </c>
      <c r="AK37" s="218">
        <f>AK36*(1+AL36)</f>
        <v>0.92555115431239443</v>
      </c>
      <c r="AL37" s="53">
        <f t="shared" si="24"/>
        <v>7.8197184118899976E-4</v>
      </c>
      <c r="AM37" s="218">
        <f>AM36*(1+AN36)</f>
        <v>0.71083087621930052</v>
      </c>
      <c r="AN37" s="53">
        <f t="shared" si="25"/>
        <v>5.1875655132196385E-3</v>
      </c>
      <c r="AO37" s="218">
        <f>AO36*(1+AP36)</f>
        <v>0.75502793168041848</v>
      </c>
      <c r="AP37" s="53">
        <f t="shared" ref="AP37:AP44" si="43">AO37/AO36-1</f>
        <v>2.2478428216206048E-3</v>
      </c>
      <c r="AQ37" s="218">
        <f>AQ36*(1+AR36)</f>
        <v>1.7092901322910774</v>
      </c>
      <c r="AR37" s="53">
        <f t="shared" ref="AR37:AR44" si="44">AQ37/AQ36-1</f>
        <v>1.1396750441150516E-3</v>
      </c>
      <c r="AS37" s="218">
        <f>AS36*(1+AT36)</f>
        <v>0.87112756720100515</v>
      </c>
      <c r="AT37" s="53">
        <f t="shared" si="27"/>
        <v>1.4678436864858924E-3</v>
      </c>
      <c r="AU37" s="218">
        <f>AU36*(1+AV36)</f>
        <v>1.1940208390665432</v>
      </c>
      <c r="AV37" s="53">
        <f t="shared" si="38"/>
        <v>-1.1792268231280989E-4</v>
      </c>
      <c r="AW37" s="218">
        <f>AW36*(1+AX36)</f>
        <v>0.45511943063972005</v>
      </c>
      <c r="AX37" s="53">
        <f t="shared" si="28"/>
        <v>-4.1366845467261104E-4</v>
      </c>
      <c r="AY37" s="218">
        <f>AY36*(1+AZ36)</f>
        <v>4.3274522643686115</v>
      </c>
      <c r="AZ37" s="53">
        <f t="shared" si="39"/>
        <v>4.8981660183939901E-3</v>
      </c>
      <c r="BA37" s="218">
        <f>BA36*(1+BB36)</f>
        <v>0.37582818516820043</v>
      </c>
      <c r="BB37" s="53">
        <f t="shared" si="29"/>
        <v>-6.1328174227029963E-3</v>
      </c>
      <c r="BC37" s="219">
        <f>BC36</f>
        <v>1</v>
      </c>
      <c r="BD37" s="219">
        <f>BD36</f>
        <v>1</v>
      </c>
      <c r="BE37" s="105">
        <f t="shared" ref="BE37:BE44" si="45">AU37-1</f>
        <v>0.19402083906654322</v>
      </c>
      <c r="BO37" s="26"/>
      <c r="BP37" s="29"/>
      <c r="BQ37" s="29"/>
      <c r="BR37" s="29"/>
      <c r="BS37" s="29"/>
      <c r="BT37" s="29"/>
      <c r="BU37" s="29"/>
      <c r="BV37" s="29"/>
      <c r="BW37" s="29"/>
      <c r="BX37" s="29"/>
      <c r="BZ37" s="26"/>
      <c r="CA37" s="29"/>
      <c r="CB37" s="29"/>
      <c r="CC37" s="29"/>
      <c r="CD37" s="29"/>
      <c r="CE37" s="29"/>
      <c r="CF37" s="29"/>
      <c r="CG37" s="29"/>
      <c r="CH37" s="29"/>
      <c r="CI37" s="29"/>
    </row>
    <row r="38" spans="1:87" x14ac:dyDescent="0.2">
      <c r="A38" s="26">
        <f t="shared" si="33"/>
        <v>2039</v>
      </c>
      <c r="B38" s="221">
        <f t="shared" si="40"/>
        <v>8.1197829435244593</v>
      </c>
      <c r="C38" s="221">
        <f t="shared" si="40"/>
        <v>3.3810149999999997</v>
      </c>
      <c r="D38" s="100">
        <f t="shared" si="0"/>
        <v>252.39909878762444</v>
      </c>
      <c r="E38" s="221">
        <f t="shared" si="36"/>
        <v>14.269925753759196</v>
      </c>
      <c r="F38" s="221">
        <f t="shared" si="36"/>
        <v>14.684059999999995</v>
      </c>
      <c r="G38" s="221">
        <f t="shared" si="36"/>
        <v>14.875510391909932</v>
      </c>
      <c r="H38" s="221">
        <f t="shared" si="36"/>
        <v>11.603568555370183</v>
      </c>
      <c r="I38" s="221">
        <f t="shared" si="36"/>
        <v>1.0030916673715251</v>
      </c>
      <c r="J38" s="221">
        <f t="shared" si="36"/>
        <v>533.68643158401414</v>
      </c>
      <c r="K38" s="221">
        <f t="shared" si="36"/>
        <v>412.10388669476669</v>
      </c>
      <c r="L38" s="100">
        <f t="shared" si="3"/>
        <v>328.06912930873472</v>
      </c>
      <c r="M38" s="100">
        <f t="shared" si="4"/>
        <v>315.37277041725548</v>
      </c>
      <c r="N38" s="100">
        <f t="shared" si="5"/>
        <v>56.859954814401334</v>
      </c>
      <c r="O38" s="100">
        <f t="shared" si="6"/>
        <v>637.17433319458837</v>
      </c>
      <c r="P38" s="100">
        <f t="shared" si="7"/>
        <v>190.37432284673739</v>
      </c>
      <c r="Q38" s="100">
        <f t="shared" si="8"/>
        <v>524.58762636123129</v>
      </c>
      <c r="R38" s="101">
        <f t="shared" si="37"/>
        <v>988.75331156526681</v>
      </c>
      <c r="S38" s="101">
        <f t="shared" si="37"/>
        <v>7371.2271592103561</v>
      </c>
      <c r="T38" s="72"/>
      <c r="U38" s="23">
        <v>2037</v>
      </c>
      <c r="V38" s="218">
        <f t="shared" ref="V38:V44" si="46">V37*(1+W37)</f>
        <v>0.30025571248033928</v>
      </c>
      <c r="W38" s="53">
        <f t="shared" ref="W38:W44" si="47">V38/V37-1</f>
        <v>-2.5662457502444447E-3</v>
      </c>
      <c r="X38" s="218">
        <f t="shared" ref="X38:X44" si="48">X37*(1+Y37)</f>
        <v>0.25610512239585093</v>
      </c>
      <c r="Y38" s="53">
        <f t="shared" ref="Y38:AA44" si="49">X38/X37-1</f>
        <v>1.1949205869940416E-2</v>
      </c>
      <c r="Z38" s="218">
        <f t="shared" ref="Z38:AB44" si="50">Z37*(1+AA37)</f>
        <v>4.0048368977284386E-2</v>
      </c>
      <c r="AA38" s="53">
        <f t="shared" si="49"/>
        <v>9.0552194087880622E-3</v>
      </c>
      <c r="AB38" s="218">
        <f t="shared" si="50"/>
        <v>0.1125779842777113</v>
      </c>
      <c r="AC38" s="53">
        <f t="shared" si="34"/>
        <v>-9.9520585386011495E-3</v>
      </c>
      <c r="AD38" s="218">
        <f t="shared" ref="AD38:AD44" si="51">AD37*(1+AE37)</f>
        <v>0.27971795883711142</v>
      </c>
      <c r="AE38" s="53">
        <f t="shared" si="34"/>
        <v>-1.2186193338449169E-2</v>
      </c>
      <c r="AF38" s="218">
        <f t="shared" ref="AF38:AF44" si="52">AF37*(1+AG37)</f>
        <v>0.6157819629436122</v>
      </c>
      <c r="AG38" s="53">
        <f t="shared" si="22"/>
        <v>3.457713320742517E-4</v>
      </c>
      <c r="AH38" s="218">
        <f t="shared" ref="AH38:AH44" si="53">AH37*(1+AI37)</f>
        <v>0.25610512239585093</v>
      </c>
      <c r="AI38" s="53">
        <f t="shared" si="23"/>
        <v>1.1949205869940416E-2</v>
      </c>
      <c r="AJ38" s="218">
        <f t="shared" ref="AJ38:AK44" si="54">AJ37*(1+AK37)</f>
        <v>0.14578134324219102</v>
      </c>
      <c r="AK38" s="218">
        <f t="shared" si="54"/>
        <v>0.92627490925264666</v>
      </c>
      <c r="AL38" s="53">
        <f t="shared" si="24"/>
        <v>7.8197184118899976E-4</v>
      </c>
      <c r="AM38" s="218">
        <f t="shared" ref="AM38:AM44" si="55">AM37*(1+AN37)</f>
        <v>0.71451835795850749</v>
      </c>
      <c r="AN38" s="53">
        <f t="shared" si="25"/>
        <v>5.1875655132196385E-3</v>
      </c>
      <c r="AO38" s="218">
        <f t="shared" ref="AO38:AO44" si="56">AO37*(1+AP37)</f>
        <v>0.75672511579676938</v>
      </c>
      <c r="AP38" s="53">
        <f t="shared" si="43"/>
        <v>2.2478428216206048E-3</v>
      </c>
      <c r="AQ38" s="218">
        <f t="shared" ref="AQ38:AQ44" si="57">AQ37*(1+AR37)</f>
        <v>1.7112381675980017</v>
      </c>
      <c r="AR38" s="53">
        <f t="shared" si="44"/>
        <v>1.1396750441150516E-3</v>
      </c>
      <c r="AS38" s="218">
        <f t="shared" ref="AS38:AS44" si="58">AS37*(1+AT37)</f>
        <v>0.87240624630064501</v>
      </c>
      <c r="AT38" s="53">
        <f t="shared" si="27"/>
        <v>1.4678436864858924E-3</v>
      </c>
      <c r="AU38" s="218">
        <f t="shared" ref="AU38:AU44" si="59">AU37*(1+AV37)</f>
        <v>1.1938800369264631</v>
      </c>
      <c r="AV38" s="53">
        <f t="shared" si="38"/>
        <v>-1.1792268231280989E-4</v>
      </c>
      <c r="AW38" s="218">
        <f t="shared" ref="AW38:AW44" si="60">AW37*(1+AX37)</f>
        <v>0.45493116208815582</v>
      </c>
      <c r="AX38" s="53">
        <f t="shared" si="28"/>
        <v>-4.1366845467261104E-4</v>
      </c>
      <c r="AY38" s="218">
        <f t="shared" ref="AY38:BA44" si="61">AY37*(1+AZ37)</f>
        <v>4.3486488439961644</v>
      </c>
      <c r="AZ38" s="53">
        <f t="shared" si="39"/>
        <v>4.8981660183939901E-3</v>
      </c>
      <c r="BA38" s="218">
        <f t="shared" si="61"/>
        <v>0.37352329952625807</v>
      </c>
      <c r="BB38" s="53">
        <f t="shared" si="29"/>
        <v>-6.1328174227029963E-3</v>
      </c>
      <c r="BC38" s="219">
        <f t="shared" ref="BC38:BD44" si="62">BC37</f>
        <v>1</v>
      </c>
      <c r="BD38" s="219">
        <f t="shared" si="62"/>
        <v>1</v>
      </c>
      <c r="BE38" s="105">
        <f t="shared" si="45"/>
        <v>0.19388003692646305</v>
      </c>
      <c r="BO38" s="26"/>
      <c r="BP38" s="29"/>
      <c r="BQ38" s="29"/>
      <c r="BR38" s="29"/>
      <c r="BS38" s="29"/>
      <c r="BT38" s="29"/>
      <c r="BU38" s="29"/>
      <c r="BV38" s="29"/>
      <c r="BW38" s="29"/>
      <c r="BX38" s="29"/>
      <c r="BZ38" s="26"/>
      <c r="CA38" s="29"/>
      <c r="CB38" s="29"/>
      <c r="CC38" s="29"/>
      <c r="CD38" s="29"/>
      <c r="CE38" s="29"/>
      <c r="CF38" s="29"/>
      <c r="CG38" s="29"/>
      <c r="CH38" s="29"/>
      <c r="CI38" s="29"/>
    </row>
    <row r="39" spans="1:87" x14ac:dyDescent="0.2">
      <c r="A39" s="26">
        <f t="shared" si="33"/>
        <v>2040</v>
      </c>
      <c r="B39" s="221">
        <f t="shared" si="40"/>
        <v>8.1229376462199596</v>
      </c>
      <c r="C39" s="221">
        <f t="shared" si="40"/>
        <v>3.3840199999999996</v>
      </c>
      <c r="D39" s="100">
        <f t="shared" si="0"/>
        <v>244.54888821166284</v>
      </c>
      <c r="E39" s="221">
        <f t="shared" si="36"/>
        <v>14.27918655909753</v>
      </c>
      <c r="F39" s="221">
        <f t="shared" si="36"/>
        <v>14.707632999999994</v>
      </c>
      <c r="G39" s="221">
        <f t="shared" si="36"/>
        <v>14.884598348910455</v>
      </c>
      <c r="H39" s="221">
        <f t="shared" si="36"/>
        <v>11.615630489210396</v>
      </c>
      <c r="I39" s="221">
        <f t="shared" si="36"/>
        <v>1.0038025924428378</v>
      </c>
      <c r="J39" s="221">
        <f t="shared" si="36"/>
        <v>533.04347614542678</v>
      </c>
      <c r="K39" s="221">
        <f t="shared" si="36"/>
        <v>409.97672057227493</v>
      </c>
      <c r="L39" s="100">
        <f t="shared" si="3"/>
        <v>327.88300506335577</v>
      </c>
      <c r="M39" s="100">
        <f t="shared" si="4"/>
        <v>315.37275361215052</v>
      </c>
      <c r="N39" s="100">
        <f t="shared" si="5"/>
        <v>56.847281268802945</v>
      </c>
      <c r="O39" s="100">
        <f t="shared" si="6"/>
        <v>637.5502337032749</v>
      </c>
      <c r="P39" s="100">
        <f t="shared" si="7"/>
        <v>190.75684427928303</v>
      </c>
      <c r="Q39" s="100">
        <f t="shared" si="8"/>
        <v>524.40018860568409</v>
      </c>
      <c r="R39" s="101">
        <f t="shared" si="37"/>
        <v>985.29075617456249</v>
      </c>
      <c r="S39" s="101">
        <f t="shared" si="37"/>
        <v>7460.0389300668276</v>
      </c>
      <c r="T39" s="72"/>
      <c r="U39" s="23">
        <v>2038</v>
      </c>
      <c r="V39" s="218">
        <f t="shared" si="46"/>
        <v>0.29948518253419998</v>
      </c>
      <c r="W39" s="53">
        <f t="shared" si="47"/>
        <v>-2.5662457502444447E-3</v>
      </c>
      <c r="X39" s="218">
        <f t="shared" si="48"/>
        <v>0.25916537522770522</v>
      </c>
      <c r="Y39" s="53">
        <f t="shared" si="49"/>
        <v>1.1949205869940416E-2</v>
      </c>
      <c r="Z39" s="218">
        <f t="shared" si="50"/>
        <v>4.04110157453378E-2</v>
      </c>
      <c r="AA39" s="53">
        <f t="shared" si="49"/>
        <v>9.0552194087880622E-3</v>
      </c>
      <c r="AB39" s="218">
        <f t="shared" si="50"/>
        <v>0.1114576015880218</v>
      </c>
      <c r="AC39" s="53">
        <f t="shared" si="34"/>
        <v>-9.9520585386011495E-3</v>
      </c>
      <c r="AD39" s="218">
        <f t="shared" si="51"/>
        <v>0.27630926171048603</v>
      </c>
      <c r="AE39" s="53">
        <f t="shared" si="34"/>
        <v>-1.2186193338449169E-2</v>
      </c>
      <c r="AF39" s="218">
        <f t="shared" si="52"/>
        <v>0.61599488269320657</v>
      </c>
      <c r="AG39" s="53">
        <f t="shared" si="22"/>
        <v>3.457713320742517E-4</v>
      </c>
      <c r="AH39" s="218">
        <f t="shared" si="53"/>
        <v>0.25916537522770522</v>
      </c>
      <c r="AI39" s="53">
        <f t="shared" si="23"/>
        <v>1.1949205869940416E-2</v>
      </c>
      <c r="AJ39" s="218">
        <f t="shared" si="54"/>
        <v>0.28081494372458049</v>
      </c>
      <c r="AK39" s="218">
        <f t="shared" si="54"/>
        <v>0.92699923014888208</v>
      </c>
      <c r="AL39" s="53">
        <f t="shared" si="24"/>
        <v>7.8197184118899976E-4</v>
      </c>
      <c r="AM39" s="218">
        <f t="shared" si="55"/>
        <v>0.71822496875081532</v>
      </c>
      <c r="AN39" s="53">
        <f t="shared" si="25"/>
        <v>5.1875655132196385E-3</v>
      </c>
      <c r="AO39" s="218">
        <f t="shared" si="56"/>
        <v>0.75842611491625311</v>
      </c>
      <c r="AP39" s="53">
        <f t="shared" si="43"/>
        <v>2.2478428216206048E-3</v>
      </c>
      <c r="AQ39" s="218">
        <f t="shared" si="57"/>
        <v>1.7131884230321504</v>
      </c>
      <c r="AR39" s="53">
        <f t="shared" si="44"/>
        <v>1.1396750441150516E-3</v>
      </c>
      <c r="AS39" s="218">
        <f t="shared" si="58"/>
        <v>0.87368680230132822</v>
      </c>
      <c r="AT39" s="53">
        <f t="shared" si="27"/>
        <v>1.4678436864858924E-3</v>
      </c>
      <c r="AU39" s="218">
        <f t="shared" si="59"/>
        <v>1.193739251390149</v>
      </c>
      <c r="AV39" s="53">
        <f t="shared" si="38"/>
        <v>-1.1792268231280989E-4</v>
      </c>
      <c r="AW39" s="218">
        <f t="shared" si="60"/>
        <v>0.45474297141735237</v>
      </c>
      <c r="AX39" s="53">
        <f t="shared" si="28"/>
        <v>-4.1366845467261104E-4</v>
      </c>
      <c r="AY39" s="218">
        <f t="shared" si="61"/>
        <v>4.369949247989755</v>
      </c>
      <c r="AZ39" s="53">
        <f t="shared" si="39"/>
        <v>4.8981660183939901E-3</v>
      </c>
      <c r="BA39" s="218">
        <f t="shared" si="61"/>
        <v>0.3712325493271379</v>
      </c>
      <c r="BB39" s="53">
        <f t="shared" si="29"/>
        <v>-6.1328174227031074E-3</v>
      </c>
      <c r="BC39" s="219">
        <f t="shared" si="62"/>
        <v>1</v>
      </c>
      <c r="BD39" s="219">
        <f t="shared" si="62"/>
        <v>1</v>
      </c>
      <c r="BE39" s="105">
        <f t="shared" si="45"/>
        <v>0.19373925139014903</v>
      </c>
      <c r="BO39" s="26"/>
      <c r="BP39" s="29"/>
      <c r="BQ39" s="29"/>
      <c r="BR39" s="29"/>
      <c r="BS39" s="29"/>
      <c r="BT39" s="29"/>
      <c r="BU39" s="29"/>
      <c r="BV39" s="29"/>
      <c r="BW39" s="29"/>
      <c r="BX39" s="29"/>
      <c r="BZ39" s="26"/>
      <c r="CA39" s="29"/>
      <c r="CB39" s="29"/>
      <c r="CC39" s="29"/>
      <c r="CD39" s="29"/>
      <c r="CE39" s="29"/>
      <c r="CF39" s="29"/>
      <c r="CG39" s="29"/>
      <c r="CH39" s="29"/>
      <c r="CI39" s="29"/>
    </row>
    <row r="40" spans="1:87" x14ac:dyDescent="0.2">
      <c r="A40" s="26">
        <f t="shared" si="33"/>
        <v>2041</v>
      </c>
      <c r="B40" s="221">
        <f t="shared" si="40"/>
        <v>8.12609234891546</v>
      </c>
      <c r="C40" s="221">
        <f t="shared" si="40"/>
        <v>3.3870249999999995</v>
      </c>
      <c r="D40" s="100">
        <f t="shared" si="0"/>
        <v>236.94283780260733</v>
      </c>
      <c r="E40" s="221">
        <f t="shared" si="36"/>
        <v>14.288447364435864</v>
      </c>
      <c r="F40" s="221">
        <f t="shared" si="36"/>
        <v>14.731205999999993</v>
      </c>
      <c r="G40" s="221">
        <f t="shared" si="36"/>
        <v>14.893686305910977</v>
      </c>
      <c r="H40" s="221">
        <f t="shared" si="36"/>
        <v>11.627692423050609</v>
      </c>
      <c r="I40" s="221">
        <f t="shared" si="36"/>
        <v>1.0045135175141504</v>
      </c>
      <c r="J40" s="221">
        <f t="shared" si="36"/>
        <v>532.40052070683942</v>
      </c>
      <c r="K40" s="221">
        <f t="shared" si="36"/>
        <v>407.84955444978317</v>
      </c>
      <c r="L40" s="100">
        <f t="shared" si="3"/>
        <v>327.69698641229098</v>
      </c>
      <c r="M40" s="100">
        <f t="shared" si="4"/>
        <v>315.37273680704646</v>
      </c>
      <c r="N40" s="100">
        <f t="shared" si="5"/>
        <v>56.834610548017871</v>
      </c>
      <c r="O40" s="100">
        <f t="shared" si="6"/>
        <v>637.92635597417802</v>
      </c>
      <c r="P40" s="100">
        <f t="shared" si="7"/>
        <v>191.14013431677583</v>
      </c>
      <c r="Q40" s="100">
        <f t="shared" si="8"/>
        <v>524.21281782257461</v>
      </c>
      <c r="R40" s="101">
        <f t="shared" si="37"/>
        <v>981.84032644725016</v>
      </c>
      <c r="S40" s="101">
        <f t="shared" si="37"/>
        <v>7549.9207440073469</v>
      </c>
      <c r="T40" s="72"/>
      <c r="U40" s="23">
        <v>2039</v>
      </c>
      <c r="V40" s="218">
        <f t="shared" si="46"/>
        <v>0.29871662995726039</v>
      </c>
      <c r="W40" s="53">
        <f t="shared" si="47"/>
        <v>-2.5662457502444447E-3</v>
      </c>
      <c r="X40" s="218">
        <f t="shared" si="48"/>
        <v>0.26226219565066144</v>
      </c>
      <c r="Y40" s="53">
        <f t="shared" si="49"/>
        <v>1.1949205869940416E-2</v>
      </c>
      <c r="Z40" s="218">
        <f t="shared" si="50"/>
        <v>4.0776946359443823E-2</v>
      </c>
      <c r="AA40" s="53">
        <f t="shared" si="49"/>
        <v>9.0552194087880622E-3</v>
      </c>
      <c r="AB40" s="218">
        <f t="shared" si="50"/>
        <v>0.11034836901244573</v>
      </c>
      <c r="AC40" s="53">
        <f t="shared" si="34"/>
        <v>-9.9520585386011495E-3</v>
      </c>
      <c r="AD40" s="218">
        <f t="shared" si="51"/>
        <v>0.2729421036260779</v>
      </c>
      <c r="AE40" s="53">
        <f t="shared" si="34"/>
        <v>-1.2186193338449169E-2</v>
      </c>
      <c r="AF40" s="218">
        <f t="shared" si="52"/>
        <v>0.61620787606434635</v>
      </c>
      <c r="AG40" s="53">
        <f t="shared" si="22"/>
        <v>3.457713320742517E-4</v>
      </c>
      <c r="AH40" s="218">
        <f t="shared" si="53"/>
        <v>0.26226219565066144</v>
      </c>
      <c r="AI40" s="53">
        <f t="shared" si="23"/>
        <v>1.1949205869940416E-2</v>
      </c>
      <c r="AJ40" s="218">
        <f t="shared" si="54"/>
        <v>0.54113018037156824</v>
      </c>
      <c r="AK40" s="218">
        <f t="shared" si="54"/>
        <v>0.92772411744366234</v>
      </c>
      <c r="AL40" s="53">
        <f t="shared" si="24"/>
        <v>7.8197184118899976E-4</v>
      </c>
      <c r="AM40" s="218">
        <f t="shared" si="55"/>
        <v>0.72195080782944032</v>
      </c>
      <c r="AN40" s="53">
        <f t="shared" si="25"/>
        <v>5.1875655132196385E-3</v>
      </c>
      <c r="AO40" s="218">
        <f t="shared" si="56"/>
        <v>0.76013093761439721</v>
      </c>
      <c r="AP40" s="53">
        <f t="shared" si="43"/>
        <v>2.2478428216206048E-3</v>
      </c>
      <c r="AQ40" s="218">
        <f t="shared" si="57"/>
        <v>1.7151409011237468</v>
      </c>
      <c r="AR40" s="53">
        <f t="shared" si="44"/>
        <v>1.1396750441150516E-3</v>
      </c>
      <c r="AS40" s="218">
        <f t="shared" si="58"/>
        <v>0.87496923795805226</v>
      </c>
      <c r="AT40" s="53">
        <f t="shared" si="27"/>
        <v>1.4678436864858924E-3</v>
      </c>
      <c r="AU40" s="218">
        <f t="shared" si="59"/>
        <v>1.1935984824556429</v>
      </c>
      <c r="AV40" s="53">
        <f t="shared" si="38"/>
        <v>-1.1792268231292091E-4</v>
      </c>
      <c r="AW40" s="218">
        <f t="shared" si="60"/>
        <v>0.45455485859509293</v>
      </c>
      <c r="AX40" s="53">
        <f t="shared" si="28"/>
        <v>-4.1366845467261104E-4</v>
      </c>
      <c r="AY40" s="218">
        <f t="shared" si="61"/>
        <v>4.3913539848983651</v>
      </c>
      <c r="AZ40" s="53">
        <f t="shared" si="39"/>
        <v>4.8981660183939901E-3</v>
      </c>
      <c r="BA40" s="218">
        <f t="shared" si="61"/>
        <v>0.36895584788074992</v>
      </c>
      <c r="BB40" s="53">
        <f t="shared" si="29"/>
        <v>-6.1328174227031074E-3</v>
      </c>
      <c r="BC40" s="219">
        <f t="shared" si="62"/>
        <v>1</v>
      </c>
      <c r="BD40" s="219">
        <f t="shared" si="62"/>
        <v>1</v>
      </c>
      <c r="BE40" s="105">
        <f t="shared" si="45"/>
        <v>0.19359848245564293</v>
      </c>
      <c r="BO40" s="26"/>
      <c r="BP40" s="29"/>
      <c r="BQ40" s="29"/>
      <c r="BR40" s="29"/>
      <c r="BS40" s="29"/>
      <c r="BT40" s="29"/>
      <c r="BU40" s="29"/>
      <c r="BV40" s="29"/>
      <c r="BW40" s="29"/>
      <c r="BX40" s="29"/>
      <c r="BZ40" s="26"/>
      <c r="CA40" s="29"/>
      <c r="CB40" s="29"/>
      <c r="CC40" s="29"/>
      <c r="CD40" s="29"/>
      <c r="CE40" s="29"/>
      <c r="CF40" s="29"/>
      <c r="CG40" s="29"/>
      <c r="CH40" s="29"/>
      <c r="CI40" s="29"/>
    </row>
    <row r="41" spans="1:87" x14ac:dyDescent="0.2">
      <c r="A41" s="26">
        <f t="shared" si="33"/>
        <v>2042</v>
      </c>
      <c r="B41" s="221">
        <f t="shared" si="40"/>
        <v>8.1292470516109603</v>
      </c>
      <c r="C41" s="221">
        <f t="shared" si="40"/>
        <v>3.3900299999999994</v>
      </c>
      <c r="D41" s="100">
        <f t="shared" si="0"/>
        <v>229.57335360020343</v>
      </c>
      <c r="E41" s="221">
        <f t="shared" si="36"/>
        <v>14.297708169774198</v>
      </c>
      <c r="F41" s="221">
        <f t="shared" si="36"/>
        <v>14.754778999999992</v>
      </c>
      <c r="G41" s="221">
        <f t="shared" si="36"/>
        <v>14.9027742629115</v>
      </c>
      <c r="H41" s="221">
        <f t="shared" si="36"/>
        <v>11.639754356890823</v>
      </c>
      <c r="I41" s="221">
        <f t="shared" si="36"/>
        <v>1.0052244425854631</v>
      </c>
      <c r="J41" s="221">
        <f t="shared" si="36"/>
        <v>531.75756526825205</v>
      </c>
      <c r="K41" s="221">
        <f t="shared" si="36"/>
        <v>405.72238832729141</v>
      </c>
      <c r="L41" s="100">
        <f t="shared" si="3"/>
        <v>327.51107329563337</v>
      </c>
      <c r="M41" s="100">
        <f t="shared" si="4"/>
        <v>315.37272000194326</v>
      </c>
      <c r="N41" s="100">
        <f t="shared" si="5"/>
        <v>56.821942651416499</v>
      </c>
      <c r="O41" s="100">
        <f t="shared" si="6"/>
        <v>638.30270013812606</v>
      </c>
      <c r="P41" s="100">
        <f t="shared" si="7"/>
        <v>191.52419450358303</v>
      </c>
      <c r="Q41" s="100">
        <f t="shared" si="8"/>
        <v>524.02551398797334</v>
      </c>
      <c r="R41" s="101">
        <f t="shared" si="37"/>
        <v>978.40197991997638</v>
      </c>
      <c r="S41" s="101">
        <f t="shared" si="37"/>
        <v>7640.8854933793009</v>
      </c>
      <c r="T41" s="72"/>
      <c r="U41" s="23">
        <v>2040</v>
      </c>
      <c r="V41" s="218">
        <f t="shared" si="46"/>
        <v>0.29795004967510524</v>
      </c>
      <c r="W41" s="53">
        <f t="shared" si="47"/>
        <v>-2.5662457502444447E-3</v>
      </c>
      <c r="X41" s="218">
        <f t="shared" si="48"/>
        <v>0.26539602061839379</v>
      </c>
      <c r="Y41" s="53">
        <f t="shared" si="49"/>
        <v>1.1949205869940416E-2</v>
      </c>
      <c r="Z41" s="218">
        <f t="shared" si="50"/>
        <v>4.1146190555548967E-2</v>
      </c>
      <c r="AA41" s="53">
        <f t="shared" si="49"/>
        <v>9.0552194087880622E-3</v>
      </c>
      <c r="AB41" s="218">
        <f t="shared" si="50"/>
        <v>0.1092501755843947</v>
      </c>
      <c r="AC41" s="53">
        <f t="shared" si="34"/>
        <v>-9.9520585386011495E-3</v>
      </c>
      <c r="AD41" s="218">
        <f t="shared" si="51"/>
        <v>0.26961597838108747</v>
      </c>
      <c r="AE41" s="53">
        <f t="shared" si="34"/>
        <v>-1.218619333844928E-2</v>
      </c>
      <c r="AF41" s="218">
        <f t="shared" si="52"/>
        <v>0.61642094308248774</v>
      </c>
      <c r="AG41" s="53">
        <f t="shared" si="22"/>
        <v>3.457713320742517E-4</v>
      </c>
      <c r="AH41" s="218">
        <f t="shared" si="53"/>
        <v>0.26539602061839379</v>
      </c>
      <c r="AI41" s="53">
        <f t="shared" si="23"/>
        <v>1.1949205869940416E-2</v>
      </c>
      <c r="AJ41" s="218">
        <f t="shared" si="54"/>
        <v>1.0431496993789111</v>
      </c>
      <c r="AK41" s="218">
        <f t="shared" si="54"/>
        <v>0.92844957157989516</v>
      </c>
      <c r="AL41" s="53">
        <f t="shared" si="24"/>
        <v>7.8197184118899976E-4</v>
      </c>
      <c r="AM41" s="218">
        <f t="shared" si="55"/>
        <v>0.72569597494237736</v>
      </c>
      <c r="AN41" s="53">
        <f t="shared" si="25"/>
        <v>5.1875655132196385E-3</v>
      </c>
      <c r="AO41" s="218">
        <f t="shared" si="56"/>
        <v>0.76183959248600552</v>
      </c>
      <c r="AP41" s="53">
        <f t="shared" si="43"/>
        <v>2.2478428216206048E-3</v>
      </c>
      <c r="AQ41" s="218">
        <f t="shared" si="57"/>
        <v>1.7170956044058985</v>
      </c>
      <c r="AR41" s="53">
        <f t="shared" si="44"/>
        <v>1.1396750441150516E-3</v>
      </c>
      <c r="AS41" s="218">
        <f t="shared" si="58"/>
        <v>0.87625355602985833</v>
      </c>
      <c r="AT41" s="53">
        <f t="shared" si="27"/>
        <v>1.4678436864858924E-3</v>
      </c>
      <c r="AU41" s="218">
        <f t="shared" si="59"/>
        <v>1.1934577301209872</v>
      </c>
      <c r="AV41" s="53">
        <f t="shared" si="38"/>
        <v>-1.1792268231280989E-4</v>
      </c>
      <c r="AW41" s="218">
        <f t="shared" si="60"/>
        <v>0.45436682358917396</v>
      </c>
      <c r="AX41" s="53">
        <f t="shared" si="28"/>
        <v>-4.1366845467261104E-4</v>
      </c>
      <c r="AY41" s="218">
        <f t="shared" si="61"/>
        <v>4.4128635657619331</v>
      </c>
      <c r="AZ41" s="53">
        <f t="shared" si="39"/>
        <v>4.8981660183939901E-3</v>
      </c>
      <c r="BA41" s="218">
        <f t="shared" si="61"/>
        <v>0.36669310902865865</v>
      </c>
      <c r="BB41" s="53">
        <f t="shared" si="29"/>
        <v>-6.1328174227031074E-3</v>
      </c>
      <c r="BC41" s="219">
        <f t="shared" si="62"/>
        <v>1</v>
      </c>
      <c r="BD41" s="219">
        <f t="shared" si="62"/>
        <v>1</v>
      </c>
      <c r="BE41" s="105">
        <f t="shared" si="45"/>
        <v>0.19345773012098721</v>
      </c>
      <c r="BO41" s="26"/>
      <c r="BP41" s="29"/>
      <c r="BQ41" s="29"/>
      <c r="BR41" s="29"/>
      <c r="BS41" s="29"/>
      <c r="BT41" s="29"/>
      <c r="BU41" s="29"/>
      <c r="BV41" s="29"/>
      <c r="BW41" s="29"/>
      <c r="BX41" s="29"/>
      <c r="BZ41" s="26"/>
      <c r="CA41" s="29"/>
      <c r="CB41" s="29"/>
      <c r="CC41" s="29"/>
      <c r="CD41" s="29"/>
      <c r="CE41" s="29"/>
      <c r="CF41" s="29"/>
      <c r="CG41" s="29"/>
      <c r="CH41" s="29"/>
      <c r="CI41" s="29"/>
    </row>
    <row r="42" spans="1:87" x14ac:dyDescent="0.2">
      <c r="A42" s="26">
        <f t="shared" si="33"/>
        <v>2043</v>
      </c>
      <c r="B42" s="221">
        <f t="shared" si="40"/>
        <v>8.1324017543064606</v>
      </c>
      <c r="C42" s="221">
        <f t="shared" si="40"/>
        <v>3.3930349999999994</v>
      </c>
      <c r="D42" s="100">
        <f t="shared" si="0"/>
        <v>222.43307783437066</v>
      </c>
      <c r="E42" s="221">
        <f t="shared" si="36"/>
        <v>14.306968975112532</v>
      </c>
      <c r="F42" s="221">
        <f t="shared" si="36"/>
        <v>14.778351999999991</v>
      </c>
      <c r="G42" s="221">
        <f t="shared" si="36"/>
        <v>14.911862219912022</v>
      </c>
      <c r="H42" s="221">
        <f t="shared" si="36"/>
        <v>11.651816290731036</v>
      </c>
      <c r="I42" s="221">
        <f t="shared" si="36"/>
        <v>1.0059353676567757</v>
      </c>
      <c r="J42" s="221">
        <f t="shared" si="36"/>
        <v>531.11460982966469</v>
      </c>
      <c r="K42" s="221">
        <f t="shared" si="36"/>
        <v>403.59522220479965</v>
      </c>
      <c r="L42" s="100">
        <f t="shared" si="3"/>
        <v>327.32526565350975</v>
      </c>
      <c r="M42" s="100">
        <f t="shared" si="4"/>
        <v>315.37270319684097</v>
      </c>
      <c r="N42" s="100">
        <f t="shared" si="5"/>
        <v>56.809277578369361</v>
      </c>
      <c r="O42" s="100">
        <f t="shared" si="6"/>
        <v>638.6792663260245</v>
      </c>
      <c r="P42" s="100">
        <f t="shared" si="7"/>
        <v>191.909026387175</v>
      </c>
      <c r="Q42" s="100">
        <f t="shared" si="8"/>
        <v>523.83827707795945</v>
      </c>
      <c r="R42" s="101">
        <f t="shared" si="37"/>
        <v>974.97567427809224</v>
      </c>
      <c r="S42" s="101">
        <f t="shared" si="37"/>
        <v>7732.9462258627145</v>
      </c>
      <c r="T42" s="72"/>
      <c r="U42" s="23">
        <v>2041</v>
      </c>
      <c r="V42" s="218">
        <f t="shared" si="46"/>
        <v>0.29718543662634139</v>
      </c>
      <c r="W42" s="53">
        <f t="shared" si="47"/>
        <v>-2.5662457502444447E-3</v>
      </c>
      <c r="X42" s="218">
        <f t="shared" si="48"/>
        <v>0.26856729230582593</v>
      </c>
      <c r="Y42" s="53">
        <f t="shared" si="49"/>
        <v>1.1949205869940416E-2</v>
      </c>
      <c r="Z42" s="218">
        <f t="shared" si="50"/>
        <v>4.1518778338865268E-2</v>
      </c>
      <c r="AA42" s="53">
        <f t="shared" si="49"/>
        <v>9.0552194087880622E-3</v>
      </c>
      <c r="AB42" s="218">
        <f t="shared" si="50"/>
        <v>0.10816291144162636</v>
      </c>
      <c r="AC42" s="53">
        <f t="shared" si="34"/>
        <v>-9.9520585386010385E-3</v>
      </c>
      <c r="AD42" s="218">
        <f t="shared" si="51"/>
        <v>0.2663303859414004</v>
      </c>
      <c r="AE42" s="53">
        <f t="shared" si="34"/>
        <v>-1.2186193338449169E-2</v>
      </c>
      <c r="AF42" s="218">
        <f t="shared" si="52"/>
        <v>0.61663408377309581</v>
      </c>
      <c r="AG42" s="53">
        <f t="shared" si="22"/>
        <v>3.457713320742517E-4</v>
      </c>
      <c r="AH42" s="218">
        <f t="shared" si="53"/>
        <v>0.26856729230582593</v>
      </c>
      <c r="AI42" s="53">
        <f t="shared" si="23"/>
        <v>1.1949205869940416E-2</v>
      </c>
      <c r="AJ42" s="218">
        <f t="shared" si="54"/>
        <v>2.0116615908609576</v>
      </c>
      <c r="AK42" s="218">
        <f t="shared" si="54"/>
        <v>0.92917559300083463</v>
      </c>
      <c r="AL42" s="53">
        <f t="shared" si="24"/>
        <v>7.8197184118899976E-4</v>
      </c>
      <c r="AM42" s="218">
        <f t="shared" si="55"/>
        <v>0.72946057035507073</v>
      </c>
      <c r="AN42" s="53">
        <f t="shared" si="25"/>
        <v>5.1875655132196385E-3</v>
      </c>
      <c r="AO42" s="218">
        <f t="shared" si="56"/>
        <v>0.76355208814520159</v>
      </c>
      <c r="AP42" s="53">
        <f t="shared" si="43"/>
        <v>2.2478428216206048E-3</v>
      </c>
      <c r="AQ42" s="218">
        <f t="shared" si="57"/>
        <v>1.7190525354145996</v>
      </c>
      <c r="AR42" s="53">
        <f t="shared" si="44"/>
        <v>1.1396750441150516E-3</v>
      </c>
      <c r="AS42" s="218">
        <f t="shared" si="58"/>
        <v>0.87753975927983752</v>
      </c>
      <c r="AT42" s="53">
        <f t="shared" si="27"/>
        <v>1.4678436864858924E-3</v>
      </c>
      <c r="AU42" s="218">
        <f t="shared" si="59"/>
        <v>1.1933169943842243</v>
      </c>
      <c r="AV42" s="53">
        <f t="shared" si="38"/>
        <v>-1.1792268231280989E-4</v>
      </c>
      <c r="AW42" s="218">
        <f t="shared" si="60"/>
        <v>0.45417886636740534</v>
      </c>
      <c r="AX42" s="53">
        <f t="shared" si="28"/>
        <v>-4.1366845467261104E-4</v>
      </c>
      <c r="AY42" s="218">
        <f t="shared" si="61"/>
        <v>4.4344785041235575</v>
      </c>
      <c r="AZ42" s="53">
        <f t="shared" si="39"/>
        <v>4.8981660183939901E-3</v>
      </c>
      <c r="BA42" s="218">
        <f t="shared" si="61"/>
        <v>0.36444424714082252</v>
      </c>
      <c r="BB42" s="53">
        <f t="shared" si="29"/>
        <v>-6.1328174227031074E-3</v>
      </c>
      <c r="BC42" s="219">
        <f t="shared" si="62"/>
        <v>1</v>
      </c>
      <c r="BD42" s="219">
        <f t="shared" si="62"/>
        <v>1</v>
      </c>
      <c r="BE42" s="105">
        <f t="shared" si="45"/>
        <v>0.19331699438422434</v>
      </c>
      <c r="BO42" s="26">
        <v>2023</v>
      </c>
      <c r="BP42" s="29">
        <f t="shared" ref="BP42:BX44" si="63">BP105/BP$81</f>
        <v>1.1741176470588235</v>
      </c>
      <c r="BQ42" s="29">
        <f t="shared" si="63"/>
        <v>1.0565400843881856</v>
      </c>
      <c r="BR42" s="29">
        <f t="shared" si="63"/>
        <v>1.0739348370927317</v>
      </c>
      <c r="BS42" s="29">
        <f t="shared" si="63"/>
        <v>0.99119241192411933</v>
      </c>
      <c r="BT42" s="29">
        <f t="shared" si="63"/>
        <v>1.1194029850746268</v>
      </c>
      <c r="BU42" s="29">
        <f t="shared" si="63"/>
        <v>0.99361249112845995</v>
      </c>
      <c r="BV42" s="29">
        <f t="shared" si="63"/>
        <v>0.92073490813648284</v>
      </c>
      <c r="BW42" s="29">
        <f t="shared" si="63"/>
        <v>1.0279635258358664</v>
      </c>
      <c r="BX42" s="29">
        <f t="shared" si="63"/>
        <v>0.9527198779867817</v>
      </c>
      <c r="BZ42" s="26">
        <v>2023</v>
      </c>
      <c r="CA42" s="29">
        <f t="shared" ref="CA42:CI44" si="64">CA105/CA$81</f>
        <v>0.89446721311475419</v>
      </c>
      <c r="CB42" s="29">
        <f t="shared" si="64"/>
        <v>0.86283704572098485</v>
      </c>
      <c r="CC42" s="29">
        <f t="shared" si="64"/>
        <v>0.81756756756756754</v>
      </c>
      <c r="CD42" s="29">
        <f t="shared" si="64"/>
        <v>0.83243967828418231</v>
      </c>
      <c r="CE42" s="29">
        <f t="shared" si="64"/>
        <v>0.83536585365853666</v>
      </c>
      <c r="CF42" s="29">
        <f t="shared" si="64"/>
        <v>0.82723112128146459</v>
      </c>
      <c r="CG42" s="29">
        <f t="shared" si="64"/>
        <v>0.80278128950695316</v>
      </c>
      <c r="CH42" s="29">
        <f t="shared" si="64"/>
        <v>0.91994177583697234</v>
      </c>
      <c r="CI42" s="29">
        <f t="shared" si="64"/>
        <v>0.91486486486486474</v>
      </c>
    </row>
    <row r="43" spans="1:87" x14ac:dyDescent="0.2">
      <c r="S43" s="333"/>
      <c r="T43" s="72"/>
      <c r="U43" s="23">
        <v>2042</v>
      </c>
      <c r="V43" s="218">
        <f t="shared" si="46"/>
        <v>0.29642278576256448</v>
      </c>
      <c r="W43" s="53">
        <f t="shared" si="47"/>
        <v>-2.5662457502445557E-3</v>
      </c>
      <c r="X43" s="218">
        <f t="shared" si="48"/>
        <v>0.27177645817152069</v>
      </c>
      <c r="Y43" s="53">
        <f t="shared" si="49"/>
        <v>1.1949205869940416E-2</v>
      </c>
      <c r="Z43" s="218">
        <f t="shared" si="50"/>
        <v>4.1894739986308528E-2</v>
      </c>
      <c r="AA43" s="53">
        <f t="shared" si="49"/>
        <v>9.0552194087880622E-3</v>
      </c>
      <c r="AB43" s="218">
        <f t="shared" si="50"/>
        <v>0.10708646781525377</v>
      </c>
      <c r="AC43" s="53">
        <f t="shared" si="34"/>
        <v>-9.9520585386010385E-3</v>
      </c>
      <c r="AD43" s="218">
        <f t="shared" si="51"/>
        <v>0.26308483236641472</v>
      </c>
      <c r="AE43" s="53">
        <f t="shared" si="34"/>
        <v>-1.2186193338449169E-2</v>
      </c>
      <c r="AF43" s="218">
        <f t="shared" si="52"/>
        <v>0.61684729816164441</v>
      </c>
      <c r="AG43" s="53">
        <f t="shared" si="22"/>
        <v>3.457713320742517E-4</v>
      </c>
      <c r="AH43" s="218">
        <f t="shared" si="53"/>
        <v>0.27177645817152069</v>
      </c>
      <c r="AI43" s="53">
        <f t="shared" si="23"/>
        <v>1.1949205869940416E-2</v>
      </c>
      <c r="AJ43" s="218">
        <f t="shared" si="54"/>
        <v>3.8808484424661902</v>
      </c>
      <c r="AK43" s="218">
        <f t="shared" si="54"/>
        <v>0.92990218215008136</v>
      </c>
      <c r="AL43" s="53">
        <f t="shared" si="24"/>
        <v>7.8197184118899976E-4</v>
      </c>
      <c r="AM43" s="218">
        <f t="shared" si="55"/>
        <v>0.73324469485309818</v>
      </c>
      <c r="AN43" s="53">
        <f t="shared" si="25"/>
        <v>5.1875655132196385E-3</v>
      </c>
      <c r="AO43" s="218">
        <f t="shared" si="56"/>
        <v>0.76526843322547222</v>
      </c>
      <c r="AP43" s="53">
        <f t="shared" si="43"/>
        <v>2.2478428216206048E-3</v>
      </c>
      <c r="AQ43" s="218">
        <f t="shared" si="57"/>
        <v>1.7210116966887343</v>
      </c>
      <c r="AR43" s="53">
        <f t="shared" si="44"/>
        <v>1.1396750441150516E-3</v>
      </c>
      <c r="AS43" s="218">
        <f t="shared" si="58"/>
        <v>0.87882785047513678</v>
      </c>
      <c r="AT43" s="53">
        <f t="shared" si="27"/>
        <v>1.4678436864858924E-3</v>
      </c>
      <c r="AU43" s="218">
        <f t="shared" si="59"/>
        <v>1.1931762752433972</v>
      </c>
      <c r="AV43" s="53">
        <f t="shared" si="38"/>
        <v>-1.1792268231269887E-4</v>
      </c>
      <c r="AW43" s="218">
        <f t="shared" si="60"/>
        <v>0.45399098689761019</v>
      </c>
      <c r="AX43" s="53">
        <f t="shared" si="28"/>
        <v>-4.1366845467261104E-4</v>
      </c>
      <c r="AY43" s="218">
        <f t="shared" si="61"/>
        <v>4.4561993160417543</v>
      </c>
      <c r="AZ43" s="53">
        <f t="shared" si="39"/>
        <v>4.8981660183939901E-3</v>
      </c>
      <c r="BA43" s="218">
        <f t="shared" si="61"/>
        <v>0.36220917711235334</v>
      </c>
      <c r="BB43" s="53">
        <f t="shared" si="29"/>
        <v>-6.1328174227032184E-3</v>
      </c>
      <c r="BC43" s="219">
        <f t="shared" si="62"/>
        <v>1</v>
      </c>
      <c r="BD43" s="219">
        <f t="shared" si="62"/>
        <v>1</v>
      </c>
      <c r="BE43" s="105">
        <f t="shared" si="45"/>
        <v>0.1931762752433972</v>
      </c>
      <c r="BO43" s="26">
        <v>2024</v>
      </c>
      <c r="BP43" s="29">
        <f t="shared" si="63"/>
        <v>1.1592156862745098</v>
      </c>
      <c r="BQ43" s="29">
        <f t="shared" si="63"/>
        <v>1.0510548523206751</v>
      </c>
      <c r="BR43" s="29">
        <f t="shared" si="63"/>
        <v>1.0689223057644108</v>
      </c>
      <c r="BS43" s="29">
        <f t="shared" si="63"/>
        <v>0.98644986449864502</v>
      </c>
      <c r="BT43" s="29">
        <f t="shared" si="63"/>
        <v>1.1170149253731343</v>
      </c>
      <c r="BU43" s="29">
        <f t="shared" si="63"/>
        <v>0.98367636621717525</v>
      </c>
      <c r="BV43" s="29">
        <f t="shared" si="63"/>
        <v>0.92965879265091866</v>
      </c>
      <c r="BW43" s="29">
        <f t="shared" si="63"/>
        <v>1.0358662613981764</v>
      </c>
      <c r="BX43" s="29">
        <f t="shared" si="63"/>
        <v>0.9527198779867817</v>
      </c>
      <c r="BZ43" s="26">
        <v>2024</v>
      </c>
      <c r="CA43" s="29">
        <f t="shared" si="64"/>
        <v>0.90573770491803274</v>
      </c>
      <c r="CB43" s="29">
        <f t="shared" si="64"/>
        <v>0.87221570926143033</v>
      </c>
      <c r="CC43" s="29">
        <f t="shared" si="64"/>
        <v>0.83378378378378371</v>
      </c>
      <c r="CD43" s="29">
        <f t="shared" si="64"/>
        <v>0.84584450402144762</v>
      </c>
      <c r="CE43" s="29">
        <f t="shared" si="64"/>
        <v>0.84857723577235766</v>
      </c>
      <c r="CF43" s="29">
        <f t="shared" si="64"/>
        <v>0.84324942791762014</v>
      </c>
      <c r="CG43" s="29">
        <f t="shared" si="64"/>
        <v>0.81668773704171937</v>
      </c>
      <c r="CH43" s="29">
        <f t="shared" si="64"/>
        <v>0.93595342066957787</v>
      </c>
      <c r="CI43" s="29">
        <f t="shared" si="64"/>
        <v>0.92837837837837833</v>
      </c>
    </row>
    <row r="44" spans="1:87" x14ac:dyDescent="0.2">
      <c r="S44" s="333"/>
      <c r="T44" s="30"/>
      <c r="U44" s="23">
        <v>2043</v>
      </c>
      <c r="V44" s="218">
        <f t="shared" si="46"/>
        <v>0.29566209204832566</v>
      </c>
      <c r="W44" s="53">
        <f t="shared" si="47"/>
        <v>-2.5662457502444447E-3</v>
      </c>
      <c r="X44" s="218">
        <f t="shared" si="48"/>
        <v>0.27502397102081544</v>
      </c>
      <c r="Y44" s="53">
        <f t="shared" si="49"/>
        <v>1.1949205869940416E-2</v>
      </c>
      <c r="Z44" s="218">
        <f t="shared" si="50"/>
        <v>4.2274106048958676E-2</v>
      </c>
      <c r="AA44" s="53">
        <f t="shared" si="49"/>
        <v>9.0552194087880622E-3</v>
      </c>
      <c r="AB44" s="218">
        <f t="shared" si="50"/>
        <v>0.10602073701886434</v>
      </c>
      <c r="AC44" s="53">
        <f t="shared" si="34"/>
        <v>-9.9520585386010385E-3</v>
      </c>
      <c r="AD44" s="218">
        <f t="shared" si="51"/>
        <v>0.2598788297347841</v>
      </c>
      <c r="AE44" s="53">
        <f t="shared" si="34"/>
        <v>-1.2186193338449169E-2</v>
      </c>
      <c r="AF44" s="218">
        <f t="shared" si="52"/>
        <v>0.61706058627361615</v>
      </c>
      <c r="AG44" s="53">
        <f t="shared" si="22"/>
        <v>3.457713320742517E-4</v>
      </c>
      <c r="AH44" s="218">
        <f t="shared" si="53"/>
        <v>0.27502397102081544</v>
      </c>
      <c r="AI44" s="53">
        <f t="shared" si="23"/>
        <v>1.1949205869940416E-2</v>
      </c>
      <c r="AJ44" s="218">
        <f t="shared" si="54"/>
        <v>7.4896578777092451</v>
      </c>
      <c r="AK44" s="218">
        <f t="shared" si="54"/>
        <v>0.93062933947158288</v>
      </c>
      <c r="AL44" s="53">
        <f t="shared" si="24"/>
        <v>7.8197184118899976E-4</v>
      </c>
      <c r="AM44" s="218">
        <f t="shared" si="55"/>
        <v>0.73704844974486938</v>
      </c>
      <c r="AN44" s="53">
        <f t="shared" si="25"/>
        <v>5.1875655132196385E-3</v>
      </c>
      <c r="AO44" s="218">
        <f t="shared" si="56"/>
        <v>0.76698863637971093</v>
      </c>
      <c r="AP44" s="53">
        <f t="shared" si="43"/>
        <v>2.2478428216206048E-3</v>
      </c>
      <c r="AQ44" s="218">
        <f t="shared" si="57"/>
        <v>1.7229730907700807</v>
      </c>
      <c r="AR44" s="53">
        <f t="shared" si="44"/>
        <v>1.1396750441150516E-3</v>
      </c>
      <c r="AS44" s="218">
        <f t="shared" si="58"/>
        <v>0.88011783238696473</v>
      </c>
      <c r="AT44" s="53">
        <f t="shared" si="27"/>
        <v>1.4678436864858924E-3</v>
      </c>
      <c r="AU44" s="218">
        <f t="shared" si="59"/>
        <v>1.1930355726965487</v>
      </c>
      <c r="AV44" s="53">
        <f t="shared" si="38"/>
        <v>-1.1792268231258785E-4</v>
      </c>
      <c r="AW44" s="218">
        <f t="shared" si="60"/>
        <v>0.45380318514762497</v>
      </c>
      <c r="AX44" s="53">
        <f t="shared" si="28"/>
        <v>-4.1366845467261104E-4</v>
      </c>
      <c r="AY44" s="218">
        <f t="shared" si="61"/>
        <v>4.4780265201027802</v>
      </c>
      <c r="AZ44" s="53">
        <f t="shared" si="39"/>
        <v>4.8981660183939901E-3</v>
      </c>
      <c r="BA44" s="218">
        <f t="shared" si="61"/>
        <v>0.3599878143602957</v>
      </c>
      <c r="BB44" s="53">
        <f t="shared" si="29"/>
        <v>-6.1328174227032184E-3</v>
      </c>
      <c r="BC44" s="219">
        <f t="shared" si="62"/>
        <v>1</v>
      </c>
      <c r="BD44" s="219">
        <f t="shared" si="62"/>
        <v>1</v>
      </c>
      <c r="BE44" s="105">
        <f t="shared" si="45"/>
        <v>0.1930355726965487</v>
      </c>
      <c r="BO44" s="26">
        <v>2025</v>
      </c>
      <c r="BP44" s="29">
        <f t="shared" si="63"/>
        <v>1.1439215686274511</v>
      </c>
      <c r="BQ44" s="29">
        <f t="shared" si="63"/>
        <v>1.0464135021097047</v>
      </c>
      <c r="BR44" s="29">
        <f t="shared" si="63"/>
        <v>1.0670426065162908</v>
      </c>
      <c r="BS44" s="29">
        <f t="shared" si="63"/>
        <v>0.98170731707317072</v>
      </c>
      <c r="BT44" s="29">
        <f t="shared" si="63"/>
        <v>1.1200000000000001</v>
      </c>
      <c r="BU44" s="29">
        <f t="shared" si="63"/>
        <v>0.98225691980127749</v>
      </c>
      <c r="BV44" s="29">
        <f t="shared" si="63"/>
        <v>0.93910761154855638</v>
      </c>
      <c r="BW44" s="29">
        <f t="shared" si="63"/>
        <v>1.0486322188449848</v>
      </c>
      <c r="BX44" s="29">
        <f t="shared" si="63"/>
        <v>0.9537366548042705</v>
      </c>
      <c r="BZ44" s="26">
        <v>2025</v>
      </c>
      <c r="CA44" s="29">
        <f t="shared" si="64"/>
        <v>0.91905737704918045</v>
      </c>
      <c r="CB44" s="29">
        <f t="shared" si="64"/>
        <v>0.88511137162954279</v>
      </c>
      <c r="CC44" s="29">
        <f t="shared" si="64"/>
        <v>0.84864864864864864</v>
      </c>
      <c r="CD44" s="29">
        <f t="shared" si="64"/>
        <v>0.85924932975871315</v>
      </c>
      <c r="CE44" s="29">
        <f t="shared" si="64"/>
        <v>0.86178861788617889</v>
      </c>
      <c r="CF44" s="29">
        <f t="shared" si="64"/>
        <v>0.85812356979405036</v>
      </c>
      <c r="CG44" s="29">
        <f t="shared" si="64"/>
        <v>0.82932996207332488</v>
      </c>
      <c r="CH44" s="29">
        <f t="shared" si="64"/>
        <v>0.95050946142649206</v>
      </c>
      <c r="CI44" s="29">
        <f t="shared" si="64"/>
        <v>0.94189189189189182</v>
      </c>
    </row>
    <row r="45" spans="1:87" x14ac:dyDescent="0.2">
      <c r="S45" s="333"/>
      <c r="T45" s="30"/>
      <c r="BO45" s="26"/>
      <c r="BP45" s="29"/>
      <c r="BQ45" s="29"/>
      <c r="BR45" s="29"/>
      <c r="BS45" s="29"/>
      <c r="BT45" s="29"/>
      <c r="BU45" s="29"/>
      <c r="BV45" s="29"/>
      <c r="BW45" s="29"/>
      <c r="BX45" s="29"/>
      <c r="BZ45" s="26"/>
      <c r="CA45" s="29"/>
      <c r="CB45" s="29"/>
      <c r="CC45" s="29"/>
      <c r="CD45" s="29"/>
      <c r="CE45" s="29"/>
      <c r="CF45" s="29"/>
      <c r="CG45" s="29"/>
      <c r="CH45" s="29"/>
      <c r="CI45" s="29"/>
    </row>
    <row r="46" spans="1:87" x14ac:dyDescent="0.2">
      <c r="S46" s="333"/>
      <c r="T46" s="30"/>
      <c r="BO46" s="26"/>
      <c r="BP46" s="29"/>
      <c r="BQ46" s="29"/>
      <c r="BR46" s="29"/>
      <c r="BS46" s="29"/>
      <c r="BT46" s="29"/>
      <c r="BU46" s="29"/>
      <c r="BV46" s="29"/>
      <c r="BW46" s="29"/>
      <c r="BX46" s="29"/>
      <c r="BZ46" s="26"/>
      <c r="CA46" s="29"/>
      <c r="CB46" s="29"/>
      <c r="CC46" s="29"/>
      <c r="CD46" s="29"/>
      <c r="CE46" s="29"/>
      <c r="CF46" s="29"/>
      <c r="CG46" s="29"/>
      <c r="CH46" s="29"/>
      <c r="CI46" s="29"/>
    </row>
    <row r="47" spans="1:87" x14ac:dyDescent="0.2">
      <c r="S47" s="333"/>
      <c r="T47" s="30"/>
      <c r="U47" s="8"/>
      <c r="V47" s="76" t="s">
        <v>78</v>
      </c>
      <c r="W47" s="76"/>
      <c r="X47" s="8"/>
      <c r="Y47" s="76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O47" s="26">
        <v>2026</v>
      </c>
      <c r="BP47" s="29">
        <f t="shared" ref="BP47:BX56" si="65">BP108/BP$81</f>
        <v>1.1199999999999999</v>
      </c>
      <c r="BQ47" s="29">
        <f t="shared" si="65"/>
        <v>1.0400843881856541</v>
      </c>
      <c r="BR47" s="29">
        <f t="shared" si="65"/>
        <v>1.0651629072681703</v>
      </c>
      <c r="BS47" s="29">
        <f t="shared" si="65"/>
        <v>0.98306233062330628</v>
      </c>
      <c r="BT47" s="29">
        <f t="shared" si="65"/>
        <v>1.1241791044776119</v>
      </c>
      <c r="BU47" s="29">
        <f t="shared" si="65"/>
        <v>0.98509581263307322</v>
      </c>
      <c r="BV47" s="29">
        <f t="shared" si="65"/>
        <v>0.94803149606299197</v>
      </c>
      <c r="BW47" s="29">
        <f t="shared" si="65"/>
        <v>1.0595744680851065</v>
      </c>
      <c r="BX47" s="29">
        <f t="shared" si="65"/>
        <v>0.94661921708185048</v>
      </c>
      <c r="BZ47" s="26">
        <v>2026</v>
      </c>
      <c r="CA47" s="29">
        <f t="shared" ref="CA47:CI56" si="66">CA108/CA$81</f>
        <v>0.92930327868852469</v>
      </c>
      <c r="CB47" s="29">
        <f t="shared" si="66"/>
        <v>0.89449003516998837</v>
      </c>
      <c r="CC47" s="29">
        <f t="shared" si="66"/>
        <v>0.86081081081081079</v>
      </c>
      <c r="CD47" s="29">
        <f t="shared" si="66"/>
        <v>0.87131367292225204</v>
      </c>
      <c r="CE47" s="29">
        <f t="shared" si="66"/>
        <v>0.87296747967479671</v>
      </c>
      <c r="CF47" s="29">
        <f t="shared" si="66"/>
        <v>0.86956521739130432</v>
      </c>
      <c r="CG47" s="29">
        <f t="shared" si="66"/>
        <v>0.83944374209860928</v>
      </c>
      <c r="CH47" s="29">
        <f t="shared" si="66"/>
        <v>0.96797671033478894</v>
      </c>
      <c r="CI47" s="29">
        <f t="shared" si="66"/>
        <v>0.95405405405405397</v>
      </c>
    </row>
    <row r="48" spans="1:87" x14ac:dyDescent="0.2">
      <c r="A48" s="74" t="s">
        <v>126</v>
      </c>
      <c r="B48" s="331" t="s">
        <v>127</v>
      </c>
      <c r="C48" s="331"/>
      <c r="D48" s="331"/>
      <c r="E48" s="331"/>
      <c r="F48" s="331"/>
      <c r="J48" s="30"/>
      <c r="K48" s="30"/>
      <c r="L48" s="30"/>
      <c r="S48" s="333"/>
      <c r="T48" s="30"/>
      <c r="U48" s="8"/>
      <c r="V48" s="8" t="s">
        <v>36</v>
      </c>
      <c r="W48" s="8"/>
      <c r="X48" s="8" t="s">
        <v>39</v>
      </c>
      <c r="Y48" s="8"/>
      <c r="Z48" s="66" t="s">
        <v>167</v>
      </c>
      <c r="AA48" s="66"/>
      <c r="AB48" s="66" t="s">
        <v>147</v>
      </c>
      <c r="AC48" s="66"/>
      <c r="AD48" s="8" t="s">
        <v>4</v>
      </c>
      <c r="AE48" s="66"/>
      <c r="AF48" s="8" t="s">
        <v>2</v>
      </c>
      <c r="AG48" s="66"/>
      <c r="AH48" s="8" t="s">
        <v>40</v>
      </c>
      <c r="AI48" s="66"/>
      <c r="AJ48" s="66" t="s">
        <v>168</v>
      </c>
      <c r="AK48" s="8" t="s">
        <v>41</v>
      </c>
      <c r="AL48" s="66"/>
      <c r="AM48" s="8" t="s">
        <v>42</v>
      </c>
      <c r="AN48" s="66"/>
      <c r="AO48" s="8" t="s">
        <v>5</v>
      </c>
      <c r="AP48" s="66"/>
      <c r="AQ48" s="8" t="s">
        <v>43</v>
      </c>
      <c r="AR48" s="66"/>
      <c r="AS48" s="8" t="s">
        <v>44</v>
      </c>
      <c r="AT48" s="66"/>
      <c r="AU48" s="8" t="s">
        <v>45</v>
      </c>
      <c r="AV48" s="8"/>
      <c r="AW48" s="8" t="s">
        <v>9</v>
      </c>
      <c r="AX48" s="66"/>
      <c r="AY48" s="66" t="s">
        <v>100</v>
      </c>
      <c r="AZ48" s="66"/>
      <c r="BA48" s="66" t="s">
        <v>174</v>
      </c>
      <c r="BB48" s="66"/>
      <c r="BC48" s="8" t="s">
        <v>46</v>
      </c>
      <c r="BD48" s="8" t="s">
        <v>14</v>
      </c>
      <c r="BE48" s="111"/>
      <c r="BO48" s="26">
        <v>2027</v>
      </c>
      <c r="BP48" s="29">
        <f t="shared" si="65"/>
        <v>1.0992156862745099</v>
      </c>
      <c r="BQ48" s="29">
        <f t="shared" si="65"/>
        <v>1.0350210970464135</v>
      </c>
      <c r="BR48" s="29">
        <f t="shared" si="65"/>
        <v>1.0639097744360901</v>
      </c>
      <c r="BS48" s="29">
        <f t="shared" si="65"/>
        <v>0.97831978319783197</v>
      </c>
      <c r="BT48" s="29">
        <f t="shared" si="65"/>
        <v>1.1259701492537313</v>
      </c>
      <c r="BU48" s="29">
        <f t="shared" si="65"/>
        <v>0.98509581263307322</v>
      </c>
      <c r="BV48" s="29">
        <f t="shared" si="65"/>
        <v>0.95800524934383202</v>
      </c>
      <c r="BW48" s="29">
        <f t="shared" si="65"/>
        <v>1.0711246200607905</v>
      </c>
      <c r="BX48" s="29">
        <f t="shared" si="65"/>
        <v>0.93085917641077764</v>
      </c>
      <c r="BZ48" s="26">
        <v>2027</v>
      </c>
      <c r="CA48" s="29">
        <f t="shared" si="66"/>
        <v>0.94057377049180324</v>
      </c>
      <c r="CB48" s="29">
        <f t="shared" si="66"/>
        <v>0.90504103165298944</v>
      </c>
      <c r="CC48" s="29">
        <f t="shared" si="66"/>
        <v>0.8716216216216216</v>
      </c>
      <c r="CD48" s="29">
        <f t="shared" si="66"/>
        <v>0.88203753351206438</v>
      </c>
      <c r="CE48" s="29">
        <f t="shared" si="66"/>
        <v>0.88516260162601634</v>
      </c>
      <c r="CF48" s="29">
        <f t="shared" si="66"/>
        <v>0.88215102974828374</v>
      </c>
      <c r="CG48" s="29">
        <f t="shared" si="66"/>
        <v>0.84829329962073319</v>
      </c>
      <c r="CH48" s="29">
        <f t="shared" si="66"/>
        <v>0.98398835516739447</v>
      </c>
      <c r="CI48" s="29">
        <f t="shared" si="66"/>
        <v>0.96486486486486478</v>
      </c>
    </row>
    <row r="49" spans="1:87" x14ac:dyDescent="0.2">
      <c r="A49" s="74"/>
      <c r="B49" s="334" t="s">
        <v>128</v>
      </c>
      <c r="C49" s="334"/>
      <c r="D49" s="334"/>
      <c r="E49" s="334"/>
      <c r="F49" s="334"/>
      <c r="J49" s="23"/>
      <c r="K49" s="30"/>
      <c r="L49" s="77"/>
      <c r="N49" s="23"/>
      <c r="P49" s="77"/>
      <c r="Q49" s="77"/>
      <c r="R49" s="77"/>
      <c r="S49" s="333"/>
      <c r="T49" s="20"/>
      <c r="U49" s="8" t="s">
        <v>15</v>
      </c>
      <c r="V49" s="78" t="s">
        <v>47</v>
      </c>
      <c r="W49" s="78"/>
      <c r="X49" s="78" t="s">
        <v>47</v>
      </c>
      <c r="Y49" s="78"/>
      <c r="Z49" s="78" t="s">
        <v>47</v>
      </c>
      <c r="AA49" s="78"/>
      <c r="AB49" s="78" t="s">
        <v>47</v>
      </c>
      <c r="AC49" s="78"/>
      <c r="AD49" s="78" t="s">
        <v>47</v>
      </c>
      <c r="AE49" s="78"/>
      <c r="AF49" s="78" t="s">
        <v>47</v>
      </c>
      <c r="AG49" s="78"/>
      <c r="AH49" s="78" t="s">
        <v>47</v>
      </c>
      <c r="AI49" s="78"/>
      <c r="AJ49" s="78" t="s">
        <v>47</v>
      </c>
      <c r="AK49" s="78" t="s">
        <v>47</v>
      </c>
      <c r="AL49" s="78"/>
      <c r="AM49" s="78" t="s">
        <v>47</v>
      </c>
      <c r="AN49" s="78"/>
      <c r="AO49" s="78" t="s">
        <v>47</v>
      </c>
      <c r="AP49" s="78"/>
      <c r="AQ49" s="78" t="s">
        <v>47</v>
      </c>
      <c r="AR49" s="78"/>
      <c r="AS49" s="78" t="s">
        <v>47</v>
      </c>
      <c r="AT49" s="78"/>
      <c r="AU49" s="78" t="s">
        <v>47</v>
      </c>
      <c r="AV49" s="78"/>
      <c r="AW49" s="78" t="s">
        <v>47</v>
      </c>
      <c r="AX49" s="78"/>
      <c r="AY49" s="78" t="s">
        <v>47</v>
      </c>
      <c r="AZ49" s="78"/>
      <c r="BA49" s="78" t="s">
        <v>47</v>
      </c>
      <c r="BB49" s="78"/>
      <c r="BC49" s="78" t="s">
        <v>47</v>
      </c>
      <c r="BD49" s="78" t="s">
        <v>47</v>
      </c>
      <c r="BE49" s="47"/>
      <c r="BO49" s="26">
        <v>2028</v>
      </c>
      <c r="BP49" s="29">
        <f t="shared" si="65"/>
        <v>1.083921568627451</v>
      </c>
      <c r="BQ49" s="29">
        <f t="shared" si="65"/>
        <v>1.029957805907173</v>
      </c>
      <c r="BR49" s="29">
        <f t="shared" si="65"/>
        <v>1.068295739348371</v>
      </c>
      <c r="BS49" s="29">
        <f t="shared" si="65"/>
        <v>0.9789972899728997</v>
      </c>
      <c r="BT49" s="29">
        <f t="shared" si="65"/>
        <v>1.1253731343283584</v>
      </c>
      <c r="BU49" s="29">
        <f t="shared" si="65"/>
        <v>0.98651525904897097</v>
      </c>
      <c r="BV49" s="29">
        <f t="shared" si="65"/>
        <v>0.96902887139107607</v>
      </c>
      <c r="BW49" s="29">
        <f t="shared" si="65"/>
        <v>1.0784194528875379</v>
      </c>
      <c r="BX49" s="29">
        <f t="shared" si="65"/>
        <v>0.91814946619217064</v>
      </c>
      <c r="BZ49" s="26">
        <v>2028</v>
      </c>
      <c r="CA49" s="29">
        <f t="shared" si="66"/>
        <v>0.95081967213114749</v>
      </c>
      <c r="CB49" s="29">
        <f t="shared" si="66"/>
        <v>0.91441969519343502</v>
      </c>
      <c r="CC49" s="29">
        <f t="shared" si="66"/>
        <v>0.88108108108108096</v>
      </c>
      <c r="CD49" s="29">
        <f t="shared" si="66"/>
        <v>0.89142091152815017</v>
      </c>
      <c r="CE49" s="29">
        <f t="shared" si="66"/>
        <v>0.89329268292682917</v>
      </c>
      <c r="CF49" s="29">
        <f t="shared" si="66"/>
        <v>0.88901601830663612</v>
      </c>
      <c r="CG49" s="29">
        <f t="shared" si="66"/>
        <v>0.85208596713021489</v>
      </c>
      <c r="CH49" s="29">
        <f t="shared" si="66"/>
        <v>0.99854439592430866</v>
      </c>
      <c r="CI49" s="29">
        <f t="shared" si="66"/>
        <v>0.97702702702702704</v>
      </c>
    </row>
    <row r="50" spans="1:87" x14ac:dyDescent="0.2">
      <c r="A50" s="331" t="s">
        <v>172</v>
      </c>
      <c r="B50" s="335" t="s">
        <v>173</v>
      </c>
      <c r="C50" s="336"/>
      <c r="D50" s="336"/>
      <c r="E50" s="337"/>
      <c r="F50" s="337"/>
      <c r="J50" s="79"/>
      <c r="K50" s="30"/>
      <c r="L50" s="30"/>
      <c r="N50" s="79"/>
      <c r="S50" s="333"/>
      <c r="T50" s="20"/>
      <c r="U50" s="23">
        <v>2005</v>
      </c>
      <c r="V50" s="338">
        <v>2334318</v>
      </c>
      <c r="W50" s="39"/>
      <c r="X50" s="338">
        <v>1005312</v>
      </c>
      <c r="Y50" s="39"/>
      <c r="Z50" s="338">
        <v>33013</v>
      </c>
      <c r="AA50" s="139"/>
      <c r="AB50" s="338">
        <v>1037052</v>
      </c>
      <c r="AC50" s="39"/>
      <c r="AD50" s="338">
        <v>3020635</v>
      </c>
      <c r="AE50" s="39"/>
      <c r="AF50" s="338">
        <v>4146518</v>
      </c>
      <c r="AG50" s="39"/>
      <c r="AH50" s="338">
        <v>1005312</v>
      </c>
      <c r="AI50" s="39"/>
      <c r="AJ50" s="338">
        <v>33013</v>
      </c>
      <c r="AK50" s="338">
        <v>6197830</v>
      </c>
      <c r="AL50" s="39"/>
      <c r="AM50" s="338">
        <v>4069566</v>
      </c>
      <c r="AN50" s="39"/>
      <c r="AO50" s="338">
        <v>4698168</v>
      </c>
      <c r="AP50" s="39"/>
      <c r="AQ50" s="338">
        <v>11381568</v>
      </c>
      <c r="AR50" s="39"/>
      <c r="AS50" s="338">
        <v>5661733</v>
      </c>
      <c r="AT50" s="39"/>
      <c r="AU50" s="338">
        <v>8281028</v>
      </c>
      <c r="AV50" s="39"/>
      <c r="AW50" s="338">
        <v>3160777</v>
      </c>
      <c r="AX50" s="39"/>
      <c r="AY50" s="338">
        <v>22234834</v>
      </c>
      <c r="AZ50" s="39"/>
      <c r="BA50" s="338">
        <v>3251769</v>
      </c>
      <c r="BB50" s="127"/>
      <c r="BC50" s="338">
        <v>6892754</v>
      </c>
      <c r="BD50" s="55">
        <f>BC50</f>
        <v>6892754</v>
      </c>
      <c r="BE50" s="47"/>
      <c r="BO50" s="26">
        <v>2029</v>
      </c>
      <c r="BP50" s="29">
        <f t="shared" si="65"/>
        <v>1.0725490196078431</v>
      </c>
      <c r="BQ50" s="29">
        <f t="shared" si="65"/>
        <v>1.0274261603375527</v>
      </c>
      <c r="BR50" s="29">
        <f t="shared" si="65"/>
        <v>1.0733082706766917</v>
      </c>
      <c r="BS50" s="29">
        <f t="shared" si="65"/>
        <v>0.98238482384823844</v>
      </c>
      <c r="BT50" s="29">
        <f t="shared" si="65"/>
        <v>1.1247761194029851</v>
      </c>
      <c r="BU50" s="29">
        <f t="shared" si="65"/>
        <v>0.98793470546486872</v>
      </c>
      <c r="BV50" s="29">
        <f t="shared" si="65"/>
        <v>0.97742782152230978</v>
      </c>
      <c r="BW50" s="29">
        <f t="shared" si="65"/>
        <v>1.0881458966565349</v>
      </c>
      <c r="BX50" s="29">
        <f t="shared" si="65"/>
        <v>0.91560752414844937</v>
      </c>
      <c r="BZ50" s="26">
        <v>2029</v>
      </c>
      <c r="CA50" s="29">
        <f t="shared" si="66"/>
        <v>0.96413934426229508</v>
      </c>
      <c r="CB50" s="29">
        <f t="shared" si="66"/>
        <v>0.92497069167643609</v>
      </c>
      <c r="CC50" s="29">
        <f t="shared" si="66"/>
        <v>0.88918918918918921</v>
      </c>
      <c r="CD50" s="29">
        <f t="shared" si="66"/>
        <v>0.90080428954423586</v>
      </c>
      <c r="CE50" s="29">
        <f t="shared" si="66"/>
        <v>0.90142276422764223</v>
      </c>
      <c r="CF50" s="29">
        <f t="shared" si="66"/>
        <v>0.89473684210526316</v>
      </c>
      <c r="CG50" s="29">
        <f t="shared" si="66"/>
        <v>0.85461441213653599</v>
      </c>
      <c r="CH50" s="29">
        <f t="shared" si="66"/>
        <v>1.0116448326055314</v>
      </c>
      <c r="CI50" s="29">
        <f t="shared" si="66"/>
        <v>0.98918918918918919</v>
      </c>
    </row>
    <row r="51" spans="1:87" x14ac:dyDescent="0.2">
      <c r="A51" s="74" t="s">
        <v>129</v>
      </c>
      <c r="B51" s="336" t="s">
        <v>130</v>
      </c>
      <c r="C51" s="74"/>
      <c r="D51" s="74"/>
      <c r="E51" s="337"/>
      <c r="F51" s="337"/>
      <c r="G51" s="30"/>
      <c r="H51" s="30"/>
      <c r="I51" s="30"/>
      <c r="J51" s="80"/>
      <c r="K51" s="72"/>
      <c r="L51" s="72"/>
      <c r="N51" s="80"/>
      <c r="O51" s="72"/>
      <c r="P51" s="72"/>
      <c r="Q51" s="72"/>
      <c r="R51" s="72"/>
      <c r="S51" s="333"/>
      <c r="T51" s="20"/>
      <c r="U51" s="23">
        <v>2006</v>
      </c>
      <c r="V51" s="338">
        <v>2331738</v>
      </c>
      <c r="W51" s="39"/>
      <c r="X51" s="338">
        <v>1039308.5</v>
      </c>
      <c r="Y51" s="39"/>
      <c r="Z51" s="338">
        <v>35257</v>
      </c>
      <c r="AA51" s="139"/>
      <c r="AB51" s="338">
        <v>1102752</v>
      </c>
      <c r="AC51" s="39"/>
      <c r="AD51" s="338">
        <v>3002780</v>
      </c>
      <c r="AE51" s="39"/>
      <c r="AF51" s="338">
        <v>4175541</v>
      </c>
      <c r="AG51" s="39"/>
      <c r="AH51" s="338">
        <v>1039308.5</v>
      </c>
      <c r="AI51" s="39"/>
      <c r="AJ51" s="338">
        <v>35257</v>
      </c>
      <c r="AK51" s="338">
        <v>6240888</v>
      </c>
      <c r="AL51" s="39"/>
      <c r="AM51" s="338">
        <v>4114375</v>
      </c>
      <c r="AN51" s="39"/>
      <c r="AO51" s="338">
        <v>4739456</v>
      </c>
      <c r="AP51" s="39"/>
      <c r="AQ51" s="338">
        <v>11455568</v>
      </c>
      <c r="AR51" s="39"/>
      <c r="AS51" s="338">
        <v>5707466</v>
      </c>
      <c r="AT51" s="39"/>
      <c r="AU51" s="338">
        <v>8334830</v>
      </c>
      <c r="AV51" s="39"/>
      <c r="AW51" s="338">
        <v>3181198</v>
      </c>
      <c r="AX51" s="39"/>
      <c r="AY51" s="338">
        <v>22484345</v>
      </c>
      <c r="AZ51" s="39"/>
      <c r="BA51" s="338">
        <v>3262002</v>
      </c>
      <c r="BB51" s="127"/>
      <c r="BC51" s="338">
        <v>6946343</v>
      </c>
      <c r="BD51" s="55">
        <f t="shared" ref="BD51:BD75" si="67">BC51</f>
        <v>6946343</v>
      </c>
      <c r="BE51" s="89"/>
      <c r="BO51" s="26">
        <v>2030</v>
      </c>
      <c r="BP51" s="29">
        <f t="shared" si="65"/>
        <v>1.0631372549019609</v>
      </c>
      <c r="BQ51" s="29">
        <f t="shared" si="65"/>
        <v>1.0244725738396625</v>
      </c>
      <c r="BR51" s="29">
        <f t="shared" si="65"/>
        <v>1.0739348370927317</v>
      </c>
      <c r="BS51" s="29">
        <f t="shared" si="65"/>
        <v>0.98102981029810299</v>
      </c>
      <c r="BT51" s="29">
        <f t="shared" si="65"/>
        <v>1.1217910447761195</v>
      </c>
      <c r="BU51" s="29">
        <f t="shared" si="65"/>
        <v>0.98083747338537974</v>
      </c>
      <c r="BV51" s="29">
        <f t="shared" si="65"/>
        <v>0.97322834645669287</v>
      </c>
      <c r="BW51" s="29">
        <f t="shared" si="65"/>
        <v>1.0960486322188452</v>
      </c>
      <c r="BX51" s="29">
        <f t="shared" si="65"/>
        <v>0.9105236400610065</v>
      </c>
      <c r="BZ51" s="26">
        <v>2030</v>
      </c>
      <c r="CA51" s="29">
        <f t="shared" si="66"/>
        <v>0.97745901639344257</v>
      </c>
      <c r="CB51" s="29">
        <f t="shared" si="66"/>
        <v>0.93786635404454877</v>
      </c>
      <c r="CC51" s="29">
        <f t="shared" si="66"/>
        <v>0.89729729729729724</v>
      </c>
      <c r="CD51" s="29">
        <f t="shared" si="66"/>
        <v>0.91018766756032177</v>
      </c>
      <c r="CE51" s="29">
        <f t="shared" si="66"/>
        <v>0.90955284552845528</v>
      </c>
      <c r="CF51" s="29">
        <f t="shared" si="66"/>
        <v>0.90389016018306634</v>
      </c>
      <c r="CG51" s="29">
        <f t="shared" si="66"/>
        <v>0.8596713021491782</v>
      </c>
      <c r="CH51" s="29">
        <f t="shared" si="66"/>
        <v>1.0232896652110626</v>
      </c>
      <c r="CI51" s="29">
        <f t="shared" si="66"/>
        <v>1</v>
      </c>
    </row>
    <row r="52" spans="1:87" x14ac:dyDescent="0.2">
      <c r="A52" s="331"/>
      <c r="B52" s="74" t="s">
        <v>131</v>
      </c>
      <c r="C52" s="336"/>
      <c r="D52" s="336"/>
      <c r="E52" s="337"/>
      <c r="F52" s="337"/>
      <c r="G52" s="30"/>
      <c r="H52" s="77"/>
      <c r="I52" s="30"/>
      <c r="J52" s="80"/>
      <c r="K52" s="72"/>
      <c r="L52" s="72"/>
      <c r="M52" s="81"/>
      <c r="N52" s="80"/>
      <c r="O52" s="72"/>
      <c r="P52" s="72"/>
      <c r="Q52" s="72"/>
      <c r="R52" s="72"/>
      <c r="S52" s="333"/>
      <c r="T52" s="20"/>
      <c r="U52" s="23">
        <v>2007</v>
      </c>
      <c r="V52" s="338">
        <v>2338060</v>
      </c>
      <c r="W52" s="39"/>
      <c r="X52" s="338">
        <v>1088693.5</v>
      </c>
      <c r="Y52" s="39"/>
      <c r="Z52" s="338">
        <v>38681.5</v>
      </c>
      <c r="AA52" s="139"/>
      <c r="AB52" s="338">
        <v>1099306</v>
      </c>
      <c r="AC52" s="39"/>
      <c r="AD52" s="338">
        <v>2985671</v>
      </c>
      <c r="AE52" s="39"/>
      <c r="AF52" s="338">
        <v>4231736</v>
      </c>
      <c r="AG52" s="39"/>
      <c r="AH52" s="338">
        <v>1088693.5</v>
      </c>
      <c r="AI52" s="39"/>
      <c r="AJ52" s="338">
        <v>38681.5</v>
      </c>
      <c r="AK52" s="338">
        <v>6315825</v>
      </c>
      <c r="AL52" s="39"/>
      <c r="AM52" s="338">
        <v>4186862</v>
      </c>
      <c r="AN52" s="39"/>
      <c r="AO52" s="338">
        <v>4805793</v>
      </c>
      <c r="AP52" s="39"/>
      <c r="AQ52" s="338">
        <v>11586517</v>
      </c>
      <c r="AR52" s="39"/>
      <c r="AS52" s="338">
        <v>5785954</v>
      </c>
      <c r="AT52" s="39"/>
      <c r="AU52" s="338">
        <v>8426700</v>
      </c>
      <c r="AV52" s="39"/>
      <c r="AW52" s="338">
        <v>3216283</v>
      </c>
      <c r="AX52" s="39"/>
      <c r="AY52" s="338">
        <v>24475795</v>
      </c>
      <c r="AZ52" s="39"/>
      <c r="BA52" s="338">
        <v>3279144</v>
      </c>
      <c r="BB52" s="127"/>
      <c r="BC52" s="338">
        <v>7022100</v>
      </c>
      <c r="BD52" s="55">
        <f t="shared" si="67"/>
        <v>7022100</v>
      </c>
      <c r="BE52" s="89"/>
      <c r="BO52" s="26">
        <v>2031</v>
      </c>
      <c r="BP52" s="29">
        <f t="shared" si="65"/>
        <v>1.0564705882352943</v>
      </c>
      <c r="BQ52" s="29">
        <f t="shared" si="65"/>
        <v>1.0244725738396625</v>
      </c>
      <c r="BR52" s="29">
        <f t="shared" si="65"/>
        <v>1.0789473684210524</v>
      </c>
      <c r="BS52" s="29">
        <f t="shared" si="65"/>
        <v>0.98170731707317072</v>
      </c>
      <c r="BT52" s="29">
        <f t="shared" si="65"/>
        <v>1.1235820895522388</v>
      </c>
      <c r="BU52" s="29">
        <f t="shared" si="65"/>
        <v>0.98296664300922643</v>
      </c>
      <c r="BV52" s="29">
        <f t="shared" si="65"/>
        <v>0.98110236220472447</v>
      </c>
      <c r="BW52" s="29">
        <f t="shared" si="65"/>
        <v>1.103951367781155</v>
      </c>
      <c r="BX52" s="29">
        <f t="shared" si="65"/>
        <v>0.90543975597356363</v>
      </c>
      <c r="BZ52" s="26">
        <v>2031</v>
      </c>
      <c r="CA52" s="29">
        <f t="shared" si="66"/>
        <v>0.99077868852459017</v>
      </c>
      <c r="CB52" s="29">
        <f t="shared" si="66"/>
        <v>0.94958968347010553</v>
      </c>
      <c r="CC52" s="29">
        <f t="shared" si="66"/>
        <v>0.9094594594594595</v>
      </c>
      <c r="CD52" s="29">
        <f t="shared" si="66"/>
        <v>0.92091152815013411</v>
      </c>
      <c r="CE52" s="29">
        <f t="shared" si="66"/>
        <v>0.92073170731707321</v>
      </c>
      <c r="CF52" s="29">
        <f t="shared" si="66"/>
        <v>0.9176201372997711</v>
      </c>
      <c r="CG52" s="29">
        <f t="shared" si="66"/>
        <v>0.8710493046776232</v>
      </c>
      <c r="CH52" s="29">
        <f t="shared" si="66"/>
        <v>1.0378457059679767</v>
      </c>
      <c r="CI52" s="29">
        <f t="shared" si="66"/>
        <v>1.0108108108108109</v>
      </c>
    </row>
    <row r="53" spans="1:87" x14ac:dyDescent="0.2">
      <c r="A53" s="74" t="s">
        <v>132</v>
      </c>
      <c r="B53" s="336" t="s">
        <v>133</v>
      </c>
      <c r="C53" s="74"/>
      <c r="D53" s="74"/>
      <c r="E53" s="337"/>
      <c r="F53" s="337"/>
      <c r="G53" s="30"/>
      <c r="H53" s="30"/>
      <c r="I53" s="30"/>
      <c r="J53" s="8"/>
      <c r="K53" s="8"/>
      <c r="L53" s="8"/>
      <c r="M53" s="8"/>
      <c r="N53" s="8"/>
      <c r="O53" s="23"/>
      <c r="P53" s="23"/>
      <c r="Q53" s="23"/>
      <c r="R53" s="72"/>
      <c r="S53" s="333"/>
      <c r="T53" s="20"/>
      <c r="U53" s="23">
        <v>2008</v>
      </c>
      <c r="V53" s="338">
        <v>2342125</v>
      </c>
      <c r="W53" s="39"/>
      <c r="X53" s="338">
        <v>1119818.5</v>
      </c>
      <c r="Y53" s="39"/>
      <c r="Z53" s="338">
        <v>44453.5</v>
      </c>
      <c r="AA53" s="139"/>
      <c r="AB53" s="338">
        <v>1095506</v>
      </c>
      <c r="AC53" s="39"/>
      <c r="AD53" s="338">
        <v>2968554</v>
      </c>
      <c r="AE53" s="39"/>
      <c r="AF53" s="338">
        <v>4270266</v>
      </c>
      <c r="AG53" s="39"/>
      <c r="AH53" s="338">
        <v>1119818.5</v>
      </c>
      <c r="AI53" s="39"/>
      <c r="AJ53" s="338">
        <v>44453.5</v>
      </c>
      <c r="AK53" s="338">
        <v>6357500</v>
      </c>
      <c r="AL53" s="39"/>
      <c r="AM53" s="338">
        <v>4232466</v>
      </c>
      <c r="AN53" s="39"/>
      <c r="AO53" s="338">
        <v>4853552</v>
      </c>
      <c r="AP53" s="39"/>
      <c r="AQ53" s="338">
        <v>11662271</v>
      </c>
      <c r="AR53" s="39"/>
      <c r="AS53" s="338">
        <v>5831495</v>
      </c>
      <c r="AT53" s="39"/>
      <c r="AU53" s="338">
        <v>8476408</v>
      </c>
      <c r="AV53" s="39"/>
      <c r="AW53" s="338">
        <v>3233522</v>
      </c>
      <c r="AX53" s="39"/>
      <c r="AY53" s="338">
        <v>26423090</v>
      </c>
      <c r="AZ53" s="39"/>
      <c r="BA53" s="338">
        <v>3281067</v>
      </c>
      <c r="BB53" s="127"/>
      <c r="BC53" s="338">
        <v>7064318</v>
      </c>
      <c r="BD53" s="55">
        <f t="shared" si="67"/>
        <v>7064318</v>
      </c>
      <c r="BE53" s="89"/>
      <c r="BO53" s="26">
        <v>2032</v>
      </c>
      <c r="BP53" s="29">
        <f t="shared" si="65"/>
        <v>1.0572549019607844</v>
      </c>
      <c r="BQ53" s="29">
        <f t="shared" si="65"/>
        <v>1.0295358649789028</v>
      </c>
      <c r="BR53" s="29">
        <f t="shared" si="65"/>
        <v>1.0808270676691729</v>
      </c>
      <c r="BS53" s="29">
        <f t="shared" si="65"/>
        <v>0.98035230352303526</v>
      </c>
      <c r="BT53" s="29">
        <f t="shared" si="65"/>
        <v>1.1253731343283584</v>
      </c>
      <c r="BU53" s="29">
        <f t="shared" si="65"/>
        <v>0.97657913413768627</v>
      </c>
      <c r="BV53" s="29">
        <f t="shared" si="65"/>
        <v>0.98687664041994749</v>
      </c>
      <c r="BW53" s="29">
        <f t="shared" si="65"/>
        <v>1.1100303951367783</v>
      </c>
      <c r="BX53" s="29">
        <f t="shared" si="65"/>
        <v>0.89984748347737664</v>
      </c>
      <c r="BZ53" s="26">
        <v>2032</v>
      </c>
      <c r="CA53" s="29">
        <f t="shared" si="66"/>
        <v>1.0020491803278688</v>
      </c>
      <c r="CB53" s="29">
        <f t="shared" si="66"/>
        <v>0.958968347010551</v>
      </c>
      <c r="CC53" s="29">
        <f t="shared" si="66"/>
        <v>0.92162162162162165</v>
      </c>
      <c r="CD53" s="29">
        <f t="shared" si="66"/>
        <v>0.93297587131367288</v>
      </c>
      <c r="CE53" s="29">
        <f t="shared" si="66"/>
        <v>0.93191056910569103</v>
      </c>
      <c r="CF53" s="29">
        <f t="shared" si="66"/>
        <v>0.93135011441647597</v>
      </c>
      <c r="CG53" s="29">
        <f t="shared" si="66"/>
        <v>0.88242730720606832</v>
      </c>
      <c r="CH53" s="29">
        <f t="shared" si="66"/>
        <v>1.0509461426491993</v>
      </c>
      <c r="CI53" s="29">
        <f t="shared" si="66"/>
        <v>1.0243243243243243</v>
      </c>
    </row>
    <row r="54" spans="1:87" x14ac:dyDescent="0.2">
      <c r="A54" s="331"/>
      <c r="B54" s="74" t="s">
        <v>134</v>
      </c>
      <c r="C54" s="336"/>
      <c r="D54" s="336"/>
      <c r="E54" s="337"/>
      <c r="F54" s="337"/>
      <c r="G54" s="30"/>
      <c r="H54" s="72"/>
      <c r="I54" s="30"/>
      <c r="J54" s="334"/>
      <c r="K54" s="334"/>
      <c r="L54" s="331"/>
      <c r="M54" s="334"/>
      <c r="N54" s="334"/>
      <c r="O54" s="334"/>
      <c r="P54" s="334"/>
      <c r="Q54" s="334"/>
      <c r="S54" s="333"/>
      <c r="T54" s="20"/>
      <c r="U54" s="23">
        <v>2009</v>
      </c>
      <c r="V54" s="338">
        <v>2342408</v>
      </c>
      <c r="W54" s="39"/>
      <c r="X54" s="338">
        <v>1151425</v>
      </c>
      <c r="Y54" s="39"/>
      <c r="Z54" s="338">
        <v>49871.5</v>
      </c>
      <c r="AA54" s="139"/>
      <c r="AB54" s="338">
        <v>1091426</v>
      </c>
      <c r="AC54" s="39"/>
      <c r="AD54" s="338">
        <v>2951576</v>
      </c>
      <c r="AE54" s="39"/>
      <c r="AF54" s="338">
        <v>4301579</v>
      </c>
      <c r="AG54" s="39"/>
      <c r="AH54" s="338">
        <v>1151425</v>
      </c>
      <c r="AI54" s="39"/>
      <c r="AJ54" s="338">
        <v>49871.5</v>
      </c>
      <c r="AK54" s="338">
        <v>6393304</v>
      </c>
      <c r="AL54" s="39"/>
      <c r="AM54" s="338">
        <v>4274989</v>
      </c>
      <c r="AN54" s="39"/>
      <c r="AO54" s="338">
        <v>4896244</v>
      </c>
      <c r="AP54" s="39"/>
      <c r="AQ54" s="338">
        <v>11726923</v>
      </c>
      <c r="AR54" s="39"/>
      <c r="AS54" s="338">
        <v>5872475</v>
      </c>
      <c r="AT54" s="39"/>
      <c r="AU54" s="338">
        <v>8519910</v>
      </c>
      <c r="AV54" s="39"/>
      <c r="AW54" s="338">
        <v>3250096</v>
      </c>
      <c r="AX54" s="39"/>
      <c r="AY54" s="338">
        <v>27855367</v>
      </c>
      <c r="AZ54" s="39"/>
      <c r="BA54" s="338">
        <v>3279875</v>
      </c>
      <c r="BB54" s="127"/>
      <c r="BC54" s="338">
        <v>7099711</v>
      </c>
      <c r="BD54" s="55">
        <f t="shared" si="67"/>
        <v>7099711</v>
      </c>
      <c r="BE54" s="212">
        <f>BD54/BD53-1</f>
        <v>5.0101085483411634E-3</v>
      </c>
      <c r="BO54" s="26">
        <v>2033</v>
      </c>
      <c r="BP54" s="29">
        <f t="shared" si="65"/>
        <v>1.0611764705882352</v>
      </c>
      <c r="BQ54" s="29">
        <f t="shared" si="65"/>
        <v>1.0354430379746835</v>
      </c>
      <c r="BR54" s="29">
        <f t="shared" si="65"/>
        <v>1.0852130325814535</v>
      </c>
      <c r="BS54" s="29">
        <f t="shared" si="65"/>
        <v>0.98441734417344173</v>
      </c>
      <c r="BT54" s="29">
        <f t="shared" si="65"/>
        <v>1.1289552238805971</v>
      </c>
      <c r="BU54" s="29">
        <f t="shared" si="65"/>
        <v>0.98012775017743081</v>
      </c>
      <c r="BV54" s="29">
        <f t="shared" si="65"/>
        <v>0.99475065616797897</v>
      </c>
      <c r="BW54" s="29">
        <f t="shared" si="65"/>
        <v>1.1191489361702127</v>
      </c>
      <c r="BX54" s="29">
        <f t="shared" si="65"/>
        <v>0.89476359938993388</v>
      </c>
      <c r="BZ54" s="26">
        <v>2033</v>
      </c>
      <c r="CA54" s="29">
        <f t="shared" si="66"/>
        <v>1.0153688524590165</v>
      </c>
      <c r="CB54" s="29">
        <f t="shared" si="66"/>
        <v>0.97069167643610788</v>
      </c>
      <c r="CC54" s="29">
        <f t="shared" si="66"/>
        <v>0.93513513513513513</v>
      </c>
      <c r="CD54" s="29">
        <f t="shared" si="66"/>
        <v>0.94772117962466496</v>
      </c>
      <c r="CE54" s="29">
        <f t="shared" si="66"/>
        <v>0.94308943089430886</v>
      </c>
      <c r="CF54" s="29">
        <f t="shared" si="66"/>
        <v>0.94393592677345539</v>
      </c>
      <c r="CG54" s="29">
        <f t="shared" si="66"/>
        <v>0.89127686472819212</v>
      </c>
      <c r="CH54" s="29">
        <f t="shared" si="66"/>
        <v>1.0640465793304221</v>
      </c>
      <c r="CI54" s="29">
        <f t="shared" si="66"/>
        <v>1.0391891891891891</v>
      </c>
    </row>
    <row r="55" spans="1:87" x14ac:dyDescent="0.2">
      <c r="A55" s="74" t="s">
        <v>135</v>
      </c>
      <c r="B55" s="336" t="s">
        <v>136</v>
      </c>
      <c r="C55" s="74"/>
      <c r="D55" s="74"/>
      <c r="E55" s="337"/>
      <c r="F55" s="337"/>
      <c r="G55" s="72"/>
      <c r="H55" s="72"/>
      <c r="I55" s="81"/>
      <c r="J55" s="340"/>
      <c r="K55" s="340"/>
      <c r="L55" s="341"/>
      <c r="M55" s="341"/>
      <c r="N55" s="340"/>
      <c r="O55" s="340"/>
      <c r="P55" s="340"/>
      <c r="Q55" s="340"/>
      <c r="R55" s="72"/>
      <c r="S55" s="333"/>
      <c r="T55" s="20"/>
      <c r="U55" s="23">
        <v>2010</v>
      </c>
      <c r="V55" s="338">
        <v>2337132</v>
      </c>
      <c r="W55" s="39"/>
      <c r="X55" s="338">
        <v>1180149.5</v>
      </c>
      <c r="Y55" s="39"/>
      <c r="Z55" s="338">
        <v>54961</v>
      </c>
      <c r="AA55" s="139"/>
      <c r="AB55" s="338">
        <v>1086725</v>
      </c>
      <c r="AC55" s="39"/>
      <c r="AD55" s="338">
        <v>2934580</v>
      </c>
      <c r="AE55" s="39"/>
      <c r="AF55" s="338">
        <v>4324237</v>
      </c>
      <c r="AG55" s="39"/>
      <c r="AH55" s="338">
        <v>1180149.5</v>
      </c>
      <c r="AI55" s="39"/>
      <c r="AJ55" s="338">
        <v>54961</v>
      </c>
      <c r="AK55" s="338">
        <v>6417796</v>
      </c>
      <c r="AL55" s="39"/>
      <c r="AM55" s="338">
        <v>4309232</v>
      </c>
      <c r="AN55" s="39"/>
      <c r="AO55" s="338">
        <v>4929013</v>
      </c>
      <c r="AP55" s="39"/>
      <c r="AQ55" s="338">
        <v>11772249</v>
      </c>
      <c r="AR55" s="39"/>
      <c r="AS55" s="338">
        <v>5902696</v>
      </c>
      <c r="AT55" s="39"/>
      <c r="AU55" s="338">
        <v>8550363</v>
      </c>
      <c r="AV55" s="39"/>
      <c r="AW55" s="338">
        <v>3261593</v>
      </c>
      <c r="AX55" s="39"/>
      <c r="AY55" s="338">
        <v>28999990</v>
      </c>
      <c r="AZ55" s="39"/>
      <c r="BA55" s="338">
        <v>3275824</v>
      </c>
      <c r="BB55" s="127"/>
      <c r="BC55" s="338">
        <v>7123377</v>
      </c>
      <c r="BD55" s="55">
        <f t="shared" si="67"/>
        <v>7123377</v>
      </c>
      <c r="BE55" s="212">
        <f t="shared" ref="BE55:BE69" si="68">BD55/BD54-1</f>
        <v>3.3333751190718353E-3</v>
      </c>
      <c r="BH55" s="64"/>
      <c r="BI55" s="82"/>
      <c r="BJ55" s="64"/>
      <c r="BK55" s="64"/>
      <c r="BO55" s="26">
        <v>2034</v>
      </c>
      <c r="BP55" s="29">
        <f t="shared" si="65"/>
        <v>1.0654901960784315</v>
      </c>
      <c r="BQ55" s="29">
        <f t="shared" si="65"/>
        <v>1.0426160337552743</v>
      </c>
      <c r="BR55" s="29">
        <f t="shared" si="65"/>
        <v>1.0939849624060149</v>
      </c>
      <c r="BS55" s="29">
        <f t="shared" si="65"/>
        <v>0.98983739837398377</v>
      </c>
      <c r="BT55" s="29">
        <f t="shared" si="65"/>
        <v>1.1355223880597014</v>
      </c>
      <c r="BU55" s="29">
        <f t="shared" si="65"/>
        <v>0.98296664300922643</v>
      </c>
      <c r="BV55" s="29">
        <f t="shared" si="65"/>
        <v>0.99947506561679778</v>
      </c>
      <c r="BW55" s="29">
        <f t="shared" si="65"/>
        <v>1.1276595744680853</v>
      </c>
      <c r="BX55" s="29">
        <f t="shared" si="65"/>
        <v>0.89578037620742246</v>
      </c>
      <c r="BZ55" s="26">
        <v>2034</v>
      </c>
      <c r="CA55" s="29">
        <f t="shared" si="66"/>
        <v>1.0256147540983607</v>
      </c>
      <c r="CB55" s="29">
        <f t="shared" si="66"/>
        <v>0.97772567409144207</v>
      </c>
      <c r="CC55" s="29">
        <f t="shared" si="66"/>
        <v>0.95</v>
      </c>
      <c r="CD55" s="29">
        <f t="shared" si="66"/>
        <v>0.9651474530831099</v>
      </c>
      <c r="CE55" s="29">
        <f t="shared" si="66"/>
        <v>0.95528455284552849</v>
      </c>
      <c r="CF55" s="29">
        <f t="shared" si="66"/>
        <v>0.95995423340961106</v>
      </c>
      <c r="CG55" s="29">
        <f t="shared" si="66"/>
        <v>0.90391908975979773</v>
      </c>
      <c r="CH55" s="29">
        <f t="shared" si="66"/>
        <v>1.0844250363901018</v>
      </c>
      <c r="CI55" s="29">
        <f t="shared" si="66"/>
        <v>1.0567567567567568</v>
      </c>
    </row>
    <row r="56" spans="1:87" x14ac:dyDescent="0.2">
      <c r="A56" s="331"/>
      <c r="B56" s="74" t="s">
        <v>137</v>
      </c>
      <c r="C56" s="72"/>
      <c r="D56" s="72"/>
      <c r="E56" s="80"/>
      <c r="F56" s="80"/>
      <c r="G56" s="336"/>
      <c r="H56" s="8"/>
      <c r="I56" s="8"/>
      <c r="J56" s="340"/>
      <c r="K56" s="340"/>
      <c r="L56" s="341"/>
      <c r="M56" s="341"/>
      <c r="N56" s="340"/>
      <c r="O56" s="340"/>
      <c r="P56" s="340"/>
      <c r="Q56" s="340"/>
      <c r="R56" s="72"/>
      <c r="S56" s="333"/>
      <c r="T56" s="20"/>
      <c r="U56" s="23">
        <v>2011</v>
      </c>
      <c r="V56" s="338">
        <v>2334256</v>
      </c>
      <c r="W56" s="39"/>
      <c r="X56" s="338">
        <v>1205015.5</v>
      </c>
      <c r="Y56" s="39"/>
      <c r="Z56" s="338">
        <v>67828.5</v>
      </c>
      <c r="AA56" s="139"/>
      <c r="AB56" s="338">
        <v>1081926</v>
      </c>
      <c r="AC56" s="39"/>
      <c r="AD56" s="338">
        <v>2917801</v>
      </c>
      <c r="AE56" s="39"/>
      <c r="AF56" s="338">
        <v>4350205</v>
      </c>
      <c r="AG56" s="39"/>
      <c r="AH56" s="338">
        <v>1205015.5</v>
      </c>
      <c r="AI56" s="39"/>
      <c r="AJ56" s="338">
        <v>67828.5</v>
      </c>
      <c r="AK56" s="338">
        <v>6449769</v>
      </c>
      <c r="AL56" s="39"/>
      <c r="AM56" s="338">
        <v>4349997</v>
      </c>
      <c r="AN56" s="39"/>
      <c r="AO56" s="338">
        <v>4967885</v>
      </c>
      <c r="AP56" s="39"/>
      <c r="AQ56" s="338">
        <v>11844289</v>
      </c>
      <c r="AR56" s="39"/>
      <c r="AS56" s="338">
        <v>5939821</v>
      </c>
      <c r="AT56" s="39"/>
      <c r="AU56" s="338">
        <v>8590338</v>
      </c>
      <c r="AV56" s="39"/>
      <c r="AW56" s="338">
        <v>3276580</v>
      </c>
      <c r="AX56" s="39"/>
      <c r="AY56" s="338">
        <v>29142861</v>
      </c>
      <c r="AZ56" s="39"/>
      <c r="BA56" s="338">
        <v>3273221</v>
      </c>
      <c r="BB56" s="127"/>
      <c r="BC56" s="338">
        <v>7154603</v>
      </c>
      <c r="BD56" s="55">
        <f t="shared" si="67"/>
        <v>7154603</v>
      </c>
      <c r="BE56" s="212">
        <f t="shared" si="68"/>
        <v>4.3835950280324276E-3</v>
      </c>
      <c r="BO56" s="26">
        <v>2035</v>
      </c>
      <c r="BP56" s="29">
        <f t="shared" si="65"/>
        <v>1.0698039215686275</v>
      </c>
      <c r="BQ56" s="29">
        <f t="shared" si="65"/>
        <v>1.0468354430379747</v>
      </c>
      <c r="BR56" s="29">
        <f t="shared" si="65"/>
        <v>1.0952380952380951</v>
      </c>
      <c r="BS56" s="29">
        <f t="shared" si="65"/>
        <v>0.99051490514905149</v>
      </c>
      <c r="BT56" s="29">
        <f t="shared" si="65"/>
        <v>1.1385074626865672</v>
      </c>
      <c r="BU56" s="29">
        <f t="shared" si="65"/>
        <v>0.96877217885024847</v>
      </c>
      <c r="BV56" s="29">
        <f t="shared" si="65"/>
        <v>1.0099737532808397</v>
      </c>
      <c r="BW56" s="29">
        <f t="shared" si="65"/>
        <v>1.1355623100303951</v>
      </c>
      <c r="BX56" s="29">
        <f t="shared" si="65"/>
        <v>0.89883070665988807</v>
      </c>
      <c r="BZ56" s="26">
        <v>2035</v>
      </c>
      <c r="CA56" s="29">
        <f t="shared" si="66"/>
        <v>1.0317622950819674</v>
      </c>
      <c r="CB56" s="29">
        <f t="shared" si="66"/>
        <v>0.97889800703399765</v>
      </c>
      <c r="CC56" s="29">
        <f t="shared" si="66"/>
        <v>0.96756756756756757</v>
      </c>
      <c r="CD56" s="29">
        <f t="shared" si="66"/>
        <v>0.98391420911528149</v>
      </c>
      <c r="CE56" s="29">
        <f t="shared" si="66"/>
        <v>0.96951219512195119</v>
      </c>
      <c r="CF56" s="29">
        <f t="shared" si="66"/>
        <v>0.9805491990846682</v>
      </c>
      <c r="CG56" s="29">
        <f t="shared" si="66"/>
        <v>0.92161820480404555</v>
      </c>
      <c r="CH56" s="29">
        <f t="shared" si="66"/>
        <v>1.1048034934497817</v>
      </c>
      <c r="CI56" s="29">
        <f t="shared" si="66"/>
        <v>1.077027027027027</v>
      </c>
    </row>
    <row r="57" spans="1:87" x14ac:dyDescent="0.2">
      <c r="A57" s="83"/>
      <c r="B57" s="72"/>
      <c r="C57" s="334"/>
      <c r="D57" s="334"/>
      <c r="E57" s="334"/>
      <c r="F57" s="334"/>
      <c r="G57" s="26"/>
      <c r="H57" s="331"/>
      <c r="I57" s="331"/>
      <c r="J57" s="340"/>
      <c r="K57" s="340"/>
      <c r="L57" s="341"/>
      <c r="M57" s="341"/>
      <c r="N57" s="340"/>
      <c r="O57" s="340"/>
      <c r="P57" s="340"/>
      <c r="Q57" s="340"/>
      <c r="R57" s="72"/>
      <c r="S57" s="333"/>
      <c r="T57" s="20"/>
      <c r="U57" s="23">
        <v>2012</v>
      </c>
      <c r="V57" s="338">
        <v>2340329</v>
      </c>
      <c r="W57" s="39"/>
      <c r="X57" s="338">
        <v>1248861</v>
      </c>
      <c r="Y57" s="39"/>
      <c r="Z57" s="338">
        <v>88274</v>
      </c>
      <c r="AA57" s="139"/>
      <c r="AB57" s="338">
        <v>1077978</v>
      </c>
      <c r="AC57" s="39"/>
      <c r="AD57" s="338">
        <v>2901669</v>
      </c>
      <c r="AE57" s="39"/>
      <c r="AF57" s="338">
        <v>4392067</v>
      </c>
      <c r="AG57" s="39"/>
      <c r="AH57" s="338">
        <v>1248861</v>
      </c>
      <c r="AI57" s="39"/>
      <c r="AJ57" s="338">
        <v>88274</v>
      </c>
      <c r="AK57" s="338">
        <v>6524029</v>
      </c>
      <c r="AL57" s="39"/>
      <c r="AM57" s="338">
        <v>4425070</v>
      </c>
      <c r="AN57" s="39"/>
      <c r="AO57" s="338">
        <v>5042020</v>
      </c>
      <c r="AP57" s="39"/>
      <c r="AQ57" s="338">
        <v>11992072</v>
      </c>
      <c r="AR57" s="39"/>
      <c r="AS57" s="338">
        <v>6016258</v>
      </c>
      <c r="AT57" s="39"/>
      <c r="AU57" s="338">
        <v>8681308</v>
      </c>
      <c r="AV57" s="39"/>
      <c r="AW57" s="338">
        <v>3310493</v>
      </c>
      <c r="AX57" s="39"/>
      <c r="AY57" s="338">
        <v>29369733</v>
      </c>
      <c r="AZ57" s="39"/>
      <c r="BA57" s="338">
        <v>3278156</v>
      </c>
      <c r="BB57" s="127"/>
      <c r="BC57" s="338">
        <v>7229000</v>
      </c>
      <c r="BD57" s="55">
        <f t="shared" si="67"/>
        <v>7229000</v>
      </c>
      <c r="BE57" s="212">
        <f t="shared" si="68"/>
        <v>1.0398480530645848E-2</v>
      </c>
    </row>
    <row r="58" spans="1:87" x14ac:dyDescent="0.2">
      <c r="A58" s="26"/>
      <c r="B58" s="339"/>
      <c r="C58" s="339"/>
      <c r="D58" s="339"/>
      <c r="E58" s="342"/>
      <c r="F58" s="342"/>
      <c r="G58" s="26"/>
      <c r="H58" s="340"/>
      <c r="I58" s="340"/>
      <c r="J58" s="340"/>
      <c r="K58" s="341"/>
      <c r="L58" s="341"/>
      <c r="M58" s="341"/>
      <c r="N58" s="340"/>
      <c r="O58" s="340"/>
      <c r="P58" s="340"/>
      <c r="Q58" s="340"/>
      <c r="R58" s="72"/>
      <c r="S58" s="333"/>
      <c r="T58" s="20"/>
      <c r="U58" s="23">
        <v>2013</v>
      </c>
      <c r="V58" s="338">
        <v>2340531</v>
      </c>
      <c r="W58" s="39"/>
      <c r="X58" s="338">
        <v>1272682.5</v>
      </c>
      <c r="Y58" s="39"/>
      <c r="Z58" s="338">
        <v>99534</v>
      </c>
      <c r="AA58" s="139"/>
      <c r="AB58" s="338">
        <v>1073433</v>
      </c>
      <c r="AC58" s="39"/>
      <c r="AD58" s="338">
        <v>2885391</v>
      </c>
      <c r="AE58" s="39"/>
      <c r="AF58" s="338">
        <v>4418997</v>
      </c>
      <c r="AG58" s="39"/>
      <c r="AH58" s="338">
        <v>1272682.5</v>
      </c>
      <c r="AI58" s="39"/>
      <c r="AJ58" s="338">
        <v>99534</v>
      </c>
      <c r="AK58" s="338">
        <v>6554585</v>
      </c>
      <c r="AL58" s="39"/>
      <c r="AM58" s="338">
        <v>4463555</v>
      </c>
      <c r="AN58" s="39"/>
      <c r="AO58" s="338">
        <v>5080368</v>
      </c>
      <c r="AP58" s="39"/>
      <c r="AQ58" s="338">
        <v>12063009</v>
      </c>
      <c r="AR58" s="39"/>
      <c r="AS58" s="338">
        <v>6050089</v>
      </c>
      <c r="AT58" s="39"/>
      <c r="AU58" s="338">
        <v>8717672</v>
      </c>
      <c r="AV58" s="39"/>
      <c r="AW58" s="338">
        <v>3321998</v>
      </c>
      <c r="AX58" s="39"/>
      <c r="AY58" s="338">
        <v>29362776</v>
      </c>
      <c r="AZ58" s="39"/>
      <c r="BA58" s="338">
        <v>3274086</v>
      </c>
      <c r="BB58" s="127"/>
      <c r="BC58" s="338">
        <v>7259203</v>
      </c>
      <c r="BD58" s="55">
        <f t="shared" si="67"/>
        <v>7259203</v>
      </c>
      <c r="BE58" s="212">
        <f t="shared" si="68"/>
        <v>4.1780329229492708E-3</v>
      </c>
      <c r="BH58" s="31"/>
      <c r="BI58" s="31"/>
      <c r="BJ58" s="31"/>
      <c r="BK58" s="31"/>
      <c r="BO58" s="26" t="s">
        <v>151</v>
      </c>
      <c r="BP58" s="26"/>
      <c r="BQ58" s="26"/>
      <c r="BR58" s="26"/>
      <c r="BS58" s="26"/>
      <c r="BT58" s="26"/>
      <c r="BU58" s="26"/>
      <c r="BV58" s="26"/>
      <c r="BW58" s="26"/>
      <c r="BX58" s="26"/>
      <c r="BZ58" s="26" t="s">
        <v>152</v>
      </c>
      <c r="CA58" s="26"/>
      <c r="CB58" s="26"/>
      <c r="CC58" s="26"/>
      <c r="CD58" s="26"/>
      <c r="CE58" s="26"/>
      <c r="CF58" s="26"/>
      <c r="CG58" s="26"/>
      <c r="CH58" s="26"/>
      <c r="CI58" s="26"/>
    </row>
    <row r="59" spans="1:87" x14ac:dyDescent="0.2">
      <c r="A59" s="26"/>
      <c r="B59" s="339"/>
      <c r="C59" s="339"/>
      <c r="D59" s="339"/>
      <c r="E59" s="342"/>
      <c r="F59" s="342"/>
      <c r="G59" s="26"/>
      <c r="H59" s="340"/>
      <c r="I59" s="340"/>
      <c r="J59" s="340"/>
      <c r="K59" s="55"/>
      <c r="L59" s="55"/>
      <c r="M59" s="343"/>
      <c r="N59" s="340"/>
      <c r="O59" s="340"/>
      <c r="P59" s="340"/>
      <c r="Q59" s="340"/>
      <c r="R59" s="72"/>
      <c r="S59" s="333"/>
      <c r="T59" s="20"/>
      <c r="U59" s="23">
        <v>2014</v>
      </c>
      <c r="V59" s="338">
        <v>2347625</v>
      </c>
      <c r="W59" s="39"/>
      <c r="X59" s="338">
        <v>1307625</v>
      </c>
      <c r="Y59" s="39"/>
      <c r="Z59" s="338">
        <v>116134</v>
      </c>
      <c r="AA59" s="139"/>
      <c r="AB59" s="338">
        <v>1070071</v>
      </c>
      <c r="AC59" s="39"/>
      <c r="AD59" s="338">
        <v>2869842</v>
      </c>
      <c r="AE59" s="39"/>
      <c r="AF59" s="338">
        <v>4457921</v>
      </c>
      <c r="AG59" s="39"/>
      <c r="AH59" s="338">
        <v>1307625</v>
      </c>
      <c r="AI59" s="39"/>
      <c r="AJ59" s="338">
        <v>116134</v>
      </c>
      <c r="AK59" s="338">
        <v>6614240</v>
      </c>
      <c r="AL59" s="39"/>
      <c r="AM59" s="338">
        <v>4526672</v>
      </c>
      <c r="AN59" s="39"/>
      <c r="AO59" s="338">
        <v>5141167</v>
      </c>
      <c r="AP59" s="39"/>
      <c r="AQ59" s="338">
        <v>12184332</v>
      </c>
      <c r="AR59" s="39"/>
      <c r="AS59" s="338">
        <v>6111834</v>
      </c>
      <c r="AT59" s="39"/>
      <c r="AU59" s="338">
        <v>8788675</v>
      </c>
      <c r="AV59" s="39"/>
      <c r="AW59" s="338">
        <v>3348151</v>
      </c>
      <c r="AX59" s="39"/>
      <c r="AY59" s="338">
        <v>29461651</v>
      </c>
      <c r="AZ59" s="39"/>
      <c r="BA59" s="338">
        <v>3275766</v>
      </c>
      <c r="BB59" s="127"/>
      <c r="BC59" s="338">
        <v>7318620</v>
      </c>
      <c r="BD59" s="55">
        <f t="shared" si="67"/>
        <v>7318620</v>
      </c>
      <c r="BE59" s="212">
        <f t="shared" si="68"/>
        <v>8.1850583321612103E-3</v>
      </c>
      <c r="BH59" s="31"/>
      <c r="BI59" s="31"/>
      <c r="BJ59" s="31"/>
      <c r="BK59" s="31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</row>
    <row r="60" spans="1:87" x14ac:dyDescent="0.2">
      <c r="A60" s="26"/>
      <c r="B60" s="339"/>
      <c r="C60" s="339"/>
      <c r="D60" s="339"/>
      <c r="E60" s="342"/>
      <c r="F60" s="342"/>
      <c r="G60" s="26"/>
      <c r="H60" s="340"/>
      <c r="I60" s="340"/>
      <c r="J60" s="340"/>
      <c r="K60" s="55"/>
      <c r="L60" s="55"/>
      <c r="M60" s="343"/>
      <c r="N60" s="340"/>
      <c r="O60" s="340"/>
      <c r="P60" s="340"/>
      <c r="Q60" s="340"/>
      <c r="R60" s="72"/>
      <c r="S60" s="333"/>
      <c r="T60" s="20"/>
      <c r="U60" s="23">
        <v>2015</v>
      </c>
      <c r="V60" s="338">
        <v>2360836</v>
      </c>
      <c r="W60" s="39"/>
      <c r="X60" s="338">
        <v>1349702.5</v>
      </c>
      <c r="Y60" s="39"/>
      <c r="Z60" s="338">
        <v>136248</v>
      </c>
      <c r="AA60" s="139"/>
      <c r="AB60" s="338">
        <v>1067801</v>
      </c>
      <c r="AC60" s="39"/>
      <c r="AD60" s="338">
        <v>2854956</v>
      </c>
      <c r="AE60" s="39"/>
      <c r="AF60" s="338">
        <v>4506412</v>
      </c>
      <c r="AG60" s="39"/>
      <c r="AH60" s="338">
        <v>1349702.5</v>
      </c>
      <c r="AI60" s="39"/>
      <c r="AJ60" s="338">
        <v>136248</v>
      </c>
      <c r="AK60" s="338">
        <v>6694785</v>
      </c>
      <c r="AL60" s="39"/>
      <c r="AM60" s="338">
        <v>4607630</v>
      </c>
      <c r="AN60" s="39"/>
      <c r="AO60" s="338">
        <v>5217518</v>
      </c>
      <c r="AP60" s="39"/>
      <c r="AQ60" s="338">
        <v>12341679</v>
      </c>
      <c r="AR60" s="39"/>
      <c r="AS60" s="338">
        <v>6193485</v>
      </c>
      <c r="AT60" s="39"/>
      <c r="AU60" s="338">
        <v>8883910</v>
      </c>
      <c r="AV60" s="39"/>
      <c r="AW60" s="338">
        <v>3384592</v>
      </c>
      <c r="AX60" s="39"/>
      <c r="AY60" s="338">
        <v>29667960</v>
      </c>
      <c r="AZ60" s="39"/>
      <c r="BA60" s="338">
        <v>3281503</v>
      </c>
      <c r="BB60" s="127"/>
      <c r="BC60" s="338">
        <v>7398955</v>
      </c>
      <c r="BD60" s="55">
        <f t="shared" si="67"/>
        <v>7398955</v>
      </c>
      <c r="BE60" s="212">
        <f t="shared" si="68"/>
        <v>1.0976796171956016E-2</v>
      </c>
      <c r="BH60" s="31"/>
      <c r="BI60" s="31"/>
      <c r="BJ60" s="31"/>
      <c r="BK60" s="31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</row>
    <row r="61" spans="1:87" x14ac:dyDescent="0.2">
      <c r="A61" s="26"/>
      <c r="B61" s="339"/>
      <c r="C61" s="339"/>
      <c r="D61" s="339"/>
      <c r="E61" s="342"/>
      <c r="F61" s="342"/>
      <c r="G61" s="26"/>
      <c r="H61" s="340"/>
      <c r="I61" s="340"/>
      <c r="J61" s="340"/>
      <c r="K61" s="55"/>
      <c r="L61" s="55"/>
      <c r="M61" s="343"/>
      <c r="N61" s="340"/>
      <c r="O61" s="340"/>
      <c r="P61" s="340"/>
      <c r="Q61" s="340"/>
      <c r="R61" s="72"/>
      <c r="S61" s="333"/>
      <c r="T61" s="20"/>
      <c r="U61" s="23">
        <v>2016</v>
      </c>
      <c r="V61" s="338">
        <v>2380085</v>
      </c>
      <c r="W61" s="39"/>
      <c r="X61" s="338">
        <v>1395553.5</v>
      </c>
      <c r="Y61" s="39"/>
      <c r="Z61" s="338">
        <v>157531</v>
      </c>
      <c r="AA61" s="139"/>
      <c r="AB61" s="338">
        <v>1066609</v>
      </c>
      <c r="AC61" s="39"/>
      <c r="AD61" s="338">
        <v>2840697</v>
      </c>
      <c r="AE61" s="39"/>
      <c r="AF61" s="338">
        <v>4562534</v>
      </c>
      <c r="AG61" s="39"/>
      <c r="AH61" s="338">
        <v>1395553.5</v>
      </c>
      <c r="AI61" s="39"/>
      <c r="AJ61" s="338">
        <v>157531</v>
      </c>
      <c r="AK61" s="338">
        <v>6788520</v>
      </c>
      <c r="AL61" s="39"/>
      <c r="AM61" s="338">
        <v>4699526</v>
      </c>
      <c r="AN61" s="39"/>
      <c r="AO61" s="338">
        <v>5304584</v>
      </c>
      <c r="AP61" s="39"/>
      <c r="AQ61" s="338">
        <v>12511664</v>
      </c>
      <c r="AR61" s="39"/>
      <c r="AS61" s="338">
        <v>6287180</v>
      </c>
      <c r="AT61" s="39"/>
      <c r="AU61" s="338">
        <v>8993239</v>
      </c>
      <c r="AV61" s="39"/>
      <c r="AW61" s="338">
        <v>3426742</v>
      </c>
      <c r="AX61" s="39"/>
      <c r="AY61" s="338">
        <v>29962707</v>
      </c>
      <c r="AZ61" s="39"/>
      <c r="BA61" s="338">
        <v>3289404</v>
      </c>
      <c r="BB61" s="127"/>
      <c r="BC61" s="338">
        <v>7492496</v>
      </c>
      <c r="BD61" s="55">
        <f t="shared" si="67"/>
        <v>7492496</v>
      </c>
      <c r="BE61" s="212">
        <f t="shared" si="68"/>
        <v>1.2642460996181271E-2</v>
      </c>
      <c r="BH61" s="31"/>
      <c r="BI61" s="31"/>
      <c r="BJ61" s="31"/>
      <c r="BK61" s="31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</row>
    <row r="62" spans="1:87" x14ac:dyDescent="0.2">
      <c r="A62" s="26"/>
      <c r="B62" s="339"/>
      <c r="C62" s="339"/>
      <c r="D62" s="339"/>
      <c r="E62" s="342"/>
      <c r="F62" s="342"/>
      <c r="G62" s="26"/>
      <c r="H62" s="340"/>
      <c r="I62" s="340"/>
      <c r="J62" s="340"/>
      <c r="K62" s="55"/>
      <c r="L62" s="55"/>
      <c r="M62" s="343"/>
      <c r="N62" s="340"/>
      <c r="O62" s="340"/>
      <c r="P62" s="340"/>
      <c r="Q62" s="340"/>
      <c r="R62" s="72"/>
      <c r="S62" s="333"/>
      <c r="T62" s="20"/>
      <c r="U62" s="23">
        <v>2017</v>
      </c>
      <c r="V62" s="338">
        <v>2403317</v>
      </c>
      <c r="W62" s="39"/>
      <c r="X62" s="338">
        <v>1443640.5</v>
      </c>
      <c r="Y62" s="39"/>
      <c r="Z62" s="338">
        <v>176926</v>
      </c>
      <c r="AA62" s="139"/>
      <c r="AB62" s="338">
        <v>1066172</v>
      </c>
      <c r="AC62" s="39"/>
      <c r="AD62" s="338">
        <v>2826912</v>
      </c>
      <c r="AE62" s="39"/>
      <c r="AF62" s="338">
        <v>4623649</v>
      </c>
      <c r="AG62" s="39"/>
      <c r="AH62" s="338">
        <v>1443640.5</v>
      </c>
      <c r="AI62" s="39"/>
      <c r="AJ62" s="338">
        <v>176926</v>
      </c>
      <c r="AK62" s="338">
        <v>6888274</v>
      </c>
      <c r="AL62" s="39"/>
      <c r="AM62" s="338">
        <v>4796644</v>
      </c>
      <c r="AN62" s="39"/>
      <c r="AO62" s="338">
        <v>5402655</v>
      </c>
      <c r="AP62" s="39"/>
      <c r="AQ62" s="338">
        <v>12691218</v>
      </c>
      <c r="AR62" s="39"/>
      <c r="AS62" s="338">
        <v>6386212</v>
      </c>
      <c r="AT62" s="39"/>
      <c r="AU62" s="338">
        <v>9108327</v>
      </c>
      <c r="AV62" s="39"/>
      <c r="AW62" s="338">
        <v>3471366</v>
      </c>
      <c r="AX62" s="39"/>
      <c r="AY62" s="338">
        <v>30331868</v>
      </c>
      <c r="AZ62" s="39"/>
      <c r="BA62" s="338">
        <v>3297094</v>
      </c>
      <c r="BB62" s="127"/>
      <c r="BC62" s="338">
        <v>7591914</v>
      </c>
      <c r="BD62" s="55">
        <f t="shared" si="67"/>
        <v>7591914</v>
      </c>
      <c r="BE62" s="212">
        <f t="shared" si="68"/>
        <v>1.3269009419557998E-2</v>
      </c>
      <c r="BH62" s="31"/>
      <c r="BI62" s="31"/>
      <c r="BJ62" s="31"/>
      <c r="BK62" s="31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</row>
    <row r="63" spans="1:87" x14ac:dyDescent="0.2">
      <c r="A63" s="26"/>
      <c r="B63" s="339"/>
      <c r="C63" s="339"/>
      <c r="D63" s="339"/>
      <c r="E63" s="342"/>
      <c r="F63" s="342"/>
      <c r="G63" s="26"/>
      <c r="H63" s="340"/>
      <c r="I63" s="340"/>
      <c r="J63" s="340"/>
      <c r="K63" s="55"/>
      <c r="L63" s="55"/>
      <c r="M63" s="343"/>
      <c r="N63" s="340"/>
      <c r="O63" s="340"/>
      <c r="P63" s="340"/>
      <c r="Q63" s="340"/>
      <c r="R63" s="72"/>
      <c r="S63" s="333"/>
      <c r="T63" s="20"/>
      <c r="U63" s="23">
        <v>2018</v>
      </c>
      <c r="V63" s="338">
        <v>2427853</v>
      </c>
      <c r="W63" s="39"/>
      <c r="X63" s="338">
        <v>1491759.5</v>
      </c>
      <c r="Y63" s="39"/>
      <c r="Z63" s="338">
        <v>194403</v>
      </c>
      <c r="AA63" s="139"/>
      <c r="AB63" s="338">
        <v>1066067</v>
      </c>
      <c r="AC63" s="39"/>
      <c r="AD63" s="338">
        <v>2813445</v>
      </c>
      <c r="AE63" s="39"/>
      <c r="AF63" s="338">
        <v>4686224</v>
      </c>
      <c r="AG63" s="39"/>
      <c r="AH63" s="338">
        <v>1491759.5</v>
      </c>
      <c r="AI63" s="39"/>
      <c r="AJ63" s="338">
        <v>194403</v>
      </c>
      <c r="AK63" s="338">
        <v>6988226</v>
      </c>
      <c r="AL63" s="39"/>
      <c r="AM63" s="338">
        <v>4894611</v>
      </c>
      <c r="AN63" s="39"/>
      <c r="AO63" s="338">
        <v>5499585</v>
      </c>
      <c r="AP63" s="39"/>
      <c r="AQ63" s="338">
        <v>12870809</v>
      </c>
      <c r="AR63" s="39"/>
      <c r="AS63" s="338">
        <v>6485364</v>
      </c>
      <c r="AT63" s="39"/>
      <c r="AU63" s="338">
        <v>9222915</v>
      </c>
      <c r="AV63" s="39"/>
      <c r="AW63" s="338">
        <v>3516148</v>
      </c>
      <c r="AX63" s="39"/>
      <c r="AY63" s="338">
        <v>30751692</v>
      </c>
      <c r="AZ63" s="39"/>
      <c r="BA63" s="338">
        <v>3304893</v>
      </c>
      <c r="BB63" s="127"/>
      <c r="BC63" s="338">
        <v>7691282</v>
      </c>
      <c r="BD63" s="55">
        <f t="shared" si="67"/>
        <v>7691282</v>
      </c>
      <c r="BE63" s="212">
        <f t="shared" si="68"/>
        <v>1.3088662490117864E-2</v>
      </c>
      <c r="BH63" s="31"/>
      <c r="BI63" s="31"/>
      <c r="BJ63" s="31"/>
      <c r="BK63" s="31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</row>
    <row r="64" spans="1:87" x14ac:dyDescent="0.2">
      <c r="A64" s="26"/>
      <c r="B64" s="339"/>
      <c r="C64" s="339"/>
      <c r="D64" s="339"/>
      <c r="E64" s="342"/>
      <c r="F64" s="342"/>
      <c r="G64" s="26"/>
      <c r="H64" s="340"/>
      <c r="I64" s="340"/>
      <c r="J64" s="340"/>
      <c r="K64" s="55"/>
      <c r="L64" s="55"/>
      <c r="M64" s="343"/>
      <c r="N64" s="340"/>
      <c r="O64" s="340"/>
      <c r="P64" s="340"/>
      <c r="Q64" s="340"/>
      <c r="R64" s="72"/>
      <c r="S64" s="333"/>
      <c r="T64" s="20"/>
      <c r="U64" s="23">
        <v>2019</v>
      </c>
      <c r="V64" s="338">
        <v>2452402</v>
      </c>
      <c r="W64" s="39"/>
      <c r="X64" s="338">
        <v>1539757</v>
      </c>
      <c r="Y64" s="39"/>
      <c r="Z64" s="338">
        <v>210320</v>
      </c>
      <c r="AA64" s="139"/>
      <c r="AB64" s="338">
        <v>1065991</v>
      </c>
      <c r="AC64" s="39"/>
      <c r="AD64" s="338">
        <v>2800170</v>
      </c>
      <c r="AE64" s="39"/>
      <c r="AF64" s="338">
        <v>4748709</v>
      </c>
      <c r="AG64" s="39"/>
      <c r="AH64" s="338">
        <v>1539757</v>
      </c>
      <c r="AI64" s="39"/>
      <c r="AJ64" s="338">
        <v>210320</v>
      </c>
      <c r="AK64" s="338">
        <v>7086948</v>
      </c>
      <c r="AL64" s="39"/>
      <c r="AM64" s="338">
        <v>4992340</v>
      </c>
      <c r="AN64" s="39"/>
      <c r="AO64" s="338">
        <v>5594416</v>
      </c>
      <c r="AP64" s="39"/>
      <c r="AQ64" s="338">
        <v>13046881</v>
      </c>
      <c r="AR64" s="39"/>
      <c r="AS64" s="338">
        <v>6583251</v>
      </c>
      <c r="AT64" s="39"/>
      <c r="AU64" s="338">
        <v>9335730</v>
      </c>
      <c r="AV64" s="39"/>
      <c r="AW64" s="338">
        <v>3560348</v>
      </c>
      <c r="AX64" s="39"/>
      <c r="AY64" s="338">
        <v>31209732</v>
      </c>
      <c r="AZ64" s="39"/>
      <c r="BA64" s="338">
        <v>3313867</v>
      </c>
      <c r="BB64" s="127"/>
      <c r="BC64" s="338">
        <v>7789169</v>
      </c>
      <c r="BD64" s="55">
        <f t="shared" si="67"/>
        <v>7789169</v>
      </c>
      <c r="BE64" s="212">
        <f t="shared" si="68"/>
        <v>1.2727007019115888E-2</v>
      </c>
      <c r="BH64" s="31"/>
      <c r="BI64" s="31"/>
      <c r="BJ64" s="31"/>
      <c r="BK64" s="31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</row>
    <row r="65" spans="1:87" x14ac:dyDescent="0.2">
      <c r="A65" s="26"/>
      <c r="B65" s="339"/>
      <c r="C65" s="339"/>
      <c r="D65" s="339"/>
      <c r="E65" s="342"/>
      <c r="F65" s="342"/>
      <c r="G65" s="26"/>
      <c r="H65" s="340"/>
      <c r="I65" s="340"/>
      <c r="J65" s="340"/>
      <c r="K65" s="55"/>
      <c r="L65" s="55"/>
      <c r="M65" s="343"/>
      <c r="N65" s="340"/>
      <c r="O65" s="340"/>
      <c r="P65" s="340"/>
      <c r="Q65" s="340"/>
      <c r="R65" s="72"/>
      <c r="S65" s="333"/>
      <c r="T65" s="20"/>
      <c r="U65" s="23">
        <v>2020</v>
      </c>
      <c r="V65" s="338">
        <v>2476137</v>
      </c>
      <c r="W65" s="39"/>
      <c r="X65" s="338">
        <v>1587068.5</v>
      </c>
      <c r="Y65" s="39"/>
      <c r="Z65" s="338">
        <v>224773</v>
      </c>
      <c r="AA65" s="139"/>
      <c r="AB65" s="338">
        <v>1065779</v>
      </c>
      <c r="AC65" s="39"/>
      <c r="AD65" s="338">
        <v>2787029</v>
      </c>
      <c r="AE65" s="39"/>
      <c r="AF65" s="338">
        <v>4809955</v>
      </c>
      <c r="AG65" s="39"/>
      <c r="AH65" s="338">
        <v>1587068.5</v>
      </c>
      <c r="AI65" s="39"/>
      <c r="AJ65" s="338">
        <v>224773</v>
      </c>
      <c r="AK65" s="338">
        <v>7182783</v>
      </c>
      <c r="AL65" s="39"/>
      <c r="AM65" s="338">
        <v>5088475</v>
      </c>
      <c r="AN65" s="39"/>
      <c r="AO65" s="338">
        <v>5685765</v>
      </c>
      <c r="AP65" s="39"/>
      <c r="AQ65" s="338">
        <v>13217343</v>
      </c>
      <c r="AR65" s="39"/>
      <c r="AS65" s="338">
        <v>6678319</v>
      </c>
      <c r="AT65" s="39"/>
      <c r="AU65" s="338">
        <v>9445001</v>
      </c>
      <c r="AV65" s="39"/>
      <c r="AW65" s="338">
        <v>3603151</v>
      </c>
      <c r="AX65" s="39"/>
      <c r="AY65" s="338">
        <v>31685772</v>
      </c>
      <c r="AZ65" s="39"/>
      <c r="BA65" s="338">
        <v>3322877</v>
      </c>
      <c r="BB65" s="127"/>
      <c r="BC65" s="338">
        <v>7883915</v>
      </c>
      <c r="BD65" s="55">
        <f t="shared" si="67"/>
        <v>7883915</v>
      </c>
      <c r="BE65" s="212">
        <f t="shared" si="68"/>
        <v>1.2163813623764064E-2</v>
      </c>
      <c r="BH65" s="31"/>
      <c r="BI65" s="31"/>
      <c r="BJ65" s="31"/>
      <c r="BK65" s="31"/>
      <c r="BO65" s="64" t="s">
        <v>15</v>
      </c>
      <c r="BP65" s="64" t="s">
        <v>83</v>
      </c>
      <c r="BQ65" s="64" t="s">
        <v>84</v>
      </c>
      <c r="BR65" s="64" t="s">
        <v>85</v>
      </c>
      <c r="BS65" s="64" t="s">
        <v>86</v>
      </c>
      <c r="BT65" s="64" t="s">
        <v>87</v>
      </c>
      <c r="BU65" s="64" t="s">
        <v>88</v>
      </c>
      <c r="BV65" s="64" t="s">
        <v>89</v>
      </c>
      <c r="BW65" s="64" t="s">
        <v>90</v>
      </c>
      <c r="BX65" s="64" t="s">
        <v>91</v>
      </c>
      <c r="BZ65" s="64" t="s">
        <v>15</v>
      </c>
      <c r="CA65" s="64" t="s">
        <v>83</v>
      </c>
      <c r="CB65" s="64" t="s">
        <v>84</v>
      </c>
      <c r="CC65" s="64" t="s">
        <v>85</v>
      </c>
      <c r="CD65" s="64" t="s">
        <v>86</v>
      </c>
      <c r="CE65" s="64" t="s">
        <v>87</v>
      </c>
      <c r="CF65" s="64" t="s">
        <v>88</v>
      </c>
      <c r="CG65" s="64" t="s">
        <v>89</v>
      </c>
      <c r="CH65" s="64" t="s">
        <v>90</v>
      </c>
      <c r="CI65" s="64" t="s">
        <v>91</v>
      </c>
    </row>
    <row r="66" spans="1:87" x14ac:dyDescent="0.2">
      <c r="A66" s="26"/>
      <c r="B66" s="339"/>
      <c r="C66" s="339"/>
      <c r="D66" s="339"/>
      <c r="E66" s="342"/>
      <c r="F66" s="342"/>
      <c r="G66" s="26"/>
      <c r="H66" s="340"/>
      <c r="I66" s="340"/>
      <c r="J66" s="340"/>
      <c r="K66" s="55"/>
      <c r="L66" s="55"/>
      <c r="M66" s="343"/>
      <c r="N66" s="340"/>
      <c r="O66" s="340"/>
      <c r="P66" s="340"/>
      <c r="Q66" s="340"/>
      <c r="R66" s="72"/>
      <c r="S66" s="333"/>
      <c r="T66" s="20"/>
      <c r="U66" s="23">
        <v>2021</v>
      </c>
      <c r="V66" s="338">
        <v>2498502</v>
      </c>
      <c r="W66" s="39"/>
      <c r="X66" s="338">
        <v>1632941</v>
      </c>
      <c r="Y66" s="39"/>
      <c r="Z66" s="338">
        <v>237730</v>
      </c>
      <c r="AA66" s="139"/>
      <c r="AB66" s="338">
        <v>1065338</v>
      </c>
      <c r="AC66" s="39"/>
      <c r="AD66" s="338">
        <v>2773973</v>
      </c>
      <c r="AE66" s="39"/>
      <c r="AF66" s="338">
        <v>4868979</v>
      </c>
      <c r="AG66" s="39"/>
      <c r="AH66" s="338">
        <v>1632941</v>
      </c>
      <c r="AI66" s="39"/>
      <c r="AJ66" s="338">
        <v>237730</v>
      </c>
      <c r="AK66" s="338">
        <v>7273890</v>
      </c>
      <c r="AL66" s="39"/>
      <c r="AM66" s="338">
        <v>5181376</v>
      </c>
      <c r="AN66" s="39"/>
      <c r="AO66" s="338">
        <v>5772721</v>
      </c>
      <c r="AP66" s="39"/>
      <c r="AQ66" s="338">
        <v>13386498</v>
      </c>
      <c r="AR66" s="39"/>
      <c r="AS66" s="338">
        <v>6768816</v>
      </c>
      <c r="AT66" s="39"/>
      <c r="AU66" s="338">
        <v>9548621</v>
      </c>
      <c r="AV66" s="39"/>
      <c r="AW66" s="338">
        <v>3643662</v>
      </c>
      <c r="AX66" s="39"/>
      <c r="AY66" s="338">
        <v>32150432</v>
      </c>
      <c r="AZ66" s="39"/>
      <c r="BA66" s="338">
        <v>3331455</v>
      </c>
      <c r="BB66" s="127"/>
      <c r="BC66" s="338">
        <v>7973708</v>
      </c>
      <c r="BD66" s="55">
        <f t="shared" si="67"/>
        <v>7973708</v>
      </c>
      <c r="BE66" s="212">
        <f t="shared" si="68"/>
        <v>1.1389392199180337E-2</v>
      </c>
      <c r="BH66" s="31"/>
      <c r="BI66" s="31"/>
      <c r="BJ66" s="31"/>
      <c r="BK66" s="31"/>
      <c r="BO66" s="26">
        <v>1990</v>
      </c>
      <c r="BP66" s="124">
        <v>27.64</v>
      </c>
      <c r="BQ66" s="124">
        <v>31.89</v>
      </c>
      <c r="BR66" s="124">
        <v>15.03</v>
      </c>
      <c r="BS66" s="124">
        <v>13.17</v>
      </c>
      <c r="BT66" s="124">
        <v>16.43</v>
      </c>
      <c r="BU66" s="124">
        <v>13.32</v>
      </c>
      <c r="BV66" s="124">
        <v>14.94</v>
      </c>
      <c r="BW66" s="124">
        <v>13.31</v>
      </c>
      <c r="BX66" s="124">
        <v>17.690000000000001</v>
      </c>
      <c r="BZ66" s="26">
        <v>1990</v>
      </c>
      <c r="CA66" s="120">
        <v>6.86</v>
      </c>
      <c r="CB66" s="120">
        <v>6.06</v>
      </c>
      <c r="CC66" s="120">
        <v>4.5199999999999996</v>
      </c>
      <c r="CD66" s="120">
        <v>4.21</v>
      </c>
      <c r="CE66" s="120">
        <v>5.85</v>
      </c>
      <c r="CF66" s="120">
        <v>4.76</v>
      </c>
      <c r="CG66" s="120">
        <v>4.8600000000000003</v>
      </c>
      <c r="CH66" s="120">
        <v>4.53</v>
      </c>
      <c r="CI66" s="120">
        <v>4.97</v>
      </c>
    </row>
    <row r="67" spans="1:87" x14ac:dyDescent="0.2">
      <c r="A67" s="26"/>
      <c r="B67" s="339"/>
      <c r="C67" s="339"/>
      <c r="D67" s="339"/>
      <c r="E67" s="342"/>
      <c r="F67" s="342"/>
      <c r="G67" s="26"/>
      <c r="H67" s="340"/>
      <c r="I67" s="340"/>
      <c r="J67" s="340"/>
      <c r="K67" s="55"/>
      <c r="L67" s="55"/>
      <c r="M67" s="343"/>
      <c r="N67" s="340"/>
      <c r="O67" s="340"/>
      <c r="P67" s="340"/>
      <c r="Q67" s="340"/>
      <c r="R67" s="72"/>
      <c r="S67" s="333"/>
      <c r="T67" s="20"/>
      <c r="U67" s="23">
        <v>2022</v>
      </c>
      <c r="V67" s="338">
        <v>2519832</v>
      </c>
      <c r="W67" s="39"/>
      <c r="X67" s="338">
        <v>1678329.5</v>
      </c>
      <c r="Y67" s="39"/>
      <c r="Z67" s="338">
        <v>249677</v>
      </c>
      <c r="AA67" s="139"/>
      <c r="AB67" s="338">
        <v>1064694</v>
      </c>
      <c r="AC67" s="39"/>
      <c r="AD67" s="338">
        <v>2761024</v>
      </c>
      <c r="AE67" s="39"/>
      <c r="AF67" s="338">
        <v>4926505</v>
      </c>
      <c r="AG67" s="39"/>
      <c r="AH67" s="338">
        <v>1678329.5</v>
      </c>
      <c r="AI67" s="39"/>
      <c r="AJ67" s="338">
        <v>249677</v>
      </c>
      <c r="AK67" s="338">
        <v>7362216</v>
      </c>
      <c r="AL67" s="39"/>
      <c r="AM67" s="338">
        <v>5272964</v>
      </c>
      <c r="AN67" s="39"/>
      <c r="AO67" s="338">
        <v>5857171</v>
      </c>
      <c r="AP67" s="39"/>
      <c r="AQ67" s="338">
        <v>13550272</v>
      </c>
      <c r="AR67" s="39"/>
      <c r="AS67" s="338">
        <v>6856801</v>
      </c>
      <c r="AT67" s="39"/>
      <c r="AU67" s="338">
        <v>9649252</v>
      </c>
      <c r="AV67" s="39"/>
      <c r="AW67" s="338">
        <v>3682920</v>
      </c>
      <c r="AX67" s="39"/>
      <c r="AY67" s="338">
        <v>32643307</v>
      </c>
      <c r="AZ67" s="39"/>
      <c r="BA67" s="338">
        <v>3339725</v>
      </c>
      <c r="BB67" s="127"/>
      <c r="BC67" s="338">
        <v>8060724</v>
      </c>
      <c r="BD67" s="55">
        <f t="shared" si="67"/>
        <v>8060724</v>
      </c>
      <c r="BE67" s="212">
        <f t="shared" si="68"/>
        <v>1.0912865131253779E-2</v>
      </c>
      <c r="BH67" s="31"/>
      <c r="BI67" s="31"/>
      <c r="BJ67" s="31"/>
      <c r="BK67" s="31"/>
      <c r="BO67" s="26">
        <f t="shared" ref="BO67:BO75" si="69">BO68-1</f>
        <v>1991</v>
      </c>
      <c r="BP67" s="124">
        <v>26.03</v>
      </c>
      <c r="BQ67" s="124">
        <v>26.33</v>
      </c>
      <c r="BR67" s="124">
        <v>16.899999999999999</v>
      </c>
      <c r="BS67" s="124">
        <v>15.26</v>
      </c>
      <c r="BT67" s="124">
        <v>17.100000000000001</v>
      </c>
      <c r="BU67" s="124">
        <v>15.74</v>
      </c>
      <c r="BV67" s="124">
        <v>15.47</v>
      </c>
      <c r="BW67" s="124">
        <v>14.4</v>
      </c>
      <c r="BX67" s="124">
        <v>18.13</v>
      </c>
      <c r="BZ67" s="26">
        <f>BZ66+1</f>
        <v>1991</v>
      </c>
      <c r="CA67" s="120">
        <v>6.84</v>
      </c>
      <c r="CB67" s="120">
        <v>5.9</v>
      </c>
      <c r="CC67" s="120">
        <v>4.34</v>
      </c>
      <c r="CD67" s="120">
        <v>3.98</v>
      </c>
      <c r="CE67" s="120">
        <v>5.58</v>
      </c>
      <c r="CF67" s="120">
        <v>4.67</v>
      </c>
      <c r="CG67" s="120">
        <v>4.59</v>
      </c>
      <c r="CH67" s="120">
        <v>4.38</v>
      </c>
      <c r="CI67" s="120">
        <v>5.13</v>
      </c>
    </row>
    <row r="68" spans="1:87" x14ac:dyDescent="0.2">
      <c r="A68" s="26"/>
      <c r="B68" s="339"/>
      <c r="C68" s="339"/>
      <c r="D68" s="339"/>
      <c r="E68" s="342"/>
      <c r="F68" s="342"/>
      <c r="G68" s="26"/>
      <c r="H68" s="340"/>
      <c r="I68" s="340"/>
      <c r="J68" s="340"/>
      <c r="K68" s="55"/>
      <c r="L68" s="55"/>
      <c r="M68" s="343"/>
      <c r="N68" s="340"/>
      <c r="O68" s="340"/>
      <c r="P68" s="340"/>
      <c r="Q68" s="340"/>
      <c r="R68" s="72"/>
      <c r="S68" s="333"/>
      <c r="T68" s="20"/>
      <c r="U68" s="23">
        <v>2023</v>
      </c>
      <c r="V68" s="338">
        <v>2540137</v>
      </c>
      <c r="W68" s="39"/>
      <c r="X68" s="338">
        <v>1724282.5</v>
      </c>
      <c r="Y68" s="39"/>
      <c r="Z68" s="338">
        <v>261137</v>
      </c>
      <c r="AA68" s="139"/>
      <c r="AB68" s="338">
        <v>1063853</v>
      </c>
      <c r="AC68" s="39"/>
      <c r="AD68" s="338">
        <v>2748177</v>
      </c>
      <c r="AE68" s="39"/>
      <c r="AF68" s="338">
        <v>4983141</v>
      </c>
      <c r="AG68" s="39"/>
      <c r="AH68" s="338">
        <v>1724282.5</v>
      </c>
      <c r="AI68" s="39"/>
      <c r="AJ68" s="338">
        <v>261137</v>
      </c>
      <c r="AK68" s="338">
        <v>7449943</v>
      </c>
      <c r="AL68" s="39"/>
      <c r="AM68" s="338">
        <v>5365431</v>
      </c>
      <c r="AN68" s="39"/>
      <c r="AO68" s="338">
        <v>5940745</v>
      </c>
      <c r="AP68" s="39"/>
      <c r="AQ68" s="338">
        <v>13713086</v>
      </c>
      <c r="AR68" s="39"/>
      <c r="AS68" s="338">
        <v>6944509</v>
      </c>
      <c r="AT68" s="39"/>
      <c r="AU68" s="338">
        <v>9749796</v>
      </c>
      <c r="AV68" s="39"/>
      <c r="AW68" s="338">
        <v>3722258</v>
      </c>
      <c r="AX68" s="39"/>
      <c r="AY68" s="338">
        <v>33141743</v>
      </c>
      <c r="AZ68" s="39"/>
      <c r="BA68" s="338">
        <v>3347903</v>
      </c>
      <c r="BB68" s="127"/>
      <c r="BC68" s="338">
        <v>8147168</v>
      </c>
      <c r="BD68" s="55">
        <f t="shared" si="67"/>
        <v>8147168</v>
      </c>
      <c r="BE68" s="212">
        <f t="shared" si="68"/>
        <v>1.0724098728600584E-2</v>
      </c>
      <c r="BH68" s="31"/>
      <c r="BI68" s="31"/>
      <c r="BJ68" s="31"/>
      <c r="BK68" s="31"/>
      <c r="BO68" s="26">
        <f t="shared" si="69"/>
        <v>1992</v>
      </c>
      <c r="BP68" s="124">
        <v>26.63</v>
      </c>
      <c r="BQ68" s="124">
        <v>25.21</v>
      </c>
      <c r="BR68" s="124">
        <v>17.98</v>
      </c>
      <c r="BS68" s="124">
        <v>16.28</v>
      </c>
      <c r="BT68" s="124">
        <v>17.420000000000002</v>
      </c>
      <c r="BU68" s="124">
        <v>16.489999999999998</v>
      </c>
      <c r="BV68" s="124">
        <v>15.96</v>
      </c>
      <c r="BW68" s="124">
        <v>15.76</v>
      </c>
      <c r="BX68" s="124">
        <v>18.57</v>
      </c>
      <c r="BZ68" s="26">
        <f t="shared" ref="BZ68:BZ112" si="70">BZ67+1</f>
        <v>1992</v>
      </c>
      <c r="CA68" s="120">
        <v>6.64</v>
      </c>
      <c r="CB68" s="120">
        <v>5.84</v>
      </c>
      <c r="CC68" s="120">
        <v>4.28</v>
      </c>
      <c r="CD68" s="120">
        <v>4.08</v>
      </c>
      <c r="CE68" s="120">
        <v>5.47</v>
      </c>
      <c r="CF68" s="120">
        <v>4.59</v>
      </c>
      <c r="CG68" s="120">
        <v>4.55</v>
      </c>
      <c r="CH68" s="120">
        <v>4.2300000000000004</v>
      </c>
      <c r="CI68" s="120">
        <v>4.8099999999999996</v>
      </c>
    </row>
    <row r="69" spans="1:87" x14ac:dyDescent="0.2">
      <c r="A69" s="26"/>
      <c r="B69" s="339"/>
      <c r="C69" s="339"/>
      <c r="D69" s="339"/>
      <c r="E69" s="342"/>
      <c r="F69" s="342"/>
      <c r="G69" s="26"/>
      <c r="H69" s="340"/>
      <c r="I69" s="340"/>
      <c r="J69" s="340"/>
      <c r="K69" s="55"/>
      <c r="L69" s="55"/>
      <c r="M69" s="343"/>
      <c r="N69" s="340"/>
      <c r="O69" s="340"/>
      <c r="P69" s="340"/>
      <c r="Q69" s="340"/>
      <c r="R69" s="72"/>
      <c r="S69" s="333"/>
      <c r="T69" s="20"/>
      <c r="U69" s="23">
        <v>2024</v>
      </c>
      <c r="V69" s="338">
        <v>2559874</v>
      </c>
      <c r="W69" s="39"/>
      <c r="X69" s="338">
        <v>1771198.5</v>
      </c>
      <c r="Y69" s="39"/>
      <c r="Z69" s="338">
        <v>272192</v>
      </c>
      <c r="AA69" s="139"/>
      <c r="AB69" s="338">
        <v>1062872</v>
      </c>
      <c r="AC69" s="39"/>
      <c r="AD69" s="338">
        <v>2735458</v>
      </c>
      <c r="AE69" s="39"/>
      <c r="AF69" s="338">
        <v>5039406</v>
      </c>
      <c r="AG69" s="39"/>
      <c r="AH69" s="338">
        <v>1771198.5</v>
      </c>
      <c r="AI69" s="39"/>
      <c r="AJ69" s="338">
        <v>272192</v>
      </c>
      <c r="AK69" s="338">
        <v>7538099</v>
      </c>
      <c r="AL69" s="39"/>
      <c r="AM69" s="338">
        <v>5459555</v>
      </c>
      <c r="AN69" s="39"/>
      <c r="AO69" s="338">
        <v>6024215</v>
      </c>
      <c r="AP69" s="39"/>
      <c r="AQ69" s="338">
        <v>13877455</v>
      </c>
      <c r="AR69" s="39"/>
      <c r="AS69" s="338">
        <v>7032803</v>
      </c>
      <c r="AT69" s="39"/>
      <c r="AU69" s="338">
        <v>9851294</v>
      </c>
      <c r="AV69" s="39"/>
      <c r="AW69" s="338">
        <v>3761984</v>
      </c>
      <c r="AX69" s="39"/>
      <c r="AY69" s="338">
        <v>33649386</v>
      </c>
      <c r="AZ69" s="39"/>
      <c r="BA69" s="338">
        <v>3357102</v>
      </c>
      <c r="BB69" s="127"/>
      <c r="BC69" s="338">
        <v>8234035</v>
      </c>
      <c r="BD69" s="55">
        <f t="shared" si="67"/>
        <v>8234035</v>
      </c>
      <c r="BE69" s="212">
        <f t="shared" si="68"/>
        <v>1.0662232569648822E-2</v>
      </c>
      <c r="BO69" s="26">
        <f t="shared" si="69"/>
        <v>1993</v>
      </c>
      <c r="BP69" s="124">
        <v>27.92</v>
      </c>
      <c r="BQ69" s="124">
        <v>24.89</v>
      </c>
      <c r="BR69" s="124">
        <v>18.21</v>
      </c>
      <c r="BS69" s="124">
        <v>16.48</v>
      </c>
      <c r="BT69" s="124">
        <v>17.350000000000001</v>
      </c>
      <c r="BU69" s="124">
        <v>16.52</v>
      </c>
      <c r="BV69" s="124">
        <v>16.78</v>
      </c>
      <c r="BW69" s="124">
        <v>15.89</v>
      </c>
      <c r="BX69" s="124">
        <v>18.61</v>
      </c>
      <c r="BZ69" s="26">
        <f t="shared" si="70"/>
        <v>1993</v>
      </c>
      <c r="CA69" s="120">
        <v>6.85</v>
      </c>
      <c r="CB69" s="120">
        <v>6.01</v>
      </c>
      <c r="CC69" s="120">
        <v>4.46</v>
      </c>
      <c r="CD69" s="120">
        <v>4.2300000000000004</v>
      </c>
      <c r="CE69" s="120">
        <v>5.76</v>
      </c>
      <c r="CF69" s="120">
        <v>4.7</v>
      </c>
      <c r="CG69" s="120">
        <v>4.58</v>
      </c>
      <c r="CH69" s="120">
        <v>4.16</v>
      </c>
      <c r="CI69" s="120">
        <v>4.92</v>
      </c>
    </row>
    <row r="70" spans="1:87" x14ac:dyDescent="0.2">
      <c r="A70" s="26"/>
      <c r="B70" s="339"/>
      <c r="C70" s="339"/>
      <c r="D70" s="339"/>
      <c r="E70" s="342"/>
      <c r="F70" s="342"/>
      <c r="G70" s="26"/>
      <c r="H70" s="340"/>
      <c r="I70" s="340"/>
      <c r="J70" s="340"/>
      <c r="K70" s="55"/>
      <c r="L70" s="55"/>
      <c r="M70" s="343"/>
      <c r="N70" s="340"/>
      <c r="O70" s="340"/>
      <c r="P70" s="340"/>
      <c r="Q70" s="340"/>
      <c r="R70" s="72"/>
      <c r="T70" s="20"/>
      <c r="U70" s="23">
        <v>2025</v>
      </c>
      <c r="V70" s="338">
        <v>2579035</v>
      </c>
      <c r="W70" s="39"/>
      <c r="X70" s="338">
        <v>1818783.5</v>
      </c>
      <c r="Y70" s="39"/>
      <c r="Z70" s="338">
        <v>282734</v>
      </c>
      <c r="AA70" s="139"/>
      <c r="AB70" s="338">
        <v>1061713</v>
      </c>
      <c r="AC70" s="39"/>
      <c r="AD70" s="338">
        <v>2722836</v>
      </c>
      <c r="AE70" s="39"/>
      <c r="AF70" s="338">
        <v>5095026</v>
      </c>
      <c r="AG70" s="39"/>
      <c r="AH70" s="338">
        <v>1818783.5</v>
      </c>
      <c r="AI70" s="39"/>
      <c r="AJ70" s="338">
        <v>282734</v>
      </c>
      <c r="AK70" s="338">
        <v>7625973</v>
      </c>
      <c r="AL70" s="39"/>
      <c r="AM70" s="338">
        <v>5554530</v>
      </c>
      <c r="AN70" s="39"/>
      <c r="AO70" s="338">
        <v>6107071</v>
      </c>
      <c r="AP70" s="39"/>
      <c r="AQ70" s="338">
        <v>14040897</v>
      </c>
      <c r="AR70" s="39"/>
      <c r="AS70" s="338">
        <v>7120904</v>
      </c>
      <c r="AT70" s="39"/>
      <c r="AU70" s="338">
        <v>9952747</v>
      </c>
      <c r="AV70" s="39"/>
      <c r="AW70" s="338">
        <v>3801504</v>
      </c>
      <c r="AX70" s="39"/>
      <c r="AY70" s="338">
        <v>34164025</v>
      </c>
      <c r="AZ70" s="39"/>
      <c r="BA70" s="338">
        <v>3366121</v>
      </c>
      <c r="BB70" s="127"/>
      <c r="BC70" s="338">
        <v>8320630</v>
      </c>
      <c r="BD70" s="55">
        <f t="shared" si="67"/>
        <v>8320630</v>
      </c>
      <c r="BE70" s="89"/>
      <c r="BO70" s="26">
        <f t="shared" si="69"/>
        <v>1994</v>
      </c>
      <c r="BP70" s="124">
        <v>29.1</v>
      </c>
      <c r="BQ70" s="124">
        <v>25.35</v>
      </c>
      <c r="BR70" s="124">
        <v>18.52</v>
      </c>
      <c r="BS70" s="124">
        <v>16.989999999999998</v>
      </c>
      <c r="BT70" s="124">
        <v>17.760000000000002</v>
      </c>
      <c r="BU70" s="124">
        <v>17.010000000000002</v>
      </c>
      <c r="BV70" s="124">
        <v>17.260000000000002</v>
      </c>
      <c r="BW70" s="124">
        <v>16.86</v>
      </c>
      <c r="BX70" s="124">
        <v>19.21</v>
      </c>
      <c r="BZ70" s="26">
        <f t="shared" si="70"/>
        <v>1994</v>
      </c>
      <c r="CA70" s="120">
        <v>7.22</v>
      </c>
      <c r="CB70" s="120">
        <v>6.26</v>
      </c>
      <c r="CC70" s="120">
        <v>4.42</v>
      </c>
      <c r="CD70" s="120">
        <v>4.1399999999999997</v>
      </c>
      <c r="CE70" s="120">
        <v>5.83</v>
      </c>
      <c r="CF70" s="120">
        <v>4.8499999999999996</v>
      </c>
      <c r="CG70" s="120">
        <v>4.6500000000000004</v>
      </c>
      <c r="CH70" s="120">
        <v>4.3099999999999996</v>
      </c>
      <c r="CI70" s="120">
        <v>4.97</v>
      </c>
    </row>
    <row r="71" spans="1:87" x14ac:dyDescent="0.2">
      <c r="A71" s="26"/>
      <c r="B71" s="339"/>
      <c r="C71" s="339"/>
      <c r="D71" s="339"/>
      <c r="E71" s="342"/>
      <c r="F71" s="342"/>
      <c r="G71" s="26"/>
      <c r="H71" s="340"/>
      <c r="I71" s="340"/>
      <c r="J71" s="340"/>
      <c r="K71" s="55"/>
      <c r="L71" s="55"/>
      <c r="M71" s="343"/>
      <c r="N71" s="340"/>
      <c r="O71" s="340"/>
      <c r="P71" s="340"/>
      <c r="Q71" s="340"/>
      <c r="R71" s="72"/>
      <c r="T71" s="20"/>
      <c r="U71" s="23">
        <v>2026</v>
      </c>
      <c r="V71" s="338">
        <v>2597732</v>
      </c>
      <c r="W71" s="39"/>
      <c r="X71" s="338">
        <v>1866491</v>
      </c>
      <c r="Y71" s="39"/>
      <c r="Z71" s="338">
        <v>292622</v>
      </c>
      <c r="AA71" s="139"/>
      <c r="AB71" s="338">
        <v>1060399</v>
      </c>
      <c r="AC71" s="39"/>
      <c r="AD71" s="338">
        <v>2710323</v>
      </c>
      <c r="AE71" s="39"/>
      <c r="AF71" s="338">
        <v>5149764</v>
      </c>
      <c r="AG71" s="39"/>
      <c r="AH71" s="338">
        <v>1866491</v>
      </c>
      <c r="AI71" s="39"/>
      <c r="AJ71" s="338">
        <v>292622</v>
      </c>
      <c r="AK71" s="338">
        <v>7712629</v>
      </c>
      <c r="AL71" s="39"/>
      <c r="AM71" s="338">
        <v>5649330</v>
      </c>
      <c r="AN71" s="39"/>
      <c r="AO71" s="338">
        <v>6188740</v>
      </c>
      <c r="AP71" s="39"/>
      <c r="AQ71" s="338">
        <v>14202507</v>
      </c>
      <c r="AR71" s="39"/>
      <c r="AS71" s="338">
        <v>7207828</v>
      </c>
      <c r="AT71" s="39"/>
      <c r="AU71" s="338">
        <v>10052863</v>
      </c>
      <c r="AV71" s="39"/>
      <c r="AW71" s="338">
        <v>3840183</v>
      </c>
      <c r="AX71" s="39"/>
      <c r="AY71" s="338">
        <v>34677305</v>
      </c>
      <c r="AZ71" s="39"/>
      <c r="BA71" s="338">
        <v>3374700</v>
      </c>
      <c r="BB71" s="127"/>
      <c r="BC71" s="338">
        <v>8406034</v>
      </c>
      <c r="BD71" s="55">
        <f t="shared" si="67"/>
        <v>8406034</v>
      </c>
      <c r="BE71" s="89"/>
      <c r="BO71" s="26">
        <f t="shared" si="69"/>
        <v>1995</v>
      </c>
      <c r="BP71" s="124">
        <v>27.34</v>
      </c>
      <c r="BQ71" s="124">
        <v>27.44</v>
      </c>
      <c r="BR71" s="124">
        <v>19.72</v>
      </c>
      <c r="BS71" s="124">
        <v>17.11</v>
      </c>
      <c r="BT71" s="124">
        <v>18.34</v>
      </c>
      <c r="BU71" s="124">
        <v>14.51</v>
      </c>
      <c r="BV71" s="124">
        <v>17.63</v>
      </c>
      <c r="BW71" s="124">
        <v>18.09</v>
      </c>
      <c r="BX71" s="124">
        <v>20.97</v>
      </c>
      <c r="BZ71" s="26">
        <f t="shared" si="70"/>
        <v>1995</v>
      </c>
      <c r="CA71" s="120">
        <v>7</v>
      </c>
      <c r="CB71" s="120">
        <v>6</v>
      </c>
      <c r="CC71" s="120">
        <v>3.9</v>
      </c>
      <c r="CD71" s="120">
        <v>3.84</v>
      </c>
      <c r="CE71" s="120">
        <v>5.33</v>
      </c>
      <c r="CF71" s="120">
        <v>4.4400000000000004</v>
      </c>
      <c r="CG71" s="120">
        <v>4.5</v>
      </c>
      <c r="CH71" s="120">
        <v>4.12</v>
      </c>
      <c r="CI71" s="120">
        <v>4.8899999999999997</v>
      </c>
    </row>
    <row r="72" spans="1:87" x14ac:dyDescent="0.2">
      <c r="A72" s="26"/>
      <c r="B72" s="339"/>
      <c r="C72" s="339"/>
      <c r="D72" s="339"/>
      <c r="E72" s="342"/>
      <c r="F72" s="342"/>
      <c r="G72" s="26"/>
      <c r="H72" s="340"/>
      <c r="I72" s="340"/>
      <c r="J72" s="340"/>
      <c r="K72" s="55"/>
      <c r="L72" s="55"/>
      <c r="M72" s="343"/>
      <c r="N72" s="340"/>
      <c r="O72" s="340"/>
      <c r="P72" s="340"/>
      <c r="Q72" s="340"/>
      <c r="R72" s="72"/>
      <c r="T72" s="20"/>
      <c r="U72" s="23">
        <v>2027</v>
      </c>
      <c r="V72" s="338">
        <v>2615762</v>
      </c>
      <c r="W72" s="39"/>
      <c r="X72" s="338">
        <v>1913366</v>
      </c>
      <c r="Y72" s="39"/>
      <c r="Z72" s="338">
        <v>301711</v>
      </c>
      <c r="AA72" s="139"/>
      <c r="AB72" s="338">
        <v>1058919</v>
      </c>
      <c r="AC72" s="39"/>
      <c r="AD72" s="338">
        <v>2697893</v>
      </c>
      <c r="AE72" s="39"/>
      <c r="AF72" s="338">
        <v>5202950</v>
      </c>
      <c r="AG72" s="39"/>
      <c r="AH72" s="338">
        <v>1913366</v>
      </c>
      <c r="AI72" s="39"/>
      <c r="AJ72" s="338">
        <v>301711</v>
      </c>
      <c r="AK72" s="338">
        <v>7796320</v>
      </c>
      <c r="AL72" s="39"/>
      <c r="AM72" s="338">
        <v>5741487</v>
      </c>
      <c r="AN72" s="39"/>
      <c r="AO72" s="338">
        <v>6267915</v>
      </c>
      <c r="AP72" s="39"/>
      <c r="AQ72" s="338">
        <v>14359929</v>
      </c>
      <c r="AR72" s="39"/>
      <c r="AS72" s="338">
        <v>7291828</v>
      </c>
      <c r="AT72" s="39"/>
      <c r="AU72" s="338">
        <v>10149410</v>
      </c>
      <c r="AV72" s="39"/>
      <c r="AW72" s="338">
        <v>3877115</v>
      </c>
      <c r="AX72" s="39"/>
      <c r="AY72" s="338">
        <v>35182707</v>
      </c>
      <c r="AZ72" s="39"/>
      <c r="BA72" s="338">
        <v>3382532</v>
      </c>
      <c r="BB72" s="127"/>
      <c r="BC72" s="338">
        <v>8488462</v>
      </c>
      <c r="BD72" s="55">
        <f t="shared" si="67"/>
        <v>8488462</v>
      </c>
      <c r="BE72" s="89"/>
      <c r="BO72" s="26">
        <f t="shared" si="69"/>
        <v>1996</v>
      </c>
      <c r="BP72" s="124">
        <v>27</v>
      </c>
      <c r="BQ72" s="124">
        <v>27.05</v>
      </c>
      <c r="BR72" s="124">
        <v>19.350000000000001</v>
      </c>
      <c r="BS72" s="124">
        <v>16.55</v>
      </c>
      <c r="BT72" s="124">
        <v>17.920000000000002</v>
      </c>
      <c r="BU72" s="124">
        <v>14.13</v>
      </c>
      <c r="BV72" s="124">
        <v>17.47</v>
      </c>
      <c r="BW72" s="124">
        <v>17.57</v>
      </c>
      <c r="BX72" s="124">
        <v>20.23</v>
      </c>
      <c r="BZ72" s="26">
        <f t="shared" si="70"/>
        <v>1996</v>
      </c>
      <c r="CA72" s="120">
        <v>6.85</v>
      </c>
      <c r="CB72" s="120">
        <v>6.07</v>
      </c>
      <c r="CC72" s="120">
        <v>4.13</v>
      </c>
      <c r="CD72" s="120">
        <v>4.2</v>
      </c>
      <c r="CE72" s="120">
        <v>5.7</v>
      </c>
      <c r="CF72" s="120">
        <v>4.71</v>
      </c>
      <c r="CG72" s="120">
        <v>4.53</v>
      </c>
      <c r="CH72" s="120">
        <v>3.72</v>
      </c>
      <c r="CI72" s="120">
        <v>4.76</v>
      </c>
    </row>
    <row r="73" spans="1:87" x14ac:dyDescent="0.2">
      <c r="A73" s="26"/>
      <c r="B73" s="339"/>
      <c r="C73" s="339"/>
      <c r="D73" s="339"/>
      <c r="E73" s="342"/>
      <c r="F73" s="342"/>
      <c r="G73" s="26"/>
      <c r="H73" s="340"/>
      <c r="I73" s="340"/>
      <c r="J73" s="340"/>
      <c r="K73" s="55"/>
      <c r="L73" s="55"/>
      <c r="M73" s="343"/>
      <c r="N73" s="340"/>
      <c r="O73" s="340"/>
      <c r="P73" s="340"/>
      <c r="Q73" s="340"/>
      <c r="R73" s="72"/>
      <c r="T73" s="20"/>
      <c r="U73" s="23">
        <v>2028</v>
      </c>
      <c r="V73" s="338">
        <v>2632975</v>
      </c>
      <c r="W73" s="39"/>
      <c r="X73" s="338">
        <v>1959164.5</v>
      </c>
      <c r="Y73" s="39"/>
      <c r="Z73" s="338">
        <v>310037</v>
      </c>
      <c r="AA73" s="139"/>
      <c r="AB73" s="338">
        <v>1057253</v>
      </c>
      <c r="AC73" s="39"/>
      <c r="AD73" s="338">
        <v>2685543</v>
      </c>
      <c r="AE73" s="39"/>
      <c r="AF73" s="338">
        <v>5254358</v>
      </c>
      <c r="AG73" s="39"/>
      <c r="AH73" s="338">
        <v>1959164.5</v>
      </c>
      <c r="AI73" s="39"/>
      <c r="AJ73" s="338">
        <v>310037</v>
      </c>
      <c r="AK73" s="338">
        <v>7876575</v>
      </c>
      <c r="AL73" s="39"/>
      <c r="AM73" s="338">
        <v>5830531</v>
      </c>
      <c r="AN73" s="39"/>
      <c r="AO73" s="338">
        <v>6344257</v>
      </c>
      <c r="AP73" s="39"/>
      <c r="AQ73" s="338">
        <v>14511021</v>
      </c>
      <c r="AR73" s="39"/>
      <c r="AS73" s="338">
        <v>7372440</v>
      </c>
      <c r="AT73" s="39"/>
      <c r="AU73" s="338">
        <v>10241850</v>
      </c>
      <c r="AV73" s="39"/>
      <c r="AW73" s="338">
        <v>3912078</v>
      </c>
      <c r="AX73" s="39"/>
      <c r="AY73" s="338">
        <v>35677015</v>
      </c>
      <c r="AZ73" s="39"/>
      <c r="BA73" s="338">
        <v>3389382</v>
      </c>
      <c r="BB73" s="127"/>
      <c r="BC73" s="338">
        <v>8567468</v>
      </c>
      <c r="BD73" s="55">
        <f t="shared" si="67"/>
        <v>8567468</v>
      </c>
      <c r="BE73" s="89"/>
      <c r="BO73" s="26">
        <f t="shared" si="69"/>
        <v>1997</v>
      </c>
      <c r="BP73" s="124">
        <v>27.07</v>
      </c>
      <c r="BQ73" s="124">
        <v>26.87</v>
      </c>
      <c r="BR73" s="124">
        <v>19.2</v>
      </c>
      <c r="BS73" s="124">
        <v>16.309999999999999</v>
      </c>
      <c r="BT73" s="124">
        <v>17.760000000000002</v>
      </c>
      <c r="BU73" s="124">
        <v>14.08</v>
      </c>
      <c r="BV73" s="124">
        <v>17.18</v>
      </c>
      <c r="BW73" s="124">
        <v>17.100000000000001</v>
      </c>
      <c r="BX73" s="124">
        <v>20.12</v>
      </c>
      <c r="BZ73" s="26">
        <f t="shared" si="70"/>
        <v>1997</v>
      </c>
      <c r="CA73" s="120">
        <v>7.13</v>
      </c>
      <c r="CB73" s="120">
        <v>6.6</v>
      </c>
      <c r="CC73" s="120">
        <v>4.5</v>
      </c>
      <c r="CD73" s="120">
        <v>4.57</v>
      </c>
      <c r="CE73" s="120">
        <v>6.14</v>
      </c>
      <c r="CF73" s="120">
        <v>5.22</v>
      </c>
      <c r="CG73" s="120">
        <v>4.8099999999999996</v>
      </c>
      <c r="CH73" s="120">
        <v>4.05</v>
      </c>
      <c r="CI73" s="120">
        <v>4.91</v>
      </c>
    </row>
    <row r="74" spans="1:87" x14ac:dyDescent="0.2">
      <c r="A74" s="26"/>
      <c r="B74" s="339"/>
      <c r="C74" s="339"/>
      <c r="D74" s="339"/>
      <c r="E74" s="342"/>
      <c r="F74" s="342"/>
      <c r="G74" s="26"/>
      <c r="H74" s="340"/>
      <c r="I74" s="340"/>
      <c r="J74" s="340"/>
      <c r="K74" s="55"/>
      <c r="L74" s="55"/>
      <c r="M74" s="343"/>
      <c r="N74" s="340"/>
      <c r="O74" s="340"/>
      <c r="P74" s="340"/>
      <c r="Q74" s="340"/>
      <c r="R74" s="72"/>
      <c r="T74" s="20"/>
      <c r="U74" s="23">
        <v>2029</v>
      </c>
      <c r="V74" s="338">
        <v>2649497</v>
      </c>
      <c r="W74" s="39"/>
      <c r="X74" s="338">
        <v>2004394.5</v>
      </c>
      <c r="Y74" s="39"/>
      <c r="Z74" s="338">
        <v>317802</v>
      </c>
      <c r="AA74" s="139"/>
      <c r="AB74" s="338">
        <v>1055421</v>
      </c>
      <c r="AC74" s="39"/>
      <c r="AD74" s="338">
        <v>2673285</v>
      </c>
      <c r="AE74" s="39"/>
      <c r="AF74" s="338">
        <v>5304384</v>
      </c>
      <c r="AG74" s="39"/>
      <c r="AH74" s="338">
        <v>2004394.5</v>
      </c>
      <c r="AI74" s="39"/>
      <c r="AJ74" s="338">
        <v>317802</v>
      </c>
      <c r="AK74" s="338">
        <v>7954520</v>
      </c>
      <c r="AL74" s="39"/>
      <c r="AM74" s="338">
        <v>5917578</v>
      </c>
      <c r="AN74" s="39"/>
      <c r="AO74" s="338">
        <v>6418525</v>
      </c>
      <c r="AP74" s="39"/>
      <c r="AQ74" s="338">
        <v>14659122</v>
      </c>
      <c r="AR74" s="39"/>
      <c r="AS74" s="338">
        <v>7450799</v>
      </c>
      <c r="AT74" s="39"/>
      <c r="AU74" s="338">
        <v>10331616</v>
      </c>
      <c r="AV74" s="39"/>
      <c r="AW74" s="338">
        <v>3945703</v>
      </c>
      <c r="AX74" s="39"/>
      <c r="AY74" s="338">
        <v>36166247</v>
      </c>
      <c r="AZ74" s="39"/>
      <c r="BA74" s="338">
        <v>3395640</v>
      </c>
      <c r="BB74" s="127"/>
      <c r="BC74" s="338">
        <v>8644166</v>
      </c>
      <c r="BD74" s="55">
        <f t="shared" si="67"/>
        <v>8644166</v>
      </c>
      <c r="BE74" s="89"/>
      <c r="BO74" s="26">
        <f t="shared" si="69"/>
        <v>1998</v>
      </c>
      <c r="BP74" s="124">
        <v>25.67</v>
      </c>
      <c r="BQ74" s="124">
        <v>25.94</v>
      </c>
      <c r="BR74" s="124">
        <v>18.89</v>
      </c>
      <c r="BS74" s="124">
        <v>16.260000000000002</v>
      </c>
      <c r="BT74" s="124">
        <v>17.34</v>
      </c>
      <c r="BU74" s="124">
        <v>14.32</v>
      </c>
      <c r="BV74" s="124">
        <v>16.55</v>
      </c>
      <c r="BW74" s="124">
        <v>16.940000000000001</v>
      </c>
      <c r="BX74" s="124">
        <v>18.91</v>
      </c>
      <c r="BZ74" s="26">
        <f t="shared" si="70"/>
        <v>1998</v>
      </c>
      <c r="CA74" s="120">
        <v>7.03</v>
      </c>
      <c r="CB74" s="120">
        <v>6.36</v>
      </c>
      <c r="CC74" s="120">
        <v>4.25</v>
      </c>
      <c r="CD74" s="120">
        <v>4.32</v>
      </c>
      <c r="CE74" s="120">
        <v>5.89</v>
      </c>
      <c r="CF74" s="120">
        <v>4.99</v>
      </c>
      <c r="CG74" s="120">
        <v>4.59</v>
      </c>
      <c r="CH74" s="120">
        <v>4.28</v>
      </c>
      <c r="CI74" s="120">
        <v>4.95</v>
      </c>
    </row>
    <row r="75" spans="1:87" x14ac:dyDescent="0.2">
      <c r="A75" s="26"/>
      <c r="B75" s="339"/>
      <c r="C75" s="339"/>
      <c r="D75" s="339"/>
      <c r="E75" s="342"/>
      <c r="F75" s="342"/>
      <c r="G75" s="26"/>
      <c r="H75" s="340"/>
      <c r="I75" s="340"/>
      <c r="J75" s="340"/>
      <c r="K75" s="55"/>
      <c r="L75" s="55"/>
      <c r="M75" s="343"/>
      <c r="N75" s="340"/>
      <c r="O75" s="340"/>
      <c r="P75" s="340"/>
      <c r="Q75" s="340"/>
      <c r="R75" s="72"/>
      <c r="T75" s="20"/>
      <c r="U75" s="23">
        <v>2030</v>
      </c>
      <c r="V75" s="338">
        <v>2665460</v>
      </c>
      <c r="W75" s="39"/>
      <c r="X75" s="338">
        <v>2049630</v>
      </c>
      <c r="Y75" s="39"/>
      <c r="Z75" s="338">
        <v>325215</v>
      </c>
      <c r="AA75" s="139"/>
      <c r="AB75" s="338">
        <v>1053455</v>
      </c>
      <c r="AC75" s="39"/>
      <c r="AD75" s="338">
        <v>2661130</v>
      </c>
      <c r="AE75" s="39"/>
      <c r="AF75" s="338">
        <v>5353501</v>
      </c>
      <c r="AG75" s="39"/>
      <c r="AH75" s="338">
        <v>2049630</v>
      </c>
      <c r="AI75" s="39"/>
      <c r="AJ75" s="338">
        <v>325215</v>
      </c>
      <c r="AK75" s="338">
        <v>8031391</v>
      </c>
      <c r="AL75" s="39"/>
      <c r="AM75" s="338">
        <v>6003891</v>
      </c>
      <c r="AN75" s="39"/>
      <c r="AO75" s="338">
        <v>6491441</v>
      </c>
      <c r="AP75" s="39"/>
      <c r="AQ75" s="338">
        <v>14804949</v>
      </c>
      <c r="AR75" s="39"/>
      <c r="AS75" s="338">
        <v>7528161</v>
      </c>
      <c r="AT75" s="39"/>
      <c r="AU75" s="338">
        <v>10420279</v>
      </c>
      <c r="AV75" s="39"/>
      <c r="AW75" s="338">
        <v>3978733</v>
      </c>
      <c r="AX75" s="39"/>
      <c r="AY75" s="338">
        <v>36654663</v>
      </c>
      <c r="AZ75" s="39"/>
      <c r="BA75" s="338">
        <v>3401669</v>
      </c>
      <c r="BB75" s="127"/>
      <c r="BC75" s="338">
        <v>8719808</v>
      </c>
      <c r="BD75" s="55">
        <f t="shared" si="67"/>
        <v>8719808</v>
      </c>
      <c r="BE75" s="89"/>
      <c r="BO75" s="26">
        <f t="shared" si="69"/>
        <v>1999</v>
      </c>
      <c r="BP75" s="124">
        <v>24.42</v>
      </c>
      <c r="BQ75" s="124">
        <v>24.28</v>
      </c>
      <c r="BR75" s="124">
        <v>18.079999999999998</v>
      </c>
      <c r="BS75" s="124">
        <v>16.100000000000001</v>
      </c>
      <c r="BT75" s="124">
        <v>16.899999999999999</v>
      </c>
      <c r="BU75" s="124">
        <v>14.05</v>
      </c>
      <c r="BV75" s="124">
        <v>16.12</v>
      </c>
      <c r="BW75" s="124">
        <v>16.27</v>
      </c>
      <c r="BX75" s="124">
        <v>18.59</v>
      </c>
      <c r="BZ75" s="26">
        <f t="shared" si="70"/>
        <v>1999</v>
      </c>
      <c r="CA75" s="120">
        <v>6.87</v>
      </c>
      <c r="CB75" s="120">
        <v>6.14</v>
      </c>
      <c r="CC75" s="120">
        <v>4.13</v>
      </c>
      <c r="CD75" s="120">
        <v>4.2699999999999996</v>
      </c>
      <c r="CE75" s="120">
        <v>5.42</v>
      </c>
      <c r="CF75" s="120">
        <v>4.8</v>
      </c>
      <c r="CG75" s="120">
        <v>4.57</v>
      </c>
      <c r="CH75" s="120">
        <v>4.26</v>
      </c>
      <c r="CI75" s="120">
        <v>4.72</v>
      </c>
    </row>
    <row r="76" spans="1:87" x14ac:dyDescent="0.2">
      <c r="A76" s="26"/>
      <c r="B76" s="339"/>
      <c r="C76" s="339"/>
      <c r="D76" s="339"/>
      <c r="E76" s="342"/>
      <c r="F76" s="342"/>
      <c r="G76" s="26"/>
      <c r="H76" s="340"/>
      <c r="I76" s="340"/>
      <c r="J76" s="340"/>
      <c r="K76" s="55"/>
      <c r="L76" s="55"/>
      <c r="M76" s="343"/>
      <c r="N76" s="340"/>
      <c r="O76" s="340"/>
      <c r="P76" s="340"/>
      <c r="Q76" s="340"/>
      <c r="R76" s="72"/>
      <c r="T76" s="20"/>
      <c r="U76" s="23">
        <v>2031</v>
      </c>
      <c r="V76" s="338">
        <v>2680981</v>
      </c>
      <c r="W76" s="39"/>
      <c r="X76" s="338">
        <v>2094508</v>
      </c>
      <c r="Y76" s="39"/>
      <c r="Z76" s="338">
        <v>332215</v>
      </c>
      <c r="AA76" s="139"/>
      <c r="AB76" s="338">
        <v>1051385</v>
      </c>
      <c r="AC76" s="39"/>
      <c r="AD76" s="338">
        <v>2649068</v>
      </c>
      <c r="AE76" s="39"/>
      <c r="AF76" s="338">
        <v>5401624</v>
      </c>
      <c r="AG76" s="39"/>
      <c r="AH76" s="338">
        <v>2094508</v>
      </c>
      <c r="AI76" s="39"/>
      <c r="AJ76" s="338">
        <v>332215</v>
      </c>
      <c r="AK76" s="338">
        <v>8106745</v>
      </c>
      <c r="AL76" s="39"/>
      <c r="AM76" s="338">
        <v>6088947</v>
      </c>
      <c r="AN76" s="39"/>
      <c r="AO76" s="338">
        <v>6563113</v>
      </c>
      <c r="AP76" s="39"/>
      <c r="AQ76" s="338">
        <v>14945406</v>
      </c>
      <c r="AR76" s="39"/>
      <c r="AS76" s="338">
        <v>7604085</v>
      </c>
      <c r="AT76" s="39"/>
      <c r="AU76" s="338">
        <v>10507193</v>
      </c>
      <c r="AV76" s="39"/>
      <c r="AW76" s="338">
        <v>4010900</v>
      </c>
      <c r="AX76" s="39"/>
      <c r="AY76" s="338">
        <v>37143916</v>
      </c>
      <c r="AZ76" s="39"/>
      <c r="BA76" s="338">
        <v>3407338</v>
      </c>
      <c r="BB76" s="127"/>
      <c r="BC76" s="338">
        <v>8793927</v>
      </c>
      <c r="BD76" s="55">
        <f>BC76</f>
        <v>8793927</v>
      </c>
      <c r="BE76" s="89"/>
      <c r="BO76" s="26">
        <f>BO77-1</f>
        <v>2000</v>
      </c>
      <c r="BP76" s="124">
        <v>23.92</v>
      </c>
      <c r="BQ76" s="124">
        <v>24.39</v>
      </c>
      <c r="BR76" s="124">
        <v>17.600000000000001</v>
      </c>
      <c r="BS76" s="124">
        <v>15.75</v>
      </c>
      <c r="BT76" s="124">
        <v>16.5</v>
      </c>
      <c r="BU76" s="124">
        <v>13.77</v>
      </c>
      <c r="BV76" s="124">
        <v>16.64</v>
      </c>
      <c r="BW76" s="124">
        <v>15.88</v>
      </c>
      <c r="BX76" s="124">
        <v>18.690000000000001</v>
      </c>
      <c r="BZ76" s="26">
        <f t="shared" si="70"/>
        <v>2000</v>
      </c>
      <c r="CA76" s="120">
        <v>7.28</v>
      </c>
      <c r="CB76" s="120">
        <v>6.27</v>
      </c>
      <c r="CC76" s="120">
        <v>4.83</v>
      </c>
      <c r="CD76" s="120">
        <v>5.29</v>
      </c>
      <c r="CE76" s="120">
        <v>6.6</v>
      </c>
      <c r="CF76" s="120">
        <v>5.59</v>
      </c>
      <c r="CG76" s="120">
        <v>5.37</v>
      </c>
      <c r="CH76" s="120">
        <v>4.66</v>
      </c>
      <c r="CI76" s="120">
        <v>5.68</v>
      </c>
    </row>
    <row r="77" spans="1:87" x14ac:dyDescent="0.2">
      <c r="A77" s="26"/>
      <c r="B77" s="339"/>
      <c r="C77" s="339"/>
      <c r="D77" s="339"/>
      <c r="E77" s="342"/>
      <c r="F77" s="342"/>
      <c r="G77" s="26"/>
      <c r="H77" s="340"/>
      <c r="I77" s="340"/>
      <c r="J77" s="340"/>
      <c r="K77" s="55"/>
      <c r="L77" s="55"/>
      <c r="M77" s="343"/>
      <c r="N77" s="340"/>
      <c r="O77" s="340"/>
      <c r="P77" s="340"/>
      <c r="Q77" s="340"/>
      <c r="R77" s="72"/>
      <c r="T77" s="20"/>
      <c r="U77" s="23">
        <v>2032</v>
      </c>
      <c r="V77" s="338">
        <v>2696010</v>
      </c>
      <c r="W77" s="39"/>
      <c r="X77" s="338">
        <v>2138333</v>
      </c>
      <c r="Y77" s="39"/>
      <c r="Z77" s="338">
        <v>338726</v>
      </c>
      <c r="AA77" s="139"/>
      <c r="AB77" s="338">
        <v>1049243</v>
      </c>
      <c r="AC77" s="39"/>
      <c r="AD77" s="338">
        <v>2637128</v>
      </c>
      <c r="AE77" s="39"/>
      <c r="AF77" s="338">
        <v>5448438</v>
      </c>
      <c r="AG77" s="39"/>
      <c r="AH77" s="338">
        <v>2138333</v>
      </c>
      <c r="AI77" s="39"/>
      <c r="AJ77" s="338">
        <v>338726</v>
      </c>
      <c r="AK77" s="338">
        <v>8179445</v>
      </c>
      <c r="AL77" s="39"/>
      <c r="AM77" s="338">
        <v>6171684</v>
      </c>
      <c r="AN77" s="39"/>
      <c r="AO77" s="338">
        <v>6632661</v>
      </c>
      <c r="AP77" s="39"/>
      <c r="AQ77" s="338">
        <v>15084385</v>
      </c>
      <c r="AR77" s="39"/>
      <c r="AS77" s="338">
        <v>7677503</v>
      </c>
      <c r="AT77" s="39"/>
      <c r="AU77" s="338">
        <v>10590907</v>
      </c>
      <c r="AV77" s="39"/>
      <c r="AW77" s="338">
        <v>4041683</v>
      </c>
      <c r="AX77" s="39"/>
      <c r="AY77" s="338">
        <v>37624961</v>
      </c>
      <c r="AZ77" s="39"/>
      <c r="BA77" s="338">
        <v>3413988</v>
      </c>
      <c r="BB77" s="127"/>
      <c r="BC77" s="338">
        <v>8865401</v>
      </c>
      <c r="BD77" s="55">
        <f>BC77</f>
        <v>8865401</v>
      </c>
      <c r="BE77" s="89"/>
      <c r="BO77" s="28">
        <v>2001</v>
      </c>
      <c r="BP77" s="124">
        <v>25.01</v>
      </c>
      <c r="BQ77" s="124">
        <v>23.97</v>
      </c>
      <c r="BR77" s="124">
        <v>17.02</v>
      </c>
      <c r="BS77" s="124">
        <v>15.42</v>
      </c>
      <c r="BT77" s="124">
        <v>16.86</v>
      </c>
      <c r="BU77" s="124">
        <v>13.62</v>
      </c>
      <c r="BV77" s="124">
        <v>17.7</v>
      </c>
      <c r="BW77" s="124">
        <v>16.32</v>
      </c>
      <c r="BX77" s="124">
        <v>21</v>
      </c>
      <c r="BZ77" s="26">
        <f t="shared" si="70"/>
        <v>2001</v>
      </c>
      <c r="CA77" s="120">
        <v>8.7100000000000009</v>
      </c>
      <c r="CB77" s="120">
        <v>7.37</v>
      </c>
      <c r="CC77" s="120">
        <v>5.82</v>
      </c>
      <c r="CD77" s="120">
        <v>6.44</v>
      </c>
      <c r="CE77" s="120">
        <v>7.89</v>
      </c>
      <c r="CF77" s="120">
        <v>7.27</v>
      </c>
      <c r="CG77" s="120">
        <v>6.49</v>
      </c>
      <c r="CH77" s="120">
        <v>5.89</v>
      </c>
      <c r="CI77" s="120">
        <v>7.05</v>
      </c>
    </row>
    <row r="78" spans="1:87" x14ac:dyDescent="0.2">
      <c r="A78" s="26"/>
      <c r="B78" s="339"/>
      <c r="C78" s="339"/>
      <c r="D78" s="339"/>
      <c r="E78" s="342"/>
      <c r="F78" s="342"/>
      <c r="G78" s="26"/>
      <c r="H78" s="340"/>
      <c r="I78" s="340"/>
      <c r="J78" s="340"/>
      <c r="K78" s="55"/>
      <c r="L78" s="55"/>
      <c r="M78" s="343"/>
      <c r="N78" s="340"/>
      <c r="O78" s="340"/>
      <c r="P78" s="340"/>
      <c r="Q78" s="340"/>
      <c r="R78" s="72"/>
      <c r="T78" s="20"/>
      <c r="U78" s="23">
        <v>2033</v>
      </c>
      <c r="V78" s="338">
        <v>2710675</v>
      </c>
      <c r="W78" s="39"/>
      <c r="X78" s="338">
        <v>2181904.5</v>
      </c>
      <c r="Y78" s="39"/>
      <c r="Z78" s="338">
        <v>344966</v>
      </c>
      <c r="AA78" s="139"/>
      <c r="AB78" s="338">
        <v>1047039</v>
      </c>
      <c r="AC78" s="39"/>
      <c r="AD78" s="338">
        <v>2625301</v>
      </c>
      <c r="AE78" s="39"/>
      <c r="AF78" s="338">
        <v>5494463</v>
      </c>
      <c r="AG78" s="39"/>
      <c r="AH78" s="338">
        <v>2181904.5</v>
      </c>
      <c r="AI78" s="39"/>
      <c r="AJ78" s="338">
        <v>344966</v>
      </c>
      <c r="AK78" s="338">
        <v>8251065</v>
      </c>
      <c r="AL78" s="39"/>
      <c r="AM78" s="338">
        <v>6253680</v>
      </c>
      <c r="AN78" s="39"/>
      <c r="AO78" s="338">
        <v>6701144</v>
      </c>
      <c r="AP78" s="39"/>
      <c r="AQ78" s="338">
        <v>15221665</v>
      </c>
      <c r="AR78" s="39"/>
      <c r="AS78" s="338">
        <v>7749978</v>
      </c>
      <c r="AT78" s="39"/>
      <c r="AU78" s="338">
        <v>10673431</v>
      </c>
      <c r="AV78" s="39"/>
      <c r="AW78" s="338">
        <v>4071949</v>
      </c>
      <c r="AX78" s="39"/>
      <c r="AY78" s="338">
        <v>38106044</v>
      </c>
      <c r="AZ78" s="39"/>
      <c r="BA78" s="338">
        <v>3420795</v>
      </c>
      <c r="BB78" s="127"/>
      <c r="BC78" s="338">
        <v>8935795</v>
      </c>
      <c r="BD78" s="55">
        <f>BC78</f>
        <v>8935795</v>
      </c>
      <c r="BE78" s="89"/>
      <c r="BO78" s="28">
        <v>2002</v>
      </c>
      <c r="BP78" s="124">
        <v>23.03</v>
      </c>
      <c r="BQ78" s="124">
        <v>23.33</v>
      </c>
      <c r="BR78" s="124">
        <v>16.61</v>
      </c>
      <c r="BS78" s="124">
        <v>15.19</v>
      </c>
      <c r="BT78" s="124">
        <v>16.28</v>
      </c>
      <c r="BU78" s="124">
        <v>13.53</v>
      </c>
      <c r="BV78" s="124">
        <v>15.86</v>
      </c>
      <c r="BW78" s="124">
        <v>16.22</v>
      </c>
      <c r="BX78" s="124">
        <v>21.55</v>
      </c>
      <c r="BZ78" s="26">
        <f t="shared" si="70"/>
        <v>2002</v>
      </c>
      <c r="CA78" s="120">
        <v>7.17</v>
      </c>
      <c r="CB78" s="120">
        <v>6.19</v>
      </c>
      <c r="CC78" s="120">
        <v>4.18</v>
      </c>
      <c r="CD78" s="120">
        <v>4.82</v>
      </c>
      <c r="CE78" s="120">
        <v>6.7</v>
      </c>
      <c r="CF78" s="120">
        <v>5.78</v>
      </c>
      <c r="CG78" s="120">
        <v>5.23</v>
      </c>
      <c r="CH78" s="120">
        <v>4.79</v>
      </c>
      <c r="CI78" s="120">
        <v>5.13</v>
      </c>
    </row>
    <row r="79" spans="1:87" x14ac:dyDescent="0.2">
      <c r="A79" s="26"/>
      <c r="B79" s="339"/>
      <c r="C79" s="339"/>
      <c r="D79" s="339"/>
      <c r="E79" s="342"/>
      <c r="F79" s="342"/>
      <c r="G79" s="26"/>
      <c r="H79" s="340"/>
      <c r="I79" s="340"/>
      <c r="J79" s="340"/>
      <c r="K79" s="55"/>
      <c r="L79" s="55"/>
      <c r="M79" s="343"/>
      <c r="N79" s="340"/>
      <c r="O79" s="340"/>
      <c r="P79" s="340"/>
      <c r="Q79" s="340"/>
      <c r="R79" s="72"/>
      <c r="T79" s="20"/>
      <c r="U79" s="23">
        <v>2034</v>
      </c>
      <c r="V79" s="338">
        <v>2725095</v>
      </c>
      <c r="W79" s="39"/>
      <c r="X79" s="338">
        <v>2225792.5</v>
      </c>
      <c r="Y79" s="39"/>
      <c r="Z79" s="338">
        <v>351061</v>
      </c>
      <c r="AA79" s="139"/>
      <c r="AB79" s="338">
        <v>1044786</v>
      </c>
      <c r="AC79" s="39"/>
      <c r="AD79" s="338">
        <v>2613591</v>
      </c>
      <c r="AE79" s="39"/>
      <c r="AF79" s="338">
        <v>5540119</v>
      </c>
      <c r="AG79" s="39"/>
      <c r="AH79" s="338">
        <v>2225792.5</v>
      </c>
      <c r="AI79" s="39"/>
      <c r="AJ79" s="338">
        <v>351061</v>
      </c>
      <c r="AK79" s="338">
        <v>8322696</v>
      </c>
      <c r="AL79" s="39"/>
      <c r="AM79" s="338">
        <v>6335992</v>
      </c>
      <c r="AN79" s="39"/>
      <c r="AO79" s="338">
        <v>6769480</v>
      </c>
      <c r="AP79" s="39"/>
      <c r="AQ79" s="338">
        <v>15359214</v>
      </c>
      <c r="AR79" s="39"/>
      <c r="AS79" s="338">
        <v>7822585</v>
      </c>
      <c r="AT79" s="39"/>
      <c r="AU79" s="338">
        <v>10756151</v>
      </c>
      <c r="AV79" s="39"/>
      <c r="AW79" s="338">
        <v>4102299</v>
      </c>
      <c r="AX79" s="39"/>
      <c r="AY79" s="338">
        <v>38594972</v>
      </c>
      <c r="AZ79" s="39"/>
      <c r="BA79" s="338">
        <v>3426693</v>
      </c>
      <c r="BB79" s="127"/>
      <c r="BC79" s="338">
        <v>9006220</v>
      </c>
      <c r="BD79" s="55">
        <f>BC79</f>
        <v>9006220</v>
      </c>
      <c r="BE79" s="89"/>
      <c r="BO79" s="28">
        <v>2003</v>
      </c>
      <c r="BP79" s="124">
        <v>23.55</v>
      </c>
      <c r="BQ79" s="124">
        <v>23.44</v>
      </c>
      <c r="BR79" s="124">
        <v>16.43</v>
      </c>
      <c r="BS79" s="124">
        <v>14.97</v>
      </c>
      <c r="BT79" s="124">
        <v>16.329999999999998</v>
      </c>
      <c r="BU79" s="124">
        <v>13.67</v>
      </c>
      <c r="BV79" s="124">
        <v>17.37</v>
      </c>
      <c r="BW79" s="124">
        <v>16.18</v>
      </c>
      <c r="BX79" s="124">
        <v>20.399999999999999</v>
      </c>
      <c r="BZ79" s="26">
        <f t="shared" si="70"/>
        <v>2003</v>
      </c>
      <c r="CA79" s="120">
        <v>8.31</v>
      </c>
      <c r="CB79" s="120">
        <v>7.48</v>
      </c>
      <c r="CC79" s="120">
        <v>5.73</v>
      </c>
      <c r="CD79" s="120">
        <v>5.92</v>
      </c>
      <c r="CE79" s="120">
        <v>7.75</v>
      </c>
      <c r="CF79" s="120">
        <v>6.7</v>
      </c>
      <c r="CG79" s="120">
        <v>6.3</v>
      </c>
      <c r="CH79" s="120">
        <v>5.18</v>
      </c>
      <c r="CI79" s="120">
        <v>6.01</v>
      </c>
    </row>
    <row r="80" spans="1:87" x14ac:dyDescent="0.2">
      <c r="A80" s="26"/>
      <c r="B80" s="339"/>
      <c r="C80" s="339"/>
      <c r="D80" s="339"/>
      <c r="E80" s="342"/>
      <c r="F80" s="342"/>
      <c r="G80" s="26"/>
      <c r="H80" s="340"/>
      <c r="I80" s="340"/>
      <c r="J80" s="340"/>
      <c r="K80" s="55"/>
      <c r="L80" s="55"/>
      <c r="M80" s="343"/>
      <c r="N80" s="340"/>
      <c r="O80" s="340"/>
      <c r="P80" s="340"/>
      <c r="Q80" s="340"/>
      <c r="R80" s="72"/>
      <c r="T80" s="20"/>
      <c r="U80" s="23">
        <v>2035</v>
      </c>
      <c r="V80" s="338">
        <v>2739441</v>
      </c>
      <c r="W80" s="39"/>
      <c r="X80" s="338">
        <v>2270072</v>
      </c>
      <c r="Y80" s="39"/>
      <c r="Z80" s="338">
        <v>357021</v>
      </c>
      <c r="AA80" s="139"/>
      <c r="AB80" s="338">
        <v>1042509</v>
      </c>
      <c r="AC80" s="39"/>
      <c r="AD80" s="338">
        <v>2602010</v>
      </c>
      <c r="AE80" s="39"/>
      <c r="AF80" s="338">
        <v>5585544</v>
      </c>
      <c r="AG80" s="39"/>
      <c r="AH80" s="338">
        <v>2270072</v>
      </c>
      <c r="AI80" s="39"/>
      <c r="AJ80" s="338">
        <v>357021</v>
      </c>
      <c r="AK80" s="338">
        <v>8394595</v>
      </c>
      <c r="AL80" s="39"/>
      <c r="AM80" s="338">
        <v>6418861</v>
      </c>
      <c r="AN80" s="39"/>
      <c r="AO80" s="338">
        <v>6837962</v>
      </c>
      <c r="AP80" s="39"/>
      <c r="AQ80" s="338">
        <v>15497438</v>
      </c>
      <c r="AR80" s="39"/>
      <c r="AS80" s="338">
        <v>7895571</v>
      </c>
      <c r="AT80" s="39"/>
      <c r="AU80" s="338">
        <v>10839317</v>
      </c>
      <c r="AV80" s="39"/>
      <c r="AW80" s="338">
        <v>4132795</v>
      </c>
      <c r="AX80" s="39"/>
      <c r="AY80" s="338">
        <v>39088502</v>
      </c>
      <c r="AZ80" s="39"/>
      <c r="BA80" s="338">
        <v>3432415</v>
      </c>
      <c r="BB80" s="127"/>
      <c r="BC80" s="338">
        <v>9076926</v>
      </c>
      <c r="BD80" s="55">
        <f>BC80</f>
        <v>9076926</v>
      </c>
      <c r="BE80" s="47"/>
      <c r="BO80" s="28">
        <v>2004</v>
      </c>
      <c r="BP80" s="124">
        <v>23.35</v>
      </c>
      <c r="BQ80" s="124">
        <v>23.17</v>
      </c>
      <c r="BR80" s="124">
        <v>16.25</v>
      </c>
      <c r="BS80" s="124">
        <v>14.85</v>
      </c>
      <c r="BT80" s="124">
        <v>16.34</v>
      </c>
      <c r="BU80" s="124">
        <v>13.97</v>
      </c>
      <c r="BV80" s="124">
        <v>17.75</v>
      </c>
      <c r="BW80" s="124">
        <v>16.16</v>
      </c>
      <c r="BX80" s="124">
        <v>19.829999999999998</v>
      </c>
      <c r="BZ80" s="26">
        <f t="shared" si="70"/>
        <v>2004</v>
      </c>
      <c r="CA80" s="120">
        <v>9.23</v>
      </c>
      <c r="CB80" s="120">
        <v>7.95</v>
      </c>
      <c r="CC80" s="120">
        <v>6.23</v>
      </c>
      <c r="CD80" s="120">
        <v>6.6</v>
      </c>
      <c r="CE80" s="120">
        <v>8.5399999999999991</v>
      </c>
      <c r="CF80" s="120">
        <v>7.4</v>
      </c>
      <c r="CG80" s="120">
        <v>6.91</v>
      </c>
      <c r="CH80" s="120">
        <v>5.99</v>
      </c>
      <c r="CI80" s="120">
        <v>6.4</v>
      </c>
    </row>
    <row r="81" spans="1:87" x14ac:dyDescent="0.2">
      <c r="A81" s="26"/>
      <c r="B81" s="339"/>
      <c r="C81" s="339"/>
      <c r="D81" s="339"/>
      <c r="E81" s="342"/>
      <c r="F81" s="342"/>
      <c r="G81" s="26"/>
      <c r="H81" s="340"/>
      <c r="I81" s="340"/>
      <c r="J81" s="340"/>
      <c r="K81" s="55"/>
      <c r="L81" s="55"/>
      <c r="M81" s="343"/>
      <c r="N81" s="340"/>
      <c r="O81" s="340"/>
      <c r="P81" s="340"/>
      <c r="Q81" s="340"/>
      <c r="R81" s="72"/>
      <c r="U81" s="23">
        <v>2036</v>
      </c>
      <c r="V81" s="220">
        <f>(V80/V79)*V80</f>
        <v>2753862.523134423</v>
      </c>
      <c r="W81" s="55"/>
      <c r="X81" s="220">
        <f>(X80/X79)*X80</f>
        <v>2315232.3880972732</v>
      </c>
      <c r="Y81" s="55"/>
      <c r="Z81" s="220">
        <f>(Z80/Z79)*Z80</f>
        <v>363082.1835549947</v>
      </c>
      <c r="AA81" s="55"/>
      <c r="AB81" s="220">
        <f>(AB80/AB79)*AB80</f>
        <v>1040236.9624793977</v>
      </c>
      <c r="AC81" s="55"/>
      <c r="AD81" s="220">
        <f>(AD80/AD79)*AD80</f>
        <v>2590480.3162009665</v>
      </c>
      <c r="AE81" s="55"/>
      <c r="AF81" s="220">
        <f>(AF80/AF79)*AF80</f>
        <v>5631341.4524012934</v>
      </c>
      <c r="AG81" s="55"/>
      <c r="AH81" s="220">
        <f>(AH80/AH79)*AH80</f>
        <v>2315232.3880972732</v>
      </c>
      <c r="AI81" s="55"/>
      <c r="AJ81" s="220">
        <f>(AJ80/AJ79)*AJ80</f>
        <v>363082.1835549947</v>
      </c>
      <c r="AK81" s="220">
        <f>(AK80/AK79)*AK80</f>
        <v>8467115.1288026143</v>
      </c>
      <c r="AL81" s="55"/>
      <c r="AM81" s="220">
        <f>(AM80/AM79)*AM80</f>
        <v>6502813.8509835554</v>
      </c>
      <c r="AN81" s="55"/>
      <c r="AO81" s="220">
        <f>(AO80/AO79)*AO80</f>
        <v>6907136.7835408337</v>
      </c>
      <c r="AP81" s="55"/>
      <c r="AQ81" s="220">
        <f>(AQ80/AQ79)*AQ80</f>
        <v>15636905.935671188</v>
      </c>
      <c r="AR81" s="55"/>
      <c r="AS81" s="220">
        <f>(AS80/AS79)*AS80</f>
        <v>7969237.9713408044</v>
      </c>
      <c r="AT81" s="55"/>
      <c r="AU81" s="220">
        <f>(AU80/AU79)*AU80</f>
        <v>10923126.035185728</v>
      </c>
      <c r="AV81" s="55"/>
      <c r="AW81" s="220">
        <f>(AW80/AW79)*AW80</f>
        <v>4163517.7036157046</v>
      </c>
      <c r="AX81" s="55"/>
      <c r="AY81" s="220">
        <f>(AY80/AY79)*AY80</f>
        <v>39588342.973898359</v>
      </c>
      <c r="AZ81" s="55"/>
      <c r="BA81" s="220">
        <f>(BA80/BA79)*BA80</f>
        <v>3438146.5547759896</v>
      </c>
      <c r="BB81" s="55"/>
      <c r="BC81" s="220">
        <f>(BC80/BC79)*BC80</f>
        <v>9148187.0984137636</v>
      </c>
      <c r="BD81" s="220">
        <f>(BD80/BD79)*BD80</f>
        <v>9148187.0984137636</v>
      </c>
      <c r="BE81" s="47"/>
      <c r="BO81" s="28">
        <v>2005</v>
      </c>
      <c r="BP81" s="124">
        <v>25.5</v>
      </c>
      <c r="BQ81" s="124">
        <v>23.7</v>
      </c>
      <c r="BR81" s="124">
        <v>15.96</v>
      </c>
      <c r="BS81" s="124">
        <v>14.76</v>
      </c>
      <c r="BT81" s="124">
        <v>16.75</v>
      </c>
      <c r="BU81" s="124">
        <v>14.09</v>
      </c>
      <c r="BV81" s="124">
        <v>19.05</v>
      </c>
      <c r="BW81" s="124">
        <v>16.45</v>
      </c>
      <c r="BX81" s="124">
        <v>19.670000000000002</v>
      </c>
      <c r="BZ81" s="26">
        <f t="shared" si="70"/>
        <v>2005</v>
      </c>
      <c r="CA81" s="120">
        <v>9.76</v>
      </c>
      <c r="CB81" s="120">
        <v>8.5299999999999994</v>
      </c>
      <c r="CC81" s="120">
        <v>7.4</v>
      </c>
      <c r="CD81" s="120">
        <v>7.46</v>
      </c>
      <c r="CE81" s="120">
        <v>9.84</v>
      </c>
      <c r="CF81" s="120">
        <v>8.74</v>
      </c>
      <c r="CG81" s="120">
        <v>7.91</v>
      </c>
      <c r="CH81" s="120">
        <v>6.87</v>
      </c>
      <c r="CI81" s="120">
        <v>7.4</v>
      </c>
    </row>
    <row r="82" spans="1:87" x14ac:dyDescent="0.2">
      <c r="A82" s="26"/>
      <c r="B82" s="339"/>
      <c r="C82" s="339"/>
      <c r="D82" s="339"/>
      <c r="E82" s="342"/>
      <c r="F82" s="342"/>
      <c r="G82" s="26"/>
      <c r="H82" s="340"/>
      <c r="I82" s="340"/>
      <c r="J82" s="340"/>
      <c r="K82" s="55"/>
      <c r="L82" s="55"/>
      <c r="M82" s="343"/>
      <c r="N82" s="340"/>
      <c r="O82" s="340"/>
      <c r="P82" s="340"/>
      <c r="Q82" s="340"/>
      <c r="R82" s="72"/>
      <c r="U82" s="23">
        <v>2037</v>
      </c>
      <c r="V82" s="220">
        <f t="shared" ref="V82:V88" si="71">(V81/V80)*V81</f>
        <v>2768359.9669875316</v>
      </c>
      <c r="W82" s="55"/>
      <c r="X82" s="220">
        <f t="shared" ref="X82:X88" si="72">(X81/X80)*X81</f>
        <v>2361291.1885149912</v>
      </c>
      <c r="Y82" s="55"/>
      <c r="Z82" s="220">
        <f t="shared" ref="Z82:BD88" si="73">(Z81/Z80)*Z81</f>
        <v>369246.26846897765</v>
      </c>
      <c r="AA82" s="55"/>
      <c r="AB82" s="220">
        <f t="shared" si="73"/>
        <v>1037969.8766229969</v>
      </c>
      <c r="AC82" s="55"/>
      <c r="AD82" s="220">
        <f t="shared" si="73"/>
        <v>2579001.7212173124</v>
      </c>
      <c r="AE82" s="55"/>
      <c r="AF82" s="220">
        <f t="shared" si="73"/>
        <v>5677514.4110462843</v>
      </c>
      <c r="AG82" s="55"/>
      <c r="AH82" s="220">
        <f t="shared" si="73"/>
        <v>2361291.1885149912</v>
      </c>
      <c r="AI82" s="55"/>
      <c r="AJ82" s="220">
        <f t="shared" si="73"/>
        <v>369246.26846897765</v>
      </c>
      <c r="AK82" s="220">
        <f t="shared" si="73"/>
        <v>8540261.7522820476</v>
      </c>
      <c r="AL82" s="55"/>
      <c r="AM82" s="220">
        <f t="shared" si="73"/>
        <v>6587864.7287335834</v>
      </c>
      <c r="AN82" s="55"/>
      <c r="AO82" s="220">
        <f t="shared" si="73"/>
        <v>6977011.3590193707</v>
      </c>
      <c r="AP82" s="55"/>
      <c r="AQ82" s="220">
        <f t="shared" si="73"/>
        <v>15777629.001711691</v>
      </c>
      <c r="AR82" s="55"/>
      <c r="AS82" s="220">
        <f t="shared" si="73"/>
        <v>8043592.2675966183</v>
      </c>
      <c r="AT82" s="55"/>
      <c r="AU82" s="220">
        <f t="shared" si="73"/>
        <v>11007583.077471789</v>
      </c>
      <c r="AV82" s="55"/>
      <c r="AW82" s="220">
        <f t="shared" si="73"/>
        <v>4194468.7961346721</v>
      </c>
      <c r="AX82" s="55"/>
      <c r="AY82" s="220">
        <f t="shared" si="73"/>
        <v>40094575.62274982</v>
      </c>
      <c r="AZ82" s="55"/>
      <c r="BA82" s="220">
        <f t="shared" si="73"/>
        <v>3443887.6802828354</v>
      </c>
      <c r="BB82" s="55"/>
      <c r="BC82" s="220">
        <f t="shared" si="73"/>
        <v>9220007.6532059461</v>
      </c>
      <c r="BD82" s="220">
        <f t="shared" si="73"/>
        <v>9220007.6532059461</v>
      </c>
      <c r="BE82" s="47"/>
      <c r="BO82" s="28"/>
      <c r="BP82" s="124"/>
      <c r="BQ82" s="124"/>
      <c r="BR82" s="124"/>
      <c r="BS82" s="124"/>
      <c r="BT82" s="124"/>
      <c r="BU82" s="124"/>
      <c r="BV82" s="124"/>
      <c r="BW82" s="124"/>
      <c r="BX82" s="124"/>
      <c r="BZ82" s="26"/>
      <c r="CA82" s="120"/>
      <c r="CB82" s="120"/>
      <c r="CC82" s="120"/>
      <c r="CD82" s="120"/>
      <c r="CE82" s="120"/>
      <c r="CF82" s="120"/>
      <c r="CG82" s="120"/>
      <c r="CH82" s="120"/>
      <c r="CI82" s="120"/>
    </row>
    <row r="83" spans="1:87" x14ac:dyDescent="0.2">
      <c r="A83" s="26"/>
      <c r="B83" s="339"/>
      <c r="C83" s="339"/>
      <c r="D83" s="339"/>
      <c r="E83" s="342"/>
      <c r="F83" s="342"/>
      <c r="G83" s="26"/>
      <c r="H83" s="340"/>
      <c r="I83" s="340"/>
      <c r="J83" s="340"/>
      <c r="K83" s="55"/>
      <c r="L83" s="55"/>
      <c r="M83" s="343"/>
      <c r="N83" s="340"/>
      <c r="O83" s="340"/>
      <c r="P83" s="340"/>
      <c r="Q83" s="340"/>
      <c r="R83" s="72"/>
      <c r="U83" s="23">
        <v>2038</v>
      </c>
      <c r="V83" s="220">
        <f t="shared" si="71"/>
        <v>2782933.7312366324</v>
      </c>
      <c r="W83" s="55"/>
      <c r="X83" s="220">
        <f t="shared" si="72"/>
        <v>2408266.2740999456</v>
      </c>
      <c r="Y83" s="55"/>
      <c r="Z83" s="220">
        <f t="shared" si="73"/>
        <v>375515.00170928374</v>
      </c>
      <c r="AA83" s="55"/>
      <c r="AB83" s="220">
        <f t="shared" si="73"/>
        <v>1035707.731639172</v>
      </c>
      <c r="AC83" s="55"/>
      <c r="AD83" s="220">
        <f t="shared" si="73"/>
        <v>2567573.9886710122</v>
      </c>
      <c r="AE83" s="55"/>
      <c r="AF83" s="220">
        <f t="shared" si="73"/>
        <v>5724065.9548166944</v>
      </c>
      <c r="AG83" s="55"/>
      <c r="AH83" s="220">
        <f t="shared" si="73"/>
        <v>2408266.2740999456</v>
      </c>
      <c r="AI83" s="55"/>
      <c r="AJ83" s="220">
        <f t="shared" si="73"/>
        <v>375515.00170928374</v>
      </c>
      <c r="AK83" s="220">
        <f t="shared" si="73"/>
        <v>8614040.2826677933</v>
      </c>
      <c r="AL83" s="55"/>
      <c r="AM83" s="220">
        <f t="shared" si="73"/>
        <v>6674027.9944393197</v>
      </c>
      <c r="AN83" s="55"/>
      <c r="AO83" s="220">
        <f t="shared" si="73"/>
        <v>7047592.8057314325</v>
      </c>
      <c r="AP83" s="55"/>
      <c r="AQ83" s="220">
        <f t="shared" si="73"/>
        <v>15919618.493565414</v>
      </c>
      <c r="AR83" s="55"/>
      <c r="AS83" s="220">
        <f t="shared" si="73"/>
        <v>8118640.3016215358</v>
      </c>
      <c r="AT83" s="55"/>
      <c r="AU83" s="220">
        <f t="shared" si="73"/>
        <v>11092693.137215374</v>
      </c>
      <c r="AV83" s="55"/>
      <c r="AW83" s="220">
        <f t="shared" si="73"/>
        <v>4225649.9753726861</v>
      </c>
      <c r="AX83" s="55"/>
      <c r="AY83" s="220">
        <f t="shared" si="73"/>
        <v>40607281.679567158</v>
      </c>
      <c r="AZ83" s="55"/>
      <c r="BA83" s="220">
        <f t="shared" si="73"/>
        <v>3449638.3925020448</v>
      </c>
      <c r="BB83" s="55"/>
      <c r="BC83" s="220">
        <f t="shared" si="73"/>
        <v>9292392.0565546956</v>
      </c>
      <c r="BD83" s="220">
        <f t="shared" si="73"/>
        <v>9292392.0565546956</v>
      </c>
      <c r="BE83" s="47"/>
      <c r="BO83" s="28"/>
      <c r="BP83" s="124"/>
      <c r="BQ83" s="124"/>
      <c r="BR83" s="124"/>
      <c r="BS83" s="124"/>
      <c r="BT83" s="124"/>
      <c r="BU83" s="124"/>
      <c r="BV83" s="124"/>
      <c r="BW83" s="124"/>
      <c r="BX83" s="124"/>
      <c r="BZ83" s="26"/>
      <c r="CA83" s="120"/>
      <c r="CB83" s="120"/>
      <c r="CC83" s="120"/>
      <c r="CD83" s="120"/>
      <c r="CE83" s="120"/>
      <c r="CF83" s="120"/>
      <c r="CG83" s="120"/>
      <c r="CH83" s="120"/>
      <c r="CI83" s="120"/>
    </row>
    <row r="84" spans="1:87" x14ac:dyDescent="0.2">
      <c r="A84" s="26"/>
      <c r="B84" s="339"/>
      <c r="C84" s="339"/>
      <c r="D84" s="339"/>
      <c r="E84" s="342"/>
      <c r="F84" s="342"/>
      <c r="G84" s="26"/>
      <c r="H84" s="340"/>
      <c r="I84" s="340"/>
      <c r="J84" s="340"/>
      <c r="K84" s="55"/>
      <c r="L84" s="55"/>
      <c r="M84" s="343"/>
      <c r="N84" s="340"/>
      <c r="O84" s="340"/>
      <c r="P84" s="340"/>
      <c r="Q84" s="340"/>
      <c r="R84" s="72"/>
      <c r="U84" s="23">
        <v>2039</v>
      </c>
      <c r="V84" s="220">
        <f t="shared" si="71"/>
        <v>2797584.2176630949</v>
      </c>
      <c r="W84" s="55"/>
      <c r="X84" s="220">
        <f t="shared" si="72"/>
        <v>2456175.8732580021</v>
      </c>
      <c r="Y84" s="55"/>
      <c r="Z84" s="220">
        <f t="shared" si="73"/>
        <v>381890.15990169853</v>
      </c>
      <c r="AA84" s="55"/>
      <c r="AB84" s="220">
        <f t="shared" si="73"/>
        <v>1033450.5167598163</v>
      </c>
      <c r="AC84" s="55"/>
      <c r="AD84" s="220">
        <f t="shared" si="73"/>
        <v>2556196.8931871364</v>
      </c>
      <c r="AE84" s="55"/>
      <c r="AF84" s="220">
        <f t="shared" si="73"/>
        <v>5770999.1878388645</v>
      </c>
      <c r="AG84" s="55"/>
      <c r="AH84" s="220">
        <f t="shared" si="73"/>
        <v>2456175.8732580021</v>
      </c>
      <c r="AI84" s="55"/>
      <c r="AJ84" s="220">
        <f t="shared" si="73"/>
        <v>381890.15990169853</v>
      </c>
      <c r="AK84" s="220">
        <f t="shared" si="73"/>
        <v>8688456.1789450981</v>
      </c>
      <c r="AL84" s="55"/>
      <c r="AM84" s="220">
        <f t="shared" si="73"/>
        <v>6761318.1971212663</v>
      </c>
      <c r="AN84" s="55"/>
      <c r="AO84" s="220">
        <f t="shared" si="73"/>
        <v>7118888.2745890263</v>
      </c>
      <c r="AP84" s="55"/>
      <c r="AQ84" s="220">
        <f t="shared" si="73"/>
        <v>16062885.808328696</v>
      </c>
      <c r="AR84" s="55"/>
      <c r="AS84" s="220">
        <f t="shared" si="73"/>
        <v>8194388.5461026318</v>
      </c>
      <c r="AT84" s="55"/>
      <c r="AU84" s="220">
        <f t="shared" si="73"/>
        <v>11178461.263513494</v>
      </c>
      <c r="AV84" s="55"/>
      <c r="AW84" s="220">
        <f t="shared" si="73"/>
        <v>4257062.9517668905</v>
      </c>
      <c r="AX84" s="55"/>
      <c r="AY84" s="220">
        <f t="shared" si="73"/>
        <v>41126543.92251727</v>
      </c>
      <c r="AZ84" s="55"/>
      <c r="BA84" s="220">
        <f t="shared" si="73"/>
        <v>3455398.7074418124</v>
      </c>
      <c r="BB84" s="55"/>
      <c r="BC84" s="220">
        <f t="shared" si="73"/>
        <v>9365344.7351202592</v>
      </c>
      <c r="BD84" s="220">
        <f t="shared" si="73"/>
        <v>9365344.7351202592</v>
      </c>
      <c r="BE84" s="47"/>
      <c r="BO84" s="28"/>
      <c r="BP84" s="124"/>
      <c r="BQ84" s="124"/>
      <c r="BR84" s="124"/>
      <c r="BS84" s="124"/>
      <c r="BT84" s="124"/>
      <c r="BU84" s="124"/>
      <c r="BV84" s="124"/>
      <c r="BW84" s="124"/>
      <c r="BX84" s="124"/>
      <c r="BZ84" s="26"/>
      <c r="CA84" s="120"/>
      <c r="CB84" s="120"/>
      <c r="CC84" s="120"/>
      <c r="CD84" s="120"/>
      <c r="CE84" s="120"/>
      <c r="CF84" s="120"/>
      <c r="CG84" s="120"/>
      <c r="CH84" s="120"/>
      <c r="CI84" s="120"/>
    </row>
    <row r="85" spans="1:87" x14ac:dyDescent="0.2">
      <c r="A85" s="26"/>
      <c r="B85" s="339"/>
      <c r="C85" s="339"/>
      <c r="D85" s="339"/>
      <c r="E85" s="342"/>
      <c r="F85" s="342"/>
      <c r="G85" s="26"/>
      <c r="H85" s="340"/>
      <c r="I85" s="340"/>
      <c r="J85" s="340"/>
      <c r="K85" s="55"/>
      <c r="L85" s="55"/>
      <c r="M85" s="343"/>
      <c r="N85" s="340"/>
      <c r="O85" s="340"/>
      <c r="P85" s="340"/>
      <c r="Q85" s="340"/>
      <c r="R85" s="72"/>
      <c r="U85" s="23">
        <v>2040</v>
      </c>
      <c r="V85" s="220">
        <f t="shared" si="71"/>
        <v>2812311.8301634281</v>
      </c>
      <c r="W85" s="55"/>
      <c r="X85" s="220">
        <f t="shared" si="72"/>
        <v>2505038.5770275258</v>
      </c>
      <c r="Y85" s="55"/>
      <c r="Z85" s="220">
        <f t="shared" si="73"/>
        <v>388373.54983397276</v>
      </c>
      <c r="AA85" s="55"/>
      <c r="AB85" s="220">
        <f t="shared" si="73"/>
        <v>1031198.2212402916</v>
      </c>
      <c r="AC85" s="55"/>
      <c r="AD85" s="220">
        <f t="shared" si="73"/>
        <v>2544870.2103894069</v>
      </c>
      <c r="AE85" s="55"/>
      <c r="AF85" s="220">
        <f t="shared" si="73"/>
        <v>5818317.2396907443</v>
      </c>
      <c r="AG85" s="55"/>
      <c r="AH85" s="220">
        <f t="shared" si="73"/>
        <v>2505038.5770275258</v>
      </c>
      <c r="AI85" s="55"/>
      <c r="AJ85" s="220">
        <f t="shared" si="73"/>
        <v>388373.54983397276</v>
      </c>
      <c r="AK85" s="220">
        <f t="shared" si="73"/>
        <v>8763514.9472588729</v>
      </c>
      <c r="AL85" s="55"/>
      <c r="AM85" s="220">
        <f t="shared" si="73"/>
        <v>6849750.0760878492</v>
      </c>
      <c r="AN85" s="55"/>
      <c r="AO85" s="220">
        <f t="shared" si="73"/>
        <v>7190904.9888448343</v>
      </c>
      <c r="AP85" s="55"/>
      <c r="AQ85" s="220">
        <f t="shared" si="73"/>
        <v>16207442.445665114</v>
      </c>
      <c r="AR85" s="55"/>
      <c r="AS85" s="220">
        <f t="shared" si="73"/>
        <v>8270843.5341182118</v>
      </c>
      <c r="AT85" s="55"/>
      <c r="AU85" s="220">
        <f t="shared" si="73"/>
        <v>11264892.544502519</v>
      </c>
      <c r="AV85" s="55"/>
      <c r="AW85" s="220">
        <f t="shared" si="73"/>
        <v>4288709.4484696137</v>
      </c>
      <c r="AX85" s="55"/>
      <c r="AY85" s="220">
        <f t="shared" si="73"/>
        <v>41652446.188285977</v>
      </c>
      <c r="AZ85" s="55"/>
      <c r="BA85" s="220">
        <f t="shared" si="73"/>
        <v>3461168.641137064</v>
      </c>
      <c r="BB85" s="55"/>
      <c r="BC85" s="220">
        <f t="shared" si="73"/>
        <v>9438870.1503156926</v>
      </c>
      <c r="BD85" s="220">
        <f t="shared" si="73"/>
        <v>9438870.1503156926</v>
      </c>
      <c r="BE85" s="47"/>
      <c r="BO85" s="28"/>
      <c r="BP85" s="124"/>
      <c r="BQ85" s="124"/>
      <c r="BR85" s="124"/>
      <c r="BS85" s="124"/>
      <c r="BT85" s="124"/>
      <c r="BU85" s="124"/>
      <c r="BV85" s="124"/>
      <c r="BW85" s="124"/>
      <c r="BX85" s="124"/>
      <c r="BZ85" s="26"/>
      <c r="CA85" s="120"/>
      <c r="CB85" s="120"/>
      <c r="CC85" s="120"/>
      <c r="CD85" s="120"/>
      <c r="CE85" s="120"/>
      <c r="CF85" s="120"/>
      <c r="CG85" s="120"/>
      <c r="CH85" s="120"/>
      <c r="CI85" s="120"/>
    </row>
    <row r="86" spans="1:87" x14ac:dyDescent="0.2">
      <c r="A86" s="26"/>
      <c r="B86" s="339"/>
      <c r="C86" s="339"/>
      <c r="D86" s="339"/>
      <c r="E86" s="342"/>
      <c r="F86" s="342"/>
      <c r="G86" s="26"/>
      <c r="H86" s="340"/>
      <c r="I86" s="340"/>
      <c r="J86" s="340"/>
      <c r="K86" s="55"/>
      <c r="L86" s="55"/>
      <c r="M86" s="343"/>
      <c r="N86" s="340"/>
      <c r="O86" s="340"/>
      <c r="P86" s="340"/>
      <c r="Q86" s="340"/>
      <c r="R86" s="72"/>
      <c r="U86" s="23">
        <v>2041</v>
      </c>
      <c r="V86" s="220">
        <f t="shared" si="71"/>
        <v>2827116.9747604146</v>
      </c>
      <c r="W86" s="55"/>
      <c r="X86" s="220">
        <f t="shared" si="72"/>
        <v>2554873.3462935244</v>
      </c>
      <c r="Y86" s="55"/>
      <c r="Z86" s="220">
        <f t="shared" si="73"/>
        <v>394967.00896788528</v>
      </c>
      <c r="AA86" s="55"/>
      <c r="AB86" s="220">
        <f t="shared" si="73"/>
        <v>1028950.8343593761</v>
      </c>
      <c r="AC86" s="55"/>
      <c r="AD86" s="220">
        <f t="shared" si="73"/>
        <v>2533593.7168957731</v>
      </c>
      <c r="AE86" s="55"/>
      <c r="AF86" s="220">
        <f t="shared" si="73"/>
        <v>5866023.2656105766</v>
      </c>
      <c r="AG86" s="55"/>
      <c r="AH86" s="220">
        <f t="shared" si="73"/>
        <v>2554873.3462935244</v>
      </c>
      <c r="AI86" s="55"/>
      <c r="AJ86" s="220">
        <f t="shared" si="73"/>
        <v>394967.00896788528</v>
      </c>
      <c r="AK86" s="220">
        <f t="shared" si="73"/>
        <v>8839222.1413211059</v>
      </c>
      <c r="AL86" s="55"/>
      <c r="AM86" s="220">
        <f t="shared" si="73"/>
        <v>6939338.5634242166</v>
      </c>
      <c r="AN86" s="55"/>
      <c r="AO86" s="220">
        <f t="shared" si="73"/>
        <v>7263650.2448240342</v>
      </c>
      <c r="AP86" s="55"/>
      <c r="AQ86" s="220">
        <f t="shared" si="73"/>
        <v>16353300.008728538</v>
      </c>
      <c r="AR86" s="55"/>
      <c r="AS86" s="220">
        <f t="shared" si="73"/>
        <v>8348011.8597012712</v>
      </c>
      <c r="AT86" s="55"/>
      <c r="AU86" s="220">
        <f t="shared" si="73"/>
        <v>11351992.10766002</v>
      </c>
      <c r="AV86" s="55"/>
      <c r="AW86" s="220">
        <f t="shared" si="73"/>
        <v>4320591.2014428927</v>
      </c>
      <c r="AX86" s="55"/>
      <c r="AY86" s="220">
        <f t="shared" si="73"/>
        <v>42185073.385613769</v>
      </c>
      <c r="AZ86" s="55"/>
      <c r="BA86" s="220">
        <f t="shared" si="73"/>
        <v>3466948.2096495004</v>
      </c>
      <c r="BB86" s="55"/>
      <c r="BC86" s="220">
        <f t="shared" si="73"/>
        <v>9512972.7985796947</v>
      </c>
      <c r="BD86" s="220">
        <f t="shared" si="73"/>
        <v>9512972.7985796947</v>
      </c>
      <c r="BE86" s="47"/>
      <c r="BO86" s="28"/>
      <c r="BP86" s="124"/>
      <c r="BQ86" s="124"/>
      <c r="BR86" s="124"/>
      <c r="BS86" s="124"/>
      <c r="BT86" s="124"/>
      <c r="BU86" s="124"/>
      <c r="BV86" s="124"/>
      <c r="BW86" s="124"/>
      <c r="BX86" s="124"/>
      <c r="BZ86" s="26"/>
      <c r="CA86" s="120"/>
      <c r="CB86" s="120"/>
      <c r="CC86" s="120"/>
      <c r="CD86" s="120"/>
      <c r="CE86" s="120"/>
      <c r="CF86" s="120"/>
      <c r="CG86" s="120"/>
      <c r="CH86" s="120"/>
      <c r="CI86" s="120"/>
    </row>
    <row r="87" spans="1:87" x14ac:dyDescent="0.2">
      <c r="A87" s="26"/>
      <c r="B87" s="339"/>
      <c r="C87" s="339"/>
      <c r="D87" s="339"/>
      <c r="E87" s="342"/>
      <c r="F87" s="342"/>
      <c r="G87" s="26"/>
      <c r="H87" s="340"/>
      <c r="I87" s="340"/>
      <c r="J87" s="340"/>
      <c r="K87" s="55"/>
      <c r="L87" s="55"/>
      <c r="M87" s="343"/>
      <c r="N87" s="340"/>
      <c r="O87" s="340"/>
      <c r="P87" s="340"/>
      <c r="Q87" s="340"/>
      <c r="R87" s="72"/>
      <c r="U87" s="23">
        <v>2042</v>
      </c>
      <c r="V87" s="220">
        <f t="shared" si="71"/>
        <v>2842000.0596143054</v>
      </c>
      <c r="W87" s="55"/>
      <c r="X87" s="220">
        <f t="shared" si="72"/>
        <v>2605699.5191453081</v>
      </c>
      <c r="Y87" s="55"/>
      <c r="Z87" s="220">
        <f t="shared" si="73"/>
        <v>401672.40595999942</v>
      </c>
      <c r="AA87" s="55"/>
      <c r="AB87" s="220">
        <f t="shared" si="73"/>
        <v>1026708.3454192139</v>
      </c>
      <c r="AC87" s="55"/>
      <c r="AD87" s="220">
        <f t="shared" si="73"/>
        <v>2522367.1903140051</v>
      </c>
      <c r="AE87" s="55"/>
      <c r="AF87" s="220">
        <f t="shared" si="73"/>
        <v>5914120.4467072934</v>
      </c>
      <c r="AG87" s="55"/>
      <c r="AH87" s="220">
        <f t="shared" si="73"/>
        <v>2605699.5191453081</v>
      </c>
      <c r="AI87" s="55"/>
      <c r="AJ87" s="220">
        <f t="shared" si="73"/>
        <v>401672.40595999942</v>
      </c>
      <c r="AK87" s="220">
        <f t="shared" si="73"/>
        <v>8915583.3628217895</v>
      </c>
      <c r="AL87" s="55"/>
      <c r="AM87" s="220">
        <f t="shared" si="73"/>
        <v>7030098.7865135763</v>
      </c>
      <c r="AN87" s="55"/>
      <c r="AO87" s="220">
        <f t="shared" si="73"/>
        <v>7337131.4126635203</v>
      </c>
      <c r="AP87" s="55"/>
      <c r="AQ87" s="220">
        <f t="shared" si="73"/>
        <v>16500470.205094477</v>
      </c>
      <c r="AR87" s="55"/>
      <c r="AS87" s="220">
        <f t="shared" si="73"/>
        <v>8425900.1784082148</v>
      </c>
      <c r="AT87" s="55"/>
      <c r="AU87" s="220">
        <f t="shared" si="73"/>
        <v>11439765.120108958</v>
      </c>
      <c r="AV87" s="55"/>
      <c r="AW87" s="220">
        <f t="shared" si="73"/>
        <v>4352709.959553699</v>
      </c>
      <c r="AX87" s="55"/>
      <c r="AY87" s="220">
        <f t="shared" si="73"/>
        <v>42724511.5090046</v>
      </c>
      <c r="AZ87" s="55"/>
      <c r="BA87" s="220">
        <f t="shared" si="73"/>
        <v>3472737.4290676438</v>
      </c>
      <c r="BB87" s="55"/>
      <c r="BC87" s="220">
        <f t="shared" si="73"/>
        <v>9587657.2116515916</v>
      </c>
      <c r="BD87" s="220">
        <f t="shared" si="73"/>
        <v>9587657.2116515916</v>
      </c>
      <c r="BE87" s="47"/>
      <c r="BO87" s="28"/>
      <c r="BP87" s="124"/>
      <c r="BQ87" s="124"/>
      <c r="BR87" s="124"/>
      <c r="BS87" s="124"/>
      <c r="BT87" s="124"/>
      <c r="BU87" s="124"/>
      <c r="BV87" s="124"/>
      <c r="BW87" s="124"/>
      <c r="BX87" s="124"/>
      <c r="BZ87" s="26"/>
      <c r="CA87" s="120"/>
      <c r="CB87" s="120"/>
      <c r="CC87" s="120"/>
      <c r="CD87" s="120"/>
      <c r="CE87" s="120"/>
      <c r="CF87" s="120"/>
      <c r="CG87" s="120"/>
      <c r="CH87" s="120"/>
      <c r="CI87" s="120"/>
    </row>
    <row r="88" spans="1:87" x14ac:dyDescent="0.2">
      <c r="A88" s="26"/>
      <c r="B88" s="339"/>
      <c r="C88" s="339"/>
      <c r="D88" s="339"/>
      <c r="E88" s="342"/>
      <c r="F88" s="342"/>
      <c r="G88" s="26"/>
      <c r="H88" s="340"/>
      <c r="I88" s="340"/>
      <c r="J88" s="340"/>
      <c r="K88" s="55"/>
      <c r="L88" s="55"/>
      <c r="M88" s="343"/>
      <c r="N88" s="340"/>
      <c r="O88" s="340"/>
      <c r="P88" s="340"/>
      <c r="Q88" s="340"/>
      <c r="R88" s="72"/>
      <c r="U88" s="23">
        <v>2043</v>
      </c>
      <c r="V88" s="220">
        <f t="shared" si="71"/>
        <v>2856961.4950340716</v>
      </c>
      <c r="W88" s="55"/>
      <c r="X88" s="220">
        <f t="shared" si="72"/>
        <v>2657536.8183805216</v>
      </c>
      <c r="Y88" s="55"/>
      <c r="Z88" s="220">
        <f t="shared" si="73"/>
        <v>408491.64119126007</v>
      </c>
      <c r="AA88" s="55"/>
      <c r="AB88" s="220">
        <f t="shared" si="73"/>
        <v>1024470.7437452639</v>
      </c>
      <c r="AC88" s="55"/>
      <c r="AD88" s="220">
        <f t="shared" si="73"/>
        <v>2511190.409237308</v>
      </c>
      <c r="AE88" s="55"/>
      <c r="AF88" s="220">
        <f t="shared" si="73"/>
        <v>5962611.9901726376</v>
      </c>
      <c r="AG88" s="55"/>
      <c r="AH88" s="220">
        <f t="shared" si="73"/>
        <v>2657536.8183805216</v>
      </c>
      <c r="AI88" s="55"/>
      <c r="AJ88" s="220">
        <f t="shared" si="73"/>
        <v>408491.64119126007</v>
      </c>
      <c r="AK88" s="220">
        <f t="shared" si="73"/>
        <v>8992604.2618433945</v>
      </c>
      <c r="AL88" s="55"/>
      <c r="AM88" s="220">
        <f t="shared" si="73"/>
        <v>7122046.0705915224</v>
      </c>
      <c r="AN88" s="55"/>
      <c r="AO88" s="220">
        <f t="shared" si="73"/>
        <v>7411355.9370586034</v>
      </c>
      <c r="AP88" s="55"/>
      <c r="AQ88" s="220">
        <f t="shared" si="73"/>
        <v>16648964.847699821</v>
      </c>
      <c r="AR88" s="55"/>
      <c r="AS88" s="220">
        <f t="shared" si="73"/>
        <v>8504515.2078928817</v>
      </c>
      <c r="AT88" s="55"/>
      <c r="AU88" s="220">
        <f t="shared" si="73"/>
        <v>11528216.788924225</v>
      </c>
      <c r="AV88" s="55"/>
      <c r="AW88" s="220">
        <f t="shared" si="73"/>
        <v>4385067.4846698716</v>
      </c>
      <c r="AX88" s="55"/>
      <c r="AY88" s="220">
        <f t="shared" si="73"/>
        <v>43270847.652610011</v>
      </c>
      <c r="AZ88" s="55"/>
      <c r="BA88" s="220">
        <f t="shared" si="73"/>
        <v>3478536.3155068802</v>
      </c>
      <c r="BB88" s="55"/>
      <c r="BC88" s="220">
        <f t="shared" si="73"/>
        <v>9662927.9568484705</v>
      </c>
      <c r="BD88" s="220">
        <f t="shared" si="73"/>
        <v>9662927.9568484705</v>
      </c>
      <c r="BE88" s="47"/>
      <c r="BO88" s="28">
        <v>2006</v>
      </c>
      <c r="BP88" s="124">
        <v>29.38</v>
      </c>
      <c r="BQ88" s="124">
        <v>24.56</v>
      </c>
      <c r="BR88" s="124">
        <v>16.79</v>
      </c>
      <c r="BS88" s="124">
        <v>14.92</v>
      </c>
      <c r="BT88" s="124">
        <v>17.93</v>
      </c>
      <c r="BU88" s="124">
        <v>15</v>
      </c>
      <c r="BV88" s="124">
        <v>21.1</v>
      </c>
      <c r="BW88" s="124">
        <v>16.510000000000002</v>
      </c>
      <c r="BX88" s="124">
        <v>21.36</v>
      </c>
      <c r="BZ88" s="26">
        <f>BZ81+1</f>
        <v>2006</v>
      </c>
      <c r="CA88" s="120">
        <v>10.71</v>
      </c>
      <c r="CB88" s="120">
        <v>9.48</v>
      </c>
      <c r="CC88" s="120">
        <v>7.55</v>
      </c>
      <c r="CD88" s="120">
        <v>7.67</v>
      </c>
      <c r="CE88" s="120">
        <v>10.51</v>
      </c>
      <c r="CF88" s="120">
        <v>9.44</v>
      </c>
      <c r="CG88" s="120">
        <v>8.2100000000000009</v>
      </c>
      <c r="CH88" s="120">
        <v>7.33</v>
      </c>
      <c r="CI88" s="120">
        <v>7.33</v>
      </c>
    </row>
    <row r="89" spans="1:87" x14ac:dyDescent="0.2">
      <c r="A89" s="26"/>
      <c r="B89" s="339"/>
      <c r="C89" s="339"/>
      <c r="D89" s="339"/>
      <c r="E89" s="342"/>
      <c r="F89" s="342"/>
      <c r="G89" s="26"/>
      <c r="H89" s="340"/>
      <c r="I89" s="340"/>
      <c r="J89" s="340"/>
      <c r="K89" s="55"/>
      <c r="L89" s="55"/>
      <c r="M89" s="343"/>
      <c r="N89" s="340"/>
      <c r="O89" s="340"/>
      <c r="P89" s="340"/>
      <c r="Q89" s="340"/>
      <c r="R89" s="72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9"/>
      <c r="AI89" s="88"/>
      <c r="AJ89" s="89"/>
      <c r="AK89" s="89"/>
      <c r="AL89" s="88"/>
      <c r="AM89" s="89"/>
      <c r="AN89" s="88"/>
      <c r="AO89" s="89"/>
      <c r="AP89" s="88"/>
      <c r="AQ89" s="89"/>
      <c r="AR89" s="88"/>
      <c r="AS89" s="89"/>
      <c r="AT89" s="88"/>
      <c r="AU89" s="89"/>
      <c r="AV89" s="89"/>
      <c r="AW89" s="89"/>
      <c r="AX89" s="88"/>
      <c r="AY89" s="89"/>
      <c r="AZ89" s="89"/>
      <c r="BA89" s="89"/>
      <c r="BB89" s="89"/>
      <c r="BC89" s="89"/>
      <c r="BD89" s="88"/>
      <c r="BE89" s="110"/>
      <c r="BO89" s="28">
        <v>2007</v>
      </c>
      <c r="BP89" s="124">
        <v>29.82</v>
      </c>
      <c r="BQ89" s="124">
        <v>24.91</v>
      </c>
      <c r="BR89" s="124">
        <v>17.39</v>
      </c>
      <c r="BS89" s="124">
        <v>14.83</v>
      </c>
      <c r="BT89" s="124">
        <v>17.899999999999999</v>
      </c>
      <c r="BU89" s="124">
        <v>14.92</v>
      </c>
      <c r="BV89" s="124">
        <v>19.920000000000002</v>
      </c>
      <c r="BW89" s="124">
        <v>16.62</v>
      </c>
      <c r="BX89" s="124">
        <v>21.11</v>
      </c>
      <c r="BZ89" s="26">
        <f t="shared" si="70"/>
        <v>2007</v>
      </c>
      <c r="CA89" s="120">
        <v>9.93</v>
      </c>
      <c r="CB89" s="120">
        <v>8.94</v>
      </c>
      <c r="CC89" s="120">
        <v>6.87</v>
      </c>
      <c r="CD89" s="120">
        <v>7.09</v>
      </c>
      <c r="CE89" s="120">
        <v>9.6</v>
      </c>
      <c r="CF89" s="120">
        <v>8.25</v>
      </c>
      <c r="CG89" s="120">
        <v>7.31</v>
      </c>
      <c r="CH89" s="120">
        <v>6.47</v>
      </c>
      <c r="CI89" s="120">
        <v>7.09</v>
      </c>
    </row>
    <row r="90" spans="1:87" x14ac:dyDescent="0.2">
      <c r="A90" s="26"/>
      <c r="B90" s="339"/>
      <c r="C90" s="339"/>
      <c r="D90" s="339"/>
      <c r="E90" s="342"/>
      <c r="F90" s="342"/>
      <c r="G90" s="26"/>
      <c r="H90" s="340"/>
      <c r="I90" s="340"/>
      <c r="J90" s="340"/>
      <c r="K90" s="55"/>
      <c r="L90" s="55"/>
      <c r="M90" s="343"/>
      <c r="N90" s="340"/>
      <c r="O90" s="340"/>
      <c r="P90" s="340"/>
      <c r="Q90" s="340"/>
      <c r="R90" s="72"/>
      <c r="BE90" s="47"/>
      <c r="BO90" s="28">
        <v>2008</v>
      </c>
      <c r="BP90" s="124">
        <v>30.94</v>
      </c>
      <c r="BQ90" s="124">
        <v>26</v>
      </c>
      <c r="BR90" s="124">
        <v>18.149999999999999</v>
      </c>
      <c r="BS90" s="124">
        <v>15.15</v>
      </c>
      <c r="BT90" s="124">
        <v>18.64</v>
      </c>
      <c r="BU90" s="124">
        <v>16.28</v>
      </c>
      <c r="BV90" s="124">
        <v>20.72</v>
      </c>
      <c r="BW90" s="124">
        <v>17.190000000000001</v>
      </c>
      <c r="BX90" s="124">
        <v>20.18</v>
      </c>
      <c r="BZ90" s="26">
        <f t="shared" si="70"/>
        <v>2008</v>
      </c>
      <c r="CA90" s="120">
        <v>10.039999999999999</v>
      </c>
      <c r="CB90" s="120">
        <v>9.41</v>
      </c>
      <c r="CC90" s="120">
        <v>7.38</v>
      </c>
      <c r="CD90" s="120">
        <v>7.03</v>
      </c>
      <c r="CE90" s="120">
        <v>9.82</v>
      </c>
      <c r="CF90" s="120">
        <v>8.65</v>
      </c>
      <c r="CG90" s="120">
        <v>7.95</v>
      </c>
      <c r="CH90" s="120">
        <v>6.53</v>
      </c>
      <c r="CI90" s="120">
        <v>7.41</v>
      </c>
    </row>
    <row r="91" spans="1:87" x14ac:dyDescent="0.2">
      <c r="A91" s="26"/>
      <c r="B91" s="339"/>
      <c r="C91" s="339"/>
      <c r="D91" s="339"/>
      <c r="E91" s="342"/>
      <c r="F91" s="342"/>
      <c r="G91" s="26"/>
      <c r="H91" s="340"/>
      <c r="I91" s="340"/>
      <c r="J91" s="340"/>
      <c r="K91" s="55"/>
      <c r="L91" s="55"/>
      <c r="M91" s="343"/>
      <c r="N91" s="340"/>
      <c r="O91" s="340"/>
      <c r="P91" s="340"/>
      <c r="Q91" s="340"/>
      <c r="R91" s="72"/>
      <c r="V91" s="76" t="s">
        <v>79</v>
      </c>
      <c r="W91" s="76"/>
      <c r="Y91" s="76"/>
      <c r="BE91" s="91"/>
      <c r="BO91" s="28">
        <v>2009</v>
      </c>
      <c r="BP91" s="124">
        <v>30.29</v>
      </c>
      <c r="BQ91" s="124">
        <v>25.7</v>
      </c>
      <c r="BR91" s="124">
        <v>18.920000000000002</v>
      </c>
      <c r="BS91" s="124">
        <v>15.83</v>
      </c>
      <c r="BT91" s="124">
        <v>19.600000000000001</v>
      </c>
      <c r="BU91" s="124">
        <v>16.64</v>
      </c>
      <c r="BV91" s="124">
        <v>19.11</v>
      </c>
      <c r="BW91" s="124">
        <v>17.63</v>
      </c>
      <c r="BX91" s="124">
        <v>21.03</v>
      </c>
      <c r="BZ91" s="26">
        <f t="shared" si="70"/>
        <v>2009</v>
      </c>
      <c r="CA91" s="120">
        <v>9.68</v>
      </c>
      <c r="CB91" s="120">
        <v>8.58</v>
      </c>
      <c r="CC91" s="120">
        <v>6.27</v>
      </c>
      <c r="CD91" s="120">
        <v>5.94</v>
      </c>
      <c r="CE91" s="120">
        <v>8.68</v>
      </c>
      <c r="CF91" s="120">
        <v>7.62</v>
      </c>
      <c r="CG91" s="120">
        <v>6.73</v>
      </c>
      <c r="CH91" s="120">
        <v>5.96</v>
      </c>
      <c r="CI91" s="120">
        <v>5.97</v>
      </c>
    </row>
    <row r="92" spans="1:87" x14ac:dyDescent="0.2">
      <c r="A92" s="26"/>
      <c r="B92" s="339"/>
      <c r="C92" s="339"/>
      <c r="D92" s="339"/>
      <c r="E92" s="342"/>
      <c r="F92" s="342"/>
      <c r="G92" s="344"/>
      <c r="H92" s="342"/>
      <c r="I92" s="345"/>
      <c r="J92" s="342"/>
      <c r="K92" s="55"/>
      <c r="L92" s="55"/>
      <c r="M92" s="343"/>
      <c r="N92" s="94"/>
      <c r="P92" s="94"/>
      <c r="Q92" s="94"/>
      <c r="R92" s="72"/>
      <c r="T92" s="96"/>
      <c r="U92" s="8"/>
      <c r="V92" s="23" t="s">
        <v>36</v>
      </c>
      <c r="W92" s="23"/>
      <c r="X92" s="23" t="s">
        <v>39</v>
      </c>
      <c r="Y92" s="23"/>
      <c r="Z92" s="66" t="s">
        <v>167</v>
      </c>
      <c r="AA92" s="66"/>
      <c r="AB92" s="66" t="s">
        <v>147</v>
      </c>
      <c r="AC92" s="66"/>
      <c r="AD92" s="23" t="s">
        <v>4</v>
      </c>
      <c r="AE92" s="66"/>
      <c r="AF92" s="23" t="s">
        <v>2</v>
      </c>
      <c r="AG92" s="66"/>
      <c r="AH92" s="23" t="s">
        <v>40</v>
      </c>
      <c r="AI92" s="66"/>
      <c r="AJ92" s="66" t="s">
        <v>168</v>
      </c>
      <c r="AK92" s="23" t="s">
        <v>41</v>
      </c>
      <c r="AL92" s="66"/>
      <c r="AM92" s="23" t="s">
        <v>42</v>
      </c>
      <c r="AN92" s="66"/>
      <c r="AO92" s="23" t="s">
        <v>5</v>
      </c>
      <c r="AP92" s="66"/>
      <c r="AQ92" s="23" t="s">
        <v>43</v>
      </c>
      <c r="AR92" s="66"/>
      <c r="AS92" s="23" t="s">
        <v>44</v>
      </c>
      <c r="AT92" s="66"/>
      <c r="AU92" s="23" t="s">
        <v>45</v>
      </c>
      <c r="AV92" s="23"/>
      <c r="AW92" s="23" t="s">
        <v>9</v>
      </c>
      <c r="AX92" s="66"/>
      <c r="AY92" s="90" t="s">
        <v>100</v>
      </c>
      <c r="AZ92" s="90"/>
      <c r="BA92" s="90" t="s">
        <v>174</v>
      </c>
      <c r="BB92" s="90"/>
      <c r="BC92" s="23" t="s">
        <v>46</v>
      </c>
      <c r="BD92" s="23" t="s">
        <v>14</v>
      </c>
      <c r="BE92" s="91"/>
      <c r="BF92" s="8"/>
      <c r="BO92" s="28">
        <v>2010</v>
      </c>
      <c r="BP92" s="124">
        <v>31.16</v>
      </c>
      <c r="BQ92" s="124">
        <v>26.35</v>
      </c>
      <c r="BR92" s="124">
        <v>19.93</v>
      </c>
      <c r="BS92" s="124">
        <v>16.72</v>
      </c>
      <c r="BT92" s="124">
        <v>19.78</v>
      </c>
      <c r="BU92" s="124">
        <v>15.85</v>
      </c>
      <c r="BV92" s="124">
        <v>18.309999999999999</v>
      </c>
      <c r="BW92" s="124">
        <v>16.190000000000001</v>
      </c>
      <c r="BX92" s="124">
        <v>20.53</v>
      </c>
      <c r="BZ92" s="26">
        <f t="shared" si="70"/>
        <v>2010</v>
      </c>
      <c r="CA92" s="120">
        <v>8.73</v>
      </c>
      <c r="CB92" s="120">
        <v>7.62</v>
      </c>
      <c r="CC92" s="120">
        <v>5.92</v>
      </c>
      <c r="CD92" s="120">
        <v>5.86</v>
      </c>
      <c r="CE92" s="120">
        <v>7.88</v>
      </c>
      <c r="CF92" s="120">
        <v>6.76</v>
      </c>
      <c r="CG92" s="120">
        <v>6.02</v>
      </c>
      <c r="CH92" s="120">
        <v>5.78</v>
      </c>
      <c r="CI92" s="120">
        <v>6.32</v>
      </c>
    </row>
    <row r="93" spans="1:87" x14ac:dyDescent="0.2">
      <c r="A93" s="26"/>
      <c r="B93" s="339"/>
      <c r="C93" s="81"/>
      <c r="D93" s="81"/>
      <c r="E93" s="30"/>
      <c r="F93" s="30"/>
      <c r="G93" s="30"/>
      <c r="H93" s="81"/>
      <c r="I93" s="81"/>
      <c r="J93" s="346"/>
      <c r="K93" s="55"/>
      <c r="L93" s="55"/>
      <c r="M93" s="343"/>
      <c r="N93" s="96"/>
      <c r="O93" s="71"/>
      <c r="P93" s="20"/>
      <c r="Q93" s="20"/>
      <c r="R93" s="20"/>
      <c r="S93" s="96"/>
      <c r="T93" s="96"/>
      <c r="U93" s="8" t="s">
        <v>15</v>
      </c>
      <c r="V93" s="78" t="s">
        <v>77</v>
      </c>
      <c r="W93" s="78"/>
      <c r="X93" s="78" t="s">
        <v>77</v>
      </c>
      <c r="Y93" s="78"/>
      <c r="Z93" s="78" t="s">
        <v>77</v>
      </c>
      <c r="AA93" s="78"/>
      <c r="AB93" s="78" t="s">
        <v>77</v>
      </c>
      <c r="AC93" s="78"/>
      <c r="AD93" s="78" t="s">
        <v>77</v>
      </c>
      <c r="AE93" s="78"/>
      <c r="AF93" s="78" t="s">
        <v>77</v>
      </c>
      <c r="AG93" s="78"/>
      <c r="AH93" s="78" t="s">
        <v>77</v>
      </c>
      <c r="AI93" s="78"/>
      <c r="AJ93" s="78" t="s">
        <v>77</v>
      </c>
      <c r="AK93" s="78" t="s">
        <v>77</v>
      </c>
      <c r="AL93" s="78"/>
      <c r="AM93" s="78" t="s">
        <v>77</v>
      </c>
      <c r="AN93" s="78"/>
      <c r="AO93" s="78" t="s">
        <v>77</v>
      </c>
      <c r="AP93" s="78"/>
      <c r="AQ93" s="78" t="s">
        <v>77</v>
      </c>
      <c r="AR93" s="78"/>
      <c r="AS93" s="78" t="s">
        <v>77</v>
      </c>
      <c r="AT93" s="78"/>
      <c r="AU93" s="78" t="s">
        <v>77</v>
      </c>
      <c r="AV93" s="78"/>
      <c r="AW93" s="78" t="s">
        <v>77</v>
      </c>
      <c r="AX93" s="78"/>
      <c r="AY93" s="78" t="s">
        <v>77</v>
      </c>
      <c r="AZ93" s="78"/>
      <c r="BA93" s="78" t="s">
        <v>77</v>
      </c>
      <c r="BB93" s="78"/>
      <c r="BC93" s="78" t="s">
        <v>77</v>
      </c>
      <c r="BD93" s="78" t="s">
        <v>77</v>
      </c>
      <c r="BE93" s="97"/>
      <c r="BF93" s="8"/>
      <c r="BO93" s="28">
        <v>2011</v>
      </c>
      <c r="BP93" s="124">
        <v>32.99</v>
      </c>
      <c r="BQ93" s="124">
        <v>25.57</v>
      </c>
      <c r="BR93" s="124">
        <v>18.149999999999999</v>
      </c>
      <c r="BS93" s="124">
        <v>15.07</v>
      </c>
      <c r="BT93" s="124">
        <v>18.36</v>
      </c>
      <c r="BU93" s="124">
        <v>14.64</v>
      </c>
      <c r="BV93" s="124">
        <v>16.52</v>
      </c>
      <c r="BW93" s="124">
        <v>15.32</v>
      </c>
      <c r="BX93" s="124">
        <v>20.51</v>
      </c>
      <c r="BZ93" s="26">
        <f t="shared" si="70"/>
        <v>2011</v>
      </c>
      <c r="CA93" s="120">
        <v>7.92</v>
      </c>
      <c r="CB93" s="120">
        <v>6.97</v>
      </c>
      <c r="CC93" s="120">
        <v>5.47</v>
      </c>
      <c r="CD93" s="120">
        <v>5.43</v>
      </c>
      <c r="CE93" s="120">
        <v>7.49</v>
      </c>
      <c r="CF93" s="120">
        <v>6.38</v>
      </c>
      <c r="CG93" s="120">
        <v>5.84</v>
      </c>
      <c r="CH93" s="120">
        <v>5.47</v>
      </c>
      <c r="CI93" s="120">
        <v>5.9</v>
      </c>
    </row>
    <row r="94" spans="1:87" x14ac:dyDescent="0.2">
      <c r="A94" s="30"/>
      <c r="B94" s="81"/>
      <c r="C94" s="30"/>
      <c r="D94" s="30"/>
      <c r="E94" s="30"/>
      <c r="F94" s="30"/>
      <c r="G94" s="30"/>
      <c r="H94" s="30"/>
      <c r="I94" s="30"/>
      <c r="J94" s="346"/>
      <c r="K94" s="55"/>
      <c r="L94" s="55"/>
      <c r="M94" s="343"/>
      <c r="N94" s="96"/>
      <c r="O94" s="71"/>
      <c r="P94" s="20"/>
      <c r="Q94" s="20"/>
      <c r="R94" s="20"/>
      <c r="S94" s="96"/>
      <c r="T94" s="96"/>
      <c r="U94" s="8">
        <v>2005</v>
      </c>
      <c r="V94" s="347">
        <v>20494125</v>
      </c>
      <c r="W94" s="127"/>
      <c r="X94" s="347">
        <v>9340069</v>
      </c>
      <c r="Y94" s="127"/>
      <c r="Z94" s="347">
        <v>208675</v>
      </c>
      <c r="AA94" s="55"/>
      <c r="AB94" s="347">
        <v>2213161</v>
      </c>
      <c r="AC94" s="55"/>
      <c r="AD94" s="347">
        <v>9831042</v>
      </c>
      <c r="AE94" s="55"/>
      <c r="AF94" s="347">
        <v>62917799</v>
      </c>
      <c r="AG94" s="55"/>
      <c r="AH94" s="347">
        <v>14816839</v>
      </c>
      <c r="AI94" s="55"/>
      <c r="AJ94" s="347">
        <v>369877</v>
      </c>
      <c r="AK94" s="347">
        <v>2337285</v>
      </c>
      <c r="AL94" s="55"/>
      <c r="AM94" s="347">
        <v>6027026</v>
      </c>
      <c r="AN94" s="55"/>
      <c r="AO94" s="347">
        <v>47715975</v>
      </c>
      <c r="AP94" s="55"/>
      <c r="AQ94" s="347">
        <v>12869848</v>
      </c>
      <c r="AR94" s="55"/>
      <c r="AS94" s="347">
        <v>17820575</v>
      </c>
      <c r="AT94" s="55"/>
      <c r="AU94" s="347">
        <v>23733426</v>
      </c>
      <c r="AV94" s="127"/>
      <c r="AW94" s="347">
        <v>6871528</v>
      </c>
      <c r="AX94" s="55"/>
      <c r="AY94" s="347">
        <v>16186913</v>
      </c>
      <c r="AZ94" s="127"/>
      <c r="BA94" s="347">
        <v>5355859</v>
      </c>
      <c r="BB94" s="127"/>
      <c r="BC94" s="347">
        <v>47257268</v>
      </c>
      <c r="BD94" s="347">
        <v>94022661</v>
      </c>
      <c r="BE94" s="54"/>
      <c r="BF94" s="8"/>
      <c r="BO94" s="28">
        <v>2012</v>
      </c>
      <c r="BP94" s="124">
        <v>33.56</v>
      </c>
      <c r="BQ94" s="124">
        <v>26.38</v>
      </c>
      <c r="BR94" s="124">
        <v>18.059999999999999</v>
      </c>
      <c r="BS94" s="124">
        <v>15.06</v>
      </c>
      <c r="BT94" s="124">
        <v>18.43</v>
      </c>
      <c r="BU94" s="124">
        <v>14.61</v>
      </c>
      <c r="BV94" s="124">
        <v>16.690000000000001</v>
      </c>
      <c r="BW94" s="124">
        <v>15.79</v>
      </c>
      <c r="BX94" s="124">
        <v>20.49</v>
      </c>
      <c r="BZ94" s="26">
        <f t="shared" si="70"/>
        <v>2012</v>
      </c>
      <c r="CA94" s="120">
        <v>7.91</v>
      </c>
      <c r="CB94" s="120">
        <v>7.02</v>
      </c>
      <c r="CC94" s="120">
        <v>5.27</v>
      </c>
      <c r="CD94" s="120">
        <v>5.37</v>
      </c>
      <c r="CE94" s="120">
        <v>7.42</v>
      </c>
      <c r="CF94" s="120">
        <v>6.34</v>
      </c>
      <c r="CG94" s="120">
        <v>5.77</v>
      </c>
      <c r="CH94" s="120">
        <v>5.42</v>
      </c>
      <c r="CI94" s="120">
        <v>5.85</v>
      </c>
    </row>
    <row r="95" spans="1:87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20"/>
      <c r="N95" s="96"/>
      <c r="O95" s="71"/>
      <c r="P95" s="20"/>
      <c r="Q95" s="20"/>
      <c r="R95" s="20"/>
      <c r="S95" s="96"/>
      <c r="T95" s="96"/>
      <c r="U95" s="8">
        <v>2006</v>
      </c>
      <c r="V95" s="347">
        <v>17550185</v>
      </c>
      <c r="W95" s="127"/>
      <c r="X95" s="347">
        <v>8143774</v>
      </c>
      <c r="Y95" s="127"/>
      <c r="Z95" s="347">
        <v>191491</v>
      </c>
      <c r="AA95" s="55"/>
      <c r="AB95" s="347">
        <v>2008997</v>
      </c>
      <c r="AC95" s="55"/>
      <c r="AD95" s="347">
        <v>9123872</v>
      </c>
      <c r="AE95" s="55"/>
      <c r="AF95" s="347">
        <v>61673339</v>
      </c>
      <c r="AG95" s="55"/>
      <c r="AH95" s="347">
        <v>14042753</v>
      </c>
      <c r="AI95" s="55"/>
      <c r="AJ95" s="347">
        <v>377608</v>
      </c>
      <c r="AK95" s="347">
        <v>2341886</v>
      </c>
      <c r="AL95" s="55"/>
      <c r="AM95" s="347">
        <v>6077394</v>
      </c>
      <c r="AN95" s="55"/>
      <c r="AO95" s="347">
        <v>47557729</v>
      </c>
      <c r="AP95" s="55"/>
      <c r="AQ95" s="347">
        <v>12942078</v>
      </c>
      <c r="AR95" s="55"/>
      <c r="AS95" s="347">
        <v>17808215</v>
      </c>
      <c r="AT95" s="55"/>
      <c r="AU95" s="347">
        <v>23421425</v>
      </c>
      <c r="AV95" s="127"/>
      <c r="AW95" s="347">
        <v>6815017</v>
      </c>
      <c r="AX95" s="55"/>
      <c r="AY95" s="347">
        <v>17324519</v>
      </c>
      <c r="AZ95" s="127"/>
      <c r="BA95" s="347">
        <v>5105456</v>
      </c>
      <c r="BB95" s="127"/>
      <c r="BC95" s="347">
        <v>47050591</v>
      </c>
      <c r="BD95" s="347">
        <v>100685067</v>
      </c>
      <c r="BE95" s="54"/>
      <c r="BF95" s="8"/>
      <c r="BO95" s="28">
        <v>2013</v>
      </c>
      <c r="BP95" s="124">
        <v>33.869999999999997</v>
      </c>
      <c r="BQ95" s="124">
        <v>26.77</v>
      </c>
      <c r="BR95" s="124">
        <v>18.21</v>
      </c>
      <c r="BS95" s="124">
        <v>15.44</v>
      </c>
      <c r="BT95" s="124">
        <v>18.53</v>
      </c>
      <c r="BU95" s="124">
        <v>14.53</v>
      </c>
      <c r="BV95" s="124">
        <v>16.739999999999998</v>
      </c>
      <c r="BW95" s="124">
        <v>16.239999999999998</v>
      </c>
      <c r="BX95" s="124">
        <v>20.36</v>
      </c>
      <c r="BZ95" s="26">
        <f t="shared" si="70"/>
        <v>2013</v>
      </c>
      <c r="CA95" s="120">
        <v>8.0299999999999994</v>
      </c>
      <c r="CB95" s="120">
        <v>7.19</v>
      </c>
      <c r="CC95" s="120">
        <v>5.22</v>
      </c>
      <c r="CD95" s="120">
        <v>5.33</v>
      </c>
      <c r="CE95" s="120">
        <v>7.43</v>
      </c>
      <c r="CF95" s="120">
        <v>6.34</v>
      </c>
      <c r="CG95" s="120">
        <v>5.74</v>
      </c>
      <c r="CH95" s="120">
        <v>5.44</v>
      </c>
      <c r="CI95" s="120">
        <v>5.83</v>
      </c>
    </row>
    <row r="96" spans="1:87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20"/>
      <c r="N96" s="96"/>
      <c r="O96" s="71"/>
      <c r="P96" s="20"/>
      <c r="Q96" s="20"/>
      <c r="R96" s="20"/>
      <c r="S96" s="96"/>
      <c r="T96" s="96"/>
      <c r="U96" s="8">
        <v>2007</v>
      </c>
      <c r="V96" s="347">
        <v>17588300</v>
      </c>
      <c r="W96" s="127"/>
      <c r="X96" s="347">
        <v>8391716</v>
      </c>
      <c r="Y96" s="127"/>
      <c r="Z96" s="347">
        <v>210868</v>
      </c>
      <c r="AA96" s="55"/>
      <c r="AB96" s="347">
        <v>1966322</v>
      </c>
      <c r="AC96" s="55"/>
      <c r="AD96" s="347">
        <v>10626238</v>
      </c>
      <c r="AE96" s="55"/>
      <c r="AF96" s="347">
        <v>63740205</v>
      </c>
      <c r="AG96" s="55"/>
      <c r="AH96" s="347">
        <v>16869697</v>
      </c>
      <c r="AI96" s="55"/>
      <c r="AJ96" s="347">
        <v>543964</v>
      </c>
      <c r="AK96" s="347">
        <v>2357262</v>
      </c>
      <c r="AL96" s="55"/>
      <c r="AM96" s="347">
        <v>6184496</v>
      </c>
      <c r="AN96" s="55"/>
      <c r="AO96" s="347">
        <v>48099250</v>
      </c>
      <c r="AP96" s="55"/>
      <c r="AQ96" s="347">
        <v>13082185</v>
      </c>
      <c r="AR96" s="55"/>
      <c r="AS96" s="347">
        <v>17931388</v>
      </c>
      <c r="AT96" s="55"/>
      <c r="AU96" s="347">
        <v>23237363</v>
      </c>
      <c r="AV96" s="127"/>
      <c r="AW96" s="347">
        <v>6815958</v>
      </c>
      <c r="AX96" s="55"/>
      <c r="AY96" s="347">
        <v>18131318</v>
      </c>
      <c r="AZ96" s="127"/>
      <c r="BA96" s="347">
        <v>5141817</v>
      </c>
      <c r="BB96" s="127"/>
      <c r="BC96" s="347">
        <v>46479655</v>
      </c>
      <c r="BD96" s="347">
        <v>109529564</v>
      </c>
      <c r="BE96" s="54"/>
      <c r="BF96" s="8"/>
      <c r="BG96" s="8"/>
      <c r="BH96" s="55"/>
      <c r="BO96" s="28">
        <v>2014</v>
      </c>
      <c r="BP96" s="124">
        <v>33.67</v>
      </c>
      <c r="BQ96" s="124">
        <v>26.92</v>
      </c>
      <c r="BR96" s="124">
        <v>18.22</v>
      </c>
      <c r="BS96" s="124">
        <v>15.38</v>
      </c>
      <c r="BT96" s="124">
        <v>18.47</v>
      </c>
      <c r="BU96" s="124">
        <v>14.37</v>
      </c>
      <c r="BV96" s="124">
        <v>16.79</v>
      </c>
      <c r="BW96" s="124">
        <v>16.32</v>
      </c>
      <c r="BX96" s="124">
        <v>20.39</v>
      </c>
      <c r="BZ96" s="26">
        <f t="shared" si="70"/>
        <v>2014</v>
      </c>
      <c r="CA96" s="120">
        <v>8.09</v>
      </c>
      <c r="CB96" s="120">
        <v>7.33</v>
      </c>
      <c r="CC96" s="120">
        <v>5.16</v>
      </c>
      <c r="CD96" s="120">
        <v>5.27</v>
      </c>
      <c r="CE96" s="120">
        <v>7.31</v>
      </c>
      <c r="CF96" s="120">
        <v>6.32</v>
      </c>
      <c r="CG96" s="120">
        <v>5.69</v>
      </c>
      <c r="CH96" s="120">
        <v>5.38</v>
      </c>
      <c r="CI96" s="120">
        <v>5.74</v>
      </c>
    </row>
    <row r="97" spans="1:87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20"/>
      <c r="N97" s="96"/>
      <c r="O97" s="71"/>
      <c r="P97" s="20"/>
      <c r="Q97" s="20"/>
      <c r="R97" s="20"/>
      <c r="S97" s="96"/>
      <c r="T97" s="96"/>
      <c r="U97" s="8">
        <v>2008</v>
      </c>
      <c r="V97" s="347">
        <v>19592553</v>
      </c>
      <c r="W97" s="127"/>
      <c r="X97" s="347">
        <v>9452049</v>
      </c>
      <c r="Y97" s="127"/>
      <c r="Z97" s="347">
        <v>270624</v>
      </c>
      <c r="AA97" s="55"/>
      <c r="AB97" s="347">
        <v>2155323</v>
      </c>
      <c r="AC97" s="55"/>
      <c r="AD97" s="347">
        <v>8209462</v>
      </c>
      <c r="AE97" s="55"/>
      <c r="AF97" s="347">
        <v>51914988</v>
      </c>
      <c r="AG97" s="55"/>
      <c r="AH97" s="347">
        <v>13296407</v>
      </c>
      <c r="AI97" s="55"/>
      <c r="AJ97" s="347">
        <v>506397</v>
      </c>
      <c r="AK97" s="347">
        <v>2320131</v>
      </c>
      <c r="AL97" s="55"/>
      <c r="AM97" s="347">
        <v>6273740</v>
      </c>
      <c r="AN97" s="55"/>
      <c r="AO97" s="347">
        <v>48044644</v>
      </c>
      <c r="AP97" s="55"/>
      <c r="AQ97" s="347">
        <v>13182623</v>
      </c>
      <c r="AR97" s="55"/>
      <c r="AS97" s="347">
        <v>17923660</v>
      </c>
      <c r="AT97" s="55"/>
      <c r="AU97" s="347">
        <v>23026512</v>
      </c>
      <c r="AV97" s="127"/>
      <c r="AW97" s="347">
        <v>6809191</v>
      </c>
      <c r="AX97" s="55"/>
      <c r="AY97" s="347">
        <v>18663024</v>
      </c>
      <c r="AZ97" s="127"/>
      <c r="BA97" s="347">
        <v>5872641</v>
      </c>
      <c r="BB97" s="127"/>
      <c r="BC97" s="347">
        <v>45854257</v>
      </c>
      <c r="BD97" s="347">
        <v>115890765</v>
      </c>
      <c r="BE97" s="54"/>
      <c r="BF97" s="8"/>
      <c r="BG97" s="8"/>
      <c r="BH97" s="55"/>
      <c r="BO97" s="28">
        <v>2015</v>
      </c>
      <c r="BP97" s="124">
        <v>33.39</v>
      </c>
      <c r="BQ97" s="124">
        <v>26.81</v>
      </c>
      <c r="BR97" s="124">
        <v>18.27</v>
      </c>
      <c r="BS97" s="124">
        <v>15.34</v>
      </c>
      <c r="BT97" s="124">
        <v>18.48</v>
      </c>
      <c r="BU97" s="124">
        <v>14.27</v>
      </c>
      <c r="BV97" s="124">
        <v>16.899999999999999</v>
      </c>
      <c r="BW97" s="124">
        <v>16.489999999999998</v>
      </c>
      <c r="BX97" s="124">
        <v>20.309999999999999</v>
      </c>
      <c r="BZ97" s="26">
        <f t="shared" si="70"/>
        <v>2015</v>
      </c>
      <c r="CA97" s="120">
        <v>8.02</v>
      </c>
      <c r="CB97" s="120">
        <v>7.2</v>
      </c>
      <c r="CC97" s="120">
        <v>5.25</v>
      </c>
      <c r="CD97" s="120">
        <v>5.35</v>
      </c>
      <c r="CE97" s="120">
        <v>7.42</v>
      </c>
      <c r="CF97" s="120">
        <v>6.45</v>
      </c>
      <c r="CG97" s="120">
        <v>5.78</v>
      </c>
      <c r="CH97" s="120">
        <v>5.47</v>
      </c>
      <c r="CI97" s="120">
        <v>5.79</v>
      </c>
    </row>
    <row r="98" spans="1:87" x14ac:dyDescent="0.2">
      <c r="A98" s="30"/>
      <c r="B98" s="30"/>
      <c r="C98" s="77"/>
      <c r="D98" s="77"/>
      <c r="E98" s="334"/>
      <c r="F98" s="334"/>
      <c r="G98" s="23"/>
      <c r="H98" s="334"/>
      <c r="I98" s="77"/>
      <c r="J98" s="334"/>
      <c r="K98" s="23"/>
      <c r="L98" s="334"/>
      <c r="M98" s="20"/>
      <c r="N98" s="96"/>
      <c r="O98" s="71"/>
      <c r="P98" s="20"/>
      <c r="Q98" s="20"/>
      <c r="R98" s="20"/>
      <c r="S98" s="96"/>
      <c r="T98" s="96"/>
      <c r="U98" s="8">
        <v>2009</v>
      </c>
      <c r="V98" s="347">
        <v>18796906</v>
      </c>
      <c r="W98" s="127"/>
      <c r="X98" s="347">
        <v>9203045</v>
      </c>
      <c r="Y98" s="127"/>
      <c r="Z98" s="347">
        <v>294582</v>
      </c>
      <c r="AA98" s="55"/>
      <c r="AB98" s="347">
        <v>2054856</v>
      </c>
      <c r="AC98" s="55"/>
      <c r="AD98" s="347">
        <v>7617069</v>
      </c>
      <c r="AE98" s="55"/>
      <c r="AF98" s="347">
        <v>45656354</v>
      </c>
      <c r="AG98" s="55"/>
      <c r="AH98" s="347">
        <v>12627376</v>
      </c>
      <c r="AI98" s="55"/>
      <c r="AJ98" s="347">
        <v>568413</v>
      </c>
      <c r="AK98" s="347">
        <v>2267392</v>
      </c>
      <c r="AL98" s="55"/>
      <c r="AM98" s="347">
        <v>6336587</v>
      </c>
      <c r="AN98" s="55"/>
      <c r="AO98" s="347">
        <v>47867049</v>
      </c>
      <c r="AP98" s="55"/>
      <c r="AQ98" s="347">
        <v>13207868</v>
      </c>
      <c r="AR98" s="55"/>
      <c r="AS98" s="347">
        <v>17828496</v>
      </c>
      <c r="AT98" s="55"/>
      <c r="AU98" s="347">
        <v>22708346</v>
      </c>
      <c r="AV98" s="127"/>
      <c r="AW98" s="347">
        <v>6775564</v>
      </c>
      <c r="AX98" s="55"/>
      <c r="AY98" s="347">
        <v>18867640</v>
      </c>
      <c r="AZ98" s="127"/>
      <c r="BA98" s="347">
        <v>5840469</v>
      </c>
      <c r="BB98" s="127"/>
      <c r="BC98" s="347">
        <v>44824160</v>
      </c>
      <c r="BD98" s="347">
        <v>113155114</v>
      </c>
      <c r="BE98" s="54"/>
      <c r="BF98" s="8"/>
      <c r="BG98" s="8"/>
      <c r="BH98" s="55"/>
      <c r="BO98" s="28">
        <v>2016</v>
      </c>
      <c r="BP98" s="124">
        <v>32.61</v>
      </c>
      <c r="BQ98" s="124">
        <v>26.48</v>
      </c>
      <c r="BR98" s="124">
        <v>18.22</v>
      </c>
      <c r="BS98" s="124">
        <v>15.18</v>
      </c>
      <c r="BT98" s="124">
        <v>18.46</v>
      </c>
      <c r="BU98" s="124">
        <v>14.25</v>
      </c>
      <c r="BV98" s="124">
        <v>17.059999999999999</v>
      </c>
      <c r="BW98" s="124">
        <v>16.47</v>
      </c>
      <c r="BX98" s="124">
        <v>19.98</v>
      </c>
      <c r="BZ98" s="26">
        <f t="shared" si="70"/>
        <v>2016</v>
      </c>
      <c r="CA98" s="120">
        <v>8</v>
      </c>
      <c r="CB98" s="120">
        <v>7.02</v>
      </c>
      <c r="CC98" s="120">
        <v>5.35</v>
      </c>
      <c r="CD98" s="120">
        <v>5.45</v>
      </c>
      <c r="CE98" s="120">
        <v>7.5</v>
      </c>
      <c r="CF98" s="120">
        <v>6.51</v>
      </c>
      <c r="CG98" s="120">
        <v>5.82</v>
      </c>
      <c r="CH98" s="120">
        <v>5.54</v>
      </c>
      <c r="CI98" s="120">
        <v>5.91</v>
      </c>
    </row>
    <row r="99" spans="1:87" x14ac:dyDescent="0.2">
      <c r="A99" s="77"/>
      <c r="B99" s="77"/>
      <c r="C99" s="334"/>
      <c r="D99" s="334"/>
      <c r="E99" s="334"/>
      <c r="F99" s="334"/>
      <c r="G99" s="333"/>
      <c r="H99" s="334"/>
      <c r="I99" s="334"/>
      <c r="J99" s="334"/>
      <c r="K99" s="333"/>
      <c r="L99" s="334"/>
      <c r="M99" s="20"/>
      <c r="N99" s="96"/>
      <c r="O99" s="71"/>
      <c r="P99" s="20"/>
      <c r="Q99" s="20"/>
      <c r="R99" s="20"/>
      <c r="S99" s="96"/>
      <c r="T99" s="96"/>
      <c r="U99" s="8">
        <v>2010</v>
      </c>
      <c r="V99" s="347">
        <v>20443608</v>
      </c>
      <c r="W99" s="127"/>
      <c r="X99" s="347">
        <v>10199519</v>
      </c>
      <c r="Y99" s="127"/>
      <c r="Z99" s="347">
        <v>358175</v>
      </c>
      <c r="AA99" s="55"/>
      <c r="AB99" s="347">
        <v>2218342</v>
      </c>
      <c r="AC99" s="55"/>
      <c r="AD99" s="347">
        <v>10267172</v>
      </c>
      <c r="AE99" s="55"/>
      <c r="AF99" s="347">
        <v>75745431</v>
      </c>
      <c r="AG99" s="55"/>
      <c r="AH99" s="347">
        <v>17998204</v>
      </c>
      <c r="AI99" s="55"/>
      <c r="AJ99" s="347">
        <v>959607</v>
      </c>
      <c r="AK99" s="347">
        <v>2219754</v>
      </c>
      <c r="AL99" s="55"/>
      <c r="AM99" s="347">
        <v>6292176</v>
      </c>
      <c r="AN99" s="55"/>
      <c r="AO99" s="347">
        <v>47973496</v>
      </c>
      <c r="AP99" s="55"/>
      <c r="AQ99" s="347">
        <v>13258091</v>
      </c>
      <c r="AR99" s="55"/>
      <c r="AS99" s="347">
        <v>17821336</v>
      </c>
      <c r="AT99" s="55"/>
      <c r="AU99" s="347">
        <v>22465048</v>
      </c>
      <c r="AV99" s="127"/>
      <c r="AW99" s="347">
        <v>6762620</v>
      </c>
      <c r="AX99" s="55"/>
      <c r="AY99" s="347">
        <v>19183664</v>
      </c>
      <c r="AZ99" s="127"/>
      <c r="BA99" s="347">
        <v>6637360</v>
      </c>
      <c r="BB99" s="127"/>
      <c r="BC99" s="347">
        <v>43974385</v>
      </c>
      <c r="BD99" s="347">
        <v>117180710</v>
      </c>
      <c r="BE99" s="54"/>
      <c r="BF99" s="8"/>
      <c r="BG99" s="8"/>
      <c r="BH99" s="55"/>
      <c r="BO99" s="28">
        <v>2017</v>
      </c>
      <c r="BP99" s="124">
        <v>31.93</v>
      </c>
      <c r="BQ99" s="124">
        <v>26.1</v>
      </c>
      <c r="BR99" s="124">
        <v>18.04</v>
      </c>
      <c r="BS99" s="124">
        <v>15.1</v>
      </c>
      <c r="BT99" s="124">
        <v>18.579999999999998</v>
      </c>
      <c r="BU99" s="124">
        <v>14.47</v>
      </c>
      <c r="BV99" s="124">
        <v>17.09</v>
      </c>
      <c r="BW99" s="124">
        <v>16.510000000000002</v>
      </c>
      <c r="BX99" s="124">
        <v>19.739999999999998</v>
      </c>
      <c r="BZ99" s="26">
        <f t="shared" si="70"/>
        <v>2017</v>
      </c>
      <c r="CA99" s="120">
        <v>8.11</v>
      </c>
      <c r="CB99" s="120">
        <v>7.02</v>
      </c>
      <c r="CC99" s="120">
        <v>5.45</v>
      </c>
      <c r="CD99" s="120">
        <v>5.58</v>
      </c>
      <c r="CE99" s="120">
        <v>7.59</v>
      </c>
      <c r="CF99" s="120">
        <v>6.57</v>
      </c>
      <c r="CG99" s="120">
        <v>5.86</v>
      </c>
      <c r="CH99" s="120">
        <v>5.62</v>
      </c>
      <c r="CI99" s="120">
        <v>6.05</v>
      </c>
    </row>
    <row r="100" spans="1:87" x14ac:dyDescent="0.2">
      <c r="A100" s="83"/>
      <c r="B100" s="334"/>
      <c r="C100" s="336"/>
      <c r="D100" s="336"/>
      <c r="E100" s="334"/>
      <c r="F100" s="334"/>
      <c r="G100" s="333"/>
      <c r="H100" s="336"/>
      <c r="I100" s="336"/>
      <c r="J100" s="334"/>
      <c r="K100" s="333"/>
      <c r="L100" s="336"/>
      <c r="M100" s="20"/>
      <c r="N100" s="96"/>
      <c r="O100" s="71"/>
      <c r="P100" s="20"/>
      <c r="Q100" s="20"/>
      <c r="R100" s="20"/>
      <c r="S100" s="96"/>
      <c r="T100" s="96"/>
      <c r="U100" s="8">
        <v>2011</v>
      </c>
      <c r="V100" s="347">
        <v>17200303</v>
      </c>
      <c r="W100" s="127"/>
      <c r="X100" s="347">
        <v>8766678</v>
      </c>
      <c r="Y100" s="127"/>
      <c r="Z100" s="347">
        <v>375299</v>
      </c>
      <c r="AA100" s="55"/>
      <c r="AB100" s="347">
        <v>1879231</v>
      </c>
      <c r="AC100" s="55"/>
      <c r="AD100" s="347">
        <v>8917612</v>
      </c>
      <c r="AE100" s="55"/>
      <c r="AF100" s="347">
        <v>70071552</v>
      </c>
      <c r="AG100" s="55"/>
      <c r="AH100" s="347">
        <v>13730169</v>
      </c>
      <c r="AI100" s="55"/>
      <c r="AJ100" s="347">
        <v>843220</v>
      </c>
      <c r="AK100" s="347">
        <v>2211227</v>
      </c>
      <c r="AL100" s="55"/>
      <c r="AM100" s="347">
        <v>6262891</v>
      </c>
      <c r="AN100" s="55"/>
      <c r="AO100" s="347">
        <v>47601141</v>
      </c>
      <c r="AP100" s="55"/>
      <c r="AQ100" s="347">
        <v>13292895</v>
      </c>
      <c r="AR100" s="55"/>
      <c r="AS100" s="347">
        <v>17586792</v>
      </c>
      <c r="AT100" s="55"/>
      <c r="AU100" s="347">
        <v>22325349</v>
      </c>
      <c r="AV100" s="127"/>
      <c r="AW100" s="347">
        <v>6773142</v>
      </c>
      <c r="AX100" s="55"/>
      <c r="AY100" s="347">
        <v>18866997</v>
      </c>
      <c r="AZ100" s="127"/>
      <c r="BA100" s="347">
        <v>6092897</v>
      </c>
      <c r="BB100" s="127"/>
      <c r="BC100" s="347">
        <v>42273328</v>
      </c>
      <c r="BD100" s="347">
        <v>116049088</v>
      </c>
      <c r="BE100" s="212">
        <f t="shared" ref="BE100:BE101" si="74">BC100/BC99-1</f>
        <v>-3.8682905969009029E-2</v>
      </c>
      <c r="BF100" s="8"/>
      <c r="BG100" s="8"/>
      <c r="BH100" s="55"/>
      <c r="BO100" s="28">
        <v>2018</v>
      </c>
      <c r="BP100" s="124">
        <v>31.4</v>
      </c>
      <c r="BQ100" s="124">
        <v>25.8</v>
      </c>
      <c r="BR100" s="124">
        <v>17.84</v>
      </c>
      <c r="BS100" s="124">
        <v>14.97</v>
      </c>
      <c r="BT100" s="124">
        <v>18.7</v>
      </c>
      <c r="BU100" s="124">
        <v>14.46</v>
      </c>
      <c r="BV100" s="124">
        <v>17.22</v>
      </c>
      <c r="BW100" s="124">
        <v>16.52</v>
      </c>
      <c r="BX100" s="124">
        <v>19.41</v>
      </c>
      <c r="BZ100" s="26">
        <f t="shared" si="70"/>
        <v>2018</v>
      </c>
      <c r="CA100" s="120">
        <v>8.19</v>
      </c>
      <c r="CB100" s="120">
        <v>7.03</v>
      </c>
      <c r="CC100" s="120">
        <v>5.53</v>
      </c>
      <c r="CD100" s="120">
        <v>5.67</v>
      </c>
      <c r="CE100" s="120">
        <v>7.67</v>
      </c>
      <c r="CF100" s="120">
        <v>6.63</v>
      </c>
      <c r="CG100" s="120">
        <v>5.89</v>
      </c>
      <c r="CH100" s="120">
        <v>5.73</v>
      </c>
      <c r="CI100" s="120">
        <v>6.18</v>
      </c>
    </row>
    <row r="101" spans="1:87" x14ac:dyDescent="0.2">
      <c r="A101" s="83"/>
      <c r="B101" s="336"/>
      <c r="C101" s="336"/>
      <c r="D101" s="336"/>
      <c r="E101" s="348"/>
      <c r="F101" s="348"/>
      <c r="G101" s="333"/>
      <c r="H101" s="336"/>
      <c r="I101" s="336"/>
      <c r="J101" s="348"/>
      <c r="K101" s="333"/>
      <c r="L101" s="336"/>
      <c r="M101" s="20"/>
      <c r="N101" s="96"/>
      <c r="O101" s="71"/>
      <c r="P101" s="20"/>
      <c r="Q101" s="20"/>
      <c r="R101" s="20"/>
      <c r="S101" s="96"/>
      <c r="T101" s="96"/>
      <c r="U101" s="8">
        <v>2012</v>
      </c>
      <c r="V101" s="347">
        <v>17461162</v>
      </c>
      <c r="W101" s="127"/>
      <c r="X101" s="347">
        <v>9104408</v>
      </c>
      <c r="Y101" s="127"/>
      <c r="Z101" s="347">
        <v>501307</v>
      </c>
      <c r="AA101" s="55"/>
      <c r="AB101" s="347">
        <v>1870896</v>
      </c>
      <c r="AC101" s="55"/>
      <c r="AD101" s="347">
        <v>7629275</v>
      </c>
      <c r="AE101" s="55"/>
      <c r="AF101" s="347">
        <v>62733039</v>
      </c>
      <c r="AG101" s="55"/>
      <c r="AH101" s="347">
        <v>14833581</v>
      </c>
      <c r="AI101" s="55"/>
      <c r="AJ101" s="347">
        <v>995162</v>
      </c>
      <c r="AK101" s="347">
        <v>2233495</v>
      </c>
      <c r="AL101" s="55"/>
      <c r="AM101" s="347">
        <v>6300320</v>
      </c>
      <c r="AN101" s="55"/>
      <c r="AO101" s="347">
        <v>48635570</v>
      </c>
      <c r="AP101" s="55"/>
      <c r="AQ101" s="347">
        <v>13505004</v>
      </c>
      <c r="AR101" s="55"/>
      <c r="AS101" s="347">
        <v>17903759</v>
      </c>
      <c r="AT101" s="55"/>
      <c r="AU101" s="347">
        <v>22426869</v>
      </c>
      <c r="AV101" s="127"/>
      <c r="AW101" s="347">
        <v>6857532</v>
      </c>
      <c r="AX101" s="55"/>
      <c r="AY101" s="347">
        <v>19038709</v>
      </c>
      <c r="AZ101" s="127"/>
      <c r="BA101" s="347">
        <v>6259857</v>
      </c>
      <c r="BB101" s="127"/>
      <c r="BC101" s="347">
        <v>41785411</v>
      </c>
      <c r="BD101" s="347">
        <v>118201291</v>
      </c>
      <c r="BE101" s="212">
        <f t="shared" si="74"/>
        <v>-1.1541958560726484E-2</v>
      </c>
      <c r="BF101" s="8"/>
      <c r="BG101" s="8"/>
      <c r="BH101" s="55"/>
      <c r="BO101" s="28">
        <v>2019</v>
      </c>
      <c r="BP101" s="124">
        <v>31.05</v>
      </c>
      <c r="BQ101" s="124">
        <v>25.69</v>
      </c>
      <c r="BR101" s="124">
        <v>17.68</v>
      </c>
      <c r="BS101" s="124">
        <v>14.85</v>
      </c>
      <c r="BT101" s="124">
        <v>18.760000000000002</v>
      </c>
      <c r="BU101" s="124">
        <v>14.46</v>
      </c>
      <c r="BV101" s="124">
        <v>17.07</v>
      </c>
      <c r="BW101" s="124">
        <v>16.57</v>
      </c>
      <c r="BX101" s="124">
        <v>19.190000000000001</v>
      </c>
      <c r="BZ101" s="26">
        <f t="shared" si="70"/>
        <v>2019</v>
      </c>
      <c r="CA101" s="120">
        <v>8.27</v>
      </c>
      <c r="CB101" s="120">
        <v>7.06</v>
      </c>
      <c r="CC101" s="120">
        <v>5.6</v>
      </c>
      <c r="CD101" s="120">
        <v>5.75</v>
      </c>
      <c r="CE101" s="120">
        <v>7.73</v>
      </c>
      <c r="CF101" s="120">
        <v>6.69</v>
      </c>
      <c r="CG101" s="120">
        <v>5.93</v>
      </c>
      <c r="CH101" s="120">
        <v>5.84</v>
      </c>
      <c r="CI101" s="120">
        <v>6.3</v>
      </c>
    </row>
    <row r="102" spans="1:87" x14ac:dyDescent="0.2">
      <c r="A102" s="83"/>
      <c r="B102" s="336"/>
      <c r="C102" s="336"/>
      <c r="D102" s="336"/>
      <c r="E102" s="348"/>
      <c r="F102" s="348"/>
      <c r="G102" s="333"/>
      <c r="H102" s="336"/>
      <c r="I102" s="336"/>
      <c r="J102" s="348"/>
      <c r="K102" s="333"/>
      <c r="L102" s="336"/>
      <c r="M102" s="20"/>
      <c r="N102" s="96"/>
      <c r="O102" s="71"/>
      <c r="P102" s="20"/>
      <c r="Q102" s="20"/>
      <c r="R102" s="20"/>
      <c r="S102" s="96"/>
      <c r="T102" s="96"/>
      <c r="U102" s="8">
        <v>2013</v>
      </c>
      <c r="V102" s="347">
        <v>16917216</v>
      </c>
      <c r="W102" s="127"/>
      <c r="X102" s="347">
        <v>8913027</v>
      </c>
      <c r="Y102" s="127"/>
      <c r="Z102" s="347">
        <v>553736</v>
      </c>
      <c r="AA102" s="55"/>
      <c r="AB102" s="347">
        <v>1787826</v>
      </c>
      <c r="AC102" s="55"/>
      <c r="AD102" s="347">
        <v>7891339</v>
      </c>
      <c r="AE102" s="55"/>
      <c r="AF102" s="347">
        <v>64574133</v>
      </c>
      <c r="AG102" s="55"/>
      <c r="AH102" s="347">
        <v>15146644</v>
      </c>
      <c r="AI102" s="55"/>
      <c r="AJ102" s="347">
        <v>1104246</v>
      </c>
      <c r="AK102" s="347">
        <v>2229389</v>
      </c>
      <c r="AL102" s="55"/>
      <c r="AM102" s="347">
        <v>6212980</v>
      </c>
      <c r="AN102" s="55"/>
      <c r="AO102" s="347">
        <v>48827222</v>
      </c>
      <c r="AP102" s="55"/>
      <c r="AQ102" s="347">
        <v>13539568</v>
      </c>
      <c r="AR102" s="55"/>
      <c r="AS102" s="347">
        <v>17905684</v>
      </c>
      <c r="AT102" s="55"/>
      <c r="AU102" s="347">
        <v>22312175</v>
      </c>
      <c r="AV102" s="127"/>
      <c r="AW102" s="347">
        <v>6862716</v>
      </c>
      <c r="AX102" s="55"/>
      <c r="AY102" s="347">
        <v>18907803</v>
      </c>
      <c r="AZ102" s="127"/>
      <c r="BA102" s="347">
        <v>6214530</v>
      </c>
      <c r="BB102" s="127"/>
      <c r="BC102" s="347">
        <v>36537779</v>
      </c>
      <c r="BD102" s="347">
        <v>119330286</v>
      </c>
      <c r="BE102" s="212">
        <f>BC102/BC101-1</f>
        <v>-0.12558526706845119</v>
      </c>
      <c r="BF102" s="31"/>
      <c r="BG102" s="8"/>
      <c r="BH102" s="55"/>
      <c r="BI102" s="82"/>
      <c r="BJ102" s="64"/>
      <c r="BK102" s="64"/>
      <c r="BO102" s="28">
        <v>2020</v>
      </c>
      <c r="BP102" s="124">
        <v>30.72</v>
      </c>
      <c r="BQ102" s="124">
        <v>25.52</v>
      </c>
      <c r="BR102" s="124">
        <v>17.510000000000002</v>
      </c>
      <c r="BS102" s="124">
        <v>14.73</v>
      </c>
      <c r="BT102" s="124">
        <v>18.84</v>
      </c>
      <c r="BU102" s="124">
        <v>14.4</v>
      </c>
      <c r="BV102" s="124">
        <v>17.149999999999999</v>
      </c>
      <c r="BW102" s="124">
        <v>16.57</v>
      </c>
      <c r="BX102" s="124">
        <v>19</v>
      </c>
      <c r="BZ102" s="26">
        <f t="shared" si="70"/>
        <v>2020</v>
      </c>
      <c r="CA102" s="120">
        <v>8.36</v>
      </c>
      <c r="CB102" s="120">
        <v>7.1</v>
      </c>
      <c r="CC102" s="120">
        <v>5.71</v>
      </c>
      <c r="CD102" s="120">
        <v>5.87</v>
      </c>
      <c r="CE102" s="120">
        <v>7.84</v>
      </c>
      <c r="CF102" s="120">
        <v>6.83</v>
      </c>
      <c r="CG102" s="120">
        <v>6.04</v>
      </c>
      <c r="CH102" s="120">
        <v>5.94</v>
      </c>
      <c r="CI102" s="120">
        <v>6.4</v>
      </c>
    </row>
    <row r="103" spans="1:87" x14ac:dyDescent="0.2">
      <c r="A103" s="83"/>
      <c r="B103" s="336"/>
      <c r="C103" s="336"/>
      <c r="D103" s="336"/>
      <c r="E103" s="348"/>
      <c r="F103" s="348"/>
      <c r="G103" s="333"/>
      <c r="H103" s="336"/>
      <c r="I103" s="336"/>
      <c r="J103" s="348"/>
      <c r="K103" s="333"/>
      <c r="L103" s="336"/>
      <c r="M103" s="20"/>
      <c r="N103" s="96"/>
      <c r="O103" s="71"/>
      <c r="P103" s="20"/>
      <c r="Q103" s="20"/>
      <c r="R103" s="20"/>
      <c r="S103" s="96"/>
      <c r="T103" s="96"/>
      <c r="U103" s="8">
        <v>2014</v>
      </c>
      <c r="V103" s="347">
        <v>16718454</v>
      </c>
      <c r="W103" s="127"/>
      <c r="X103" s="347">
        <v>8956907</v>
      </c>
      <c r="Y103" s="127"/>
      <c r="Z103" s="347">
        <v>643407</v>
      </c>
      <c r="AA103" s="55"/>
      <c r="AB103" s="347">
        <v>1742313</v>
      </c>
      <c r="AC103" s="55"/>
      <c r="AD103" s="347">
        <v>7694562</v>
      </c>
      <c r="AE103" s="55"/>
      <c r="AF103" s="347">
        <v>63991003</v>
      </c>
      <c r="AG103" s="55"/>
      <c r="AH103" s="347">
        <v>15394619</v>
      </c>
      <c r="AI103" s="55"/>
      <c r="AJ103" s="347">
        <v>1201518</v>
      </c>
      <c r="AK103" s="347">
        <v>2240341</v>
      </c>
      <c r="AL103" s="55"/>
      <c r="AM103" s="347">
        <v>6172490</v>
      </c>
      <c r="AN103" s="55"/>
      <c r="AO103" s="347">
        <v>49209227</v>
      </c>
      <c r="AP103" s="55"/>
      <c r="AQ103" s="347">
        <v>13663253</v>
      </c>
      <c r="AR103" s="55"/>
      <c r="AS103" s="347">
        <v>17991685</v>
      </c>
      <c r="AT103" s="55"/>
      <c r="AU103" s="347">
        <v>22219609</v>
      </c>
      <c r="AV103" s="127"/>
      <c r="AW103" s="347">
        <v>6825837</v>
      </c>
      <c r="AX103" s="55"/>
      <c r="AY103" s="347">
        <v>18874748</v>
      </c>
      <c r="AZ103" s="127"/>
      <c r="BA103" s="347">
        <v>6279823</v>
      </c>
      <c r="BB103" s="127"/>
      <c r="BC103" s="347">
        <v>34454459</v>
      </c>
      <c r="BD103" s="347">
        <v>122024110</v>
      </c>
      <c r="BE103" s="212">
        <f t="shared" ref="BE103:BE105" si="75">BC103/BC102-1</f>
        <v>-5.7018244048167244E-2</v>
      </c>
      <c r="BF103" s="31"/>
      <c r="BG103" s="8"/>
      <c r="BH103" s="55"/>
      <c r="BO103" s="26">
        <v>2021</v>
      </c>
      <c r="BP103" s="124">
        <v>30.46</v>
      </c>
      <c r="BQ103" s="124">
        <v>25.39</v>
      </c>
      <c r="BR103" s="124">
        <v>17.37</v>
      </c>
      <c r="BS103" s="124">
        <v>14.67</v>
      </c>
      <c r="BT103" s="124">
        <v>18.84</v>
      </c>
      <c r="BU103" s="124">
        <v>14.32</v>
      </c>
      <c r="BV103" s="124">
        <v>17.13</v>
      </c>
      <c r="BW103" s="124">
        <v>16.649999999999999</v>
      </c>
      <c r="BX103" s="124">
        <v>18.82</v>
      </c>
      <c r="BZ103" s="26">
        <f t="shared" si="70"/>
        <v>2021</v>
      </c>
      <c r="CA103" s="120">
        <v>8.4600000000000009</v>
      </c>
      <c r="CB103" s="120">
        <v>7.17</v>
      </c>
      <c r="CC103" s="120">
        <v>5.82</v>
      </c>
      <c r="CD103" s="120">
        <v>5.98</v>
      </c>
      <c r="CE103" s="120">
        <v>7.96</v>
      </c>
      <c r="CF103" s="120">
        <v>6.96</v>
      </c>
      <c r="CG103" s="120">
        <v>6.14</v>
      </c>
      <c r="CH103" s="120">
        <v>6.07</v>
      </c>
      <c r="CI103" s="120">
        <v>6.53</v>
      </c>
    </row>
    <row r="104" spans="1:87" x14ac:dyDescent="0.2">
      <c r="A104" s="83"/>
      <c r="B104" s="336"/>
      <c r="C104" s="336"/>
      <c r="D104" s="336"/>
      <c r="E104" s="348"/>
      <c r="F104" s="348"/>
      <c r="G104" s="333"/>
      <c r="H104" s="336"/>
      <c r="I104" s="336"/>
      <c r="J104" s="348"/>
      <c r="K104" s="333"/>
      <c r="L104" s="336"/>
      <c r="M104" s="20"/>
      <c r="N104" s="96"/>
      <c r="O104" s="71"/>
      <c r="P104" s="20"/>
      <c r="Q104" s="20"/>
      <c r="R104" s="20"/>
      <c r="S104" s="96"/>
      <c r="T104" s="96"/>
      <c r="U104" s="8">
        <v>2015</v>
      </c>
      <c r="V104" s="347">
        <v>16570376</v>
      </c>
      <c r="W104" s="127"/>
      <c r="X104" s="347">
        <v>9030046</v>
      </c>
      <c r="Y104" s="127"/>
      <c r="Z104" s="347">
        <v>752130</v>
      </c>
      <c r="AA104" s="55"/>
      <c r="AB104" s="347">
        <v>1699491</v>
      </c>
      <c r="AC104" s="55"/>
      <c r="AD104" s="347">
        <v>7518004</v>
      </c>
      <c r="AE104" s="55"/>
      <c r="AF104" s="347">
        <v>63455135</v>
      </c>
      <c r="AG104" s="55"/>
      <c r="AH104" s="347">
        <v>15578506</v>
      </c>
      <c r="AI104" s="55"/>
      <c r="AJ104" s="347">
        <v>1303945</v>
      </c>
      <c r="AK104" s="347">
        <v>2182247</v>
      </c>
      <c r="AL104" s="55"/>
      <c r="AM104" s="347">
        <v>6154745</v>
      </c>
      <c r="AN104" s="55"/>
      <c r="AO104" s="347">
        <v>49102022</v>
      </c>
      <c r="AP104" s="55"/>
      <c r="AQ104" s="347">
        <v>13829178</v>
      </c>
      <c r="AR104" s="55"/>
      <c r="AS104" s="347">
        <v>17762742</v>
      </c>
      <c r="AT104" s="55"/>
      <c r="AU104" s="347">
        <v>22216680</v>
      </c>
      <c r="AV104" s="127"/>
      <c r="AW104" s="347">
        <v>6814032</v>
      </c>
      <c r="AX104" s="55"/>
      <c r="AY104" s="347">
        <v>18912947</v>
      </c>
      <c r="AZ104" s="127"/>
      <c r="BA104" s="347">
        <v>6347567</v>
      </c>
      <c r="BB104" s="127"/>
      <c r="BC104" s="347">
        <v>33336101</v>
      </c>
      <c r="BD104" s="347">
        <v>125016751</v>
      </c>
      <c r="BE104" s="212">
        <f t="shared" si="75"/>
        <v>-3.2459020761289592E-2</v>
      </c>
      <c r="BF104" s="31"/>
      <c r="BG104" s="113"/>
      <c r="BH104" s="55"/>
      <c r="BO104" s="26">
        <v>2022</v>
      </c>
      <c r="BP104" s="124">
        <v>30.15</v>
      </c>
      <c r="BQ104" s="124">
        <v>25.24</v>
      </c>
      <c r="BR104" s="124">
        <v>17.25</v>
      </c>
      <c r="BS104" s="124">
        <v>14.63</v>
      </c>
      <c r="BT104" s="124">
        <v>18.77</v>
      </c>
      <c r="BU104" s="124">
        <v>14.17</v>
      </c>
      <c r="BV104" s="124">
        <v>17.350000000000001</v>
      </c>
      <c r="BW104" s="124">
        <v>16.79</v>
      </c>
      <c r="BX104" s="124">
        <v>18.739999999999998</v>
      </c>
      <c r="BZ104" s="26">
        <f t="shared" si="70"/>
        <v>2022</v>
      </c>
      <c r="CA104" s="120">
        <v>8.59</v>
      </c>
      <c r="CB104" s="120">
        <v>7.25</v>
      </c>
      <c r="CC104" s="120">
        <v>5.93</v>
      </c>
      <c r="CD104" s="120">
        <v>6.09</v>
      </c>
      <c r="CE104" s="120">
        <v>8.08</v>
      </c>
      <c r="CF104" s="120">
        <v>7.08</v>
      </c>
      <c r="CG104" s="120">
        <v>6.23</v>
      </c>
      <c r="CH104" s="120">
        <v>6.21</v>
      </c>
      <c r="CI104" s="120">
        <v>6.66</v>
      </c>
    </row>
    <row r="105" spans="1:87" x14ac:dyDescent="0.2">
      <c r="A105" s="83"/>
      <c r="B105" s="336"/>
      <c r="C105" s="336"/>
      <c r="D105" s="336"/>
      <c r="E105" s="348"/>
      <c r="F105" s="348"/>
      <c r="G105" s="333"/>
      <c r="H105" s="336"/>
      <c r="I105" s="336"/>
      <c r="J105" s="348"/>
      <c r="K105" s="333"/>
      <c r="L105" s="336"/>
      <c r="M105" s="20"/>
      <c r="N105" s="96"/>
      <c r="O105" s="71"/>
      <c r="P105" s="20"/>
      <c r="Q105" s="20"/>
      <c r="R105" s="20"/>
      <c r="S105" s="96"/>
      <c r="T105" s="96"/>
      <c r="U105" s="8">
        <v>2016</v>
      </c>
      <c r="V105" s="347">
        <v>16527019</v>
      </c>
      <c r="W105" s="127"/>
      <c r="X105" s="347">
        <v>9153127</v>
      </c>
      <c r="Y105" s="127"/>
      <c r="Z105" s="347">
        <v>868997</v>
      </c>
      <c r="AA105" s="55"/>
      <c r="AB105" s="347">
        <v>1663129</v>
      </c>
      <c r="AC105" s="55"/>
      <c r="AD105" s="347">
        <v>7373662</v>
      </c>
      <c r="AE105" s="55"/>
      <c r="AF105" s="347">
        <v>63116302</v>
      </c>
      <c r="AG105" s="55"/>
      <c r="AH105" s="347">
        <v>15748684</v>
      </c>
      <c r="AI105" s="55"/>
      <c r="AJ105" s="347">
        <v>1406402</v>
      </c>
      <c r="AK105" s="347">
        <v>2121567</v>
      </c>
      <c r="AL105" s="55"/>
      <c r="AM105" s="347">
        <v>6156072</v>
      </c>
      <c r="AN105" s="55"/>
      <c r="AO105" s="347">
        <v>49477102</v>
      </c>
      <c r="AP105" s="55"/>
      <c r="AQ105" s="347">
        <v>14023681</v>
      </c>
      <c r="AR105" s="55"/>
      <c r="AS105" s="347">
        <v>17597252</v>
      </c>
      <c r="AT105" s="55"/>
      <c r="AU105" s="347">
        <v>22275913</v>
      </c>
      <c r="AV105" s="127"/>
      <c r="AW105" s="347">
        <v>6818744</v>
      </c>
      <c r="AX105" s="55"/>
      <c r="AY105" s="347">
        <v>19049422</v>
      </c>
      <c r="AZ105" s="127"/>
      <c r="BA105" s="347">
        <v>6413658</v>
      </c>
      <c r="BB105" s="127"/>
      <c r="BC105" s="347">
        <v>32726938</v>
      </c>
      <c r="BD105" s="347">
        <v>129048322</v>
      </c>
      <c r="BE105" s="212">
        <f t="shared" si="75"/>
        <v>-1.8273372761859585E-2</v>
      </c>
      <c r="BF105" s="31"/>
      <c r="BG105" s="113"/>
      <c r="BH105" s="55"/>
      <c r="BI105" s="31"/>
      <c r="BJ105" s="31"/>
      <c r="BK105" s="31"/>
      <c r="BO105" s="26">
        <v>2023</v>
      </c>
      <c r="BP105" s="124">
        <v>29.94</v>
      </c>
      <c r="BQ105" s="124">
        <v>25.04</v>
      </c>
      <c r="BR105" s="124">
        <v>17.14</v>
      </c>
      <c r="BS105" s="124">
        <v>14.63</v>
      </c>
      <c r="BT105" s="124">
        <v>18.75</v>
      </c>
      <c r="BU105" s="124">
        <v>14</v>
      </c>
      <c r="BV105" s="124">
        <v>17.54</v>
      </c>
      <c r="BW105" s="124">
        <v>16.91</v>
      </c>
      <c r="BX105" s="124">
        <v>18.739999999999998</v>
      </c>
      <c r="BZ105" s="26">
        <f t="shared" si="70"/>
        <v>2023</v>
      </c>
      <c r="CA105" s="120">
        <v>8.73</v>
      </c>
      <c r="CB105" s="120">
        <v>7.36</v>
      </c>
      <c r="CC105" s="120">
        <v>6.05</v>
      </c>
      <c r="CD105" s="120">
        <v>6.21</v>
      </c>
      <c r="CE105" s="120">
        <v>8.2200000000000006</v>
      </c>
      <c r="CF105" s="120">
        <v>7.23</v>
      </c>
      <c r="CG105" s="120">
        <v>6.35</v>
      </c>
      <c r="CH105" s="120">
        <v>6.32</v>
      </c>
      <c r="CI105" s="120">
        <v>6.77</v>
      </c>
    </row>
    <row r="106" spans="1:87" x14ac:dyDescent="0.2">
      <c r="A106" s="83"/>
      <c r="B106" s="336"/>
      <c r="C106" s="336"/>
      <c r="D106" s="336"/>
      <c r="E106" s="348"/>
      <c r="F106" s="348"/>
      <c r="G106" s="333"/>
      <c r="H106" s="336"/>
      <c r="I106" s="336"/>
      <c r="J106" s="348"/>
      <c r="K106" s="333"/>
      <c r="L106" s="336"/>
      <c r="M106" s="20"/>
      <c r="N106" s="96"/>
      <c r="O106" s="71"/>
      <c r="P106" s="20"/>
      <c r="Q106" s="20"/>
      <c r="R106" s="20"/>
      <c r="S106" s="96"/>
      <c r="T106" s="96"/>
      <c r="U106" s="8">
        <v>2017</v>
      </c>
      <c r="V106" s="347">
        <v>16540965</v>
      </c>
      <c r="W106" s="127"/>
      <c r="X106" s="347">
        <v>9308545</v>
      </c>
      <c r="Y106" s="127"/>
      <c r="Z106" s="347">
        <v>976538</v>
      </c>
      <c r="AA106" s="55"/>
      <c r="AB106" s="347">
        <v>1628924</v>
      </c>
      <c r="AC106" s="55"/>
      <c r="AD106" s="347">
        <v>7253858</v>
      </c>
      <c r="AE106" s="55"/>
      <c r="AF106" s="347">
        <v>63113447</v>
      </c>
      <c r="AG106" s="55"/>
      <c r="AH106" s="347">
        <v>15857478</v>
      </c>
      <c r="AI106" s="55"/>
      <c r="AJ106" s="347">
        <v>1487958</v>
      </c>
      <c r="AK106" s="347">
        <v>2060152</v>
      </c>
      <c r="AL106" s="55"/>
      <c r="AM106" s="347">
        <v>6168785</v>
      </c>
      <c r="AN106" s="55"/>
      <c r="AO106" s="347">
        <v>50024103</v>
      </c>
      <c r="AP106" s="55"/>
      <c r="AQ106" s="347">
        <v>14231937</v>
      </c>
      <c r="AR106" s="55"/>
      <c r="AS106" s="347">
        <v>17451420</v>
      </c>
      <c r="AT106" s="55"/>
      <c r="AU106" s="347">
        <v>22377232</v>
      </c>
      <c r="AV106" s="127"/>
      <c r="AW106" s="347">
        <v>6834326</v>
      </c>
      <c r="AX106" s="55"/>
      <c r="AY106" s="347">
        <v>19244248</v>
      </c>
      <c r="AZ106" s="127"/>
      <c r="BA106" s="347">
        <v>6470268</v>
      </c>
      <c r="BB106" s="127"/>
      <c r="BC106" s="347">
        <v>32404240</v>
      </c>
      <c r="BD106" s="347">
        <v>133166293</v>
      </c>
      <c r="BE106" s="54"/>
      <c r="BF106" s="31"/>
      <c r="BG106" s="113"/>
      <c r="BH106" s="55"/>
      <c r="BI106" s="31"/>
      <c r="BJ106" s="31"/>
      <c r="BK106" s="31"/>
      <c r="BO106" s="26">
        <v>2024</v>
      </c>
      <c r="BP106" s="124">
        <v>29.56</v>
      </c>
      <c r="BQ106" s="124">
        <v>24.91</v>
      </c>
      <c r="BR106" s="124">
        <v>17.059999999999999</v>
      </c>
      <c r="BS106" s="124">
        <v>14.56</v>
      </c>
      <c r="BT106" s="124">
        <v>18.71</v>
      </c>
      <c r="BU106" s="124">
        <v>13.86</v>
      </c>
      <c r="BV106" s="124">
        <v>17.71</v>
      </c>
      <c r="BW106" s="124">
        <v>17.04</v>
      </c>
      <c r="BX106" s="124">
        <v>18.739999999999998</v>
      </c>
      <c r="BZ106" s="26">
        <f t="shared" si="70"/>
        <v>2024</v>
      </c>
      <c r="CA106" s="120">
        <v>8.84</v>
      </c>
      <c r="CB106" s="120">
        <v>7.44</v>
      </c>
      <c r="CC106" s="120">
        <v>6.17</v>
      </c>
      <c r="CD106" s="120">
        <v>6.31</v>
      </c>
      <c r="CE106" s="120">
        <v>8.35</v>
      </c>
      <c r="CF106" s="120">
        <v>7.37</v>
      </c>
      <c r="CG106" s="120">
        <v>6.46</v>
      </c>
      <c r="CH106" s="120">
        <v>6.43</v>
      </c>
      <c r="CI106" s="120">
        <v>6.87</v>
      </c>
    </row>
    <row r="107" spans="1:87" x14ac:dyDescent="0.2">
      <c r="A107" s="83"/>
      <c r="B107" s="336"/>
      <c r="C107" s="336"/>
      <c r="D107" s="336"/>
      <c r="E107" s="348"/>
      <c r="F107" s="348"/>
      <c r="G107" s="333"/>
      <c r="H107" s="336"/>
      <c r="I107" s="336"/>
      <c r="J107" s="348"/>
      <c r="K107" s="333"/>
      <c r="L107" s="336"/>
      <c r="M107" s="20"/>
      <c r="N107" s="96"/>
      <c r="O107" s="71"/>
      <c r="P107" s="20"/>
      <c r="Q107" s="20"/>
      <c r="R107" s="20"/>
      <c r="S107" s="96"/>
      <c r="T107" s="96"/>
      <c r="U107" s="8">
        <v>2018</v>
      </c>
      <c r="V107" s="347">
        <v>16558868</v>
      </c>
      <c r="W107" s="127"/>
      <c r="X107" s="347">
        <v>9471485</v>
      </c>
      <c r="Y107" s="127"/>
      <c r="Z107" s="347">
        <v>1075038</v>
      </c>
      <c r="AA107" s="55"/>
      <c r="AB107" s="347">
        <v>1595127</v>
      </c>
      <c r="AC107" s="55"/>
      <c r="AD107" s="347">
        <v>7135522</v>
      </c>
      <c r="AE107" s="55"/>
      <c r="AF107" s="347">
        <v>63158789</v>
      </c>
      <c r="AG107" s="55"/>
      <c r="AH107" s="347">
        <v>15985121</v>
      </c>
      <c r="AI107" s="55"/>
      <c r="AJ107" s="347">
        <v>1563276</v>
      </c>
      <c r="AK107" s="347">
        <v>1996859</v>
      </c>
      <c r="AL107" s="55"/>
      <c r="AM107" s="347">
        <v>6176562</v>
      </c>
      <c r="AN107" s="55"/>
      <c r="AO107" s="347">
        <v>50530764</v>
      </c>
      <c r="AP107" s="55"/>
      <c r="AQ107" s="347">
        <v>14439677</v>
      </c>
      <c r="AR107" s="55"/>
      <c r="AS107" s="347">
        <v>17313795</v>
      </c>
      <c r="AT107" s="55"/>
      <c r="AU107" s="347">
        <v>22499671</v>
      </c>
      <c r="AV107" s="127"/>
      <c r="AW107" s="347">
        <v>6852616</v>
      </c>
      <c r="AX107" s="55"/>
      <c r="AY107" s="347">
        <v>19458391</v>
      </c>
      <c r="AZ107" s="127"/>
      <c r="BA107" s="347">
        <v>6521560</v>
      </c>
      <c r="BB107" s="127"/>
      <c r="BC107" s="347">
        <v>32218201</v>
      </c>
      <c r="BD107" s="347">
        <v>137550332</v>
      </c>
      <c r="BE107" s="54"/>
      <c r="BF107" s="31"/>
      <c r="BG107" s="113"/>
      <c r="BH107" s="55"/>
      <c r="BI107" s="31"/>
      <c r="BJ107" s="31"/>
      <c r="BK107" s="31"/>
      <c r="BO107" s="26">
        <v>2025</v>
      </c>
      <c r="BP107" s="124">
        <v>29.17</v>
      </c>
      <c r="BQ107" s="124">
        <v>24.8</v>
      </c>
      <c r="BR107" s="124">
        <v>17.03</v>
      </c>
      <c r="BS107" s="124">
        <v>14.49</v>
      </c>
      <c r="BT107" s="124">
        <v>18.760000000000002</v>
      </c>
      <c r="BU107" s="124">
        <v>13.84</v>
      </c>
      <c r="BV107" s="124">
        <v>17.89</v>
      </c>
      <c r="BW107" s="124">
        <v>17.25</v>
      </c>
      <c r="BX107" s="124">
        <v>18.760000000000002</v>
      </c>
      <c r="BZ107" s="26">
        <f t="shared" si="70"/>
        <v>2025</v>
      </c>
      <c r="CA107" s="120">
        <v>8.9700000000000006</v>
      </c>
      <c r="CB107" s="120">
        <v>7.55</v>
      </c>
      <c r="CC107" s="120">
        <v>6.28</v>
      </c>
      <c r="CD107" s="120">
        <v>6.41</v>
      </c>
      <c r="CE107" s="120">
        <v>8.48</v>
      </c>
      <c r="CF107" s="120">
        <v>7.5</v>
      </c>
      <c r="CG107" s="120">
        <v>6.56</v>
      </c>
      <c r="CH107" s="120">
        <v>6.53</v>
      </c>
      <c r="CI107" s="120">
        <v>6.97</v>
      </c>
    </row>
    <row r="108" spans="1:87" x14ac:dyDescent="0.2">
      <c r="A108" s="83"/>
      <c r="B108" s="336"/>
      <c r="C108" s="336"/>
      <c r="D108" s="336"/>
      <c r="E108" s="348"/>
      <c r="F108" s="348"/>
      <c r="G108" s="333"/>
      <c r="H108" s="336"/>
      <c r="I108" s="336"/>
      <c r="J108" s="348"/>
      <c r="K108" s="333"/>
      <c r="L108" s="336"/>
      <c r="M108" s="20"/>
      <c r="N108" s="96"/>
      <c r="O108" s="71"/>
      <c r="P108" s="20"/>
      <c r="Q108" s="20"/>
      <c r="R108" s="20"/>
      <c r="S108" s="96"/>
      <c r="T108" s="96"/>
      <c r="U108" s="8">
        <v>2019</v>
      </c>
      <c r="V108" s="347">
        <v>16585344</v>
      </c>
      <c r="W108" s="127"/>
      <c r="X108" s="347">
        <v>9647260</v>
      </c>
      <c r="Y108" s="127"/>
      <c r="Z108" s="347">
        <v>1165994</v>
      </c>
      <c r="AA108" s="55"/>
      <c r="AB108" s="347">
        <v>1561890</v>
      </c>
      <c r="AC108" s="55"/>
      <c r="AD108" s="347">
        <v>7026570</v>
      </c>
      <c r="AE108" s="55"/>
      <c r="AF108" s="347">
        <v>63273912</v>
      </c>
      <c r="AG108" s="55"/>
      <c r="AH108" s="347">
        <v>16126972</v>
      </c>
      <c r="AI108" s="55"/>
      <c r="AJ108" s="347">
        <v>1631589</v>
      </c>
      <c r="AK108" s="347">
        <v>1933986</v>
      </c>
      <c r="AL108" s="55"/>
      <c r="AM108" s="347">
        <v>6176562</v>
      </c>
      <c r="AN108" s="55"/>
      <c r="AO108" s="347">
        <v>51081072</v>
      </c>
      <c r="AP108" s="55"/>
      <c r="AQ108" s="347">
        <v>14645591</v>
      </c>
      <c r="AR108" s="55"/>
      <c r="AS108" s="347">
        <v>17189683</v>
      </c>
      <c r="AT108" s="55"/>
      <c r="AU108" s="347">
        <v>22637272</v>
      </c>
      <c r="AV108" s="127"/>
      <c r="AW108" s="347">
        <v>6870812</v>
      </c>
      <c r="AX108" s="55"/>
      <c r="AY108" s="347">
        <v>19707590</v>
      </c>
      <c r="AZ108" s="127"/>
      <c r="BA108" s="347">
        <v>6488621</v>
      </c>
      <c r="BB108" s="127"/>
      <c r="BC108" s="347">
        <v>32137520</v>
      </c>
      <c r="BD108" s="347">
        <v>142098272</v>
      </c>
      <c r="BE108" s="54"/>
      <c r="BF108" s="31"/>
      <c r="BG108" s="113"/>
      <c r="BH108" s="55"/>
      <c r="BI108" s="31"/>
      <c r="BJ108" s="31"/>
      <c r="BK108" s="31"/>
      <c r="BO108" s="26">
        <v>2026</v>
      </c>
      <c r="BP108" s="124">
        <v>28.56</v>
      </c>
      <c r="BQ108" s="124">
        <v>24.65</v>
      </c>
      <c r="BR108" s="124">
        <v>17</v>
      </c>
      <c r="BS108" s="124">
        <v>14.51</v>
      </c>
      <c r="BT108" s="124">
        <v>18.829999999999998</v>
      </c>
      <c r="BU108" s="124">
        <v>13.88</v>
      </c>
      <c r="BV108" s="124">
        <v>18.059999999999999</v>
      </c>
      <c r="BW108" s="124">
        <v>17.43</v>
      </c>
      <c r="BX108" s="124">
        <v>18.62</v>
      </c>
      <c r="BZ108" s="26">
        <f t="shared" si="70"/>
        <v>2026</v>
      </c>
      <c r="CA108" s="120">
        <v>9.07</v>
      </c>
      <c r="CB108" s="120">
        <v>7.63</v>
      </c>
      <c r="CC108" s="120">
        <v>6.37</v>
      </c>
      <c r="CD108" s="120">
        <v>6.5</v>
      </c>
      <c r="CE108" s="120">
        <v>8.59</v>
      </c>
      <c r="CF108" s="120">
        <v>7.6</v>
      </c>
      <c r="CG108" s="120">
        <v>6.64</v>
      </c>
      <c r="CH108" s="120">
        <v>6.65</v>
      </c>
      <c r="CI108" s="120">
        <v>7.06</v>
      </c>
    </row>
    <row r="109" spans="1:87" x14ac:dyDescent="0.2">
      <c r="A109" s="83"/>
      <c r="B109" s="336"/>
      <c r="C109" s="336"/>
      <c r="D109" s="336"/>
      <c r="E109" s="348"/>
      <c r="F109" s="348"/>
      <c r="G109" s="333"/>
      <c r="H109" s="336"/>
      <c r="I109" s="336"/>
      <c r="J109" s="348"/>
      <c r="K109" s="333"/>
      <c r="L109" s="336"/>
      <c r="M109" s="20"/>
      <c r="N109" s="96"/>
      <c r="O109" s="71"/>
      <c r="P109" s="20"/>
      <c r="Q109" s="20"/>
      <c r="R109" s="20"/>
      <c r="S109" s="96"/>
      <c r="T109" s="96"/>
      <c r="U109" s="8">
        <v>2020</v>
      </c>
      <c r="V109" s="347">
        <v>16602243</v>
      </c>
      <c r="W109" s="127"/>
      <c r="X109" s="347">
        <v>9824964</v>
      </c>
      <c r="Y109" s="127"/>
      <c r="Z109" s="347">
        <v>1249419</v>
      </c>
      <c r="AA109" s="55"/>
      <c r="AB109" s="347">
        <v>1529069</v>
      </c>
      <c r="AC109" s="55"/>
      <c r="AD109" s="347">
        <v>6921964</v>
      </c>
      <c r="AE109" s="55"/>
      <c r="AF109" s="347">
        <v>63426640</v>
      </c>
      <c r="AG109" s="55"/>
      <c r="AH109" s="347">
        <v>16278302</v>
      </c>
      <c r="AI109" s="55"/>
      <c r="AJ109" s="347">
        <v>1684519</v>
      </c>
      <c r="AK109" s="347">
        <v>1877663</v>
      </c>
      <c r="AL109" s="55"/>
      <c r="AM109" s="347">
        <v>6166615</v>
      </c>
      <c r="AN109" s="55"/>
      <c r="AO109" s="347">
        <v>51587433</v>
      </c>
      <c r="AP109" s="55"/>
      <c r="AQ109" s="347">
        <v>14844435</v>
      </c>
      <c r="AR109" s="55"/>
      <c r="AS109" s="347">
        <v>17066465</v>
      </c>
      <c r="AT109" s="55"/>
      <c r="AU109" s="347">
        <v>22773072</v>
      </c>
      <c r="AV109" s="127"/>
      <c r="AW109" s="347">
        <v>6888329</v>
      </c>
      <c r="AX109" s="55"/>
      <c r="AY109" s="347">
        <v>19966731</v>
      </c>
      <c r="AZ109" s="127"/>
      <c r="BA109" s="347">
        <v>6514373</v>
      </c>
      <c r="BB109" s="127"/>
      <c r="BC109" s="347">
        <v>31099921</v>
      </c>
      <c r="BD109" s="347">
        <v>146490233</v>
      </c>
      <c r="BE109" s="54"/>
      <c r="BF109" s="31"/>
      <c r="BG109" s="113"/>
      <c r="BH109" s="55"/>
      <c r="BI109" s="31"/>
      <c r="BJ109" s="31"/>
      <c r="BK109" s="31"/>
      <c r="BO109" s="26">
        <v>2027</v>
      </c>
      <c r="BP109" s="124">
        <v>28.03</v>
      </c>
      <c r="BQ109" s="124">
        <v>24.53</v>
      </c>
      <c r="BR109" s="124">
        <v>16.98</v>
      </c>
      <c r="BS109" s="124">
        <v>14.44</v>
      </c>
      <c r="BT109" s="124">
        <v>18.86</v>
      </c>
      <c r="BU109" s="124">
        <v>13.88</v>
      </c>
      <c r="BV109" s="124">
        <v>18.25</v>
      </c>
      <c r="BW109" s="124">
        <v>17.62</v>
      </c>
      <c r="BX109" s="124">
        <v>18.309999999999999</v>
      </c>
      <c r="BZ109" s="26">
        <f t="shared" si="70"/>
        <v>2027</v>
      </c>
      <c r="CA109" s="120">
        <v>9.18</v>
      </c>
      <c r="CB109" s="120">
        <v>7.72</v>
      </c>
      <c r="CC109" s="120">
        <v>6.45</v>
      </c>
      <c r="CD109" s="120">
        <v>6.58</v>
      </c>
      <c r="CE109" s="120">
        <v>8.7100000000000009</v>
      </c>
      <c r="CF109" s="120">
        <v>7.71</v>
      </c>
      <c r="CG109" s="120">
        <v>6.71</v>
      </c>
      <c r="CH109" s="120">
        <v>6.76</v>
      </c>
      <c r="CI109" s="120">
        <v>7.14</v>
      </c>
    </row>
    <row r="110" spans="1:87" x14ac:dyDescent="0.2">
      <c r="A110" s="83"/>
      <c r="B110" s="336"/>
      <c r="C110" s="336"/>
      <c r="D110" s="336"/>
      <c r="E110" s="348"/>
      <c r="F110" s="348"/>
      <c r="G110" s="333"/>
      <c r="H110" s="336"/>
      <c r="I110" s="336"/>
      <c r="J110" s="348"/>
      <c r="K110" s="333"/>
      <c r="L110" s="336"/>
      <c r="M110" s="20"/>
      <c r="N110" s="96"/>
      <c r="O110" s="71"/>
      <c r="P110" s="20"/>
      <c r="Q110" s="20"/>
      <c r="R110" s="20"/>
      <c r="S110" s="96"/>
      <c r="T110" s="96"/>
      <c r="U110" s="8">
        <v>2021</v>
      </c>
      <c r="V110" s="347">
        <v>16610638</v>
      </c>
      <c r="W110" s="127"/>
      <c r="X110" s="347">
        <v>10002193</v>
      </c>
      <c r="Y110" s="127"/>
      <c r="Z110" s="347">
        <v>1325225</v>
      </c>
      <c r="AA110" s="55"/>
      <c r="AB110" s="347">
        <v>1496056</v>
      </c>
      <c r="AC110" s="55"/>
      <c r="AD110" s="347">
        <v>6825249</v>
      </c>
      <c r="AE110" s="55"/>
      <c r="AF110" s="347">
        <v>63601182</v>
      </c>
      <c r="AG110" s="55"/>
      <c r="AH110" s="347">
        <v>16445277</v>
      </c>
      <c r="AI110" s="55"/>
      <c r="AJ110" s="347">
        <v>1733403</v>
      </c>
      <c r="AK110" s="347">
        <v>1829523</v>
      </c>
      <c r="AL110" s="55"/>
      <c r="AM110" s="347">
        <v>6143823</v>
      </c>
      <c r="AN110" s="55"/>
      <c r="AO110" s="347">
        <v>52077597</v>
      </c>
      <c r="AP110" s="55"/>
      <c r="AQ110" s="347">
        <v>15038133</v>
      </c>
      <c r="AR110" s="55"/>
      <c r="AS110" s="347">
        <v>16954766</v>
      </c>
      <c r="AT110" s="55"/>
      <c r="AU110" s="347">
        <v>22904484</v>
      </c>
      <c r="AV110" s="127"/>
      <c r="AW110" s="347">
        <v>6902070</v>
      </c>
      <c r="AX110" s="55"/>
      <c r="AY110" s="347">
        <v>20249022</v>
      </c>
      <c r="AZ110" s="127"/>
      <c r="BA110" s="347">
        <v>6475407</v>
      </c>
      <c r="BB110" s="127"/>
      <c r="BC110" s="347">
        <v>30718232</v>
      </c>
      <c r="BD110" s="347">
        <v>150720183</v>
      </c>
      <c r="BE110" s="54"/>
      <c r="BF110" s="31"/>
      <c r="BG110" s="113"/>
      <c r="BH110" s="55"/>
      <c r="BI110" s="31"/>
      <c r="BJ110" s="31"/>
      <c r="BK110" s="31"/>
      <c r="BO110" s="26">
        <v>2028</v>
      </c>
      <c r="BP110" s="124">
        <v>27.64</v>
      </c>
      <c r="BQ110" s="124">
        <v>24.41</v>
      </c>
      <c r="BR110" s="124">
        <v>17.05</v>
      </c>
      <c r="BS110" s="124">
        <v>14.45</v>
      </c>
      <c r="BT110" s="124">
        <v>18.850000000000001</v>
      </c>
      <c r="BU110" s="124">
        <v>13.9</v>
      </c>
      <c r="BV110" s="124">
        <v>18.46</v>
      </c>
      <c r="BW110" s="124">
        <v>17.739999999999998</v>
      </c>
      <c r="BX110" s="124">
        <v>18.059999999999999</v>
      </c>
      <c r="BZ110" s="26">
        <f t="shared" si="70"/>
        <v>2028</v>
      </c>
      <c r="CA110" s="120">
        <v>9.2799999999999994</v>
      </c>
      <c r="CB110" s="120">
        <v>7.8</v>
      </c>
      <c r="CC110" s="120">
        <v>6.52</v>
      </c>
      <c r="CD110" s="120">
        <v>6.65</v>
      </c>
      <c r="CE110" s="120">
        <v>8.7899999999999991</v>
      </c>
      <c r="CF110" s="120">
        <v>7.77</v>
      </c>
      <c r="CG110" s="120">
        <v>6.74</v>
      </c>
      <c r="CH110" s="120">
        <v>6.86</v>
      </c>
      <c r="CI110" s="120">
        <v>7.23</v>
      </c>
    </row>
    <row r="111" spans="1:87" x14ac:dyDescent="0.2">
      <c r="A111" s="83"/>
      <c r="B111" s="336"/>
      <c r="C111" s="336"/>
      <c r="D111" s="336"/>
      <c r="E111" s="348"/>
      <c r="F111" s="348"/>
      <c r="G111" s="333"/>
      <c r="H111" s="336"/>
      <c r="I111" s="336"/>
      <c r="J111" s="348"/>
      <c r="K111" s="333"/>
      <c r="L111" s="336"/>
      <c r="M111" s="20"/>
      <c r="N111" s="96"/>
      <c r="O111" s="71"/>
      <c r="P111" s="20"/>
      <c r="Q111" s="20"/>
      <c r="R111" s="20"/>
      <c r="S111" s="96"/>
      <c r="T111" s="96"/>
      <c r="U111" s="8">
        <v>2022</v>
      </c>
      <c r="V111" s="347">
        <v>16605777</v>
      </c>
      <c r="W111" s="127"/>
      <c r="X111" s="347">
        <v>10180430</v>
      </c>
      <c r="Y111" s="127"/>
      <c r="Z111" s="347">
        <v>1395644</v>
      </c>
      <c r="AA111" s="55"/>
      <c r="AB111" s="347">
        <v>1462712</v>
      </c>
      <c r="AC111" s="55"/>
      <c r="AD111" s="347">
        <v>6737359</v>
      </c>
      <c r="AE111" s="55"/>
      <c r="AF111" s="347">
        <v>63831206</v>
      </c>
      <c r="AG111" s="55"/>
      <c r="AH111" s="347">
        <v>16636526</v>
      </c>
      <c r="AI111" s="55"/>
      <c r="AJ111" s="347">
        <v>1780161</v>
      </c>
      <c r="AK111" s="347">
        <v>1791589</v>
      </c>
      <c r="AL111" s="55"/>
      <c r="AM111" s="347">
        <v>6127254</v>
      </c>
      <c r="AN111" s="55"/>
      <c r="AO111" s="347">
        <v>52523490</v>
      </c>
      <c r="AP111" s="55"/>
      <c r="AQ111" s="347">
        <v>15225761</v>
      </c>
      <c r="AR111" s="55"/>
      <c r="AS111" s="347">
        <v>16849051</v>
      </c>
      <c r="AT111" s="55"/>
      <c r="AU111" s="347">
        <v>23044631</v>
      </c>
      <c r="AV111" s="127"/>
      <c r="AW111" s="347">
        <v>6913746</v>
      </c>
      <c r="AX111" s="55"/>
      <c r="AY111" s="347">
        <v>20544285</v>
      </c>
      <c r="AZ111" s="127"/>
      <c r="BA111" s="347">
        <v>6465450</v>
      </c>
      <c r="BB111" s="127"/>
      <c r="BC111" s="347">
        <v>30479940</v>
      </c>
      <c r="BD111" s="347">
        <v>155241738</v>
      </c>
      <c r="BE111" s="54"/>
      <c r="BF111" s="31"/>
      <c r="BG111" s="113"/>
      <c r="BH111" s="55"/>
      <c r="BI111" s="73"/>
      <c r="BJ111" s="73"/>
      <c r="BK111" s="73"/>
      <c r="BO111" s="26">
        <v>2029</v>
      </c>
      <c r="BP111" s="124">
        <v>27.35</v>
      </c>
      <c r="BQ111" s="124">
        <v>24.35</v>
      </c>
      <c r="BR111" s="124">
        <v>17.13</v>
      </c>
      <c r="BS111" s="124">
        <v>14.5</v>
      </c>
      <c r="BT111" s="124">
        <v>18.84</v>
      </c>
      <c r="BU111" s="124">
        <v>13.92</v>
      </c>
      <c r="BV111" s="124">
        <v>18.62</v>
      </c>
      <c r="BW111" s="124">
        <v>17.899999999999999</v>
      </c>
      <c r="BX111" s="124">
        <v>18.010000000000002</v>
      </c>
      <c r="BZ111" s="26">
        <f t="shared" si="70"/>
        <v>2029</v>
      </c>
      <c r="CA111" s="120">
        <v>9.41</v>
      </c>
      <c r="CB111" s="120">
        <v>7.89</v>
      </c>
      <c r="CC111" s="120">
        <v>6.58</v>
      </c>
      <c r="CD111" s="120">
        <v>6.72</v>
      </c>
      <c r="CE111" s="120">
        <v>8.8699999999999992</v>
      </c>
      <c r="CF111" s="120">
        <v>7.82</v>
      </c>
      <c r="CG111" s="120">
        <v>6.76</v>
      </c>
      <c r="CH111" s="120">
        <v>6.95</v>
      </c>
      <c r="CI111" s="120">
        <v>7.32</v>
      </c>
    </row>
    <row r="112" spans="1:87" x14ac:dyDescent="0.2">
      <c r="A112" s="83"/>
      <c r="B112" s="336"/>
      <c r="C112" s="336"/>
      <c r="D112" s="336"/>
      <c r="E112" s="348"/>
      <c r="F112" s="348"/>
      <c r="G112" s="333"/>
      <c r="H112" s="336"/>
      <c r="I112" s="336"/>
      <c r="J112" s="348"/>
      <c r="K112" s="333"/>
      <c r="L112" s="336"/>
      <c r="M112" s="20"/>
      <c r="N112" s="96"/>
      <c r="O112" s="71"/>
      <c r="P112" s="20"/>
      <c r="Q112" s="20"/>
      <c r="R112" s="20"/>
      <c r="S112" s="96"/>
      <c r="T112" s="96"/>
      <c r="U112" s="8">
        <v>2023</v>
      </c>
      <c r="V112" s="347">
        <v>16590687</v>
      </c>
      <c r="W112" s="127"/>
      <c r="X112" s="347">
        <v>10371374</v>
      </c>
      <c r="Y112" s="127"/>
      <c r="Z112" s="347">
        <v>1463711</v>
      </c>
      <c r="AA112" s="55"/>
      <c r="AB112" s="347">
        <v>1429263</v>
      </c>
      <c r="AC112" s="55"/>
      <c r="AD112" s="347">
        <v>6644672</v>
      </c>
      <c r="AE112" s="55"/>
      <c r="AF112" s="347">
        <v>64068623</v>
      </c>
      <c r="AG112" s="55"/>
      <c r="AH112" s="347">
        <v>16836778</v>
      </c>
      <c r="AI112" s="55"/>
      <c r="AJ112" s="347">
        <v>1823393</v>
      </c>
      <c r="AK112" s="347">
        <v>1761538</v>
      </c>
      <c r="AL112" s="55"/>
      <c r="AM112" s="347">
        <v>6114918</v>
      </c>
      <c r="AN112" s="55"/>
      <c r="AO112" s="347">
        <v>52929026</v>
      </c>
      <c r="AP112" s="55"/>
      <c r="AQ112" s="347">
        <v>15412787</v>
      </c>
      <c r="AR112" s="55"/>
      <c r="AS112" s="347">
        <v>16756543</v>
      </c>
      <c r="AT112" s="55"/>
      <c r="AU112" s="347">
        <v>23202139</v>
      </c>
      <c r="AV112" s="127"/>
      <c r="AW112" s="347">
        <v>6925793</v>
      </c>
      <c r="AX112" s="55"/>
      <c r="AY112" s="347">
        <v>20860105</v>
      </c>
      <c r="AZ112" s="127"/>
      <c r="BA112" s="347">
        <v>6422827</v>
      </c>
      <c r="BB112" s="127"/>
      <c r="BC112" s="347">
        <v>30348088</v>
      </c>
      <c r="BD112" s="347">
        <v>159905566</v>
      </c>
      <c r="BE112" s="54"/>
      <c r="BF112" s="31"/>
      <c r="BG112" s="113"/>
      <c r="BH112" s="55"/>
      <c r="BI112" s="31"/>
      <c r="BJ112" s="31"/>
      <c r="BK112" s="31"/>
      <c r="BO112" s="26">
        <v>2030</v>
      </c>
      <c r="BP112" s="124">
        <v>27.11</v>
      </c>
      <c r="BQ112" s="124">
        <v>24.28</v>
      </c>
      <c r="BR112" s="124">
        <v>17.14</v>
      </c>
      <c r="BS112" s="124">
        <v>14.48</v>
      </c>
      <c r="BT112" s="124">
        <v>18.79</v>
      </c>
      <c r="BU112" s="124">
        <v>13.82</v>
      </c>
      <c r="BV112" s="124">
        <v>18.54</v>
      </c>
      <c r="BW112" s="124">
        <v>18.03</v>
      </c>
      <c r="BX112" s="124">
        <v>17.91</v>
      </c>
      <c r="BZ112" s="26">
        <f t="shared" si="70"/>
        <v>2030</v>
      </c>
      <c r="CA112" s="120">
        <v>9.5399999999999991</v>
      </c>
      <c r="CB112" s="120">
        <v>8</v>
      </c>
      <c r="CC112" s="120">
        <v>6.64</v>
      </c>
      <c r="CD112" s="120">
        <v>6.79</v>
      </c>
      <c r="CE112" s="120">
        <v>8.9499999999999993</v>
      </c>
      <c r="CF112" s="120">
        <v>7.9</v>
      </c>
      <c r="CG112" s="120">
        <v>6.8</v>
      </c>
      <c r="CH112" s="120">
        <v>7.03</v>
      </c>
      <c r="CI112" s="120">
        <v>7.4</v>
      </c>
    </row>
    <row r="113" spans="1:87" x14ac:dyDescent="0.2">
      <c r="A113" s="83"/>
      <c r="B113" s="336"/>
      <c r="C113" s="336"/>
      <c r="D113" s="336"/>
      <c r="E113" s="348"/>
      <c r="F113" s="348"/>
      <c r="G113" s="333"/>
      <c r="H113" s="336"/>
      <c r="I113" s="336"/>
      <c r="J113" s="348"/>
      <c r="K113" s="333"/>
      <c r="L113" s="336"/>
      <c r="M113" s="20"/>
      <c r="N113" s="96"/>
      <c r="O113" s="71"/>
      <c r="P113" s="20"/>
      <c r="Q113" s="20"/>
      <c r="R113" s="20"/>
      <c r="S113" s="96"/>
      <c r="T113" s="96"/>
      <c r="U113" s="8">
        <v>2024</v>
      </c>
      <c r="V113" s="347">
        <v>16559917</v>
      </c>
      <c r="W113" s="127"/>
      <c r="X113" s="347">
        <v>10569656</v>
      </c>
      <c r="Y113" s="127"/>
      <c r="Z113" s="347">
        <v>1529149</v>
      </c>
      <c r="AA113" s="55"/>
      <c r="AB113" s="347">
        <v>1395542</v>
      </c>
      <c r="AC113" s="55"/>
      <c r="AD113" s="347">
        <v>6550449</v>
      </c>
      <c r="AE113" s="55"/>
      <c r="AF113" s="347">
        <v>64320962</v>
      </c>
      <c r="AG113" s="55"/>
      <c r="AH113" s="347">
        <v>17058263</v>
      </c>
      <c r="AI113" s="55"/>
      <c r="AJ113" s="347">
        <v>1865202</v>
      </c>
      <c r="AK113" s="347">
        <v>1733574</v>
      </c>
      <c r="AL113" s="55"/>
      <c r="AM113" s="347">
        <v>6107077</v>
      </c>
      <c r="AN113" s="55"/>
      <c r="AO113" s="347">
        <v>53256590</v>
      </c>
      <c r="AP113" s="55"/>
      <c r="AQ113" s="347">
        <v>15599871</v>
      </c>
      <c r="AR113" s="55"/>
      <c r="AS113" s="347">
        <v>16667854</v>
      </c>
      <c r="AT113" s="55"/>
      <c r="AU113" s="347">
        <v>23379776</v>
      </c>
      <c r="AV113" s="127"/>
      <c r="AW113" s="347">
        <v>6938379</v>
      </c>
      <c r="AX113" s="55"/>
      <c r="AY113" s="347">
        <v>21188252</v>
      </c>
      <c r="AZ113" s="127"/>
      <c r="BA113" s="347">
        <v>6389673</v>
      </c>
      <c r="BB113" s="127"/>
      <c r="BC113" s="347">
        <v>30277963</v>
      </c>
      <c r="BD113" s="347">
        <v>164752673</v>
      </c>
      <c r="BE113" s="54"/>
      <c r="BF113" s="31"/>
      <c r="BG113" s="113"/>
      <c r="BH113" s="55"/>
      <c r="BI113" s="31"/>
      <c r="BJ113" s="31"/>
      <c r="BK113" s="31"/>
      <c r="BO113" s="26">
        <v>2031</v>
      </c>
      <c r="BP113" s="124">
        <v>26.94</v>
      </c>
      <c r="BQ113" s="124">
        <v>24.28</v>
      </c>
      <c r="BR113" s="124">
        <v>17.22</v>
      </c>
      <c r="BS113" s="124">
        <v>14.49</v>
      </c>
      <c r="BT113" s="124">
        <v>18.82</v>
      </c>
      <c r="BU113" s="124">
        <v>13.85</v>
      </c>
      <c r="BV113" s="124">
        <v>18.690000000000001</v>
      </c>
      <c r="BW113" s="124">
        <v>18.16</v>
      </c>
      <c r="BX113" s="124">
        <v>17.809999999999999</v>
      </c>
      <c r="BZ113" s="26">
        <f>BZ112+1</f>
        <v>2031</v>
      </c>
      <c r="CA113" s="120">
        <v>9.67</v>
      </c>
      <c r="CB113" s="120">
        <v>8.1</v>
      </c>
      <c r="CC113" s="120">
        <v>6.73</v>
      </c>
      <c r="CD113" s="120">
        <v>6.87</v>
      </c>
      <c r="CE113" s="120">
        <v>9.06</v>
      </c>
      <c r="CF113" s="120">
        <v>8.02</v>
      </c>
      <c r="CG113" s="120">
        <v>6.89</v>
      </c>
      <c r="CH113" s="120">
        <v>7.13</v>
      </c>
      <c r="CI113" s="120">
        <v>7.48</v>
      </c>
    </row>
    <row r="114" spans="1:87" x14ac:dyDescent="0.2">
      <c r="A114" s="83"/>
      <c r="B114" s="336"/>
      <c r="C114" s="336"/>
      <c r="D114" s="336"/>
      <c r="E114" s="348"/>
      <c r="F114" s="348"/>
      <c r="G114" s="333"/>
      <c r="H114" s="336"/>
      <c r="I114" s="336"/>
      <c r="J114" s="348"/>
      <c r="K114" s="333"/>
      <c r="L114" s="336"/>
      <c r="M114" s="20"/>
      <c r="N114" s="96"/>
      <c r="O114" s="71"/>
      <c r="P114" s="20"/>
      <c r="Q114" s="20"/>
      <c r="R114" s="20"/>
      <c r="S114" s="96"/>
      <c r="T114" s="96"/>
      <c r="U114" s="8">
        <v>2025</v>
      </c>
      <c r="V114" s="347">
        <v>16514534</v>
      </c>
      <c r="W114" s="127"/>
      <c r="X114" s="347">
        <v>10770490</v>
      </c>
      <c r="Y114" s="127"/>
      <c r="Z114" s="347">
        <v>1591078</v>
      </c>
      <c r="AA114" s="55"/>
      <c r="AB114" s="347">
        <v>1361554</v>
      </c>
      <c r="AC114" s="55"/>
      <c r="AD114" s="347">
        <v>6460497</v>
      </c>
      <c r="AE114" s="55"/>
      <c r="AF114" s="347">
        <v>64617086</v>
      </c>
      <c r="AG114" s="55"/>
      <c r="AH114" s="347">
        <v>17268310</v>
      </c>
      <c r="AI114" s="55"/>
      <c r="AJ114" s="347">
        <v>1902807</v>
      </c>
      <c r="AK114" s="347">
        <v>1705602</v>
      </c>
      <c r="AL114" s="55"/>
      <c r="AM114" s="347">
        <v>6122089</v>
      </c>
      <c r="AN114" s="55"/>
      <c r="AO114" s="347">
        <v>53508423</v>
      </c>
      <c r="AP114" s="55"/>
      <c r="AQ114" s="347">
        <v>15784647</v>
      </c>
      <c r="AR114" s="55"/>
      <c r="AS114" s="347">
        <v>16589295</v>
      </c>
      <c r="AT114" s="55"/>
      <c r="AU114" s="347">
        <v>23575504</v>
      </c>
      <c r="AV114" s="127"/>
      <c r="AW114" s="347">
        <v>6947925</v>
      </c>
      <c r="AX114" s="55"/>
      <c r="AY114" s="347">
        <v>21522783</v>
      </c>
      <c r="AZ114" s="127"/>
      <c r="BA114" s="347">
        <v>6359757</v>
      </c>
      <c r="BB114" s="127"/>
      <c r="BC114" s="347">
        <v>30247108</v>
      </c>
      <c r="BD114" s="347">
        <v>169830818</v>
      </c>
      <c r="BE114" s="54"/>
      <c r="BF114" s="31"/>
      <c r="BG114" s="113"/>
      <c r="BH114" s="55"/>
      <c r="BI114" s="31"/>
      <c r="BJ114" s="31"/>
      <c r="BK114" s="31"/>
      <c r="BO114" s="26">
        <v>2032</v>
      </c>
      <c r="BP114" s="124">
        <v>26.96</v>
      </c>
      <c r="BQ114" s="124">
        <v>24.4</v>
      </c>
      <c r="BR114" s="124">
        <v>17.25</v>
      </c>
      <c r="BS114" s="124">
        <v>14.47</v>
      </c>
      <c r="BT114" s="124">
        <v>18.850000000000001</v>
      </c>
      <c r="BU114" s="124">
        <v>13.76</v>
      </c>
      <c r="BV114" s="124">
        <v>18.8</v>
      </c>
      <c r="BW114" s="124">
        <v>18.260000000000002</v>
      </c>
      <c r="BX114" s="124">
        <v>17.7</v>
      </c>
      <c r="BZ114" s="26">
        <f>BZ113+1</f>
        <v>2032</v>
      </c>
      <c r="CA114" s="120">
        <v>9.7799999999999994</v>
      </c>
      <c r="CB114" s="120">
        <v>8.18</v>
      </c>
      <c r="CC114" s="120">
        <v>6.82</v>
      </c>
      <c r="CD114" s="120">
        <v>6.96</v>
      </c>
      <c r="CE114" s="120">
        <v>9.17</v>
      </c>
      <c r="CF114" s="120">
        <v>8.14</v>
      </c>
      <c r="CG114" s="120">
        <v>6.98</v>
      </c>
      <c r="CH114" s="120">
        <v>7.22</v>
      </c>
      <c r="CI114" s="120">
        <v>7.58</v>
      </c>
    </row>
    <row r="115" spans="1:87" x14ac:dyDescent="0.2">
      <c r="A115" s="83"/>
      <c r="B115" s="336"/>
      <c r="C115" s="336"/>
      <c r="D115" s="336"/>
      <c r="E115" s="348"/>
      <c r="F115" s="348"/>
      <c r="G115" s="333"/>
      <c r="H115" s="336"/>
      <c r="I115" s="336"/>
      <c r="J115" s="348"/>
      <c r="K115" s="333"/>
      <c r="L115" s="336"/>
      <c r="M115" s="20"/>
      <c r="N115" s="96"/>
      <c r="O115" s="71"/>
      <c r="P115" s="20"/>
      <c r="Q115" s="20"/>
      <c r="R115" s="20"/>
      <c r="S115" s="96"/>
      <c r="T115" s="96"/>
      <c r="U115" s="23">
        <v>2026</v>
      </c>
      <c r="V115" s="347">
        <v>16463655</v>
      </c>
      <c r="W115" s="127"/>
      <c r="X115" s="347">
        <v>10972906</v>
      </c>
      <c r="Y115" s="127"/>
      <c r="Z115" s="347">
        <v>1649191</v>
      </c>
      <c r="AA115" s="55"/>
      <c r="AB115" s="347">
        <v>1327693</v>
      </c>
      <c r="AC115" s="55"/>
      <c r="AD115" s="347">
        <v>6364820</v>
      </c>
      <c r="AE115" s="55"/>
      <c r="AF115" s="347">
        <v>64869439</v>
      </c>
      <c r="AG115" s="55"/>
      <c r="AH115" s="347">
        <v>17444505</v>
      </c>
      <c r="AI115" s="55"/>
      <c r="AJ115" s="347">
        <v>1933302</v>
      </c>
      <c r="AK115" s="347">
        <v>1677471</v>
      </c>
      <c r="AL115" s="55"/>
      <c r="AM115" s="347">
        <v>6160645</v>
      </c>
      <c r="AN115" s="55"/>
      <c r="AO115" s="347">
        <v>53698291</v>
      </c>
      <c r="AP115" s="55"/>
      <c r="AQ115" s="347">
        <v>15965743</v>
      </c>
      <c r="AR115" s="55"/>
      <c r="AS115" s="347">
        <v>16517824</v>
      </c>
      <c r="AT115" s="55"/>
      <c r="AU115" s="347">
        <v>23787319</v>
      </c>
      <c r="AV115" s="127"/>
      <c r="AW115" s="347">
        <v>6958385</v>
      </c>
      <c r="AX115" s="55"/>
      <c r="AY115" s="347">
        <v>21863223</v>
      </c>
      <c r="AZ115" s="127"/>
      <c r="BA115" s="347">
        <v>6301822</v>
      </c>
      <c r="BB115" s="127"/>
      <c r="BC115" s="347">
        <v>30242518</v>
      </c>
      <c r="BD115" s="347">
        <v>174762500</v>
      </c>
      <c r="BE115" s="54"/>
      <c r="BF115" s="31"/>
      <c r="BG115" s="113"/>
      <c r="BH115" s="55"/>
      <c r="BI115" s="31"/>
      <c r="BJ115" s="31"/>
      <c r="BK115" s="31"/>
      <c r="BO115" s="26">
        <v>2033</v>
      </c>
      <c r="BP115" s="124">
        <v>27.06</v>
      </c>
      <c r="BQ115" s="124">
        <v>24.54</v>
      </c>
      <c r="BR115" s="124">
        <v>17.32</v>
      </c>
      <c r="BS115" s="124">
        <v>14.53</v>
      </c>
      <c r="BT115" s="124">
        <v>18.91</v>
      </c>
      <c r="BU115" s="124">
        <v>13.81</v>
      </c>
      <c r="BV115" s="124">
        <v>18.95</v>
      </c>
      <c r="BW115" s="124">
        <v>18.41</v>
      </c>
      <c r="BX115" s="124">
        <v>17.600000000000001</v>
      </c>
      <c r="BZ115" s="26">
        <f>BZ114+1</f>
        <v>2033</v>
      </c>
      <c r="CA115" s="120">
        <v>9.91</v>
      </c>
      <c r="CB115" s="120">
        <v>8.2799999999999994</v>
      </c>
      <c r="CC115" s="120">
        <v>6.92</v>
      </c>
      <c r="CD115" s="120">
        <v>7.07</v>
      </c>
      <c r="CE115" s="120">
        <v>9.2799999999999994</v>
      </c>
      <c r="CF115" s="120">
        <v>8.25</v>
      </c>
      <c r="CG115" s="120">
        <v>7.05</v>
      </c>
      <c r="CH115" s="120">
        <v>7.31</v>
      </c>
      <c r="CI115" s="120">
        <v>7.69</v>
      </c>
    </row>
    <row r="116" spans="1:87" x14ac:dyDescent="0.2">
      <c r="A116" s="83"/>
      <c r="B116" s="336"/>
      <c r="C116" s="336"/>
      <c r="D116" s="336"/>
      <c r="E116" s="348"/>
      <c r="F116" s="348"/>
      <c r="G116" s="333"/>
      <c r="H116" s="336"/>
      <c r="I116" s="336"/>
      <c r="J116" s="348"/>
      <c r="K116" s="333"/>
      <c r="L116" s="336"/>
      <c r="M116" s="20"/>
      <c r="N116" s="96"/>
      <c r="O116" s="71"/>
      <c r="P116" s="20"/>
      <c r="Q116" s="20"/>
      <c r="R116" s="20"/>
      <c r="S116" s="96"/>
      <c r="T116" s="96"/>
      <c r="U116" s="23">
        <v>2027</v>
      </c>
      <c r="V116" s="347">
        <v>16395492</v>
      </c>
      <c r="W116" s="127"/>
      <c r="X116" s="347">
        <v>11162362</v>
      </c>
      <c r="Y116" s="127"/>
      <c r="Z116" s="347">
        <v>1701504</v>
      </c>
      <c r="AA116" s="55"/>
      <c r="AB116" s="347">
        <v>1293242</v>
      </c>
      <c r="AC116" s="55"/>
      <c r="AD116" s="347">
        <v>6271368</v>
      </c>
      <c r="AE116" s="55"/>
      <c r="AF116" s="347">
        <v>65123321</v>
      </c>
      <c r="AG116" s="55"/>
      <c r="AH116" s="347">
        <v>17622260</v>
      </c>
      <c r="AI116" s="55"/>
      <c r="AJ116" s="347">
        <v>1960266</v>
      </c>
      <c r="AK116" s="347">
        <v>1651585</v>
      </c>
      <c r="AL116" s="55"/>
      <c r="AM116" s="347">
        <v>6218242</v>
      </c>
      <c r="AN116" s="55"/>
      <c r="AO116" s="347">
        <v>53811648</v>
      </c>
      <c r="AP116" s="55"/>
      <c r="AQ116" s="347">
        <v>16139794</v>
      </c>
      <c r="AR116" s="55"/>
      <c r="AS116" s="347">
        <v>16467771</v>
      </c>
      <c r="AT116" s="55"/>
      <c r="AU116" s="347">
        <v>24011363</v>
      </c>
      <c r="AV116" s="127"/>
      <c r="AW116" s="347">
        <v>6967950</v>
      </c>
      <c r="AX116" s="55"/>
      <c r="AY116" s="347">
        <v>22202661</v>
      </c>
      <c r="AZ116" s="127"/>
      <c r="BA116" s="347">
        <v>6278889</v>
      </c>
      <c r="BB116" s="127"/>
      <c r="BC116" s="347">
        <v>30249236</v>
      </c>
      <c r="BD116" s="347">
        <v>179819242</v>
      </c>
      <c r="BE116" s="54"/>
      <c r="BF116" s="31"/>
      <c r="BG116" s="113"/>
      <c r="BH116" s="55"/>
      <c r="BO116" s="26">
        <v>2034</v>
      </c>
      <c r="BP116" s="124">
        <v>27.17</v>
      </c>
      <c r="BQ116" s="124">
        <v>24.71</v>
      </c>
      <c r="BR116" s="124">
        <v>17.46</v>
      </c>
      <c r="BS116" s="124">
        <v>14.61</v>
      </c>
      <c r="BT116" s="124">
        <v>19.02</v>
      </c>
      <c r="BU116" s="124">
        <v>13.85</v>
      </c>
      <c r="BV116" s="124">
        <v>19.04</v>
      </c>
      <c r="BW116" s="124">
        <v>18.55</v>
      </c>
      <c r="BX116" s="124">
        <v>17.62</v>
      </c>
      <c r="BZ116" s="26">
        <f>BZ115+1</f>
        <v>2034</v>
      </c>
      <c r="CA116" s="120">
        <v>10.01</v>
      </c>
      <c r="CB116" s="120">
        <v>8.34</v>
      </c>
      <c r="CC116" s="120">
        <v>7.03</v>
      </c>
      <c r="CD116" s="120">
        <v>7.2</v>
      </c>
      <c r="CE116" s="120">
        <v>9.4</v>
      </c>
      <c r="CF116" s="120">
        <v>8.39</v>
      </c>
      <c r="CG116" s="120">
        <v>7.15</v>
      </c>
      <c r="CH116" s="120">
        <v>7.45</v>
      </c>
      <c r="CI116" s="120">
        <v>7.82</v>
      </c>
    </row>
    <row r="117" spans="1:87" x14ac:dyDescent="0.2">
      <c r="A117" s="83"/>
      <c r="B117" s="336"/>
      <c r="C117" s="336"/>
      <c r="D117" s="336"/>
      <c r="E117" s="348"/>
      <c r="F117" s="348"/>
      <c r="G117" s="333"/>
      <c r="H117" s="336"/>
      <c r="I117" s="336"/>
      <c r="J117" s="348"/>
      <c r="K117" s="333"/>
      <c r="L117" s="336"/>
      <c r="M117" s="20"/>
      <c r="N117" s="96"/>
      <c r="O117" s="71"/>
      <c r="P117" s="20"/>
      <c r="Q117" s="20"/>
      <c r="R117" s="20"/>
      <c r="S117" s="96"/>
      <c r="T117" s="96"/>
      <c r="U117" s="23">
        <v>2028</v>
      </c>
      <c r="V117" s="347">
        <v>16327896</v>
      </c>
      <c r="W117" s="127"/>
      <c r="X117" s="347">
        <v>11348041</v>
      </c>
      <c r="Y117" s="127"/>
      <c r="Z117" s="347">
        <v>1749902</v>
      </c>
      <c r="AA117" s="55"/>
      <c r="AB117" s="347">
        <v>1259153</v>
      </c>
      <c r="AC117" s="55"/>
      <c r="AD117" s="347">
        <v>6188035</v>
      </c>
      <c r="AE117" s="55"/>
      <c r="AF117" s="347">
        <v>65408774</v>
      </c>
      <c r="AG117" s="55"/>
      <c r="AH117" s="347">
        <v>17771198</v>
      </c>
      <c r="AI117" s="55"/>
      <c r="AJ117" s="347">
        <v>1981068</v>
      </c>
      <c r="AK117" s="347">
        <v>1627619</v>
      </c>
      <c r="AL117" s="55"/>
      <c r="AM117" s="347">
        <v>6294593</v>
      </c>
      <c r="AN117" s="55"/>
      <c r="AO117" s="347">
        <v>53871735</v>
      </c>
      <c r="AP117" s="55"/>
      <c r="AQ117" s="347">
        <v>16307701</v>
      </c>
      <c r="AR117" s="55"/>
      <c r="AS117" s="347">
        <v>16451757</v>
      </c>
      <c r="AT117" s="55"/>
      <c r="AU117" s="347">
        <v>24230808</v>
      </c>
      <c r="AV117" s="127"/>
      <c r="AW117" s="347">
        <v>6976239</v>
      </c>
      <c r="AX117" s="55"/>
      <c r="AY117" s="347">
        <v>22555672</v>
      </c>
      <c r="AZ117" s="127"/>
      <c r="BA117" s="347">
        <v>6201692</v>
      </c>
      <c r="BB117" s="127"/>
      <c r="BC117" s="347">
        <v>30281327</v>
      </c>
      <c r="BD117" s="347">
        <v>184871097</v>
      </c>
      <c r="BE117" s="54"/>
      <c r="BF117" s="31"/>
      <c r="BG117" s="113"/>
      <c r="BH117" s="55"/>
      <c r="BO117" s="26">
        <v>2035</v>
      </c>
      <c r="BP117" s="124">
        <v>27.28</v>
      </c>
      <c r="BQ117" s="124">
        <v>24.81</v>
      </c>
      <c r="BR117" s="124">
        <v>17.48</v>
      </c>
      <c r="BS117" s="124">
        <v>14.62</v>
      </c>
      <c r="BT117" s="124">
        <v>19.07</v>
      </c>
      <c r="BU117" s="124">
        <v>13.65</v>
      </c>
      <c r="BV117" s="124">
        <v>19.239999999999998</v>
      </c>
      <c r="BW117" s="124">
        <v>18.68</v>
      </c>
      <c r="BX117" s="124">
        <v>17.68</v>
      </c>
      <c r="BZ117" s="26">
        <f>BZ116+1</f>
        <v>2035</v>
      </c>
      <c r="CA117" s="120">
        <v>10.07</v>
      </c>
      <c r="CB117" s="120">
        <v>8.35</v>
      </c>
      <c r="CC117" s="120">
        <v>7.16</v>
      </c>
      <c r="CD117" s="120">
        <v>7.34</v>
      </c>
      <c r="CE117" s="120">
        <v>9.5399999999999991</v>
      </c>
      <c r="CF117" s="120">
        <v>8.57</v>
      </c>
      <c r="CG117" s="120">
        <v>7.29</v>
      </c>
      <c r="CH117" s="120">
        <v>7.59</v>
      </c>
      <c r="CI117" s="120">
        <v>7.97</v>
      </c>
    </row>
    <row r="118" spans="1:87" x14ac:dyDescent="0.2">
      <c r="A118" s="83"/>
      <c r="B118" s="336"/>
      <c r="C118" s="336"/>
      <c r="D118" s="336"/>
      <c r="E118" s="348"/>
      <c r="F118" s="348"/>
      <c r="G118" s="333"/>
      <c r="H118" s="336"/>
      <c r="I118" s="336"/>
      <c r="J118" s="348"/>
      <c r="K118" s="333"/>
      <c r="L118" s="336"/>
      <c r="S118" s="96"/>
      <c r="T118" s="96"/>
      <c r="U118" s="23">
        <v>2029</v>
      </c>
      <c r="V118" s="347">
        <v>16266349</v>
      </c>
      <c r="W118" s="127"/>
      <c r="X118" s="347">
        <v>11539147</v>
      </c>
      <c r="Y118" s="127"/>
      <c r="Z118" s="347">
        <v>1796061</v>
      </c>
      <c r="AA118" s="55"/>
      <c r="AB118" s="347">
        <v>1225588</v>
      </c>
      <c r="AC118" s="55"/>
      <c r="AD118" s="347">
        <v>6110558</v>
      </c>
      <c r="AE118" s="55"/>
      <c r="AF118" s="347">
        <v>65695464</v>
      </c>
      <c r="AG118" s="55"/>
      <c r="AH118" s="347">
        <v>17927403</v>
      </c>
      <c r="AI118" s="55"/>
      <c r="AJ118" s="347">
        <v>2000115</v>
      </c>
      <c r="AK118" s="347">
        <v>1605763</v>
      </c>
      <c r="AL118" s="55"/>
      <c r="AM118" s="347">
        <v>6374791</v>
      </c>
      <c r="AN118" s="55"/>
      <c r="AO118" s="347">
        <v>53895757</v>
      </c>
      <c r="AP118" s="55"/>
      <c r="AQ118" s="347">
        <v>16473234</v>
      </c>
      <c r="AR118" s="55"/>
      <c r="AS118" s="347">
        <v>16474112</v>
      </c>
      <c r="AT118" s="55"/>
      <c r="AU118" s="347">
        <v>24444276</v>
      </c>
      <c r="AV118" s="127"/>
      <c r="AW118" s="347">
        <v>6984422</v>
      </c>
      <c r="AX118" s="55"/>
      <c r="AY118" s="347">
        <v>22928419</v>
      </c>
      <c r="AZ118" s="127"/>
      <c r="BA118" s="347">
        <v>6205693</v>
      </c>
      <c r="BB118" s="127"/>
      <c r="BC118" s="347">
        <v>30345359</v>
      </c>
      <c r="BD118" s="347">
        <v>189826817</v>
      </c>
      <c r="BE118" s="54"/>
      <c r="BF118" s="31"/>
      <c r="BG118" s="113"/>
      <c r="BH118" s="55"/>
    </row>
    <row r="119" spans="1:87" x14ac:dyDescent="0.2">
      <c r="A119" s="83"/>
      <c r="B119" s="336"/>
      <c r="C119" s="336"/>
      <c r="D119" s="336"/>
      <c r="E119" s="348"/>
      <c r="F119" s="348"/>
      <c r="G119" s="333"/>
      <c r="H119" s="336"/>
      <c r="I119" s="336"/>
      <c r="J119" s="348"/>
      <c r="K119" s="333"/>
      <c r="L119" s="336"/>
      <c r="S119" s="96"/>
      <c r="T119" s="96"/>
      <c r="U119" s="23">
        <v>2030</v>
      </c>
      <c r="V119" s="347">
        <v>16206862</v>
      </c>
      <c r="W119" s="127"/>
      <c r="X119" s="347">
        <v>11737153</v>
      </c>
      <c r="Y119" s="127"/>
      <c r="Z119" s="347">
        <v>1840843</v>
      </c>
      <c r="AA119" s="55"/>
      <c r="AB119" s="347">
        <v>1192215</v>
      </c>
      <c r="AC119" s="55"/>
      <c r="AD119" s="347">
        <v>6034755</v>
      </c>
      <c r="AE119" s="55"/>
      <c r="AF119" s="347">
        <v>65997295</v>
      </c>
      <c r="AG119" s="55"/>
      <c r="AH119" s="347">
        <v>18106404</v>
      </c>
      <c r="AI119" s="55"/>
      <c r="AJ119" s="347">
        <v>2020535</v>
      </c>
      <c r="AK119" s="347">
        <v>1591493</v>
      </c>
      <c r="AL119" s="55"/>
      <c r="AM119" s="347">
        <v>6460500</v>
      </c>
      <c r="AN119" s="55"/>
      <c r="AO119" s="347">
        <v>53896204</v>
      </c>
      <c r="AP119" s="55"/>
      <c r="AQ119" s="347">
        <v>16637660</v>
      </c>
      <c r="AR119" s="55"/>
      <c r="AS119" s="347">
        <v>16532370</v>
      </c>
      <c r="AT119" s="55"/>
      <c r="AU119" s="347">
        <v>24654413</v>
      </c>
      <c r="AV119" s="127"/>
      <c r="AW119" s="347">
        <v>6993667</v>
      </c>
      <c r="AX119" s="55"/>
      <c r="AY119" s="347">
        <v>23319305</v>
      </c>
      <c r="AZ119" s="127"/>
      <c r="BA119" s="347">
        <v>6102773</v>
      </c>
      <c r="BB119" s="127"/>
      <c r="BC119" s="347">
        <v>30433352</v>
      </c>
      <c r="BD119" s="347">
        <v>195084521</v>
      </c>
      <c r="BE119" s="54"/>
      <c r="BF119" s="31"/>
      <c r="BG119" s="113"/>
      <c r="BH119" s="55"/>
    </row>
    <row r="120" spans="1:87" x14ac:dyDescent="0.2">
      <c r="A120" s="83"/>
      <c r="B120" s="336"/>
      <c r="C120" s="336"/>
      <c r="D120" s="336"/>
      <c r="E120" s="348"/>
      <c r="F120" s="348"/>
      <c r="G120" s="333"/>
      <c r="H120" s="336"/>
      <c r="I120" s="336"/>
      <c r="J120" s="348"/>
      <c r="K120" s="333"/>
      <c r="L120" s="336"/>
      <c r="S120" s="96"/>
      <c r="T120" s="96"/>
      <c r="U120" s="23">
        <v>2031</v>
      </c>
      <c r="V120" s="347">
        <v>16137048</v>
      </c>
      <c r="W120" s="126"/>
      <c r="X120" s="347">
        <v>11928903</v>
      </c>
      <c r="Y120" s="126"/>
      <c r="Z120" s="347">
        <v>1882558</v>
      </c>
      <c r="AA120" s="126"/>
      <c r="AB120" s="347">
        <v>1158486</v>
      </c>
      <c r="AC120" s="126"/>
      <c r="AD120" s="347">
        <v>5963389</v>
      </c>
      <c r="AE120" s="126"/>
      <c r="AF120" s="347">
        <v>66292981</v>
      </c>
      <c r="AG120" s="126"/>
      <c r="AH120" s="347">
        <v>18257256</v>
      </c>
      <c r="AI120" s="126"/>
      <c r="AJ120" s="347">
        <v>2036730</v>
      </c>
      <c r="AK120" s="347">
        <v>1586785</v>
      </c>
      <c r="AL120" s="126"/>
      <c r="AM120" s="347">
        <v>6552024</v>
      </c>
      <c r="AN120" s="126"/>
      <c r="AO120" s="347">
        <v>53861828</v>
      </c>
      <c r="AP120" s="126"/>
      <c r="AQ120" s="347">
        <v>16796604</v>
      </c>
      <c r="AR120" s="126"/>
      <c r="AS120" s="347">
        <v>16613037</v>
      </c>
      <c r="AT120" s="126"/>
      <c r="AU120" s="347">
        <v>24857505</v>
      </c>
      <c r="AV120" s="126"/>
      <c r="AW120" s="347">
        <v>7003900</v>
      </c>
      <c r="AX120" s="126"/>
      <c r="AY120" s="347">
        <v>23712914</v>
      </c>
      <c r="AZ120" s="126"/>
      <c r="BA120" s="347">
        <v>6119318</v>
      </c>
      <c r="BB120" s="126"/>
      <c r="BC120" s="347">
        <v>30557970</v>
      </c>
      <c r="BD120" s="347">
        <v>200088570</v>
      </c>
      <c r="BE120" s="54"/>
      <c r="BF120" s="31"/>
      <c r="BG120" s="113"/>
      <c r="BH120" s="55"/>
    </row>
    <row r="121" spans="1:87" x14ac:dyDescent="0.2">
      <c r="A121" s="83"/>
      <c r="B121" s="336"/>
      <c r="C121" s="336"/>
      <c r="D121" s="336"/>
      <c r="E121" s="348"/>
      <c r="F121" s="348"/>
      <c r="G121" s="333"/>
      <c r="H121" s="336"/>
      <c r="I121" s="336"/>
      <c r="J121" s="348"/>
      <c r="K121" s="333"/>
      <c r="L121" s="336"/>
      <c r="S121" s="96"/>
      <c r="T121" s="96"/>
      <c r="U121" s="23">
        <v>2032</v>
      </c>
      <c r="V121" s="347">
        <v>16042570</v>
      </c>
      <c r="W121" s="126"/>
      <c r="X121" s="347">
        <v>12104911</v>
      </c>
      <c r="Y121" s="126"/>
      <c r="Z121" s="347">
        <v>1920055</v>
      </c>
      <c r="AA121" s="126"/>
      <c r="AB121" s="347">
        <v>1123907</v>
      </c>
      <c r="AC121" s="126"/>
      <c r="AD121" s="347">
        <v>5886573</v>
      </c>
      <c r="AE121" s="126"/>
      <c r="AF121" s="347">
        <v>66491565</v>
      </c>
      <c r="AG121" s="126"/>
      <c r="AH121" s="347">
        <v>18417954</v>
      </c>
      <c r="AI121" s="126"/>
      <c r="AJ121" s="347">
        <v>2052735</v>
      </c>
      <c r="AK121" s="347">
        <v>1590435</v>
      </c>
      <c r="AL121" s="126"/>
      <c r="AM121" s="347">
        <v>6641052</v>
      </c>
      <c r="AN121" s="126"/>
      <c r="AO121" s="347">
        <v>53805531</v>
      </c>
      <c r="AP121" s="126"/>
      <c r="AQ121" s="347">
        <v>16949554</v>
      </c>
      <c r="AR121" s="126"/>
      <c r="AS121" s="347">
        <v>16710732</v>
      </c>
      <c r="AT121" s="126"/>
      <c r="AU121" s="347">
        <v>25048661</v>
      </c>
      <c r="AV121" s="126"/>
      <c r="AW121" s="347">
        <v>7014235</v>
      </c>
      <c r="AX121" s="126"/>
      <c r="AY121" s="347">
        <v>24097094</v>
      </c>
      <c r="AZ121" s="126"/>
      <c r="BA121" s="347">
        <v>6125999</v>
      </c>
      <c r="BB121" s="126"/>
      <c r="BC121" s="347">
        <v>30687953</v>
      </c>
      <c r="BD121" s="347">
        <v>204732288</v>
      </c>
      <c r="BE121" s="54"/>
      <c r="BF121" s="31"/>
      <c r="BG121" s="113"/>
      <c r="BH121" s="55"/>
    </row>
    <row r="122" spans="1:87" x14ac:dyDescent="0.2">
      <c r="A122" s="83"/>
      <c r="B122" s="336"/>
      <c r="C122" s="336"/>
      <c r="D122" s="336"/>
      <c r="E122" s="348"/>
      <c r="F122" s="348"/>
      <c r="G122" s="333"/>
      <c r="H122" s="336"/>
      <c r="I122" s="336"/>
      <c r="J122" s="348"/>
      <c r="K122" s="333"/>
      <c r="L122" s="336"/>
      <c r="S122" s="96"/>
      <c r="U122" s="23">
        <v>2033</v>
      </c>
      <c r="V122" s="347">
        <v>15924745</v>
      </c>
      <c r="W122" s="126"/>
      <c r="X122" s="347">
        <v>12266876</v>
      </c>
      <c r="Y122" s="126"/>
      <c r="Z122" s="347">
        <v>1953692</v>
      </c>
      <c r="AA122" s="126"/>
      <c r="AB122" s="347">
        <v>1088923</v>
      </c>
      <c r="AC122" s="126"/>
      <c r="AD122" s="347">
        <v>5811151</v>
      </c>
      <c r="AE122" s="126"/>
      <c r="AF122" s="347">
        <v>66662366</v>
      </c>
      <c r="AG122" s="126"/>
      <c r="AH122" s="347">
        <v>18545614</v>
      </c>
      <c r="AI122" s="126"/>
      <c r="AJ122" s="347">
        <v>2064013</v>
      </c>
      <c r="AK122" s="347">
        <v>1603270</v>
      </c>
      <c r="AL122" s="126"/>
      <c r="AM122" s="347">
        <v>6729285</v>
      </c>
      <c r="AN122" s="126"/>
      <c r="AO122" s="347">
        <v>53753667</v>
      </c>
      <c r="AP122" s="126"/>
      <c r="AQ122" s="347">
        <v>17096710</v>
      </c>
      <c r="AR122" s="126"/>
      <c r="AS122" s="347">
        <v>16823767</v>
      </c>
      <c r="AT122" s="126"/>
      <c r="AU122" s="347">
        <v>25240985</v>
      </c>
      <c r="AV122" s="126"/>
      <c r="AW122" s="347">
        <v>7025109</v>
      </c>
      <c r="AX122" s="126"/>
      <c r="AY122" s="347">
        <v>24460776</v>
      </c>
      <c r="AZ122" s="126"/>
      <c r="BA122" s="347">
        <v>6135247</v>
      </c>
      <c r="BB122" s="126"/>
      <c r="BC122" s="347">
        <v>30805795</v>
      </c>
      <c r="BD122" s="347">
        <v>209125993</v>
      </c>
      <c r="BE122" s="54"/>
      <c r="BG122" s="113"/>
      <c r="BH122" s="55"/>
    </row>
    <row r="123" spans="1:87" x14ac:dyDescent="0.2">
      <c r="A123" s="83"/>
      <c r="B123" s="336"/>
      <c r="C123" s="336"/>
      <c r="D123" s="336"/>
      <c r="E123" s="348"/>
      <c r="F123" s="348"/>
      <c r="G123" s="333"/>
      <c r="H123" s="336"/>
      <c r="I123" s="336"/>
      <c r="J123" s="348"/>
      <c r="K123" s="333"/>
      <c r="L123" s="336"/>
      <c r="U123" s="23">
        <v>2034</v>
      </c>
      <c r="V123" s="347">
        <v>15791537</v>
      </c>
      <c r="W123" s="126"/>
      <c r="X123" s="347">
        <v>12423851</v>
      </c>
      <c r="Y123" s="126"/>
      <c r="Z123" s="347">
        <v>1984792</v>
      </c>
      <c r="AA123" s="126"/>
      <c r="AB123" s="347">
        <v>1053743</v>
      </c>
      <c r="AC123" s="126"/>
      <c r="AD123" s="347">
        <v>5730867</v>
      </c>
      <c r="AE123" s="126"/>
      <c r="AF123" s="347">
        <v>66760448</v>
      </c>
      <c r="AG123" s="126"/>
      <c r="AH123" s="347">
        <v>18679457</v>
      </c>
      <c r="AI123" s="126"/>
      <c r="AJ123" s="347">
        <v>2075048</v>
      </c>
      <c r="AK123" s="347">
        <v>1616455</v>
      </c>
      <c r="AL123" s="126"/>
      <c r="AM123" s="347">
        <v>6817858</v>
      </c>
      <c r="AN123" s="126"/>
      <c r="AO123" s="347">
        <v>53742313</v>
      </c>
      <c r="AP123" s="126"/>
      <c r="AQ123" s="347">
        <v>17241525</v>
      </c>
      <c r="AR123" s="126"/>
      <c r="AS123" s="347">
        <v>16956527</v>
      </c>
      <c r="AT123" s="126"/>
      <c r="AU123" s="347">
        <v>25437999</v>
      </c>
      <c r="AV123" s="126"/>
      <c r="AW123" s="347">
        <v>7037798</v>
      </c>
      <c r="AX123" s="126"/>
      <c r="AY123" s="347">
        <v>24819289</v>
      </c>
      <c r="AZ123" s="126"/>
      <c r="BA123" s="347">
        <v>6144383</v>
      </c>
      <c r="BB123" s="126"/>
      <c r="BC123" s="347">
        <v>30921264</v>
      </c>
      <c r="BD123" s="347">
        <v>213346182</v>
      </c>
      <c r="BE123" s="47"/>
      <c r="BG123" s="113"/>
      <c r="BH123" s="55"/>
    </row>
    <row r="124" spans="1:87" x14ac:dyDescent="0.2">
      <c r="A124" s="83"/>
      <c r="B124" s="336"/>
      <c r="C124" s="336"/>
      <c r="D124" s="336"/>
      <c r="E124" s="348"/>
      <c r="F124" s="348"/>
      <c r="G124" s="333"/>
      <c r="H124" s="336"/>
      <c r="I124" s="336"/>
      <c r="J124" s="348"/>
      <c r="K124" s="333"/>
      <c r="L124" s="336"/>
      <c r="U124" s="23">
        <v>2035</v>
      </c>
      <c r="V124" s="347">
        <v>15658554</v>
      </c>
      <c r="W124" s="126"/>
      <c r="X124" s="347">
        <v>12585346</v>
      </c>
      <c r="Y124" s="126"/>
      <c r="Z124" s="347">
        <v>2014852</v>
      </c>
      <c r="AA124" s="126"/>
      <c r="AB124" s="347">
        <v>1018744</v>
      </c>
      <c r="AC124" s="126"/>
      <c r="AD124" s="347">
        <v>5653856</v>
      </c>
      <c r="AE124" s="126"/>
      <c r="AF124" s="347">
        <v>66860944</v>
      </c>
      <c r="AG124" s="126"/>
      <c r="AH124" s="347">
        <v>18860375</v>
      </c>
      <c r="AI124" s="126"/>
      <c r="AJ124" s="347">
        <v>2090540</v>
      </c>
      <c r="AK124" s="347">
        <v>1630056</v>
      </c>
      <c r="AL124" s="126"/>
      <c r="AM124" s="347">
        <v>6907029</v>
      </c>
      <c r="AN124" s="126"/>
      <c r="AO124" s="347">
        <v>53841221</v>
      </c>
      <c r="AP124" s="126"/>
      <c r="AQ124" s="347">
        <v>17386819</v>
      </c>
      <c r="AR124" s="126"/>
      <c r="AS124" s="347">
        <v>17124831</v>
      </c>
      <c r="AT124" s="126"/>
      <c r="AU124" s="347">
        <v>25639711</v>
      </c>
      <c r="AV124" s="126"/>
      <c r="AW124" s="347">
        <v>7052415</v>
      </c>
      <c r="AX124" s="126"/>
      <c r="AY124" s="347">
        <v>25187171</v>
      </c>
      <c r="AZ124" s="126"/>
      <c r="BA124" s="347">
        <v>6152444</v>
      </c>
      <c r="BB124" s="126"/>
      <c r="BC124" s="347">
        <v>31054886</v>
      </c>
      <c r="BD124" s="347">
        <v>217611788</v>
      </c>
      <c r="BE124" s="47"/>
      <c r="BG124" s="113"/>
      <c r="BH124" s="55"/>
    </row>
    <row r="125" spans="1:87" x14ac:dyDescent="0.2">
      <c r="A125" s="83"/>
      <c r="B125" s="336"/>
      <c r="C125" s="336"/>
      <c r="D125" s="336"/>
      <c r="E125" s="348"/>
      <c r="F125" s="348"/>
      <c r="G125" s="333"/>
      <c r="H125" s="336"/>
      <c r="I125" s="336"/>
      <c r="J125" s="348"/>
      <c r="K125" s="333"/>
      <c r="L125" s="336"/>
      <c r="U125" s="23">
        <v>2036</v>
      </c>
      <c r="V125" s="220">
        <f>(V124/V123)*V124</f>
        <v>15526690.870617343</v>
      </c>
      <c r="X125" s="220">
        <f>(X124/X123)*X124</f>
        <v>12748940.239199264</v>
      </c>
      <c r="Z125" s="220">
        <f>(Z124/Z123)*Z124</f>
        <v>2045367.2636246015</v>
      </c>
      <c r="AB125" s="220">
        <f>(AB124/AB123)*AB124</f>
        <v>984907.4561216539</v>
      </c>
      <c r="AD125" s="220">
        <f>(AD124/AD123)*AD124</f>
        <v>5577879.8685671818</v>
      </c>
      <c r="AF125" s="220">
        <f>(AF124/AF123)*AF124</f>
        <v>66961591.278883204</v>
      </c>
      <c r="AH125" s="220">
        <f>(AH124/AH123)*AH124</f>
        <v>19043045.26307296</v>
      </c>
      <c r="AJ125" s="220">
        <f t="shared" ref="AJ125:AK132" si="76">(AJ124/AJ123)*AJ124</f>
        <v>2106147.6609697705</v>
      </c>
      <c r="AK125" s="220">
        <f t="shared" si="76"/>
        <v>1643771.4400561724</v>
      </c>
      <c r="AM125" s="220">
        <f>(AM124/AM123)*AM124</f>
        <v>6997366.2705854243</v>
      </c>
      <c r="AO125" s="220">
        <f>(AO124/AO123)*AO124</f>
        <v>53940311.031474225</v>
      </c>
      <c r="AQ125" s="220">
        <f>(AQ124/AQ123)*AQ124</f>
        <v>17533337.389747195</v>
      </c>
      <c r="AS125" s="220">
        <f>(AS124/AS123)*AS124</f>
        <v>17294805.521116499</v>
      </c>
      <c r="AU125" s="220">
        <f>(AU124/AU123)*AU124</f>
        <v>25843022.486301735</v>
      </c>
      <c r="AW125" s="220">
        <f>(AW124/AW123)*AW124</f>
        <v>7067062.3584571481</v>
      </c>
      <c r="AY125" s="220">
        <f>(AY124/AY123)*AY124</f>
        <v>25560505.902616348</v>
      </c>
      <c r="BA125" s="220">
        <f>(BA124/BA123)*BA124</f>
        <v>6160515.5754672196</v>
      </c>
      <c r="BC125" s="220">
        <f t="shared" ref="BC125:BD132" si="77">(BC124/BC123)*BC124</f>
        <v>31189085.429140158</v>
      </c>
      <c r="BD125" s="220">
        <f t="shared" si="77"/>
        <v>221962679.77533782</v>
      </c>
      <c r="BE125" s="47"/>
      <c r="BG125" s="113"/>
      <c r="BH125" s="55"/>
    </row>
    <row r="126" spans="1:87" x14ac:dyDescent="0.2">
      <c r="A126" s="83"/>
      <c r="B126" s="336"/>
      <c r="C126" s="336"/>
      <c r="D126" s="336"/>
      <c r="E126" s="348"/>
      <c r="F126" s="348"/>
      <c r="G126" s="333"/>
      <c r="H126" s="336"/>
      <c r="I126" s="336"/>
      <c r="J126" s="348"/>
      <c r="K126" s="333"/>
      <c r="L126" s="336"/>
      <c r="U126" s="23">
        <v>2037</v>
      </c>
      <c r="V126" s="220">
        <f t="shared" ref="V126:V132" si="78">(V125/V124)*V125</f>
        <v>15395938.181246618</v>
      </c>
      <c r="X126" s="220">
        <f t="shared" ref="X126:X132" si="79">(X125/X124)*X125</f>
        <v>12914661.005162209</v>
      </c>
      <c r="Z126" s="220">
        <f t="shared" ref="Z126:Z132" si="80">(Z125/Z124)*Z125</f>
        <v>2076344.685915983</v>
      </c>
      <c r="AB126" s="220">
        <f t="shared" ref="AB126:AB132" si="81">(AB125/AB124)*AB125</f>
        <v>952194.75856940274</v>
      </c>
      <c r="AD126" s="220">
        <f t="shared" ref="AD126:AD132" si="82">(AD125/AD124)*AD125</f>
        <v>5502924.6992082996</v>
      </c>
      <c r="AF126" s="220">
        <f t="shared" ref="AF126:AF132" si="83">(AF125/AF124)*AF125</f>
        <v>67062390.064373113</v>
      </c>
      <c r="AH126" s="220">
        <f t="shared" ref="AH126:AH132" si="84">(AH125/AH124)*AH125</f>
        <v>19227484.760586441</v>
      </c>
      <c r="AJ126" s="220">
        <f t="shared" si="76"/>
        <v>2121871.8464169232</v>
      </c>
      <c r="AK126" s="220">
        <f t="shared" si="76"/>
        <v>1657602.2830776016</v>
      </c>
      <c r="AM126" s="220">
        <f t="shared" ref="AM126:AM132" si="85">(AM125/AM124)*AM125</f>
        <v>7088885.0654494958</v>
      </c>
      <c r="AO126" s="220">
        <f t="shared" ref="AO126:AO132" si="86">(AO125/AO124)*AO125</f>
        <v>54039583.429435603</v>
      </c>
      <c r="AQ126" s="220">
        <f t="shared" ref="AQ126:AQ132" si="87">(AQ125/AQ124)*AQ125</f>
        <v>17681090.487150464</v>
      </c>
      <c r="AS126" s="220">
        <f t="shared" ref="AS126:AS132" si="88">(AS125/AS124)*AS125</f>
        <v>17466467.144303013</v>
      </c>
      <c r="AU126" s="220">
        <f t="shared" ref="AU126:AU132" si="89">(AU125/AU124)*AU125</f>
        <v>26047946.142119039</v>
      </c>
      <c r="AW126" s="220">
        <f t="shared" ref="AW126:AW132" si="90">(AW125/AW124)*AW125</f>
        <v>7081740.1384237753</v>
      </c>
      <c r="AY126" s="220">
        <f t="shared" ref="AY126:AY132" si="91">(AY125/AY124)*AY125</f>
        <v>25939374.533078179</v>
      </c>
      <c r="BA126" s="220">
        <f t="shared" ref="BA126:BA132" si="92">(BA125/BA124)*BA125</f>
        <v>6168597.7402759306</v>
      </c>
      <c r="BC126" s="220">
        <f t="shared" si="77"/>
        <v>31323864.782701276</v>
      </c>
      <c r="BD126" s="220">
        <f t="shared" si="77"/>
        <v>226400562.5147897</v>
      </c>
    </row>
    <row r="127" spans="1:87" x14ac:dyDescent="0.2">
      <c r="A127" s="83"/>
      <c r="B127" s="336"/>
      <c r="C127" s="336"/>
      <c r="D127" s="336"/>
      <c r="E127" s="348"/>
      <c r="F127" s="348"/>
      <c r="G127" s="333"/>
      <c r="H127" s="336"/>
      <c r="I127" s="336"/>
      <c r="J127" s="348"/>
      <c r="K127" s="333"/>
      <c r="L127" s="336"/>
      <c r="U127" s="23">
        <v>2038</v>
      </c>
      <c r="V127" s="220">
        <f t="shared" si="78"/>
        <v>15266286.580699014</v>
      </c>
      <c r="X127" s="220">
        <f t="shared" si="79"/>
        <v>13082535.940158507</v>
      </c>
      <c r="Z127" s="220">
        <f t="shared" si="80"/>
        <v>2107791.2663428667</v>
      </c>
      <c r="AB127" s="220">
        <f t="shared" si="81"/>
        <v>920568.57993270434</v>
      </c>
      <c r="AD127" s="220">
        <f t="shared" si="82"/>
        <v>5428976.7723046159</v>
      </c>
      <c r="AF127" s="220">
        <f t="shared" si="83"/>
        <v>67163340.584536016</v>
      </c>
      <c r="AH127" s="220">
        <f t="shared" si="84"/>
        <v>19413710.628282476</v>
      </c>
      <c r="AJ127" s="220">
        <f t="shared" si="76"/>
        <v>2137713.4262958905</v>
      </c>
      <c r="AK127" s="220">
        <f t="shared" si="76"/>
        <v>1671549.5000753768</v>
      </c>
      <c r="AM127" s="220">
        <f t="shared" si="85"/>
        <v>7181600.8377890186</v>
      </c>
      <c r="AO127" s="220">
        <f t="shared" si="86"/>
        <v>54139038.529513605</v>
      </c>
      <c r="AQ127" s="220">
        <f t="shared" si="87"/>
        <v>17830088.697067514</v>
      </c>
      <c r="AS127" s="220">
        <f t="shared" si="88"/>
        <v>17639832.61508926</v>
      </c>
      <c r="AU127" s="220">
        <f t="shared" si="89"/>
        <v>26254494.751237985</v>
      </c>
      <c r="AW127" s="220">
        <f t="shared" si="90"/>
        <v>7096448.403083167</v>
      </c>
      <c r="AY127" s="220">
        <f t="shared" si="91"/>
        <v>26323858.914640356</v>
      </c>
      <c r="BA127" s="220">
        <f t="shared" si="92"/>
        <v>6176690.5083186077</v>
      </c>
      <c r="BC127" s="220">
        <f t="shared" si="77"/>
        <v>31459226.566747174</v>
      </c>
      <c r="BD127" s="220">
        <f t="shared" si="77"/>
        <v>230927175.50037602</v>
      </c>
    </row>
    <row r="128" spans="1:87" x14ac:dyDescent="0.2">
      <c r="A128" s="83"/>
      <c r="B128" s="336"/>
      <c r="C128" s="334"/>
      <c r="D128" s="334"/>
      <c r="E128" s="334"/>
      <c r="F128" s="334"/>
      <c r="G128" s="334"/>
      <c r="H128" s="334"/>
      <c r="I128" s="334"/>
      <c r="J128" s="334"/>
      <c r="K128" s="334"/>
      <c r="L128" s="334"/>
      <c r="U128" s="23">
        <v>2039</v>
      </c>
      <c r="V128" s="220">
        <f t="shared" si="78"/>
        <v>15137726.79653354</v>
      </c>
      <c r="X128" s="220">
        <f t="shared" si="79"/>
        <v>13252593.045773819</v>
      </c>
      <c r="Z128" s="220">
        <f t="shared" si="80"/>
        <v>2139714.1103820745</v>
      </c>
      <c r="AB128" s="220">
        <f t="shared" si="81"/>
        <v>889992.83259292156</v>
      </c>
      <c r="AD128" s="220">
        <f t="shared" si="82"/>
        <v>5356022.5526006939</v>
      </c>
      <c r="AF128" s="220">
        <f t="shared" si="83"/>
        <v>67264443.067781538</v>
      </c>
      <c r="AH128" s="220">
        <f t="shared" si="84"/>
        <v>19601740.167869609</v>
      </c>
      <c r="AJ128" s="220">
        <f t="shared" si="76"/>
        <v>2153673.2770560542</v>
      </c>
      <c r="AK128" s="220">
        <f t="shared" si="76"/>
        <v>1685614.0702307634</v>
      </c>
      <c r="AM128" s="220">
        <f t="shared" si="85"/>
        <v>7275529.2429136904</v>
      </c>
      <c r="AO128" s="220">
        <f t="shared" si="86"/>
        <v>54238676.667955413</v>
      </c>
      <c r="AQ128" s="220">
        <f t="shared" si="87"/>
        <v>17980342.512037579</v>
      </c>
      <c r="AS128" s="220">
        <f t="shared" si="88"/>
        <v>17814918.845214684</v>
      </c>
      <c r="AU128" s="220">
        <f t="shared" si="89"/>
        <v>26462681.198814373</v>
      </c>
      <c r="AW128" s="220">
        <f t="shared" si="90"/>
        <v>7111187.2157498375</v>
      </c>
      <c r="AY128" s="220">
        <f t="shared" si="91"/>
        <v>26714042.286341123</v>
      </c>
      <c r="BA128" s="220">
        <f t="shared" si="92"/>
        <v>6184793.8935059505</v>
      </c>
      <c r="BC128" s="220">
        <f t="shared" si="77"/>
        <v>31595173.298171282</v>
      </c>
      <c r="BD128" s="220">
        <f t="shared" si="77"/>
        <v>235544292.78901562</v>
      </c>
    </row>
    <row r="129" spans="1:56" x14ac:dyDescent="0.2">
      <c r="A129" s="334"/>
      <c r="B129" s="334"/>
      <c r="C129" s="348"/>
      <c r="D129" s="348"/>
      <c r="E129" s="348"/>
      <c r="F129" s="348"/>
      <c r="G129" s="73"/>
      <c r="H129" s="348"/>
      <c r="I129" s="348"/>
      <c r="J129" s="348"/>
      <c r="K129" s="73"/>
      <c r="L129" s="348"/>
      <c r="U129" s="23">
        <v>2040</v>
      </c>
      <c r="V129" s="220">
        <f t="shared" si="78"/>
        <v>15010249.63439388</v>
      </c>
      <c r="X129" s="220">
        <f t="shared" si="79"/>
        <v>13424860.687580474</v>
      </c>
      <c r="Z129" s="220">
        <f t="shared" si="80"/>
        <v>2172120.431124039</v>
      </c>
      <c r="AB129" s="220">
        <f t="shared" si="81"/>
        <v>860432.62754489784</v>
      </c>
      <c r="AD129" s="220">
        <f t="shared" si="82"/>
        <v>5284048.6867269371</v>
      </c>
      <c r="AF129" s="220">
        <f t="shared" si="83"/>
        <v>67365697.742863104</v>
      </c>
      <c r="AH129" s="220">
        <f t="shared" si="84"/>
        <v>19791590.848630331</v>
      </c>
      <c r="AJ129" s="220">
        <f t="shared" si="76"/>
        <v>2169752.2816902371</v>
      </c>
      <c r="AK129" s="220">
        <f t="shared" si="76"/>
        <v>1699796.9809639475</v>
      </c>
      <c r="AM129" s="220">
        <f t="shared" si="85"/>
        <v>7370686.1408895431</v>
      </c>
      <c r="AO129" s="220">
        <f t="shared" si="86"/>
        <v>54338498.181627035</v>
      </c>
      <c r="AQ129" s="220">
        <f t="shared" si="87"/>
        <v>18131862.513020322</v>
      </c>
      <c r="AS129" s="220">
        <f t="shared" si="88"/>
        <v>17991742.914278176</v>
      </c>
      <c r="AU129" s="220">
        <f t="shared" si="89"/>
        <v>26672518.472177554</v>
      </c>
      <c r="AW129" s="220">
        <f t="shared" si="90"/>
        <v>7125956.6398697989</v>
      </c>
      <c r="AY129" s="220">
        <f t="shared" si="91"/>
        <v>27110009.121022962</v>
      </c>
      <c r="BA129" s="220">
        <f t="shared" si="92"/>
        <v>6192907.9097669087</v>
      </c>
      <c r="BC129" s="220">
        <f t="shared" si="77"/>
        <v>31731707.504743442</v>
      </c>
      <c r="BD129" s="220">
        <f t="shared" si="77"/>
        <v>240253723.90780911</v>
      </c>
    </row>
    <row r="130" spans="1:56" x14ac:dyDescent="0.2">
      <c r="A130" s="334"/>
      <c r="B130" s="348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U130" s="23">
        <v>2041</v>
      </c>
      <c r="V130" s="220">
        <f t="shared" si="78"/>
        <v>14883845.977350831</v>
      </c>
      <c r="X130" s="220">
        <f t="shared" si="79"/>
        <v>13599367.599868847</v>
      </c>
      <c r="Z130" s="220">
        <f t="shared" si="80"/>
        <v>2205017.5509026297</v>
      </c>
      <c r="AB130" s="220">
        <f t="shared" si="81"/>
        <v>831854.23458623153</v>
      </c>
      <c r="AD130" s="220">
        <f t="shared" si="82"/>
        <v>5213042.000755419</v>
      </c>
      <c r="AF130" s="220">
        <f t="shared" si="83"/>
        <v>67467104.838878497</v>
      </c>
      <c r="AH130" s="220">
        <f t="shared" si="84"/>
        <v>19983280.309044119</v>
      </c>
      <c r="AJ130" s="220">
        <f t="shared" si="76"/>
        <v>2185951.3297835561</v>
      </c>
      <c r="AK130" s="220">
        <f t="shared" si="76"/>
        <v>1714099.2280033585</v>
      </c>
      <c r="AM130" s="220">
        <f t="shared" si="85"/>
        <v>7467087.5992169622</v>
      </c>
      <c r="AO130" s="220">
        <f t="shared" si="86"/>
        <v>54438503.408014446</v>
      </c>
      <c r="AQ130" s="220">
        <f t="shared" si="87"/>
        <v>18284659.370140951</v>
      </c>
      <c r="AS130" s="220">
        <f t="shared" si="88"/>
        <v>18170322.0714042</v>
      </c>
      <c r="AU130" s="220">
        <f t="shared" si="89"/>
        <v>26884019.661640607</v>
      </c>
      <c r="AW130" s="220">
        <f t="shared" si="90"/>
        <v>7140756.7390208365</v>
      </c>
      <c r="AY130" s="220">
        <f t="shared" si="91"/>
        <v>27511845.143620554</v>
      </c>
      <c r="BA130" s="220">
        <f t="shared" si="92"/>
        <v>6201032.5710487058</v>
      </c>
      <c r="BC130" s="220">
        <f t="shared" si="77"/>
        <v>31868831.725156907</v>
      </c>
      <c r="BD130" s="220">
        <f t="shared" si="77"/>
        <v>245057314.56322327</v>
      </c>
    </row>
    <row r="131" spans="1:56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U131" s="23">
        <v>2042</v>
      </c>
      <c r="V131" s="220">
        <f t="shared" si="78"/>
        <v>14758506.785250273</v>
      </c>
      <c r="X131" s="220">
        <f t="shared" si="79"/>
        <v>13776142.890440252</v>
      </c>
      <c r="Z131" s="220">
        <f t="shared" si="80"/>
        <v>2238412.9029496619</v>
      </c>
      <c r="AB131" s="220">
        <f t="shared" si="81"/>
        <v>804225.04382882337</v>
      </c>
      <c r="AD131" s="220">
        <f t="shared" si="82"/>
        <v>5142989.4977885587</v>
      </c>
      <c r="AF131" s="220">
        <f t="shared" si="83"/>
        <v>67568664.58527036</v>
      </c>
      <c r="AH131" s="220">
        <f t="shared" si="84"/>
        <v>20176826.358426157</v>
      </c>
      <c r="AJ131" s="220">
        <f t="shared" si="76"/>
        <v>2202271.3175626374</v>
      </c>
      <c r="AK131" s="220">
        <f t="shared" si="76"/>
        <v>1728521.8154555757</v>
      </c>
      <c r="AM131" s="220">
        <f t="shared" si="85"/>
        <v>7564749.8955437224</v>
      </c>
      <c r="AO131" s="220">
        <f t="shared" si="86"/>
        <v>54538692.685224749</v>
      </c>
      <c r="AQ131" s="220">
        <f t="shared" si="87"/>
        <v>18438743.843441617</v>
      </c>
      <c r="AS131" s="220">
        <f t="shared" si="88"/>
        <v>18350673.736925423</v>
      </c>
      <c r="AU131" s="220">
        <f t="shared" si="89"/>
        <v>27097197.961316966</v>
      </c>
      <c r="AW131" s="220">
        <f t="shared" si="90"/>
        <v>7155587.5769127831</v>
      </c>
      <c r="AY131" s="220">
        <f t="shared" si="91"/>
        <v>27919637.34971983</v>
      </c>
      <c r="BA131" s="220">
        <f t="shared" si="92"/>
        <v>6209167.8913168637</v>
      </c>
      <c r="BC131" s="220">
        <f t="shared" si="77"/>
        <v>32006548.509075541</v>
      </c>
      <c r="BD131" s="220">
        <f t="shared" si="77"/>
        <v>249956947.36445507</v>
      </c>
    </row>
    <row r="132" spans="1:56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U132" s="23">
        <v>2043</v>
      </c>
      <c r="V132" s="220">
        <f t="shared" si="78"/>
        <v>14634223.094066637</v>
      </c>
      <c r="X132" s="220">
        <f t="shared" si="79"/>
        <v>13955216.045462126</v>
      </c>
      <c r="Z132" s="220">
        <f t="shared" si="80"/>
        <v>2272314.0330744646</v>
      </c>
      <c r="AB132" s="220">
        <f t="shared" si="81"/>
        <v>777513.52848877839</v>
      </c>
      <c r="AD132" s="220">
        <f t="shared" si="82"/>
        <v>5073878.3555801976</v>
      </c>
      <c r="AF132" s="220">
        <f t="shared" si="83"/>
        <v>67670377.211826742</v>
      </c>
      <c r="AH132" s="220">
        <f t="shared" si="84"/>
        <v>20372246.978581969</v>
      </c>
      <c r="AJ132" s="220">
        <f t="shared" si="76"/>
        <v>2218713.1479452024</v>
      </c>
      <c r="AK132" s="220">
        <f t="shared" si="76"/>
        <v>1743065.7558758236</v>
      </c>
      <c r="AM132" s="220">
        <f t="shared" si="85"/>
        <v>7663689.520413517</v>
      </c>
      <c r="AO132" s="220">
        <f t="shared" si="86"/>
        <v>54639066.351987287</v>
      </c>
      <c r="AQ132" s="220">
        <f t="shared" si="87"/>
        <v>18594126.783639133</v>
      </c>
      <c r="AS132" s="220">
        <f t="shared" si="88"/>
        <v>18532815.504082073</v>
      </c>
      <c r="AU132" s="220">
        <f t="shared" si="89"/>
        <v>27312066.669943504</v>
      </c>
      <c r="AW132" s="220">
        <f t="shared" si="90"/>
        <v>7170449.2173877917</v>
      </c>
      <c r="AY132" s="220">
        <f t="shared" si="91"/>
        <v>28333474.024392083</v>
      </c>
      <c r="BA132" s="220">
        <f t="shared" si="92"/>
        <v>6217313.8845552262</v>
      </c>
      <c r="BC132" s="220">
        <f t="shared" si="77"/>
        <v>32144860.417181231</v>
      </c>
      <c r="BD132" s="220">
        <f t="shared" si="77"/>
        <v>254954542.56125829</v>
      </c>
    </row>
    <row r="133" spans="1:56" x14ac:dyDescent="0.2">
      <c r="A133" s="30"/>
      <c r="B133" s="30"/>
    </row>
  </sheetData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tabSelected="1" workbookViewId="0"/>
  </sheetViews>
  <sheetFormatPr defaultRowHeight="12.75" x14ac:dyDescent="0.2"/>
  <cols>
    <col min="1" max="14" width="8.7109375" style="1" customWidth="1"/>
  </cols>
  <sheetData>
    <row r="1" spans="1:17" x14ac:dyDescent="0.2">
      <c r="A1" s="22" t="s">
        <v>15</v>
      </c>
      <c r="B1" s="22" t="s">
        <v>18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10</v>
      </c>
      <c r="I1" s="3" t="s">
        <v>11</v>
      </c>
      <c r="J1" s="3" t="s">
        <v>12</v>
      </c>
      <c r="K1" s="3" t="s">
        <v>100</v>
      </c>
      <c r="L1" s="3" t="s">
        <v>174</v>
      </c>
      <c r="M1" s="3" t="s">
        <v>13</v>
      </c>
      <c r="N1" s="3" t="s">
        <v>14</v>
      </c>
    </row>
    <row r="2" spans="1:17" s="2" customFormat="1" x14ac:dyDescent="0.2">
      <c r="A2" s="56">
        <v>2001</v>
      </c>
      <c r="B2" s="57">
        <v>1</v>
      </c>
      <c r="C2" s="58">
        <v>0.1015625</v>
      </c>
      <c r="D2" s="58">
        <f>1/12</f>
        <v>8.3333333333333329E-2</v>
      </c>
      <c r="E2" s="58">
        <v>7.5709779179810713E-2</v>
      </c>
      <c r="F2" s="58">
        <v>7.5709779179810713E-2</v>
      </c>
      <c r="G2" s="58">
        <v>7.8171091445427721E-2</v>
      </c>
      <c r="H2" s="58">
        <f>1/12</f>
        <v>8.3333333333333329E-2</v>
      </c>
      <c r="I2" s="58">
        <f>1/12</f>
        <v>8.3333333333333329E-2</v>
      </c>
      <c r="J2" s="58">
        <f>1/12</f>
        <v>8.3333333333333329E-2</v>
      </c>
      <c r="K2" s="58">
        <f t="shared" ref="K2:K13" si="0">1/12</f>
        <v>8.3333333333333329E-2</v>
      </c>
      <c r="L2" s="58">
        <v>0.22752497225305215</v>
      </c>
      <c r="M2" s="58">
        <v>9.8182753897774241E-2</v>
      </c>
      <c r="N2" s="58">
        <f t="shared" ref="N2:N13" si="1">1/12</f>
        <v>8.3333333333333329E-2</v>
      </c>
      <c r="P2" s="352"/>
      <c r="Q2" s="138"/>
    </row>
    <row r="3" spans="1:17" x14ac:dyDescent="0.2">
      <c r="A3" s="56">
        <v>2001</v>
      </c>
      <c r="B3" s="57">
        <v>2</v>
      </c>
      <c r="C3" s="58">
        <v>9.765625E-2</v>
      </c>
      <c r="D3" s="58">
        <f t="shared" ref="D3:D13" si="2">1/12</f>
        <v>8.3333333333333329E-2</v>
      </c>
      <c r="E3" s="58">
        <v>7.7812828601472123E-2</v>
      </c>
      <c r="F3" s="58">
        <v>7.7812828601472123E-2</v>
      </c>
      <c r="G3" s="58">
        <v>7.8171091445427721E-2</v>
      </c>
      <c r="H3" s="58">
        <f t="shared" ref="H3:J13" si="3">1/12</f>
        <v>8.3333333333333329E-2</v>
      </c>
      <c r="I3" s="58">
        <f t="shared" si="3"/>
        <v>8.3333333333333329E-2</v>
      </c>
      <c r="J3" s="58">
        <f t="shared" si="3"/>
        <v>8.3333333333333329E-2</v>
      </c>
      <c r="K3" s="58">
        <f t="shared" si="0"/>
        <v>8.3333333333333329E-2</v>
      </c>
      <c r="L3" s="58">
        <v>0.17286348501664817</v>
      </c>
      <c r="M3" s="58">
        <v>9.4422296773449807E-2</v>
      </c>
      <c r="N3" s="58">
        <f t="shared" si="1"/>
        <v>8.3333333333333329E-2</v>
      </c>
      <c r="P3" s="352"/>
      <c r="Q3" s="138"/>
    </row>
    <row r="4" spans="1:17" x14ac:dyDescent="0.2">
      <c r="A4" s="56">
        <v>2001</v>
      </c>
      <c r="B4" s="57">
        <v>3</v>
      </c>
      <c r="C4" s="58">
        <v>9.375E-2</v>
      </c>
      <c r="D4" s="58">
        <f t="shared" si="2"/>
        <v>8.3333333333333329E-2</v>
      </c>
      <c r="E4" s="58">
        <v>7.8864353312302821E-2</v>
      </c>
      <c r="F4" s="58">
        <v>7.8864353312302821E-2</v>
      </c>
      <c r="G4" s="58">
        <v>7.9646017699115029E-2</v>
      </c>
      <c r="H4" s="58">
        <f t="shared" si="3"/>
        <v>8.3333333333333329E-2</v>
      </c>
      <c r="I4" s="58">
        <f t="shared" si="3"/>
        <v>8.3333333333333329E-2</v>
      </c>
      <c r="J4" s="58">
        <f t="shared" si="3"/>
        <v>8.3333333333333329E-2</v>
      </c>
      <c r="K4" s="58">
        <f t="shared" si="0"/>
        <v>8.3333333333333329E-2</v>
      </c>
      <c r="L4" s="58">
        <v>0.12541620421753608</v>
      </c>
      <c r="M4" s="58">
        <v>9.0621776199670406E-2</v>
      </c>
      <c r="N4" s="58">
        <f t="shared" si="1"/>
        <v>8.3333333333333329E-2</v>
      </c>
      <c r="P4" s="352"/>
      <c r="Q4" s="138"/>
    </row>
    <row r="5" spans="1:17" x14ac:dyDescent="0.2">
      <c r="A5" s="56">
        <v>2001</v>
      </c>
      <c r="B5" s="57">
        <v>4</v>
      </c>
      <c r="C5" s="58">
        <v>8.59375E-2</v>
      </c>
      <c r="D5" s="58">
        <f t="shared" si="2"/>
        <v>8.3333333333333329E-2</v>
      </c>
      <c r="E5" s="58">
        <v>7.9915878023133546E-2</v>
      </c>
      <c r="F5" s="58">
        <v>7.9915878023133546E-2</v>
      </c>
      <c r="G5" s="58">
        <v>8.1120943952802352E-2</v>
      </c>
      <c r="H5" s="58">
        <f t="shared" si="3"/>
        <v>8.3333333333333329E-2</v>
      </c>
      <c r="I5" s="58">
        <f t="shared" si="3"/>
        <v>8.3333333333333329E-2</v>
      </c>
      <c r="J5" s="58">
        <f t="shared" si="3"/>
        <v>8.3333333333333329E-2</v>
      </c>
      <c r="K5" s="58">
        <f t="shared" si="0"/>
        <v>8.3333333333333329E-2</v>
      </c>
      <c r="L5" s="58">
        <v>5.9933407325194227E-2</v>
      </c>
      <c r="M5" s="58">
        <v>8.5759184176289791E-2</v>
      </c>
      <c r="N5" s="58">
        <f t="shared" si="1"/>
        <v>8.3333333333333329E-2</v>
      </c>
      <c r="P5" s="352"/>
      <c r="Q5" s="138"/>
    </row>
    <row r="6" spans="1:17" x14ac:dyDescent="0.2">
      <c r="A6" s="56">
        <v>2001</v>
      </c>
      <c r="B6" s="57">
        <v>5</v>
      </c>
      <c r="C6" s="58">
        <v>8.203125E-2</v>
      </c>
      <c r="D6" s="58">
        <f t="shared" si="2"/>
        <v>8.3333333333333329E-2</v>
      </c>
      <c r="E6" s="58">
        <v>8.4121976866456366E-2</v>
      </c>
      <c r="F6" s="58">
        <v>8.4121976866456366E-2</v>
      </c>
      <c r="G6" s="58">
        <v>8.259587020648966E-2</v>
      </c>
      <c r="H6" s="58">
        <f t="shared" si="3"/>
        <v>8.3333333333333329E-2</v>
      </c>
      <c r="I6" s="58">
        <f t="shared" si="3"/>
        <v>8.3333333333333329E-2</v>
      </c>
      <c r="J6" s="58">
        <f t="shared" si="3"/>
        <v>8.3333333333333329E-2</v>
      </c>
      <c r="K6" s="58">
        <f t="shared" si="0"/>
        <v>8.3333333333333329E-2</v>
      </c>
      <c r="L6" s="58">
        <v>2.1087680355160933E-2</v>
      </c>
      <c r="M6" s="58">
        <v>7.8758507816662299E-2</v>
      </c>
      <c r="N6" s="58">
        <f t="shared" si="1"/>
        <v>8.3333333333333329E-2</v>
      </c>
      <c r="P6" s="352"/>
      <c r="Q6" s="138"/>
    </row>
    <row r="7" spans="1:17" x14ac:dyDescent="0.2">
      <c r="A7" s="56">
        <v>2001</v>
      </c>
      <c r="B7" s="57">
        <v>6</v>
      </c>
      <c r="C7" s="58">
        <v>7.8125E-2</v>
      </c>
      <c r="D7" s="58">
        <f t="shared" si="2"/>
        <v>8.3333333333333329E-2</v>
      </c>
      <c r="E7" s="58">
        <v>9.0431125131440568E-2</v>
      </c>
      <c r="F7" s="58">
        <v>9.0431125131440568E-2</v>
      </c>
      <c r="G7" s="58">
        <v>8.7020648967551628E-2</v>
      </c>
      <c r="H7" s="58">
        <f t="shared" si="3"/>
        <v>8.3333333333333329E-2</v>
      </c>
      <c r="I7" s="58">
        <f t="shared" si="3"/>
        <v>8.3333333333333329E-2</v>
      </c>
      <c r="J7" s="58">
        <f t="shared" si="3"/>
        <v>8.3333333333333329E-2</v>
      </c>
      <c r="K7" s="58">
        <f t="shared" si="0"/>
        <v>8.3333333333333329E-2</v>
      </c>
      <c r="L7" s="58">
        <v>1.9422863485016649E-3</v>
      </c>
      <c r="M7" s="58">
        <v>7.0474300891255795E-2</v>
      </c>
      <c r="N7" s="58">
        <f t="shared" si="1"/>
        <v>8.3333333333333329E-2</v>
      </c>
      <c r="P7" s="352"/>
      <c r="Q7" s="138"/>
    </row>
    <row r="8" spans="1:17" x14ac:dyDescent="0.2">
      <c r="A8" s="56">
        <v>2001</v>
      </c>
      <c r="B8" s="57">
        <v>7</v>
      </c>
      <c r="C8" s="58">
        <v>6.640625E-2</v>
      </c>
      <c r="D8" s="58">
        <f t="shared" si="2"/>
        <v>8.3333333333333329E-2</v>
      </c>
      <c r="E8" s="58">
        <v>9.2534174553102019E-2</v>
      </c>
      <c r="F8" s="58">
        <v>9.2534174553102019E-2</v>
      </c>
      <c r="G8" s="58">
        <v>9.4395280235988185E-2</v>
      </c>
      <c r="H8" s="58">
        <f t="shared" si="3"/>
        <v>8.3333333333333329E-2</v>
      </c>
      <c r="I8" s="58">
        <f t="shared" si="3"/>
        <v>8.3333333333333329E-2</v>
      </c>
      <c r="J8" s="58">
        <f t="shared" si="3"/>
        <v>8.3333333333333329E-2</v>
      </c>
      <c r="K8" s="58">
        <f t="shared" si="0"/>
        <v>8.3333333333333329E-2</v>
      </c>
      <c r="L8" s="58">
        <v>0</v>
      </c>
      <c r="M8" s="58">
        <v>6.7537871687453455E-2</v>
      </c>
      <c r="N8" s="58">
        <f t="shared" si="1"/>
        <v>8.3333333333333329E-2</v>
      </c>
      <c r="P8" s="352"/>
      <c r="Q8" s="138"/>
    </row>
    <row r="9" spans="1:17" s="2" customFormat="1" x14ac:dyDescent="0.2">
      <c r="A9" s="56">
        <v>2001</v>
      </c>
      <c r="B9" s="57">
        <v>8</v>
      </c>
      <c r="C9" s="58">
        <v>6.25E-2</v>
      </c>
      <c r="D9" s="58">
        <f t="shared" si="2"/>
        <v>8.3333333333333329E-2</v>
      </c>
      <c r="E9" s="58">
        <v>9.2534174553101992E-2</v>
      </c>
      <c r="F9" s="58">
        <v>9.2534174553101992E-2</v>
      </c>
      <c r="G9" s="58">
        <v>9.4395280235988185E-2</v>
      </c>
      <c r="H9" s="58">
        <f t="shared" si="3"/>
        <v>8.3333333333333329E-2</v>
      </c>
      <c r="I9" s="58">
        <f t="shared" si="3"/>
        <v>8.3333333333333329E-2</v>
      </c>
      <c r="J9" s="58">
        <f t="shared" si="3"/>
        <v>8.3333333333333329E-2</v>
      </c>
      <c r="K9" s="58">
        <f t="shared" si="0"/>
        <v>8.3333333333333329E-2</v>
      </c>
      <c r="L9" s="58">
        <v>2.7746947835738069E-4</v>
      </c>
      <c r="M9" s="58">
        <v>7.0007562503699813E-2</v>
      </c>
      <c r="N9" s="58">
        <f t="shared" si="1"/>
        <v>8.3333333333333329E-2</v>
      </c>
      <c r="P9" s="352"/>
      <c r="Q9" s="138"/>
    </row>
    <row r="10" spans="1:17" x14ac:dyDescent="0.2">
      <c r="A10" s="56">
        <v>2001</v>
      </c>
      <c r="B10" s="57">
        <v>9</v>
      </c>
      <c r="C10" s="58">
        <v>7.03125E-2</v>
      </c>
      <c r="D10" s="58">
        <f t="shared" si="2"/>
        <v>8.3333333333333329E-2</v>
      </c>
      <c r="E10" s="58">
        <v>8.6225026288117762E-2</v>
      </c>
      <c r="F10" s="58">
        <v>8.6225026288117762E-2</v>
      </c>
      <c r="G10" s="58">
        <v>8.5545722713864278E-2</v>
      </c>
      <c r="H10" s="58">
        <f t="shared" si="3"/>
        <v>8.3333333333333329E-2</v>
      </c>
      <c r="I10" s="58">
        <f t="shared" si="3"/>
        <v>8.3333333333333329E-2</v>
      </c>
      <c r="J10" s="58">
        <f t="shared" si="3"/>
        <v>8.3333333333333329E-2</v>
      </c>
      <c r="K10" s="58">
        <f t="shared" si="0"/>
        <v>8.3333333333333329E-2</v>
      </c>
      <c r="L10" s="58">
        <v>8.8790233074361822E-3</v>
      </c>
      <c r="M10" s="58">
        <v>7.5335892792489145E-2</v>
      </c>
      <c r="N10" s="58">
        <f t="shared" si="1"/>
        <v>8.3333333333333329E-2</v>
      </c>
      <c r="P10" s="352"/>
      <c r="Q10" s="138"/>
    </row>
    <row r="11" spans="1:17" x14ac:dyDescent="0.2">
      <c r="A11" s="56">
        <v>2001</v>
      </c>
      <c r="B11" s="57">
        <v>10</v>
      </c>
      <c r="C11" s="58">
        <v>7.8125E-2</v>
      </c>
      <c r="D11" s="58">
        <f t="shared" si="2"/>
        <v>8.3333333333333329E-2</v>
      </c>
      <c r="E11" s="58">
        <v>8.4121976866456352E-2</v>
      </c>
      <c r="F11" s="58">
        <v>8.4121976866456352E-2</v>
      </c>
      <c r="G11" s="58">
        <v>8.1120943952802352E-2</v>
      </c>
      <c r="H11" s="58">
        <f t="shared" si="3"/>
        <v>8.3333333333333329E-2</v>
      </c>
      <c r="I11" s="58">
        <f t="shared" si="3"/>
        <v>8.3333333333333329E-2</v>
      </c>
      <c r="J11" s="58">
        <f t="shared" si="3"/>
        <v>8.3333333333333329E-2</v>
      </c>
      <c r="K11" s="58">
        <f t="shared" si="0"/>
        <v>8.3333333333333329E-2</v>
      </c>
      <c r="L11" s="58">
        <v>5.9100998890122089E-2</v>
      </c>
      <c r="M11" s="58">
        <v>8.2900544703746845E-2</v>
      </c>
      <c r="N11" s="58">
        <f t="shared" si="1"/>
        <v>8.3333333333333329E-2</v>
      </c>
      <c r="P11" s="352"/>
      <c r="Q11" s="138"/>
    </row>
    <row r="12" spans="1:17" s="2" customFormat="1" x14ac:dyDescent="0.2">
      <c r="A12" s="56">
        <v>2001</v>
      </c>
      <c r="B12" s="57">
        <v>11</v>
      </c>
      <c r="C12" s="58">
        <v>8.59375E-2</v>
      </c>
      <c r="D12" s="58">
        <f t="shared" si="2"/>
        <v>8.3333333333333329E-2</v>
      </c>
      <c r="E12" s="58">
        <v>7.9915878023133533E-2</v>
      </c>
      <c r="F12" s="58">
        <v>7.9915878023133533E-2</v>
      </c>
      <c r="G12" s="58">
        <v>7.9646017699115015E-2</v>
      </c>
      <c r="H12" s="58">
        <f t="shared" si="3"/>
        <v>8.3333333333333329E-2</v>
      </c>
      <c r="I12" s="58">
        <f t="shared" si="3"/>
        <v>8.3333333333333329E-2</v>
      </c>
      <c r="J12" s="58">
        <f t="shared" si="3"/>
        <v>8.3333333333333329E-2</v>
      </c>
      <c r="K12" s="58">
        <f t="shared" si="0"/>
        <v>8.3333333333333329E-2</v>
      </c>
      <c r="L12" s="58">
        <v>0.12458379578246392</v>
      </c>
      <c r="M12" s="58">
        <v>9.0621776199670406E-2</v>
      </c>
      <c r="N12" s="58">
        <f t="shared" si="1"/>
        <v>8.3333333333333329E-2</v>
      </c>
      <c r="P12" s="352"/>
      <c r="Q12" s="138"/>
    </row>
    <row r="13" spans="1:17" x14ac:dyDescent="0.2">
      <c r="A13" s="56">
        <v>2001</v>
      </c>
      <c r="B13" s="57">
        <v>12</v>
      </c>
      <c r="C13" s="58">
        <v>9.765625E-2</v>
      </c>
      <c r="D13" s="58">
        <f t="shared" si="2"/>
        <v>8.3333333333333329E-2</v>
      </c>
      <c r="E13" s="58">
        <v>7.7812828601472123E-2</v>
      </c>
      <c r="F13" s="58">
        <v>7.7812828601472123E-2</v>
      </c>
      <c r="G13" s="58">
        <v>7.8171091445427721E-2</v>
      </c>
      <c r="H13" s="58">
        <f t="shared" si="3"/>
        <v>8.3333333333333329E-2</v>
      </c>
      <c r="I13" s="58">
        <f t="shared" si="3"/>
        <v>8.3333333333333329E-2</v>
      </c>
      <c r="J13" s="58">
        <f t="shared" si="3"/>
        <v>8.3333333333333329E-2</v>
      </c>
      <c r="K13" s="58">
        <f t="shared" si="0"/>
        <v>8.3333333333333329E-2</v>
      </c>
      <c r="L13" s="58">
        <v>0.19839067702552718</v>
      </c>
      <c r="M13" s="58">
        <v>9.5377532357837844E-2</v>
      </c>
      <c r="N13" s="58">
        <f t="shared" si="1"/>
        <v>8.3333333333333329E-2</v>
      </c>
      <c r="P13" s="352"/>
      <c r="Q13" s="138"/>
    </row>
  </sheetData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7"/>
  <sheetViews>
    <sheetView workbookViewId="0">
      <selection activeCell="D27" sqref="D27"/>
    </sheetView>
  </sheetViews>
  <sheetFormatPr defaultRowHeight="12.75" x14ac:dyDescent="0.2"/>
  <cols>
    <col min="1" max="1" width="25.140625" style="170" bestFit="1" customWidth="1"/>
    <col min="2" max="2" width="12" style="170" bestFit="1" customWidth="1"/>
    <col min="3" max="3" width="16.7109375" style="170" bestFit="1" customWidth="1"/>
    <col min="4" max="4" width="20.5703125" style="170" bestFit="1" customWidth="1"/>
    <col min="5" max="16384" width="9.140625" style="170"/>
  </cols>
  <sheetData>
    <row r="3" spans="1:7" x14ac:dyDescent="0.2">
      <c r="A3" s="259" t="s">
        <v>222</v>
      </c>
      <c r="C3"/>
      <c r="D3"/>
      <c r="E3"/>
      <c r="F3"/>
      <c r="G3"/>
    </row>
    <row r="4" spans="1:7" x14ac:dyDescent="0.2">
      <c r="A4" s="259" t="s">
        <v>15</v>
      </c>
      <c r="B4" s="170" t="s">
        <v>193</v>
      </c>
      <c r="C4"/>
      <c r="D4"/>
      <c r="E4"/>
      <c r="F4"/>
      <c r="G4"/>
    </row>
    <row r="5" spans="1:7" x14ac:dyDescent="0.2">
      <c r="A5" s="170">
        <v>2013</v>
      </c>
      <c r="B5" s="260">
        <v>8.6765936468828091</v>
      </c>
      <c r="C5"/>
      <c r="D5"/>
      <c r="E5"/>
      <c r="F5"/>
      <c r="G5"/>
    </row>
    <row r="6" spans="1:7" x14ac:dyDescent="0.2">
      <c r="A6" s="170">
        <v>2014</v>
      </c>
      <c r="B6" s="260">
        <v>9.0210113707989308</v>
      </c>
      <c r="C6" s="262">
        <f t="shared" ref="C6:C13" si="0">B6/B5-1</f>
        <v>3.9695039082515926E-2</v>
      </c>
      <c r="D6"/>
      <c r="E6"/>
      <c r="F6"/>
      <c r="G6"/>
    </row>
    <row r="7" spans="1:7" x14ac:dyDescent="0.2">
      <c r="A7" s="170">
        <v>2015</v>
      </c>
      <c r="B7" s="260">
        <v>9.7932922253285817</v>
      </c>
      <c r="C7" s="262">
        <f t="shared" si="0"/>
        <v>8.5609121060364668E-2</v>
      </c>
      <c r="D7"/>
      <c r="E7"/>
      <c r="F7"/>
      <c r="G7"/>
    </row>
    <row r="8" spans="1:7" x14ac:dyDescent="0.2">
      <c r="A8" s="170">
        <v>2016</v>
      </c>
      <c r="B8" s="260">
        <v>10.128431840664001</v>
      </c>
      <c r="C8" s="262">
        <f t="shared" si="0"/>
        <v>3.4221343305639529E-2</v>
      </c>
      <c r="D8"/>
      <c r="E8"/>
      <c r="F8"/>
      <c r="G8"/>
    </row>
    <row r="9" spans="1:7" x14ac:dyDescent="0.2">
      <c r="A9" s="170">
        <v>2017</v>
      </c>
      <c r="B9" s="260">
        <v>10.723215042791901</v>
      </c>
      <c r="C9" s="262">
        <f t="shared" si="0"/>
        <v>5.8724115587167391E-2</v>
      </c>
      <c r="D9"/>
      <c r="E9"/>
      <c r="F9"/>
      <c r="G9"/>
    </row>
    <row r="10" spans="1:7" x14ac:dyDescent="0.2">
      <c r="A10" s="170">
        <v>2018</v>
      </c>
      <c r="B10" s="260">
        <v>10.937679343647739</v>
      </c>
      <c r="C10" s="262">
        <f t="shared" si="0"/>
        <v>2.0000000000000018E-2</v>
      </c>
      <c r="D10"/>
      <c r="E10"/>
      <c r="F10"/>
      <c r="G10"/>
    </row>
    <row r="11" spans="1:7" x14ac:dyDescent="0.2">
      <c r="A11" s="170">
        <v>2019</v>
      </c>
      <c r="B11" s="260">
        <v>11.156432930520692</v>
      </c>
      <c r="C11" s="262">
        <f t="shared" si="0"/>
        <v>1.9999999999999796E-2</v>
      </c>
      <c r="D11"/>
      <c r="E11"/>
      <c r="F11"/>
      <c r="G11"/>
    </row>
    <row r="12" spans="1:7" x14ac:dyDescent="0.2">
      <c r="A12" s="170">
        <v>2020</v>
      </c>
      <c r="B12" s="260">
        <v>11.379561589131102</v>
      </c>
      <c r="C12" s="262">
        <f t="shared" si="0"/>
        <v>1.9999999999999574E-2</v>
      </c>
      <c r="D12"/>
      <c r="E12"/>
      <c r="F12"/>
      <c r="G12"/>
    </row>
    <row r="13" spans="1:7" x14ac:dyDescent="0.2">
      <c r="A13" s="170">
        <v>2021</v>
      </c>
      <c r="B13" s="260">
        <v>11.607152820913727</v>
      </c>
      <c r="C13" s="262">
        <f t="shared" si="0"/>
        <v>2.000000000000024E-2</v>
      </c>
      <c r="D13"/>
      <c r="E13"/>
      <c r="F13"/>
      <c r="G13"/>
    </row>
    <row r="14" spans="1:7" x14ac:dyDescent="0.2">
      <c r="A14" s="170">
        <v>2022</v>
      </c>
      <c r="B14" s="260">
        <v>11.839295877332004</v>
      </c>
      <c r="C14" s="262">
        <f>B14/B13-1</f>
        <v>2.000000000000024E-2</v>
      </c>
      <c r="D14"/>
      <c r="E14"/>
      <c r="F14"/>
      <c r="G14"/>
    </row>
    <row r="15" spans="1:7" x14ac:dyDescent="0.2">
      <c r="A15" s="170" t="s">
        <v>194</v>
      </c>
      <c r="B15" s="260">
        <v>10.526266668801153</v>
      </c>
      <c r="C15"/>
      <c r="D15"/>
      <c r="E15"/>
      <c r="F15"/>
      <c r="G15"/>
    </row>
    <row r="16" spans="1:7" x14ac:dyDescent="0.2">
      <c r="A16"/>
      <c r="B16"/>
      <c r="C16"/>
      <c r="D16"/>
      <c r="E16"/>
      <c r="F16"/>
      <c r="G16"/>
    </row>
    <row r="17" spans="1:7" x14ac:dyDescent="0.2">
      <c r="A17"/>
      <c r="B17"/>
      <c r="C17"/>
      <c r="D17"/>
      <c r="E17"/>
      <c r="F17"/>
      <c r="G17"/>
    </row>
    <row r="18" spans="1:7" x14ac:dyDescent="0.2">
      <c r="A18"/>
      <c r="B18"/>
      <c r="C18"/>
      <c r="D18"/>
      <c r="E18"/>
      <c r="F18"/>
      <c r="G18"/>
    </row>
    <row r="19" spans="1:7" x14ac:dyDescent="0.2">
      <c r="A19"/>
      <c r="B19"/>
      <c r="C19"/>
      <c r="D19"/>
      <c r="E19"/>
      <c r="F19"/>
      <c r="G19"/>
    </row>
    <row r="20" spans="1:7" x14ac:dyDescent="0.2">
      <c r="A20"/>
      <c r="B20"/>
      <c r="C20"/>
      <c r="D20"/>
      <c r="E20"/>
      <c r="F20"/>
      <c r="G20"/>
    </row>
    <row r="21" spans="1:7" x14ac:dyDescent="0.2">
      <c r="A21"/>
      <c r="B21"/>
      <c r="C21"/>
      <c r="D21"/>
      <c r="E21"/>
      <c r="F21"/>
      <c r="G21"/>
    </row>
    <row r="22" spans="1:7" x14ac:dyDescent="0.2">
      <c r="A22"/>
      <c r="B22"/>
      <c r="C22"/>
      <c r="D22"/>
      <c r="E22"/>
      <c r="F22"/>
      <c r="G22"/>
    </row>
    <row r="23" spans="1:7" x14ac:dyDescent="0.2">
      <c r="A23"/>
      <c r="B23"/>
      <c r="C23"/>
      <c r="D23"/>
      <c r="E23"/>
      <c r="F23"/>
      <c r="G23"/>
    </row>
    <row r="24" spans="1:7" x14ac:dyDescent="0.2">
      <c r="A24"/>
      <c r="B24"/>
      <c r="C24"/>
      <c r="D24"/>
      <c r="E24"/>
      <c r="F24"/>
      <c r="G24"/>
    </row>
    <row r="25" spans="1:7" x14ac:dyDescent="0.2">
      <c r="A25"/>
      <c r="B25"/>
      <c r="C25"/>
      <c r="D25"/>
      <c r="E25"/>
      <c r="F25"/>
      <c r="G25"/>
    </row>
    <row r="26" spans="1:7" x14ac:dyDescent="0.2">
      <c r="A26"/>
      <c r="B26"/>
      <c r="C26"/>
      <c r="D26"/>
      <c r="E26"/>
      <c r="F26"/>
      <c r="G26"/>
    </row>
    <row r="27" spans="1:7" x14ac:dyDescent="0.2">
      <c r="A27"/>
      <c r="B27"/>
      <c r="C27"/>
      <c r="D27"/>
      <c r="E27"/>
      <c r="F27"/>
      <c r="G27"/>
    </row>
    <row r="28" spans="1:7" x14ac:dyDescent="0.2">
      <c r="A28"/>
      <c r="B28"/>
      <c r="C28"/>
      <c r="D28"/>
      <c r="E28"/>
      <c r="F28"/>
      <c r="G28"/>
    </row>
    <row r="29" spans="1:7" x14ac:dyDescent="0.2">
      <c r="A29"/>
      <c r="B29"/>
      <c r="C29"/>
      <c r="D29"/>
      <c r="E29"/>
      <c r="F29"/>
      <c r="G29"/>
    </row>
    <row r="30" spans="1:7" x14ac:dyDescent="0.2">
      <c r="A30"/>
      <c r="B30"/>
      <c r="C30"/>
      <c r="D30"/>
      <c r="E30"/>
      <c r="F30"/>
      <c r="G30"/>
    </row>
    <row r="31" spans="1:7" x14ac:dyDescent="0.2">
      <c r="A31"/>
      <c r="B31"/>
      <c r="C31"/>
      <c r="D31"/>
      <c r="E31"/>
      <c r="F31"/>
      <c r="G31"/>
    </row>
    <row r="32" spans="1:7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7"/>
  <sheetViews>
    <sheetView workbookViewId="0"/>
  </sheetViews>
  <sheetFormatPr defaultRowHeight="12.75" x14ac:dyDescent="0.2"/>
  <cols>
    <col min="1" max="1" width="10.28515625" style="170" customWidth="1"/>
    <col min="2" max="2" width="32.5703125" style="170" bestFit="1" customWidth="1"/>
    <col min="3" max="3" width="40.140625" style="170" bestFit="1" customWidth="1"/>
    <col min="4" max="4" width="20.5703125" style="170" bestFit="1" customWidth="1"/>
    <col min="5" max="16384" width="9.140625" style="170"/>
  </cols>
  <sheetData>
    <row r="3" spans="1:4" x14ac:dyDescent="0.2">
      <c r="B3" s="259" t="s">
        <v>221</v>
      </c>
    </row>
    <row r="4" spans="1:4" x14ac:dyDescent="0.2">
      <c r="A4" s="259" t="s">
        <v>15</v>
      </c>
      <c r="B4" s="170" t="s">
        <v>218</v>
      </c>
      <c r="C4" s="170" t="s">
        <v>226</v>
      </c>
    </row>
    <row r="5" spans="1:4" x14ac:dyDescent="0.2">
      <c r="A5" s="170">
        <v>2013</v>
      </c>
      <c r="B5" s="267">
        <v>1611693.8375207561</v>
      </c>
      <c r="C5" s="267">
        <v>1607962.0920000002</v>
      </c>
      <c r="D5" s="173">
        <f>B5/C5-1</f>
        <v>2.320791975956471E-3</v>
      </c>
    </row>
    <row r="6" spans="1:4" x14ac:dyDescent="0.2">
      <c r="A6" s="170">
        <v>2014</v>
      </c>
      <c r="B6" s="267">
        <v>1669068.7872163691</v>
      </c>
      <c r="C6" s="267">
        <v>1656492.2790000001</v>
      </c>
      <c r="D6" s="173">
        <f t="shared" ref="D6:D14" si="0">B6/C6-1</f>
        <v>7.5922528440406367E-3</v>
      </c>
    </row>
    <row r="7" spans="1:4" x14ac:dyDescent="0.2">
      <c r="A7" s="170">
        <v>2015</v>
      </c>
      <c r="B7" s="267">
        <v>1720627.3941197526</v>
      </c>
      <c r="C7" s="267">
        <v>1699499.9610000004</v>
      </c>
      <c r="D7" s="173">
        <f t="shared" si="0"/>
        <v>1.2431558461066805E-2</v>
      </c>
    </row>
    <row r="8" spans="1:4" x14ac:dyDescent="0.2">
      <c r="A8" s="170">
        <v>2016</v>
      </c>
      <c r="B8" s="267">
        <v>1769003.4587811891</v>
      </c>
      <c r="C8" s="267">
        <v>1744820.4179999998</v>
      </c>
      <c r="D8" s="173">
        <f t="shared" si="0"/>
        <v>1.3859902447100669E-2</v>
      </c>
    </row>
    <row r="9" spans="1:4" x14ac:dyDescent="0.2">
      <c r="A9" s="170">
        <v>2017</v>
      </c>
      <c r="B9" s="267">
        <v>1817482.6038762433</v>
      </c>
      <c r="C9" s="267">
        <v>1783176.4169999997</v>
      </c>
      <c r="D9" s="173">
        <f t="shared" si="0"/>
        <v>1.9238806967826649E-2</v>
      </c>
    </row>
    <row r="10" spans="1:4" x14ac:dyDescent="0.2">
      <c r="A10" s="170">
        <v>2018</v>
      </c>
      <c r="B10" s="267">
        <v>1866032.8771519016</v>
      </c>
      <c r="C10" s="267">
        <v>1829118.3839999998</v>
      </c>
      <c r="D10" s="173">
        <f t="shared" si="0"/>
        <v>2.0181576804873202E-2</v>
      </c>
    </row>
    <row r="11" spans="1:4" x14ac:dyDescent="0.2">
      <c r="A11" s="170">
        <v>2019</v>
      </c>
      <c r="B11" s="267">
        <v>1915702.0618765866</v>
      </c>
      <c r="C11" s="267">
        <v>1875469.5930000001</v>
      </c>
      <c r="D11" s="173">
        <f t="shared" si="0"/>
        <v>2.1451944103359599E-2</v>
      </c>
    </row>
    <row r="12" spans="1:4" x14ac:dyDescent="0.2">
      <c r="A12" s="170">
        <v>2020</v>
      </c>
      <c r="B12" s="267">
        <v>1963890.5057050316</v>
      </c>
      <c r="C12" s="267">
        <v>1922221.2989999996</v>
      </c>
      <c r="D12" s="173">
        <f t="shared" si="0"/>
        <v>2.1677632396805535E-2</v>
      </c>
    </row>
    <row r="13" spans="1:4" x14ac:dyDescent="0.2">
      <c r="A13" s="170">
        <v>2021</v>
      </c>
      <c r="B13" s="267">
        <v>2005262.8450637481</v>
      </c>
      <c r="C13" s="267">
        <v>1962267.7919999997</v>
      </c>
      <c r="D13" s="173">
        <f t="shared" si="0"/>
        <v>2.1910899847123577E-2</v>
      </c>
    </row>
    <row r="14" spans="1:4" x14ac:dyDescent="0.2">
      <c r="A14" s="170">
        <v>2022</v>
      </c>
      <c r="B14" s="267">
        <v>2049760.6821875849</v>
      </c>
      <c r="C14" s="267">
        <v>2007667.1249999995</v>
      </c>
      <c r="D14" s="173">
        <f t="shared" si="0"/>
        <v>2.0966402579105647E-2</v>
      </c>
    </row>
    <row r="15" spans="1:4" x14ac:dyDescent="0.2">
      <c r="A15" s="170" t="s">
        <v>194</v>
      </c>
      <c r="B15" s="267">
        <v>18388525.053499162</v>
      </c>
      <c r="C15" s="267">
        <v>18088695.359999999</v>
      </c>
      <c r="D15" s="201">
        <f>C15/C14-1</f>
        <v>8.0098080178505704</v>
      </c>
    </row>
    <row r="16" spans="1:4" x14ac:dyDescent="0.2">
      <c r="A16"/>
      <c r="B16"/>
      <c r="C16" s="172"/>
      <c r="D16" s="201"/>
    </row>
    <row r="17" spans="1:4" x14ac:dyDescent="0.2">
      <c r="A17"/>
      <c r="B17"/>
      <c r="C17" s="172"/>
      <c r="D17" s="201"/>
    </row>
    <row r="18" spans="1:4" x14ac:dyDescent="0.2">
      <c r="A18"/>
      <c r="B18"/>
      <c r="C18" s="172"/>
      <c r="D18" s="201"/>
    </row>
    <row r="19" spans="1:4" x14ac:dyDescent="0.2">
      <c r="A19"/>
      <c r="B19"/>
      <c r="C19" s="172"/>
      <c r="D19" s="201"/>
    </row>
    <row r="20" spans="1:4" x14ac:dyDescent="0.2">
      <c r="A20"/>
      <c r="B20"/>
      <c r="C20" s="172"/>
      <c r="D20" s="201"/>
    </row>
    <row r="21" spans="1:4" x14ac:dyDescent="0.2">
      <c r="A21"/>
      <c r="B21"/>
      <c r="C21" s="172"/>
      <c r="D21" s="201"/>
    </row>
    <row r="22" spans="1:4" x14ac:dyDescent="0.2">
      <c r="A22"/>
      <c r="B22"/>
      <c r="C22" s="172"/>
      <c r="D22" s="201"/>
    </row>
    <row r="23" spans="1:4" x14ac:dyDescent="0.2">
      <c r="A23"/>
      <c r="B23"/>
      <c r="C23" s="172"/>
      <c r="D23" s="201"/>
    </row>
    <row r="24" spans="1:4" x14ac:dyDescent="0.2">
      <c r="A24"/>
      <c r="B24"/>
      <c r="C24" s="172"/>
      <c r="D24" s="201"/>
    </row>
    <row r="25" spans="1:4" x14ac:dyDescent="0.2">
      <c r="A25"/>
      <c r="B25"/>
      <c r="C25" s="172"/>
      <c r="D25" s="201"/>
    </row>
    <row r="26" spans="1:4" x14ac:dyDescent="0.2">
      <c r="A26"/>
      <c r="B26"/>
      <c r="C26" s="172"/>
      <c r="D26" s="201"/>
    </row>
    <row r="27" spans="1:4" x14ac:dyDescent="0.2">
      <c r="A27"/>
      <c r="B27"/>
      <c r="C27" s="172"/>
      <c r="D27" s="201"/>
    </row>
    <row r="28" spans="1:4" x14ac:dyDescent="0.2">
      <c r="A28"/>
      <c r="B28"/>
      <c r="C28" s="172"/>
      <c r="D28" s="201"/>
    </row>
    <row r="29" spans="1:4" x14ac:dyDescent="0.2">
      <c r="A29"/>
      <c r="B29"/>
      <c r="C29" s="172"/>
      <c r="D29" s="201"/>
    </row>
    <row r="30" spans="1:4" x14ac:dyDescent="0.2">
      <c r="A30"/>
      <c r="B30"/>
      <c r="C30" s="172"/>
      <c r="D30" s="201"/>
    </row>
    <row r="31" spans="1:4" x14ac:dyDescent="0.2">
      <c r="A31"/>
      <c r="B31"/>
    </row>
    <row r="32" spans="1:4" x14ac:dyDescent="0.2">
      <c r="A32"/>
      <c r="B32"/>
    </row>
    <row r="33" spans="1:2" x14ac:dyDescent="0.2">
      <c r="A33"/>
      <c r="B33"/>
    </row>
    <row r="34" spans="1:2" x14ac:dyDescent="0.2">
      <c r="A34"/>
      <c r="B34"/>
    </row>
    <row r="35" spans="1:2" x14ac:dyDescent="0.2">
      <c r="A35"/>
      <c r="B35"/>
    </row>
    <row r="36" spans="1:2" x14ac:dyDescent="0.2">
      <c r="A36"/>
      <c r="B36"/>
    </row>
    <row r="37" spans="1:2" x14ac:dyDescent="0.2">
      <c r="A37"/>
      <c r="B37"/>
    </row>
    <row r="38" spans="1:2" x14ac:dyDescent="0.2">
      <c r="A38"/>
      <c r="B38"/>
    </row>
    <row r="39" spans="1:2" x14ac:dyDescent="0.2">
      <c r="A39"/>
      <c r="B39"/>
    </row>
    <row r="40" spans="1:2" x14ac:dyDescent="0.2">
      <c r="A40"/>
      <c r="B40"/>
    </row>
    <row r="41" spans="1:2" x14ac:dyDescent="0.2">
      <c r="A41"/>
      <c r="B41"/>
    </row>
    <row r="42" spans="1:2" x14ac:dyDescent="0.2">
      <c r="A42"/>
      <c r="B42"/>
    </row>
    <row r="43" spans="1:2" x14ac:dyDescent="0.2">
      <c r="A43"/>
      <c r="B43"/>
    </row>
    <row r="44" spans="1:2" x14ac:dyDescent="0.2">
      <c r="A44"/>
      <c r="B44"/>
    </row>
    <row r="45" spans="1:2" x14ac:dyDescent="0.2">
      <c r="A45"/>
      <c r="B45"/>
    </row>
    <row r="46" spans="1:2" x14ac:dyDescent="0.2">
      <c r="A46"/>
      <c r="B46"/>
    </row>
    <row r="47" spans="1:2" x14ac:dyDescent="0.2">
      <c r="A47"/>
      <c r="B47"/>
    </row>
  </sheetData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7"/>
  <sheetViews>
    <sheetView workbookViewId="0"/>
  </sheetViews>
  <sheetFormatPr defaultRowHeight="12.75" x14ac:dyDescent="0.2"/>
  <cols>
    <col min="1" max="1" width="10.28515625" style="170" customWidth="1"/>
    <col min="2" max="2" width="15.28515625" style="170" customWidth="1"/>
    <col min="3" max="3" width="22.42578125" style="170" customWidth="1"/>
    <col min="4" max="4" width="20.5703125" style="170" bestFit="1" customWidth="1"/>
    <col min="5" max="16384" width="9.140625" style="170"/>
  </cols>
  <sheetData>
    <row r="3" spans="1:4" x14ac:dyDescent="0.2">
      <c r="B3" s="259" t="s">
        <v>221</v>
      </c>
    </row>
    <row r="4" spans="1:4" x14ac:dyDescent="0.2">
      <c r="A4" s="259" t="s">
        <v>15</v>
      </c>
      <c r="B4" s="170" t="s">
        <v>227</v>
      </c>
      <c r="C4" s="170" t="s">
        <v>228</v>
      </c>
    </row>
    <row r="5" spans="1:4" x14ac:dyDescent="0.2">
      <c r="A5" s="170">
        <v>2013</v>
      </c>
      <c r="B5" s="267">
        <v>52792827</v>
      </c>
      <c r="C5" s="267">
        <v>53107272</v>
      </c>
      <c r="D5" s="173">
        <f>B5/C5-1</f>
        <v>-5.9209405446395413E-3</v>
      </c>
    </row>
    <row r="6" spans="1:4" x14ac:dyDescent="0.2">
      <c r="A6" s="170">
        <v>2014</v>
      </c>
      <c r="B6" s="267">
        <v>53048028</v>
      </c>
      <c r="C6" s="267">
        <v>53473041</v>
      </c>
      <c r="D6" s="173">
        <f t="shared" ref="D6:D14" si="0">B6/C6-1</f>
        <v>-7.9481733608529614E-3</v>
      </c>
    </row>
    <row r="7" spans="1:4" x14ac:dyDescent="0.2">
      <c r="A7" s="170">
        <v>2015</v>
      </c>
      <c r="B7" s="267">
        <v>53345880</v>
      </c>
      <c r="C7" s="267">
        <v>53859828</v>
      </c>
      <c r="D7" s="173">
        <f t="shared" si="0"/>
        <v>-9.5423253115476392E-3</v>
      </c>
    </row>
    <row r="8" spans="1:4" x14ac:dyDescent="0.2">
      <c r="A8" s="170">
        <v>2016</v>
      </c>
      <c r="B8" s="267">
        <v>53669025</v>
      </c>
      <c r="C8" s="267">
        <v>54261858</v>
      </c>
      <c r="D8" s="173">
        <f t="shared" si="0"/>
        <v>-1.0925409152041987E-2</v>
      </c>
    </row>
    <row r="9" spans="1:4" x14ac:dyDescent="0.2">
      <c r="A9" s="170">
        <v>2017</v>
      </c>
      <c r="B9" s="267">
        <v>53995281</v>
      </c>
      <c r="C9" s="267">
        <v>54667071</v>
      </c>
      <c r="D9" s="173">
        <f t="shared" si="0"/>
        <v>-1.2288750571619267E-2</v>
      </c>
    </row>
    <row r="10" spans="1:4" x14ac:dyDescent="0.2">
      <c r="A10" s="170">
        <v>2018</v>
      </c>
      <c r="B10" s="267">
        <v>54313989</v>
      </c>
      <c r="C10" s="267">
        <v>55070676</v>
      </c>
      <c r="D10" s="173">
        <f t="shared" si="0"/>
        <v>-1.374028893344259E-2</v>
      </c>
    </row>
    <row r="11" spans="1:4" x14ac:dyDescent="0.2">
      <c r="A11" s="170">
        <v>2019</v>
      </c>
      <c r="B11" s="267">
        <v>54625251</v>
      </c>
      <c r="C11" s="267">
        <v>55472700</v>
      </c>
      <c r="D11" s="173">
        <f t="shared" si="0"/>
        <v>-1.527686591782984E-2</v>
      </c>
    </row>
    <row r="12" spans="1:4" x14ac:dyDescent="0.2">
      <c r="A12" s="170">
        <v>2020</v>
      </c>
      <c r="B12" s="267">
        <v>54928632</v>
      </c>
      <c r="C12" s="267">
        <v>55872552</v>
      </c>
      <c r="D12" s="173">
        <f t="shared" si="0"/>
        <v>-1.6894162987221351E-2</v>
      </c>
    </row>
    <row r="13" spans="1:4" x14ac:dyDescent="0.2">
      <c r="A13" s="170">
        <v>2021</v>
      </c>
      <c r="B13" s="267">
        <v>55223967</v>
      </c>
      <c r="C13" s="267">
        <v>56270019</v>
      </c>
      <c r="D13" s="173">
        <f t="shared" si="0"/>
        <v>-1.8589863991337885E-2</v>
      </c>
    </row>
    <row r="14" spans="1:4" x14ac:dyDescent="0.2">
      <c r="A14" s="170">
        <v>2022</v>
      </c>
      <c r="B14" s="267">
        <v>55510668</v>
      </c>
      <c r="C14" s="267">
        <v>56664408</v>
      </c>
      <c r="D14" s="173">
        <f t="shared" si="0"/>
        <v>-2.0360929209743084E-2</v>
      </c>
    </row>
    <row r="15" spans="1:4" x14ac:dyDescent="0.2">
      <c r="A15" s="170" t="s">
        <v>194</v>
      </c>
      <c r="B15" s="267">
        <v>541453548</v>
      </c>
      <c r="C15" s="267">
        <v>548719425</v>
      </c>
      <c r="D15" s="201"/>
    </row>
    <row r="16" spans="1:4" x14ac:dyDescent="0.2">
      <c r="A16"/>
      <c r="B16"/>
      <c r="C16" s="172"/>
      <c r="D16" s="201"/>
    </row>
    <row r="17" spans="1:4" x14ac:dyDescent="0.2">
      <c r="A17"/>
      <c r="B17"/>
      <c r="C17" s="172"/>
      <c r="D17" s="201"/>
    </row>
    <row r="18" spans="1:4" x14ac:dyDescent="0.2">
      <c r="A18"/>
      <c r="B18"/>
      <c r="C18" s="172"/>
      <c r="D18" s="201"/>
    </row>
    <row r="19" spans="1:4" x14ac:dyDescent="0.2">
      <c r="A19"/>
      <c r="B19"/>
      <c r="C19" s="172"/>
      <c r="D19" s="201"/>
    </row>
    <row r="20" spans="1:4" x14ac:dyDescent="0.2">
      <c r="A20"/>
      <c r="B20"/>
      <c r="C20" s="172"/>
      <c r="D20" s="201"/>
    </row>
    <row r="21" spans="1:4" x14ac:dyDescent="0.2">
      <c r="A21"/>
      <c r="B21"/>
      <c r="C21" s="172"/>
      <c r="D21" s="201"/>
    </row>
    <row r="22" spans="1:4" x14ac:dyDescent="0.2">
      <c r="A22"/>
      <c r="B22"/>
      <c r="C22" s="172"/>
      <c r="D22" s="201"/>
    </row>
    <row r="23" spans="1:4" x14ac:dyDescent="0.2">
      <c r="A23"/>
      <c r="B23"/>
      <c r="C23" s="172"/>
      <c r="D23" s="201"/>
    </row>
    <row r="24" spans="1:4" x14ac:dyDescent="0.2">
      <c r="A24"/>
      <c r="B24"/>
      <c r="C24" s="172"/>
      <c r="D24" s="201"/>
    </row>
    <row r="25" spans="1:4" x14ac:dyDescent="0.2">
      <c r="A25"/>
      <c r="B25"/>
      <c r="C25" s="172"/>
      <c r="D25" s="201"/>
    </row>
    <row r="26" spans="1:4" x14ac:dyDescent="0.2">
      <c r="A26"/>
      <c r="B26"/>
      <c r="C26" s="172"/>
      <c r="D26" s="201"/>
    </row>
    <row r="27" spans="1:4" x14ac:dyDescent="0.2">
      <c r="A27"/>
      <c r="B27"/>
      <c r="C27" s="172"/>
      <c r="D27" s="201"/>
    </row>
    <row r="28" spans="1:4" x14ac:dyDescent="0.2">
      <c r="A28"/>
      <c r="B28"/>
      <c r="C28" s="172"/>
      <c r="D28" s="201"/>
    </row>
    <row r="29" spans="1:4" x14ac:dyDescent="0.2">
      <c r="A29"/>
      <c r="B29"/>
      <c r="C29" s="172"/>
      <c r="D29" s="201"/>
    </row>
    <row r="30" spans="1:4" x14ac:dyDescent="0.2">
      <c r="A30"/>
      <c r="B30"/>
      <c r="C30" s="172"/>
      <c r="D30" s="201"/>
    </row>
    <row r="31" spans="1:4" x14ac:dyDescent="0.2">
      <c r="A31"/>
      <c r="B31"/>
    </row>
    <row r="32" spans="1:4" x14ac:dyDescent="0.2">
      <c r="A32"/>
      <c r="B32"/>
    </row>
    <row r="33" spans="1:2" x14ac:dyDescent="0.2">
      <c r="A33"/>
      <c r="B33"/>
    </row>
    <row r="34" spans="1:2" x14ac:dyDescent="0.2">
      <c r="A34"/>
      <c r="B34"/>
    </row>
    <row r="35" spans="1:2" x14ac:dyDescent="0.2">
      <c r="A35"/>
      <c r="B35"/>
    </row>
    <row r="36" spans="1:2" x14ac:dyDescent="0.2">
      <c r="A36"/>
      <c r="B36"/>
    </row>
    <row r="37" spans="1:2" x14ac:dyDescent="0.2">
      <c r="A37"/>
      <c r="B37"/>
    </row>
    <row r="38" spans="1:2" x14ac:dyDescent="0.2">
      <c r="A38"/>
      <c r="B38"/>
    </row>
    <row r="39" spans="1:2" x14ac:dyDescent="0.2">
      <c r="A39"/>
      <c r="B39"/>
    </row>
    <row r="40" spans="1:2" x14ac:dyDescent="0.2">
      <c r="A40"/>
      <c r="B40"/>
    </row>
    <row r="41" spans="1:2" x14ac:dyDescent="0.2">
      <c r="A41"/>
      <c r="B41"/>
    </row>
    <row r="42" spans="1:2" x14ac:dyDescent="0.2">
      <c r="A42"/>
      <c r="B42"/>
    </row>
    <row r="43" spans="1:2" x14ac:dyDescent="0.2">
      <c r="A43"/>
      <c r="B43"/>
    </row>
    <row r="44" spans="1:2" x14ac:dyDescent="0.2">
      <c r="A44"/>
      <c r="B44"/>
    </row>
    <row r="45" spans="1:2" x14ac:dyDescent="0.2">
      <c r="A45"/>
      <c r="B45"/>
    </row>
    <row r="46" spans="1:2" x14ac:dyDescent="0.2">
      <c r="A46"/>
      <c r="B46"/>
    </row>
    <row r="47" spans="1:2" x14ac:dyDescent="0.2">
      <c r="A47"/>
      <c r="B47"/>
    </row>
  </sheetData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tabSelected="1" zoomScale="118" zoomScaleNormal="118" workbookViewId="0">
      <pane xSplit="1" topLeftCell="B1" activePane="topRight" state="frozen"/>
      <selection pane="topRight"/>
    </sheetView>
  </sheetViews>
  <sheetFormatPr defaultColWidth="9.140625" defaultRowHeight="12.75" x14ac:dyDescent="0.2"/>
  <cols>
    <col min="1" max="1" width="6.7109375" style="170" bestFit="1" customWidth="1"/>
    <col min="2" max="2" width="9.140625" style="151" bestFit="1"/>
    <col min="3" max="3" width="7.85546875" style="170" bestFit="1" customWidth="1"/>
    <col min="4" max="4" width="9.140625" style="170"/>
    <col min="5" max="5" width="7.85546875" style="170" bestFit="1" customWidth="1"/>
    <col min="6" max="6" width="9.28515625" style="170" bestFit="1" customWidth="1"/>
    <col min="7" max="7" width="7.85546875" style="170" bestFit="1" customWidth="1"/>
    <col min="8" max="8" width="10.85546875" style="170" bestFit="1" customWidth="1"/>
    <col min="9" max="9" width="7.85546875" style="170" bestFit="1" customWidth="1"/>
    <col min="10" max="10" width="8.28515625" style="170" bestFit="1" customWidth="1"/>
    <col min="11" max="11" width="7.85546875" style="170" bestFit="1" customWidth="1"/>
    <col min="12" max="12" width="7.5703125" style="170" customWidth="1"/>
    <col min="13" max="13" width="9.140625" style="151"/>
    <col min="14" max="14" width="6.7109375" bestFit="1" customWidth="1"/>
    <col min="15" max="15" width="9.140625" style="5"/>
    <col min="16" max="16" width="7.85546875" style="170" bestFit="1" customWidth="1"/>
    <col min="17" max="17" width="8.85546875"/>
    <col min="18" max="18" width="7.85546875" style="170" bestFit="1" customWidth="1"/>
    <col min="19" max="19" width="9.28515625" bestFit="1" customWidth="1"/>
    <col min="20" max="20" width="7.85546875" style="170" bestFit="1" customWidth="1"/>
    <col min="21" max="21" width="10.85546875" bestFit="1" customWidth="1"/>
    <col min="22" max="22" width="7.85546875" style="170" bestFit="1" customWidth="1"/>
    <col min="23" max="23" width="10.85546875" customWidth="1"/>
    <col min="24" max="24" width="7.85546875" style="170" bestFit="1" customWidth="1"/>
    <col min="25" max="16384" width="9.140625" style="170"/>
  </cols>
  <sheetData>
    <row r="1" spans="1:24" s="205" customFormat="1" x14ac:dyDescent="0.2">
      <c r="A1" s="183" t="s">
        <v>15</v>
      </c>
      <c r="B1" s="204" t="s">
        <v>16</v>
      </c>
      <c r="C1" s="183" t="s">
        <v>125</v>
      </c>
      <c r="D1" s="204" t="s">
        <v>17</v>
      </c>
      <c r="E1" s="183" t="s">
        <v>125</v>
      </c>
      <c r="F1" s="204" t="s">
        <v>5</v>
      </c>
      <c r="G1" s="183" t="s">
        <v>125</v>
      </c>
      <c r="H1" s="204" t="s">
        <v>19</v>
      </c>
      <c r="I1" s="183" t="s">
        <v>125</v>
      </c>
      <c r="J1" s="183" t="s">
        <v>124</v>
      </c>
      <c r="K1" s="183" t="s">
        <v>125</v>
      </c>
      <c r="L1" s="183"/>
      <c r="M1" s="204"/>
      <c r="N1" s="22"/>
      <c r="O1" s="35"/>
      <c r="P1" s="183"/>
      <c r="Q1" s="35"/>
      <c r="R1" s="183"/>
      <c r="S1" s="35"/>
      <c r="T1" s="183"/>
      <c r="U1" s="35"/>
      <c r="V1" s="183"/>
      <c r="W1" s="35"/>
      <c r="X1" s="183"/>
    </row>
    <row r="2" spans="1:24" hidden="1" x14ac:dyDescent="0.2">
      <c r="A2" s="182">
        <v>1995</v>
      </c>
      <c r="B2" s="206">
        <f>SUM('KU ShareUEC'!$D2:$G2,'KU ShareUEC'!$X2)</f>
        <v>1390.6189854593515</v>
      </c>
      <c r="C2" s="188"/>
      <c r="D2" s="206">
        <f>SUM('KU ShareUEC'!$H2:$K2)</f>
        <v>4534.0571133337044</v>
      </c>
      <c r="E2" s="188"/>
      <c r="F2" s="206">
        <f>'KU ShareUEC'!$L2</f>
        <v>2142.0629707635576</v>
      </c>
      <c r="G2" s="188"/>
      <c r="H2" s="206" t="e">
        <f>SUM('KU ShareUEC'!$M2:$W2,'KU ShareUEC'!$Y2:$Z2)-'KU ShareUEC'!Q2-'KU ShareUEC'!S2-'KU ShareUEC'!U2</f>
        <v>#REF!</v>
      </c>
      <c r="I2" s="188"/>
      <c r="J2" s="206" t="e">
        <f t="shared" ref="J2:J48" si="0">AnnHeat1995+AnnCool1995+F2+H2</f>
        <v>#REF!</v>
      </c>
      <c r="K2" s="188"/>
      <c r="L2" s="207"/>
      <c r="M2" s="206"/>
      <c r="N2" s="24"/>
      <c r="O2" s="36"/>
      <c r="P2" s="188"/>
      <c r="Q2" s="36"/>
      <c r="R2" s="188"/>
      <c r="S2" s="36"/>
      <c r="T2" s="188"/>
      <c r="U2" s="36"/>
      <c r="V2" s="188"/>
      <c r="W2" s="36"/>
      <c r="X2" s="188"/>
    </row>
    <row r="3" spans="1:24" hidden="1" x14ac:dyDescent="0.2">
      <c r="A3" s="182">
        <f t="shared" ref="A3:A50" si="1">A2+1</f>
        <v>1996</v>
      </c>
      <c r="B3" s="206">
        <f>SUM('KU ShareUEC'!$D3:$G3,'KU ShareUEC'!$X3)</f>
        <v>1423.3346518158733</v>
      </c>
      <c r="C3" s="188">
        <f t="shared" ref="C3:I48" si="2">B3/B2-1</f>
        <v>2.35259741874696E-2</v>
      </c>
      <c r="D3" s="206">
        <f>SUM('KU ShareUEC'!$H3:$K3)</f>
        <v>4464.0782510308436</v>
      </c>
      <c r="E3" s="188">
        <f t="shared" si="2"/>
        <v>-1.5434049583775145E-2</v>
      </c>
      <c r="F3" s="206">
        <f>'KU ShareUEC'!$L3</f>
        <v>2136.7815715454321</v>
      </c>
      <c r="G3" s="188">
        <f t="shared" si="2"/>
        <v>-2.4655667411321858E-3</v>
      </c>
      <c r="H3" s="206" t="e">
        <f>SUM('KU ShareUEC'!$M3:$W3,'KU ShareUEC'!$Y3:$Z3)-'KU ShareUEC'!Q3-'KU ShareUEC'!S3-'KU ShareUEC'!U3</f>
        <v>#REF!</v>
      </c>
      <c r="I3" s="188" t="e">
        <f t="shared" si="2"/>
        <v>#REF!</v>
      </c>
      <c r="J3" s="206" t="e">
        <f t="shared" si="0"/>
        <v>#REF!</v>
      </c>
      <c r="K3" s="188" t="e">
        <f t="shared" ref="K3:K32" si="3">J3/J2-1</f>
        <v>#REF!</v>
      </c>
      <c r="L3" s="207"/>
      <c r="M3" s="206"/>
      <c r="N3" s="24"/>
      <c r="O3" s="36"/>
      <c r="P3" s="188"/>
      <c r="Q3" s="36"/>
      <c r="R3" s="188"/>
      <c r="S3" s="36"/>
      <c r="T3" s="188"/>
      <c r="U3" s="36"/>
      <c r="V3" s="188"/>
      <c r="W3" s="36"/>
      <c r="X3" s="188"/>
    </row>
    <row r="4" spans="1:24" hidden="1" x14ac:dyDescent="0.2">
      <c r="A4" s="182">
        <f t="shared" si="1"/>
        <v>1997</v>
      </c>
      <c r="B4" s="206">
        <f>SUM('KU ShareUEC'!$D4:$G4,'KU ShareUEC'!$X4)</f>
        <v>1455.5576403820346</v>
      </c>
      <c r="C4" s="188">
        <f t="shared" si="2"/>
        <v>2.2639081065757516E-2</v>
      </c>
      <c r="D4" s="206">
        <f>SUM('KU ShareUEC'!$H4:$K4)</f>
        <v>4396.7262497241672</v>
      </c>
      <c r="E4" s="188">
        <f t="shared" si="2"/>
        <v>-1.50875494378091E-2</v>
      </c>
      <c r="F4" s="206">
        <f>'KU ShareUEC'!$L4</f>
        <v>2131.5261515582965</v>
      </c>
      <c r="G4" s="188">
        <f t="shared" si="2"/>
        <v>-2.4595026731415448E-3</v>
      </c>
      <c r="H4" s="206" t="e">
        <f>SUM('KU ShareUEC'!$M4:$W4,'KU ShareUEC'!$Y4:$Z4)-'KU ShareUEC'!Q4-'KU ShareUEC'!S4-'KU ShareUEC'!U4</f>
        <v>#REF!</v>
      </c>
      <c r="I4" s="188" t="e">
        <f t="shared" si="2"/>
        <v>#REF!</v>
      </c>
      <c r="J4" s="206" t="e">
        <f t="shared" si="0"/>
        <v>#REF!</v>
      </c>
      <c r="K4" s="188" t="e">
        <f t="shared" si="3"/>
        <v>#REF!</v>
      </c>
      <c r="L4" s="207"/>
      <c r="M4" s="206"/>
      <c r="N4" s="24"/>
      <c r="O4" s="36"/>
      <c r="P4" s="188"/>
      <c r="Q4" s="36"/>
      <c r="R4" s="188"/>
      <c r="S4" s="36"/>
      <c r="T4" s="188"/>
      <c r="U4" s="36"/>
      <c r="V4" s="188"/>
      <c r="W4" s="36"/>
      <c r="X4" s="188"/>
    </row>
    <row r="5" spans="1:24" hidden="1" x14ac:dyDescent="0.2">
      <c r="A5" s="182">
        <f t="shared" si="1"/>
        <v>1998</v>
      </c>
      <c r="B5" s="206">
        <f>SUM('KU ShareUEC'!$D5:$G5,'KU ShareUEC'!$X5)</f>
        <v>1487.2650233569307</v>
      </c>
      <c r="C5" s="188">
        <f t="shared" si="2"/>
        <v>2.1783667025768949E-2</v>
      </c>
      <c r="D5" s="206">
        <f>SUM('KU ShareUEC'!$H5:$K5)</f>
        <v>4331.8329971575558</v>
      </c>
      <c r="E5" s="188">
        <f t="shared" si="2"/>
        <v>-1.4759448025831179E-2</v>
      </c>
      <c r="F5" s="206">
        <f>'KU ShareUEC'!$L5</f>
        <v>2126.2965195844868</v>
      </c>
      <c r="G5" s="188">
        <f t="shared" si="2"/>
        <v>-2.4534683611489028E-3</v>
      </c>
      <c r="H5" s="206" t="e">
        <f>SUM('KU ShareUEC'!$M5:$W5,'KU ShareUEC'!$Y5:$Z5)-'KU ShareUEC'!Q5-'KU ShareUEC'!S5-'KU ShareUEC'!U5</f>
        <v>#REF!</v>
      </c>
      <c r="I5" s="188" t="e">
        <f t="shared" si="2"/>
        <v>#REF!</v>
      </c>
      <c r="J5" s="206" t="e">
        <f t="shared" si="0"/>
        <v>#REF!</v>
      </c>
      <c r="K5" s="188" t="e">
        <f t="shared" si="3"/>
        <v>#REF!</v>
      </c>
      <c r="L5" s="207"/>
      <c r="M5" s="206"/>
      <c r="N5" s="24"/>
      <c r="O5" s="36"/>
      <c r="P5" s="188"/>
      <c r="Q5" s="36"/>
      <c r="R5" s="188"/>
      <c r="S5" s="36"/>
      <c r="T5" s="188"/>
      <c r="U5" s="36"/>
      <c r="V5" s="188"/>
      <c r="W5" s="36"/>
      <c r="X5" s="188"/>
    </row>
    <row r="6" spans="1:24" hidden="1" x14ac:dyDescent="0.2">
      <c r="A6" s="182">
        <f t="shared" si="1"/>
        <v>1999</v>
      </c>
      <c r="B6" s="206">
        <f>SUM('KU ShareUEC'!$D6:$G6,'KU ShareUEC'!$X6)</f>
        <v>1518.4475643185008</v>
      </c>
      <c r="C6" s="188">
        <f t="shared" si="2"/>
        <v>2.0966364751312083E-2</v>
      </c>
      <c r="D6" s="206">
        <f>SUM('KU ShareUEC'!$H6:$K6)</f>
        <v>4269.244767029918</v>
      </c>
      <c r="E6" s="188">
        <f t="shared" si="2"/>
        <v>-1.4448440225813597E-2</v>
      </c>
      <c r="F6" s="206">
        <f>'KU ShareUEC'!$L6</f>
        <v>2121.0924862783327</v>
      </c>
      <c r="G6" s="188">
        <f t="shared" si="2"/>
        <v>-2.4474635866736927E-3</v>
      </c>
      <c r="H6" s="206" t="e">
        <f>SUM('KU ShareUEC'!$M6:$W6,'KU ShareUEC'!$Y6:$Z6)-'KU ShareUEC'!Q6-'KU ShareUEC'!S6-'KU ShareUEC'!U6</f>
        <v>#REF!</v>
      </c>
      <c r="I6" s="188" t="e">
        <f t="shared" si="2"/>
        <v>#REF!</v>
      </c>
      <c r="J6" s="206" t="e">
        <f t="shared" si="0"/>
        <v>#REF!</v>
      </c>
      <c r="K6" s="188" t="e">
        <f t="shared" si="3"/>
        <v>#REF!</v>
      </c>
      <c r="L6" s="207"/>
      <c r="M6" s="206"/>
      <c r="N6" s="24"/>
      <c r="O6" s="36"/>
      <c r="P6" s="188"/>
      <c r="Q6" s="36"/>
      <c r="R6" s="188"/>
      <c r="S6" s="36"/>
      <c r="T6" s="188"/>
      <c r="U6" s="36"/>
      <c r="V6" s="188"/>
      <c r="W6" s="36"/>
      <c r="X6" s="188"/>
    </row>
    <row r="7" spans="1:24" hidden="1" x14ac:dyDescent="0.2">
      <c r="A7" s="182">
        <f t="shared" si="1"/>
        <v>2000</v>
      </c>
      <c r="B7" s="206">
        <f>SUM('KU ShareUEC'!$D7:$G7,'KU ShareUEC'!$X7)</f>
        <v>1549.1114628414371</v>
      </c>
      <c r="C7" s="192">
        <f t="shared" si="2"/>
        <v>2.0194242622199932E-2</v>
      </c>
      <c r="D7" s="206">
        <f>SUM('KU ShareUEC'!$H7:$K7)</f>
        <v>4199.1954696022394</v>
      </c>
      <c r="E7" s="192">
        <f t="shared" si="2"/>
        <v>-1.6407889744024073E-2</v>
      </c>
      <c r="F7" s="206">
        <f>'KU ShareUEC'!$L7</f>
        <v>2115.9138641433037</v>
      </c>
      <c r="G7" s="192">
        <f t="shared" si="2"/>
        <v>-2.4414881333700844E-3</v>
      </c>
      <c r="H7" s="206" t="e">
        <f>SUM('KU ShareUEC'!$M7:$W7,'KU ShareUEC'!$Y7:$Z7)-'KU ShareUEC'!Q7-'KU ShareUEC'!S7-'KU ShareUEC'!U7</f>
        <v>#REF!</v>
      </c>
      <c r="I7" s="192" t="e">
        <f t="shared" si="2"/>
        <v>#REF!</v>
      </c>
      <c r="J7" s="206" t="e">
        <f t="shared" si="0"/>
        <v>#REF!</v>
      </c>
      <c r="K7" s="192" t="e">
        <f t="shared" si="3"/>
        <v>#REF!</v>
      </c>
      <c r="L7" s="207"/>
      <c r="M7" s="206"/>
      <c r="N7" s="24"/>
      <c r="O7" s="36"/>
      <c r="P7" s="192"/>
      <c r="Q7" s="36"/>
      <c r="R7" s="192"/>
      <c r="S7" s="36"/>
      <c r="T7" s="192"/>
      <c r="U7" s="36"/>
      <c r="V7" s="192"/>
      <c r="W7" s="36"/>
      <c r="X7" s="192"/>
    </row>
    <row r="8" spans="1:24" x14ac:dyDescent="0.2">
      <c r="A8" s="182">
        <f t="shared" si="1"/>
        <v>2001</v>
      </c>
      <c r="B8" s="206">
        <f>SUM('KU ShareUEC'!$D8:$G8,'KU ShareUEC'!$X8)</f>
        <v>1579.2795385934137</v>
      </c>
      <c r="C8" s="192">
        <f t="shared" si="2"/>
        <v>1.9474438396215321E-2</v>
      </c>
      <c r="D8" s="206">
        <f>SUM('KU ShareUEC'!$H8:$K8)</f>
        <v>4131.3033425837475</v>
      </c>
      <c r="E8" s="192">
        <f t="shared" si="2"/>
        <v>-1.6167889184954487E-2</v>
      </c>
      <c r="F8" s="206">
        <f>'KU ShareUEC'!$L8</f>
        <v>2110.7604675094922</v>
      </c>
      <c r="G8" s="192">
        <f t="shared" si="2"/>
        <v>-2.435541786999007E-3</v>
      </c>
      <c r="H8" s="206">
        <f>SUM('KU ShareUEC'!$M8:$W8,'KU ShareUEC'!$Y8:$Z8)-'KU ShareUEC'!Q8-'KU ShareUEC'!S8-'KU ShareUEC'!U8</f>
        <v>9421.4339902755673</v>
      </c>
      <c r="I8" s="192" t="e">
        <f t="shared" si="2"/>
        <v>#REF!</v>
      </c>
      <c r="J8" s="206">
        <f t="shared" si="0"/>
        <v>17456.870556578113</v>
      </c>
      <c r="K8" s="192" t="e">
        <f t="shared" si="3"/>
        <v>#REF!</v>
      </c>
      <c r="L8" s="207"/>
      <c r="M8" s="206"/>
      <c r="N8" s="24"/>
      <c r="O8" s="36"/>
      <c r="P8" s="192"/>
      <c r="Q8" s="36"/>
      <c r="R8" s="192"/>
      <c r="S8" s="36"/>
      <c r="T8" s="192"/>
      <c r="U8" s="36"/>
      <c r="V8" s="192"/>
      <c r="W8" s="36"/>
      <c r="X8" s="192"/>
    </row>
    <row r="9" spans="1:24" x14ac:dyDescent="0.2">
      <c r="A9" s="182">
        <f t="shared" si="1"/>
        <v>2002</v>
      </c>
      <c r="B9" s="206">
        <f>SUM('KU ShareUEC'!$D9:$G9,'KU ShareUEC'!$X9)</f>
        <v>1608.9916975158139</v>
      </c>
      <c r="C9" s="192">
        <f t="shared" si="2"/>
        <v>1.8813742720217519E-2</v>
      </c>
      <c r="D9" s="206">
        <f>SUM('KU ShareUEC'!$H9:$K9)</f>
        <v>4065.8819373308056</v>
      </c>
      <c r="E9" s="192">
        <f t="shared" si="2"/>
        <v>-1.5835536591710775E-2</v>
      </c>
      <c r="F9" s="206">
        <f>'KU ShareUEC'!$L9</f>
        <v>2119.9075844606541</v>
      </c>
      <c r="G9" s="192">
        <f t="shared" si="2"/>
        <v>4.3335646521533988E-3</v>
      </c>
      <c r="H9" s="206">
        <f>SUM('KU ShareUEC'!$M9:$W9,'KU ShareUEC'!$Y9:$Z9)-'KU ShareUEC'!Q9-'KU ShareUEC'!S9-'KU ShareUEC'!U9</f>
        <v>9521.0024068717266</v>
      </c>
      <c r="I9" s="192">
        <f t="shared" si="2"/>
        <v>1.0568286812700611E-2</v>
      </c>
      <c r="J9" s="206">
        <f t="shared" si="0"/>
        <v>17565.586090125435</v>
      </c>
      <c r="K9" s="192">
        <f t="shared" si="3"/>
        <v>6.227664528700716E-3</v>
      </c>
      <c r="L9" s="207"/>
      <c r="M9" s="206"/>
      <c r="N9" s="24"/>
      <c r="O9" s="36"/>
      <c r="P9" s="192"/>
      <c r="Q9" s="36"/>
      <c r="R9" s="192"/>
      <c r="S9" s="36"/>
      <c r="T9" s="192"/>
      <c r="U9" s="36"/>
      <c r="V9" s="192"/>
      <c r="W9" s="36"/>
      <c r="X9" s="192"/>
    </row>
    <row r="10" spans="1:24" x14ac:dyDescent="0.2">
      <c r="A10" s="182">
        <f t="shared" si="1"/>
        <v>2003</v>
      </c>
      <c r="B10" s="206">
        <f>SUM('KU ShareUEC'!$D10:$G10,'KU ShareUEC'!$X10)</f>
        <v>1638.3045697332386</v>
      </c>
      <c r="C10" s="192">
        <f t="shared" si="2"/>
        <v>1.8218162506793423E-2</v>
      </c>
      <c r="D10" s="206">
        <f>SUM('KU ShareUEC'!$H10:$K10)</f>
        <v>4002.3699309989643</v>
      </c>
      <c r="E10" s="192">
        <f t="shared" si="2"/>
        <v>-1.562072074663734E-2</v>
      </c>
      <c r="F10" s="206">
        <f>'KU ShareUEC'!$L10</f>
        <v>2129.0103610264086</v>
      </c>
      <c r="G10" s="192">
        <f t="shared" si="2"/>
        <v>4.293949713883638E-3</v>
      </c>
      <c r="H10" s="206">
        <f>SUM('KU ShareUEC'!$M10:$W10,'KU ShareUEC'!$Y10:$Z10)-'KU ShareUEC'!Q10-'KU ShareUEC'!S10-'KU ShareUEC'!U10</f>
        <v>9620.5498787768556</v>
      </c>
      <c r="I10" s="192">
        <f t="shared" si="2"/>
        <v>1.0455566299750307E-2</v>
      </c>
      <c r="J10" s="206">
        <f t="shared" si="0"/>
        <v>17674.236338596318</v>
      </c>
      <c r="K10" s="192">
        <f t="shared" si="3"/>
        <v>6.1854041142390681E-3</v>
      </c>
      <c r="L10" s="207"/>
      <c r="M10" s="206"/>
      <c r="N10" s="24"/>
      <c r="O10" s="36"/>
      <c r="P10" s="192"/>
      <c r="Q10" s="36"/>
      <c r="R10" s="192"/>
      <c r="S10" s="36"/>
      <c r="T10" s="192"/>
      <c r="U10" s="36"/>
      <c r="V10" s="192"/>
      <c r="W10" s="36"/>
      <c r="X10" s="192"/>
    </row>
    <row r="11" spans="1:24" x14ac:dyDescent="0.2">
      <c r="A11" s="182">
        <f t="shared" si="1"/>
        <v>2004</v>
      </c>
      <c r="B11" s="206">
        <f>SUM('KU ShareUEC'!$D11:$G11,'KU ShareUEC'!$X11)</f>
        <v>1661.5775680446081</v>
      </c>
      <c r="C11" s="192">
        <f t="shared" si="2"/>
        <v>1.4205538299364662E-2</v>
      </c>
      <c r="D11" s="206">
        <f>SUM('KU ShareUEC'!$H11:$K11)</f>
        <v>3969.3795777801447</v>
      </c>
      <c r="E11" s="192">
        <f t="shared" si="2"/>
        <v>-8.2427046443919183E-3</v>
      </c>
      <c r="F11" s="206">
        <f>'KU ShareUEC'!$L11</f>
        <v>2134.5175090033686</v>
      </c>
      <c r="G11" s="192">
        <f t="shared" si="2"/>
        <v>2.5867173207672067E-3</v>
      </c>
      <c r="H11" s="206">
        <f>SUM('KU ShareUEC'!$M11:$W11,'KU ShareUEC'!$Y11:$Z11)-'KU ShareUEC'!Q11-'KU ShareUEC'!S11-'KU ShareUEC'!U11</f>
        <v>9720.0764059909525</v>
      </c>
      <c r="I11" s="192">
        <f t="shared" si="2"/>
        <v>1.0345201518434433E-2</v>
      </c>
      <c r="J11" s="206">
        <f t="shared" si="0"/>
        <v>17779.270013787376</v>
      </c>
      <c r="K11" s="192">
        <f t="shared" si="3"/>
        <v>5.9427560647522526E-3</v>
      </c>
      <c r="L11" s="207"/>
      <c r="M11" s="206"/>
      <c r="N11" s="24"/>
      <c r="O11" s="36"/>
      <c r="P11" s="192"/>
      <c r="Q11" s="36"/>
      <c r="R11" s="192"/>
      <c r="S11" s="36"/>
      <c r="T11" s="192"/>
      <c r="U11" s="36"/>
      <c r="V11" s="192"/>
      <c r="W11" s="36"/>
      <c r="X11" s="192"/>
    </row>
    <row r="12" spans="1:24" x14ac:dyDescent="0.2">
      <c r="A12" s="182">
        <f t="shared" si="1"/>
        <v>2005</v>
      </c>
      <c r="B12" s="206">
        <f>SUM('KU ShareUEC'!$D12:$G12,'KU ShareUEC'!$X12)</f>
        <v>1686.8432557884555</v>
      </c>
      <c r="C12" s="192">
        <f t="shared" si="2"/>
        <v>1.5205843067308988E-2</v>
      </c>
      <c r="D12" s="206">
        <f>SUM('KU ShareUEC'!$H12:$K12)</f>
        <v>3943.7929126466183</v>
      </c>
      <c r="E12" s="192">
        <f t="shared" si="2"/>
        <v>-6.4460111793681607E-3</v>
      </c>
      <c r="F12" s="206">
        <f>'KU ShareUEC'!$L12</f>
        <v>2139.998090022028</v>
      </c>
      <c r="G12" s="192">
        <f t="shared" si="2"/>
        <v>2.5675971246628126E-3</v>
      </c>
      <c r="H12" s="206">
        <f>SUM('KU ShareUEC'!$M12:$W12,'KU ShareUEC'!$Y12:$Z12)-'KU ShareUEC'!Q12-'KU ShareUEC'!S12-'KU ShareUEC'!U12</f>
        <v>9902.8829751378544</v>
      </c>
      <c r="I12" s="192">
        <f t="shared" si="2"/>
        <v>1.8807112363255607E-2</v>
      </c>
      <c r="J12" s="206">
        <f t="shared" si="0"/>
        <v>17967.557163952937</v>
      </c>
      <c r="K12" s="192">
        <f t="shared" si="3"/>
        <v>1.0590263268376532E-2</v>
      </c>
      <c r="L12" s="207"/>
      <c r="M12" s="206"/>
      <c r="N12" s="24"/>
      <c r="O12" s="36"/>
      <c r="P12" s="192"/>
      <c r="Q12" s="36"/>
      <c r="R12" s="192"/>
      <c r="S12" s="36"/>
      <c r="T12" s="192"/>
      <c r="U12" s="36"/>
      <c r="V12" s="192"/>
      <c r="W12" s="36"/>
      <c r="X12" s="192"/>
    </row>
    <row r="13" spans="1:24" x14ac:dyDescent="0.2">
      <c r="A13" s="182">
        <f t="shared" si="1"/>
        <v>2006</v>
      </c>
      <c r="B13" s="206">
        <f>SUM('KU ShareUEC'!$D13:$G13,'KU ShareUEC'!$X13)</f>
        <v>1695.9219936412994</v>
      </c>
      <c r="C13" s="192">
        <f t="shared" si="2"/>
        <v>5.3820874119097084E-3</v>
      </c>
      <c r="D13" s="206">
        <f>SUM('KU ShareUEC'!$H13:$K13)</f>
        <v>3852.6224051059789</v>
      </c>
      <c r="E13" s="192">
        <f t="shared" si="2"/>
        <v>-2.3117468274838071E-2</v>
      </c>
      <c r="F13" s="206">
        <f>'KU ShareUEC'!$L13</f>
        <v>2144.5527062425913</v>
      </c>
      <c r="G13" s="192">
        <f t="shared" si="2"/>
        <v>2.1283272362717653E-3</v>
      </c>
      <c r="H13" s="206">
        <f>SUM('KU ShareUEC'!$M13:$W13,'KU ShareUEC'!$Y13:$Z13)-'KU ShareUEC'!Q13-'KU ShareUEC'!S13-'KU ShareUEC'!U13</f>
        <v>10166.958383068217</v>
      </c>
      <c r="I13" s="192">
        <f t="shared" si="2"/>
        <v>2.6666518083001689E-2</v>
      </c>
      <c r="J13" s="206">
        <f t="shared" si="0"/>
        <v>18236.187188103864</v>
      </c>
      <c r="K13" s="192">
        <f t="shared" si="3"/>
        <v>1.495083731748803E-2</v>
      </c>
      <c r="L13" s="207"/>
      <c r="M13" s="206"/>
      <c r="N13" s="24"/>
      <c r="O13" s="36"/>
      <c r="P13" s="192"/>
      <c r="Q13" s="36"/>
      <c r="R13" s="192"/>
      <c r="S13" s="36"/>
      <c r="T13" s="192"/>
      <c r="U13" s="36"/>
      <c r="V13" s="192"/>
      <c r="W13" s="36"/>
      <c r="X13" s="192"/>
    </row>
    <row r="14" spans="1:24" x14ac:dyDescent="0.2">
      <c r="A14" s="182">
        <f t="shared" si="1"/>
        <v>2007</v>
      </c>
      <c r="B14" s="206">
        <f>SUM('KU ShareUEC'!$D14:$G14,'KU ShareUEC'!$X14)</f>
        <v>1701.7089451106524</v>
      </c>
      <c r="C14" s="192">
        <f t="shared" si="2"/>
        <v>3.4122745568785362E-3</v>
      </c>
      <c r="D14" s="206">
        <f>SUM('KU ShareUEC'!$H14:$K14)</f>
        <v>3771.9052541895626</v>
      </c>
      <c r="E14" s="192">
        <f t="shared" si="2"/>
        <v>-2.095122294088303E-2</v>
      </c>
      <c r="F14" s="206">
        <f>'KU ShareUEC'!$L14</f>
        <v>2138.4953505285871</v>
      </c>
      <c r="G14" s="192">
        <f t="shared" si="2"/>
        <v>-2.8245310531990198E-3</v>
      </c>
      <c r="H14" s="206">
        <f>SUM('KU ShareUEC'!$M14:$W14,'KU ShareUEC'!$Y14:$Z14)-'KU ShareUEC'!Q14-'KU ShareUEC'!S14-'KU ShareUEC'!U14</f>
        <v>10263.560944343566</v>
      </c>
      <c r="I14" s="192">
        <f t="shared" si="2"/>
        <v>9.5016186390837198E-3</v>
      </c>
      <c r="J14" s="206">
        <f t="shared" si="0"/>
        <v>18326.73239366521</v>
      </c>
      <c r="K14" s="192">
        <f t="shared" si="3"/>
        <v>4.9651390736114021E-3</v>
      </c>
      <c r="L14" s="207"/>
      <c r="M14" s="206"/>
      <c r="N14" s="24"/>
      <c r="O14" s="36"/>
      <c r="P14" s="192"/>
      <c r="Q14" s="36"/>
      <c r="R14" s="192"/>
      <c r="S14" s="36"/>
      <c r="T14" s="192"/>
      <c r="U14" s="36"/>
      <c r="V14" s="192"/>
      <c r="W14" s="36"/>
      <c r="X14" s="192"/>
    </row>
    <row r="15" spans="1:24" x14ac:dyDescent="0.2">
      <c r="A15" s="182">
        <f t="shared" si="1"/>
        <v>2008</v>
      </c>
      <c r="B15" s="206">
        <f>SUM('KU ShareUEC'!$D15:$G15,'KU ShareUEC'!$X15)</f>
        <v>1747.3097803625431</v>
      </c>
      <c r="C15" s="192">
        <f t="shared" si="2"/>
        <v>2.6797082652066262E-2</v>
      </c>
      <c r="D15" s="206">
        <f>SUM('KU ShareUEC'!$H15:$K15)</f>
        <v>3710.0120161499553</v>
      </c>
      <c r="E15" s="192">
        <f t="shared" si="2"/>
        <v>-1.6409011857034472E-2</v>
      </c>
      <c r="F15" s="206">
        <f>'KU ShareUEC'!$L15</f>
        <v>2224.8187071835441</v>
      </c>
      <c r="G15" s="192">
        <f t="shared" si="2"/>
        <v>4.036639903548056E-2</v>
      </c>
      <c r="H15" s="206">
        <f>SUM('KU ShareUEC'!$M15:$W15,'KU ShareUEC'!$Y15:$Z15)-'KU ShareUEC'!Q15-'KU ShareUEC'!S15-'KU ShareUEC'!U15</f>
        <v>10571.217042119149</v>
      </c>
      <c r="I15" s="192">
        <f t="shared" si="2"/>
        <v>2.9975570802757145E-2</v>
      </c>
      <c r="J15" s="206">
        <f t="shared" si="0"/>
        <v>18720.711848095751</v>
      </c>
      <c r="K15" s="192">
        <f t="shared" si="3"/>
        <v>2.1497528635640695E-2</v>
      </c>
      <c r="L15" s="207"/>
      <c r="M15" s="206"/>
      <c r="N15" s="24"/>
      <c r="O15" s="36"/>
      <c r="P15" s="192"/>
      <c r="Q15" s="36"/>
      <c r="R15" s="192"/>
      <c r="S15" s="36"/>
      <c r="T15" s="192"/>
      <c r="U15" s="36"/>
      <c r="V15" s="192"/>
      <c r="W15" s="36"/>
      <c r="X15" s="192"/>
    </row>
    <row r="16" spans="1:24" x14ac:dyDescent="0.2">
      <c r="A16" s="182">
        <f t="shared" si="1"/>
        <v>2009</v>
      </c>
      <c r="B16" s="206">
        <f>SUM('KU ShareUEC'!$D16:$G16,'KU ShareUEC'!$X16)</f>
        <v>1783.437831558374</v>
      </c>
      <c r="C16" s="192">
        <f t="shared" si="2"/>
        <v>2.06763858371668E-2</v>
      </c>
      <c r="D16" s="206">
        <f>SUM('KU ShareUEC'!$H16:$K16)</f>
        <v>3595.0100655509204</v>
      </c>
      <c r="E16" s="192">
        <f t="shared" si="2"/>
        <v>-3.0997729953008979E-2</v>
      </c>
      <c r="F16" s="206">
        <f>'KU ShareUEC'!$L16</f>
        <v>2310.023850805147</v>
      </c>
      <c r="G16" s="192">
        <f t="shared" si="2"/>
        <v>3.8297567054111248E-2</v>
      </c>
      <c r="H16" s="206">
        <f>SUM('KU ShareUEC'!$M16:$W16,'KU ShareUEC'!$Y16:$Z16)-'KU ShareUEC'!Q16-'KU ShareUEC'!S16-'KU ShareUEC'!U16</f>
        <v>10450.192167739242</v>
      </c>
      <c r="I16" s="192">
        <f t="shared" si="2"/>
        <v>-1.1448528007485304E-2</v>
      </c>
      <c r="J16" s="206">
        <f t="shared" si="0"/>
        <v>18684.892117337444</v>
      </c>
      <c r="K16" s="192">
        <f t="shared" si="3"/>
        <v>-1.9133743977769457E-3</v>
      </c>
      <c r="L16" s="207"/>
      <c r="M16" s="206"/>
      <c r="N16" s="24"/>
      <c r="O16" s="36"/>
      <c r="P16" s="192"/>
      <c r="Q16" s="36"/>
      <c r="R16" s="192"/>
      <c r="S16" s="36"/>
      <c r="T16" s="192"/>
      <c r="U16" s="36"/>
      <c r="V16" s="192"/>
      <c r="W16" s="36"/>
      <c r="X16" s="192"/>
    </row>
    <row r="17" spans="1:24" x14ac:dyDescent="0.2">
      <c r="A17" s="182">
        <f t="shared" si="1"/>
        <v>2010</v>
      </c>
      <c r="B17" s="206">
        <f>SUM('KU ShareUEC'!$D17:$G17,'KU ShareUEC'!$X17)</f>
        <v>1825.0946999624523</v>
      </c>
      <c r="C17" s="192">
        <f t="shared" si="2"/>
        <v>2.3357622938658062E-2</v>
      </c>
      <c r="D17" s="206">
        <f>SUM('KU ShareUEC'!$H17:$K17)</f>
        <v>3554.8464182367366</v>
      </c>
      <c r="E17" s="192">
        <f t="shared" si="2"/>
        <v>-1.1172054203422377E-2</v>
      </c>
      <c r="F17" s="206">
        <f>'KU ShareUEC'!$L17</f>
        <v>2396.1099380506462</v>
      </c>
      <c r="G17" s="192">
        <f t="shared" si="2"/>
        <v>3.7266319659640779E-2</v>
      </c>
      <c r="H17" s="206">
        <f>SUM('KU ShareUEC'!$M17:$W17,'KU ShareUEC'!$Y17:$Z17)-'KU ShareUEC'!Q17-'KU ShareUEC'!S17-'KU ShareUEC'!U17</f>
        <v>10629.419301755304</v>
      </c>
      <c r="I17" s="192">
        <f t="shared" si="2"/>
        <v>1.7150606528495649E-2</v>
      </c>
      <c r="J17" s="206">
        <f t="shared" si="0"/>
        <v>18950.205338599008</v>
      </c>
      <c r="K17" s="192">
        <f t="shared" si="3"/>
        <v>1.4199344561127258E-2</v>
      </c>
      <c r="L17" s="207"/>
      <c r="M17" s="206"/>
      <c r="N17" s="24"/>
      <c r="O17" s="36"/>
      <c r="P17" s="192"/>
      <c r="Q17" s="36"/>
      <c r="R17" s="192"/>
      <c r="S17" s="36"/>
      <c r="T17" s="192"/>
      <c r="U17" s="36"/>
      <c r="V17" s="192"/>
      <c r="W17" s="36"/>
      <c r="X17" s="192"/>
    </row>
    <row r="18" spans="1:24" x14ac:dyDescent="0.2">
      <c r="A18" s="182">
        <f t="shared" si="1"/>
        <v>2011</v>
      </c>
      <c r="B18" s="206">
        <f>SUM('KU ShareUEC'!$D18:$G18,'KU ShareUEC'!$X18)</f>
        <v>1822.0185930754135</v>
      </c>
      <c r="C18" s="192">
        <f t="shared" si="2"/>
        <v>-1.6854505616076265E-3</v>
      </c>
      <c r="D18" s="206">
        <f>SUM('KU ShareUEC'!$H18:$K18)</f>
        <v>3548.2833936288025</v>
      </c>
      <c r="E18" s="192">
        <f t="shared" si="2"/>
        <v>-1.8462188898695775E-3</v>
      </c>
      <c r="F18" s="206">
        <f>'KU ShareUEC'!$L18</f>
        <v>2395.8546636873953</v>
      </c>
      <c r="G18" s="192">
        <f t="shared" si="2"/>
        <v>-1.0653699949114692E-4</v>
      </c>
      <c r="H18" s="206">
        <f>SUM('KU ShareUEC'!$M18:$W18,'KU ShareUEC'!$Y18:$Z18)-'KU ShareUEC'!Q18-'KU ShareUEC'!S18-'KU ShareUEC'!U18</f>
        <v>10464.15049258159</v>
      </c>
      <c r="I18" s="192">
        <f t="shared" si="2"/>
        <v>-1.5548244403758016E-2</v>
      </c>
      <c r="J18" s="206">
        <f t="shared" si="0"/>
        <v>18784.681255062042</v>
      </c>
      <c r="K18" s="192">
        <f t="shared" si="3"/>
        <v>-8.7346854864847057E-3</v>
      </c>
      <c r="L18" s="207"/>
      <c r="M18" s="206"/>
      <c r="N18" s="24"/>
      <c r="O18" s="36"/>
      <c r="P18" s="192"/>
      <c r="Q18" s="36"/>
      <c r="R18" s="192"/>
      <c r="S18" s="36"/>
      <c r="T18" s="192"/>
      <c r="U18" s="36"/>
      <c r="V18" s="192"/>
      <c r="W18" s="36"/>
      <c r="X18" s="192"/>
    </row>
    <row r="19" spans="1:24" x14ac:dyDescent="0.2">
      <c r="A19" s="182">
        <f t="shared" si="1"/>
        <v>2012</v>
      </c>
      <c r="B19" s="206">
        <f>SUM('KU ShareUEC'!$D19:$G19,'KU ShareUEC'!$X19)</f>
        <v>1818.5934404489076</v>
      </c>
      <c r="C19" s="188">
        <f t="shared" si="2"/>
        <v>-1.8798669999983142E-3</v>
      </c>
      <c r="D19" s="206">
        <f>SUM('KU ShareUEC'!$H19:$K19)</f>
        <v>3537.941630226735</v>
      </c>
      <c r="E19" s="188">
        <f t="shared" si="2"/>
        <v>-2.9145821386862281E-3</v>
      </c>
      <c r="F19" s="206">
        <f>'KU ShareUEC'!$L19</f>
        <v>2396.0076984364155</v>
      </c>
      <c r="G19" s="188">
        <f t="shared" si="2"/>
        <v>6.3874804820063247E-5</v>
      </c>
      <c r="H19" s="206">
        <f>SUM('KU ShareUEC'!$M19:$W19,'KU ShareUEC'!$Y19:$Z19)-'KU ShareUEC'!Q19-'KU ShareUEC'!S19-'KU ShareUEC'!U19</f>
        <v>10349.005748402829</v>
      </c>
      <c r="I19" s="188">
        <f t="shared" si="2"/>
        <v>-1.1003735492947198E-2</v>
      </c>
      <c r="J19" s="206">
        <f t="shared" si="0"/>
        <v>18669.6895456323</v>
      </c>
      <c r="K19" s="188">
        <f t="shared" si="3"/>
        <v>-6.1215683070882099E-3</v>
      </c>
      <c r="L19" s="207"/>
      <c r="M19" s="206"/>
      <c r="N19" s="24"/>
      <c r="O19" s="36"/>
      <c r="P19" s="188"/>
      <c r="Q19" s="36"/>
      <c r="R19" s="188"/>
      <c r="S19" s="36"/>
      <c r="T19" s="188"/>
      <c r="U19" s="36"/>
      <c r="V19" s="188"/>
      <c r="W19" s="36"/>
      <c r="X19" s="188"/>
    </row>
    <row r="20" spans="1:24" x14ac:dyDescent="0.2">
      <c r="A20" s="182">
        <f t="shared" si="1"/>
        <v>2013</v>
      </c>
      <c r="B20" s="206">
        <f>SUM('KU ShareUEC'!$D20:$G20,'KU ShareUEC'!$X20)</f>
        <v>1810.439313433903</v>
      </c>
      <c r="C20" s="188">
        <f t="shared" si="2"/>
        <v>-4.4837547709354331E-3</v>
      </c>
      <c r="D20" s="206">
        <f>SUM('KU ShareUEC'!$H20:$K20)</f>
        <v>3526.4220331186634</v>
      </c>
      <c r="E20" s="188">
        <f t="shared" si="2"/>
        <v>-3.2560167216024727E-3</v>
      </c>
      <c r="F20" s="206">
        <f>'KU ShareUEC'!$L20</f>
        <v>2395.7141686207137</v>
      </c>
      <c r="G20" s="188">
        <f t="shared" si="2"/>
        <v>-1.2250787670398111E-4</v>
      </c>
      <c r="H20" s="206">
        <f>SUM('KU ShareUEC'!$M20:$W20,'KU ShareUEC'!$Y20:$Z20)-'KU ShareUEC'!Q20-'KU ShareUEC'!S20-'KU ShareUEC'!U20</f>
        <v>10091.005022988154</v>
      </c>
      <c r="I20" s="188">
        <f t="shared" si="2"/>
        <v>-2.4930001169870097E-2</v>
      </c>
      <c r="J20" s="206">
        <f t="shared" si="0"/>
        <v>18411.395290401924</v>
      </c>
      <c r="K20" s="188">
        <f t="shared" si="3"/>
        <v>-1.3834951813154417E-2</v>
      </c>
      <c r="L20" s="214" t="s">
        <v>32</v>
      </c>
      <c r="M20" s="206"/>
      <c r="N20" s="24"/>
      <c r="O20" s="36"/>
      <c r="P20" s="188"/>
      <c r="Q20" s="36"/>
      <c r="R20" s="188"/>
      <c r="S20" s="36"/>
      <c r="T20" s="188"/>
      <c r="U20" s="36"/>
      <c r="V20" s="188"/>
      <c r="W20" s="36"/>
      <c r="X20" s="188"/>
    </row>
    <row r="21" spans="1:24" x14ac:dyDescent="0.2">
      <c r="A21" s="182">
        <f t="shared" si="1"/>
        <v>2014</v>
      </c>
      <c r="B21" s="206">
        <f>SUM('KU ShareUEC'!$D21:$G21,'KU ShareUEC'!$X21)</f>
        <v>1808.8857452279699</v>
      </c>
      <c r="C21" s="188">
        <f t="shared" si="2"/>
        <v>-8.5811669819868541E-4</v>
      </c>
      <c r="D21" s="206">
        <f>SUM('KU ShareUEC'!$H21:$K21)</f>
        <v>3515.6965400597314</v>
      </c>
      <c r="E21" s="188">
        <f t="shared" si="2"/>
        <v>-3.041466097421841E-3</v>
      </c>
      <c r="F21" s="206">
        <f>'KU ShareUEC'!$L21</f>
        <v>2395.3904526785004</v>
      </c>
      <c r="G21" s="188">
        <f t="shared" si="2"/>
        <v>-1.3512294014594861E-4</v>
      </c>
      <c r="H21" s="206">
        <f>SUM('KU ShareUEC'!$M21:$W21,'KU ShareUEC'!$Y21:$Z21)-'KU ShareUEC'!Q21-'KU ShareUEC'!S21-'KU ShareUEC'!U21</f>
        <v>10029.265271531933</v>
      </c>
      <c r="I21" s="188">
        <f t="shared" si="2"/>
        <v>-6.1182955826077912E-3</v>
      </c>
      <c r="J21" s="206">
        <f t="shared" si="0"/>
        <v>18349.331823003489</v>
      </c>
      <c r="K21" s="188">
        <f t="shared" si="3"/>
        <v>-3.3709268862849306E-3</v>
      </c>
      <c r="L21" s="207"/>
      <c r="M21" s="206"/>
      <c r="N21" s="24"/>
      <c r="O21" s="36"/>
      <c r="P21" s="188"/>
      <c r="Q21" s="36"/>
      <c r="R21" s="188"/>
      <c r="S21" s="36"/>
      <c r="T21" s="188"/>
      <c r="U21" s="36"/>
      <c r="V21" s="188"/>
      <c r="W21" s="36"/>
      <c r="X21" s="188"/>
    </row>
    <row r="22" spans="1:24" x14ac:dyDescent="0.2">
      <c r="A22" s="182">
        <f t="shared" si="1"/>
        <v>2015</v>
      </c>
      <c r="B22" s="206">
        <f>SUM('KU ShareUEC'!$D22:$G22,'KU ShareUEC'!$X22)</f>
        <v>1804.1190689105426</v>
      </c>
      <c r="C22" s="188">
        <f t="shared" si="2"/>
        <v>-2.6351450499304541E-3</v>
      </c>
      <c r="D22" s="206">
        <f>SUM('KU ShareUEC'!$H22:$K22)</f>
        <v>3491.1774077622931</v>
      </c>
      <c r="E22" s="188">
        <f t="shared" si="2"/>
        <v>-6.9741890456284095E-3</v>
      </c>
      <c r="F22" s="206">
        <f>'KU ShareUEC'!$L22</f>
        <v>2361.7718753230206</v>
      </c>
      <c r="G22" s="188">
        <f t="shared" si="2"/>
        <v>-1.4034696229956123E-2</v>
      </c>
      <c r="H22" s="206">
        <f>SUM('KU ShareUEC'!$M22:$W22,'KU ShareUEC'!$Y22:$Z22)-'KU ShareUEC'!Q22-'KU ShareUEC'!S22-'KU ShareUEC'!U22</f>
        <v>9989.5962920961574</v>
      </c>
      <c r="I22" s="188">
        <f t="shared" si="2"/>
        <v>-3.9553225846339357E-3</v>
      </c>
      <c r="J22" s="206">
        <f t="shared" si="0"/>
        <v>18276.044266212233</v>
      </c>
      <c r="K22" s="188">
        <f t="shared" si="3"/>
        <v>-3.9940177385303643E-3</v>
      </c>
      <c r="L22" s="207"/>
      <c r="M22" s="206"/>
      <c r="N22" s="24"/>
      <c r="O22" s="36"/>
      <c r="P22" s="188"/>
      <c r="Q22" s="36"/>
      <c r="R22" s="188"/>
      <c r="S22" s="36"/>
      <c r="T22" s="188"/>
      <c r="U22" s="36"/>
      <c r="V22" s="188"/>
      <c r="W22" s="36"/>
      <c r="X22" s="188"/>
    </row>
    <row r="23" spans="1:24" x14ac:dyDescent="0.2">
      <c r="A23" s="182">
        <f t="shared" si="1"/>
        <v>2016</v>
      </c>
      <c r="B23" s="206">
        <f>SUM('KU ShareUEC'!$D23:$G23,'KU ShareUEC'!$X23)</f>
        <v>1801.6691899457874</v>
      </c>
      <c r="C23" s="188">
        <f t="shared" si="2"/>
        <v>-1.3579364061789834E-3</v>
      </c>
      <c r="D23" s="206">
        <f>SUM('KU ShareUEC'!$H23:$K23)</f>
        <v>3480.5580972893122</v>
      </c>
      <c r="E23" s="188">
        <f t="shared" si="2"/>
        <v>-3.0417561849964692E-3</v>
      </c>
      <c r="F23" s="206">
        <f>'KU ShareUEC'!$L23</f>
        <v>2347.5124914434418</v>
      </c>
      <c r="G23" s="188">
        <f t="shared" si="2"/>
        <v>-6.0375788316254786E-3</v>
      </c>
      <c r="H23" s="206">
        <f>SUM('KU ShareUEC'!$M23:$W23,'KU ShareUEC'!$Y23:$Z23)-'KU ShareUEC'!Q23-'KU ShareUEC'!S23-'KU ShareUEC'!U23</f>
        <v>10025.311842866107</v>
      </c>
      <c r="I23" s="188">
        <f t="shared" si="2"/>
        <v>3.5752746883483955E-3</v>
      </c>
      <c r="J23" s="206">
        <f t="shared" si="0"/>
        <v>18297.500433102607</v>
      </c>
      <c r="K23" s="188">
        <f t="shared" si="3"/>
        <v>1.1740049749189296E-3</v>
      </c>
      <c r="L23" s="207"/>
      <c r="M23" s="206"/>
      <c r="N23" s="24"/>
      <c r="O23" s="36"/>
      <c r="P23" s="188"/>
      <c r="Q23" s="36"/>
      <c r="R23" s="188"/>
      <c r="S23" s="36"/>
      <c r="T23" s="188"/>
      <c r="U23" s="36"/>
      <c r="V23" s="188"/>
      <c r="W23" s="36"/>
      <c r="X23" s="188"/>
    </row>
    <row r="24" spans="1:24" x14ac:dyDescent="0.2">
      <c r="A24" s="182">
        <f t="shared" si="1"/>
        <v>2017</v>
      </c>
      <c r="B24" s="206">
        <f>SUM('KU ShareUEC'!$D24:$G24,'KU ShareUEC'!$X24)</f>
        <v>1799.7665795699691</v>
      </c>
      <c r="C24" s="188">
        <f t="shared" si="2"/>
        <v>-1.0560264816847909E-3</v>
      </c>
      <c r="D24" s="206">
        <f>SUM('KU ShareUEC'!$H24:$K24)</f>
        <v>3475.1372317926048</v>
      </c>
      <c r="E24" s="188">
        <f t="shared" si="2"/>
        <v>-1.5574701944867098E-3</v>
      </c>
      <c r="F24" s="206">
        <f>'KU ShareUEC'!$L24</f>
        <v>2335.3957138172623</v>
      </c>
      <c r="G24" s="188">
        <f t="shared" si="2"/>
        <v>-5.1615391485005935E-3</v>
      </c>
      <c r="H24" s="206">
        <f>SUM('KU ShareUEC'!$M24:$W24,'KU ShareUEC'!$Y24:$Z24)-'KU ShareUEC'!Q24-'KU ShareUEC'!S24-'KU ShareUEC'!U24</f>
        <v>10073.866657429395</v>
      </c>
      <c r="I24" s="188">
        <f t="shared" si="2"/>
        <v>4.8432223679744091E-3</v>
      </c>
      <c r="J24" s="206">
        <f t="shared" si="0"/>
        <v>18333.938470039713</v>
      </c>
      <c r="K24" s="188">
        <f t="shared" si="3"/>
        <v>1.991421564400353E-3</v>
      </c>
      <c r="L24" s="207"/>
      <c r="M24" s="206"/>
      <c r="N24" s="24"/>
      <c r="O24" s="36"/>
      <c r="P24" s="188"/>
      <c r="Q24" s="36"/>
      <c r="R24" s="188"/>
      <c r="S24" s="36"/>
      <c r="T24" s="188"/>
      <c r="U24" s="36"/>
      <c r="V24" s="188"/>
      <c r="W24" s="36"/>
      <c r="X24" s="188"/>
    </row>
    <row r="25" spans="1:24" x14ac:dyDescent="0.2">
      <c r="A25" s="182">
        <f t="shared" si="1"/>
        <v>2018</v>
      </c>
      <c r="B25" s="206">
        <f>SUM('KU ShareUEC'!$D25:$G25,'KU ShareUEC'!$X25)</f>
        <v>1797.6936125815519</v>
      </c>
      <c r="C25" s="188">
        <f t="shared" si="2"/>
        <v>-1.1517976897384985E-3</v>
      </c>
      <c r="D25" s="206">
        <f>SUM('KU ShareUEC'!$H25:$K25)</f>
        <v>3473.4417452056814</v>
      </c>
      <c r="E25" s="188">
        <f t="shared" si="2"/>
        <v>-4.8789054182152292E-4</v>
      </c>
      <c r="F25" s="206">
        <f>'KU ShareUEC'!$L25</f>
        <v>2323.9692276920682</v>
      </c>
      <c r="G25" s="188">
        <f t="shared" si="2"/>
        <v>-4.8927408993644228E-3</v>
      </c>
      <c r="H25" s="206">
        <f>SUM('KU ShareUEC'!$M25:$W25,'KU ShareUEC'!$Y25:$Z25)-'KU ShareUEC'!Q25-'KU ShareUEC'!S25-'KU ShareUEC'!U25</f>
        <v>10140.709866066516</v>
      </c>
      <c r="I25" s="188">
        <f t="shared" si="2"/>
        <v>6.6353080609644621E-3</v>
      </c>
      <c r="J25" s="206">
        <f t="shared" si="0"/>
        <v>18389.35519255164</v>
      </c>
      <c r="K25" s="188">
        <f t="shared" si="3"/>
        <v>3.0226305494853722E-3</v>
      </c>
      <c r="L25" s="207"/>
      <c r="M25" s="206"/>
      <c r="N25" s="24"/>
      <c r="O25" s="36"/>
      <c r="P25" s="188"/>
      <c r="Q25" s="36"/>
      <c r="R25" s="188"/>
      <c r="S25" s="36"/>
      <c r="T25" s="188"/>
      <c r="U25" s="36"/>
      <c r="V25" s="188"/>
      <c r="W25" s="36"/>
      <c r="X25" s="188"/>
    </row>
    <row r="26" spans="1:24" x14ac:dyDescent="0.2">
      <c r="A26" s="182">
        <f t="shared" si="1"/>
        <v>2019</v>
      </c>
      <c r="B26" s="206">
        <f>SUM('KU ShareUEC'!$D26:$G26,'KU ShareUEC'!$X26)</f>
        <v>1792.3527286682979</v>
      </c>
      <c r="C26" s="188">
        <f t="shared" si="2"/>
        <v>-2.9709645046711586E-3</v>
      </c>
      <c r="D26" s="206">
        <f>SUM('KU ShareUEC'!$H26:$K26)</f>
        <v>3474.5484640836976</v>
      </c>
      <c r="E26" s="188">
        <f t="shared" si="2"/>
        <v>3.1862312921870917E-4</v>
      </c>
      <c r="F26" s="206">
        <f>'KU ShareUEC'!$L26</f>
        <v>2313.2757523831469</v>
      </c>
      <c r="G26" s="188">
        <f t="shared" si="2"/>
        <v>-4.6013842100400826E-3</v>
      </c>
      <c r="H26" s="206">
        <f>SUM('KU ShareUEC'!$M26:$W26,'KU ShareUEC'!$Y26:$Z26)-'KU ShareUEC'!Q26-'KU ShareUEC'!S26-'KU ShareUEC'!U26</f>
        <v>10220.279059930988</v>
      </c>
      <c r="I26" s="188">
        <f t="shared" si="2"/>
        <v>7.8465112319929808E-3</v>
      </c>
      <c r="J26" s="206">
        <f t="shared" si="0"/>
        <v>18458.230911107192</v>
      </c>
      <c r="K26" s="188">
        <f t="shared" si="3"/>
        <v>3.7454123776698989E-3</v>
      </c>
      <c r="L26" s="207"/>
      <c r="M26" s="206"/>
      <c r="N26" s="24"/>
      <c r="O26" s="36"/>
      <c r="P26" s="188"/>
      <c r="Q26" s="36"/>
      <c r="R26" s="188"/>
      <c r="S26" s="36"/>
      <c r="T26" s="188"/>
      <c r="U26" s="36"/>
      <c r="V26" s="188"/>
      <c r="W26" s="36"/>
      <c r="X26" s="188"/>
    </row>
    <row r="27" spans="1:24" x14ac:dyDescent="0.2">
      <c r="A27" s="182">
        <f t="shared" si="1"/>
        <v>2020</v>
      </c>
      <c r="B27" s="206">
        <f>SUM('KU ShareUEC'!$D27:$G27,'KU ShareUEC'!$X27)</f>
        <v>1789.162973514216</v>
      </c>
      <c r="C27" s="188">
        <f t="shared" si="2"/>
        <v>-1.7796469986417485E-3</v>
      </c>
      <c r="D27" s="206">
        <f>SUM('KU ShareUEC'!$H27:$K27)</f>
        <v>3475.1663933410864</v>
      </c>
      <c r="E27" s="188">
        <f t="shared" si="2"/>
        <v>1.7784447785840207E-4</v>
      </c>
      <c r="F27" s="206">
        <f>'KU ShareUEC'!$L27</f>
        <v>2303.3151004723404</v>
      </c>
      <c r="G27" s="188">
        <f t="shared" si="2"/>
        <v>-4.3058644869921059E-3</v>
      </c>
      <c r="H27" s="206">
        <f>SUM('KU ShareUEC'!$M27:$W27,'KU ShareUEC'!$Y27:$Z27)-'KU ShareUEC'!Q27-'KU ShareUEC'!S27-'KU ShareUEC'!U27</f>
        <v>10258.090266366402</v>
      </c>
      <c r="I27" s="188">
        <f t="shared" si="2"/>
        <v>3.6996256377825887E-3</v>
      </c>
      <c r="J27" s="206">
        <f t="shared" si="0"/>
        <v>18486.081465631796</v>
      </c>
      <c r="K27" s="188">
        <f t="shared" si="3"/>
        <v>1.5088420260169766E-3</v>
      </c>
      <c r="L27" s="207"/>
      <c r="M27" s="206"/>
      <c r="N27" s="24"/>
      <c r="O27" s="36"/>
      <c r="P27" s="188"/>
      <c r="Q27" s="36"/>
      <c r="R27" s="188"/>
      <c r="S27" s="36"/>
      <c r="T27" s="188"/>
      <c r="U27" s="36"/>
      <c r="V27" s="188"/>
      <c r="W27" s="36"/>
      <c r="X27" s="188"/>
    </row>
    <row r="28" spans="1:24" x14ac:dyDescent="0.2">
      <c r="A28" s="182">
        <f t="shared" si="1"/>
        <v>2021</v>
      </c>
      <c r="B28" s="206">
        <f>SUM('KU ShareUEC'!$D28:$G28,'KU ShareUEC'!$X28)</f>
        <v>1783.2881271472536</v>
      </c>
      <c r="C28" s="188">
        <f t="shared" si="2"/>
        <v>-3.2835725162717599E-3</v>
      </c>
      <c r="D28" s="206">
        <f>SUM('KU ShareUEC'!$H28:$K28)</f>
        <v>3479.9019945795098</v>
      </c>
      <c r="E28" s="188">
        <f t="shared" si="2"/>
        <v>1.36269769628794E-3</v>
      </c>
      <c r="F28" s="206">
        <f>'KU ShareUEC'!$L28</f>
        <v>2293.7861030771487</v>
      </c>
      <c r="G28" s="188">
        <f t="shared" si="2"/>
        <v>-4.1370793745231227E-3</v>
      </c>
      <c r="H28" s="206">
        <f>SUM('KU ShareUEC'!$M28:$W28,'KU ShareUEC'!$Y28:$Z28)-'KU ShareUEC'!Q28-'KU ShareUEC'!S28-'KU ShareUEC'!U28</f>
        <v>10319.851012761035</v>
      </c>
      <c r="I28" s="188">
        <f t="shared" si="2"/>
        <v>6.0206865791707642E-3</v>
      </c>
      <c r="J28" s="206">
        <f t="shared" si="0"/>
        <v>18538.313214631242</v>
      </c>
      <c r="K28" s="188">
        <f t="shared" si="3"/>
        <v>2.8254635303079922E-3</v>
      </c>
      <c r="L28" s="207"/>
      <c r="M28" s="206"/>
      <c r="N28" s="25"/>
      <c r="O28" s="36"/>
      <c r="P28" s="188"/>
      <c r="Q28" s="36"/>
      <c r="R28" s="188"/>
      <c r="S28" s="36"/>
      <c r="T28" s="188"/>
      <c r="U28" s="36"/>
      <c r="V28" s="188"/>
      <c r="W28" s="36"/>
      <c r="X28" s="188"/>
    </row>
    <row r="29" spans="1:24" x14ac:dyDescent="0.2">
      <c r="A29" s="182">
        <f t="shared" si="1"/>
        <v>2022</v>
      </c>
      <c r="B29" s="206">
        <f>SUM('KU ShareUEC'!$D29:$G29,'KU ShareUEC'!$X29)</f>
        <v>1778.0207736551588</v>
      </c>
      <c r="C29" s="188">
        <f t="shared" si="2"/>
        <v>-2.9537310386971161E-3</v>
      </c>
      <c r="D29" s="206">
        <f>SUM('KU ShareUEC'!$H29:$K29)</f>
        <v>3486.179337424599</v>
      </c>
      <c r="E29" s="188">
        <f t="shared" si="2"/>
        <v>1.8038849527564071E-3</v>
      </c>
      <c r="F29" s="206">
        <f>'KU ShareUEC'!$L29</f>
        <v>2284.6651765800134</v>
      </c>
      <c r="G29" s="188">
        <f t="shared" si="2"/>
        <v>-3.9763631338159966E-3</v>
      </c>
      <c r="H29" s="206">
        <f>SUM('KU ShareUEC'!$M29:$W29,'KU ShareUEC'!$Y29:$Z29)-'KU ShareUEC'!Q29-'KU ShareUEC'!S29-'KU ShareUEC'!U29</f>
        <v>10400.398462133149</v>
      </c>
      <c r="I29" s="188">
        <f t="shared" si="2"/>
        <v>7.8050980845085771E-3</v>
      </c>
      <c r="J29" s="206">
        <f t="shared" si="0"/>
        <v>18609.739737506221</v>
      </c>
      <c r="K29" s="188">
        <f t="shared" si="3"/>
        <v>3.8529138033229771E-3</v>
      </c>
      <c r="L29" s="207"/>
      <c r="M29" s="206"/>
      <c r="N29" s="25"/>
      <c r="O29" s="36"/>
      <c r="P29" s="188"/>
      <c r="Q29" s="36"/>
      <c r="R29" s="188"/>
      <c r="S29" s="36"/>
      <c r="T29" s="188"/>
      <c r="U29" s="36"/>
      <c r="V29" s="188"/>
      <c r="W29" s="36"/>
      <c r="X29" s="188"/>
    </row>
    <row r="30" spans="1:24" x14ac:dyDescent="0.2">
      <c r="A30" s="182">
        <f t="shared" si="1"/>
        <v>2023</v>
      </c>
      <c r="B30" s="206">
        <f>SUM('KU ShareUEC'!$D30:$G30,'KU ShareUEC'!$X30)</f>
        <v>1771.4395691376892</v>
      </c>
      <c r="C30" s="188">
        <f t="shared" si="2"/>
        <v>-3.7014216115935916E-3</v>
      </c>
      <c r="D30" s="206">
        <f>SUM('KU ShareUEC'!$H30:$K30)</f>
        <v>3494.8649817371042</v>
      </c>
      <c r="E30" s="188">
        <f t="shared" si="2"/>
        <v>2.4914508038251792E-3</v>
      </c>
      <c r="F30" s="206">
        <f>'KU ShareUEC'!$L30</f>
        <v>2275.8735014157064</v>
      </c>
      <c r="G30" s="188">
        <f t="shared" si="2"/>
        <v>-3.8481241165795321E-3</v>
      </c>
      <c r="H30" s="206">
        <f>SUM('KU ShareUEC'!$M30:$W30,'KU ShareUEC'!$Y30:$Z30)-'KU ShareUEC'!Q30-'KU ShareUEC'!S30-'KU ShareUEC'!U30</f>
        <v>10490.473780916727</v>
      </c>
      <c r="I30" s="188">
        <f t="shared" si="2"/>
        <v>8.6607565192367009E-3</v>
      </c>
      <c r="J30" s="206">
        <f t="shared" si="0"/>
        <v>18691.023381125488</v>
      </c>
      <c r="K30" s="188">
        <f t="shared" si="3"/>
        <v>4.3678012033370184E-3</v>
      </c>
      <c r="L30" s="207"/>
      <c r="M30" s="206"/>
      <c r="N30" s="25"/>
      <c r="O30" s="36"/>
      <c r="P30" s="188"/>
      <c r="Q30" s="36"/>
      <c r="R30" s="188"/>
      <c r="S30" s="36"/>
      <c r="T30" s="188"/>
      <c r="U30" s="36"/>
      <c r="V30" s="188"/>
      <c r="W30" s="36"/>
      <c r="X30" s="188"/>
    </row>
    <row r="31" spans="1:24" x14ac:dyDescent="0.2">
      <c r="A31" s="182">
        <f t="shared" si="1"/>
        <v>2024</v>
      </c>
      <c r="B31" s="206">
        <f>SUM('KU ShareUEC'!$D31:$G31,'KU ShareUEC'!$X31)</f>
        <v>1765.4292470293033</v>
      </c>
      <c r="C31" s="188">
        <f t="shared" si="2"/>
        <v>-3.3929027064195649E-3</v>
      </c>
      <c r="D31" s="206">
        <f>SUM('KU ShareUEC'!$H31:$K31)</f>
        <v>3506.0114991647529</v>
      </c>
      <c r="E31" s="188">
        <f t="shared" si="2"/>
        <v>3.1893985850373063E-3</v>
      </c>
      <c r="F31" s="206">
        <f>'KU ShareUEC'!$L31</f>
        <v>2267.4006861623916</v>
      </c>
      <c r="G31" s="188">
        <f t="shared" si="2"/>
        <v>-3.7228849705593925E-3</v>
      </c>
      <c r="H31" s="206">
        <f>SUM('KU ShareUEC'!$M31:$W31,'KU ShareUEC'!$Y31:$Z31)-'KU ShareUEC'!Q31-'KU ShareUEC'!S31-'KU ShareUEC'!U31</f>
        <v>10588.633191291989</v>
      </c>
      <c r="I31" s="188">
        <f t="shared" si="2"/>
        <v>9.3570045000086477E-3</v>
      </c>
      <c r="J31" s="206">
        <f t="shared" si="0"/>
        <v>18780.709976247435</v>
      </c>
      <c r="K31" s="188">
        <f t="shared" si="3"/>
        <v>4.7983779856866082E-3</v>
      </c>
      <c r="L31" s="207"/>
      <c r="M31" s="206"/>
      <c r="N31" s="25"/>
      <c r="O31" s="36"/>
      <c r="P31" s="188"/>
      <c r="Q31" s="36"/>
      <c r="R31" s="188"/>
      <c r="S31" s="36"/>
      <c r="T31" s="188"/>
      <c r="U31" s="36"/>
      <c r="V31" s="188"/>
      <c r="W31" s="36"/>
      <c r="X31" s="188"/>
    </row>
    <row r="32" spans="1:24" x14ac:dyDescent="0.2">
      <c r="A32" s="182">
        <f t="shared" si="1"/>
        <v>2025</v>
      </c>
      <c r="B32" s="206">
        <f>SUM('KU ShareUEC'!$D32:$G32,'KU ShareUEC'!$X32)</f>
        <v>1759.5832544318894</v>
      </c>
      <c r="C32" s="188">
        <f t="shared" si="2"/>
        <v>-3.3113717852193414E-3</v>
      </c>
      <c r="D32" s="206">
        <f>SUM('KU ShareUEC'!$H32:$K32)</f>
        <v>3518.6469633708498</v>
      </c>
      <c r="E32" s="188">
        <f t="shared" si="2"/>
        <v>3.6039426023295462E-3</v>
      </c>
      <c r="F32" s="206">
        <f>'KU ShareUEC'!$L32</f>
        <v>2259.4424476995164</v>
      </c>
      <c r="G32" s="188">
        <f t="shared" si="2"/>
        <v>-3.5098509546385159E-3</v>
      </c>
      <c r="H32" s="206">
        <f>SUM('KU ShareUEC'!$M32:$W32,'KU ShareUEC'!$Y32:$Z32)-'KU ShareUEC'!Q32-'KU ShareUEC'!S32-'KU ShareUEC'!U32</f>
        <v>10696.891658716482</v>
      </c>
      <c r="I32" s="188">
        <f t="shared" si="2"/>
        <v>1.0224026601802105E-2</v>
      </c>
      <c r="J32" s="206">
        <f t="shared" si="0"/>
        <v>18881.010205209055</v>
      </c>
      <c r="K32" s="188">
        <f t="shared" si="3"/>
        <v>5.3405983633458831E-3</v>
      </c>
      <c r="L32" s="207"/>
      <c r="M32" s="206"/>
      <c r="N32" s="25"/>
      <c r="O32" s="36"/>
      <c r="P32" s="188"/>
      <c r="Q32" s="36"/>
      <c r="R32" s="188"/>
      <c r="S32" s="36"/>
      <c r="T32" s="188"/>
      <c r="U32" s="36"/>
      <c r="V32" s="188"/>
      <c r="W32" s="36"/>
      <c r="X32" s="188"/>
    </row>
    <row r="33" spans="1:24" x14ac:dyDescent="0.2">
      <c r="A33" s="182">
        <f t="shared" si="1"/>
        <v>2026</v>
      </c>
      <c r="B33" s="206">
        <f>SUM('KU ShareUEC'!$D33:$G33,'KU ShareUEC'!$X33)</f>
        <v>1752.7054137115126</v>
      </c>
      <c r="C33" s="188">
        <f t="shared" si="2"/>
        <v>-3.908789597226181E-3</v>
      </c>
      <c r="D33" s="206">
        <f>SUM('KU ShareUEC'!$H33:$K33)</f>
        <v>3532.6421780639357</v>
      </c>
      <c r="E33" s="188">
        <f t="shared" si="2"/>
        <v>3.9774421357914314E-3</v>
      </c>
      <c r="F33" s="206">
        <f>'KU ShareUEC'!$L33</f>
        <v>2252.5685436612594</v>
      </c>
      <c r="G33" s="188">
        <f t="shared" si="2"/>
        <v>-3.042301008930659E-3</v>
      </c>
      <c r="H33" s="206">
        <f>SUM('KU ShareUEC'!$M33:$W33,'KU ShareUEC'!$Y33:$Z33)-'KU ShareUEC'!Q33-'KU ShareUEC'!S33-'KU ShareUEC'!U33</f>
        <v>10801.582879168722</v>
      </c>
      <c r="I33" s="188">
        <f t="shared" si="2"/>
        <v>9.787069346161914E-3</v>
      </c>
      <c r="J33" s="206">
        <f t="shared" si="0"/>
        <v>18978.827521623036</v>
      </c>
      <c r="K33" s="188">
        <f t="shared" ref="K33:K42" si="4">J33/J32-1</f>
        <v>5.1807247255761801E-3</v>
      </c>
      <c r="M33" s="206"/>
      <c r="N33" s="25"/>
      <c r="O33" s="36"/>
      <c r="P33" s="188"/>
      <c r="Q33" s="36"/>
      <c r="R33" s="188"/>
      <c r="S33" s="36"/>
      <c r="T33" s="188"/>
      <c r="U33" s="36"/>
      <c r="V33" s="188"/>
      <c r="W33" s="36"/>
      <c r="X33" s="188"/>
    </row>
    <row r="34" spans="1:24" x14ac:dyDescent="0.2">
      <c r="A34" s="182">
        <f t="shared" si="1"/>
        <v>2027</v>
      </c>
      <c r="B34" s="206">
        <f>SUM('KU ShareUEC'!$D34:$G34,'KU ShareUEC'!$X34)</f>
        <v>1747.1944229239148</v>
      </c>
      <c r="C34" s="188">
        <f t="shared" si="2"/>
        <v>-3.1442766961778945E-3</v>
      </c>
      <c r="D34" s="206">
        <f>SUM('KU ShareUEC'!$H34:$K34)</f>
        <v>3547.577236463314</v>
      </c>
      <c r="E34" s="188">
        <f t="shared" si="2"/>
        <v>4.2277303068276595E-3</v>
      </c>
      <c r="F34" s="206">
        <f>'KU ShareUEC'!$L34</f>
        <v>2246.8247262336781</v>
      </c>
      <c r="G34" s="188">
        <f t="shared" si="2"/>
        <v>-2.5498968471988626E-3</v>
      </c>
      <c r="H34" s="206">
        <f>SUM('KU ShareUEC'!$M34:$W34,'KU ShareUEC'!$Y34:$Z34)-'KU ShareUEC'!Q34-'KU ShareUEC'!S34-'KU ShareUEC'!U34</f>
        <v>10913.780992632068</v>
      </c>
      <c r="I34" s="188">
        <f t="shared" si="2"/>
        <v>1.0387191832756715E-2</v>
      </c>
      <c r="J34" s="206">
        <f t="shared" si="0"/>
        <v>19085.281817658801</v>
      </c>
      <c r="K34" s="188">
        <f t="shared" si="4"/>
        <v>5.609108145088415E-3</v>
      </c>
      <c r="M34" s="206"/>
      <c r="N34" s="25"/>
      <c r="O34" s="36"/>
      <c r="P34" s="188"/>
      <c r="Q34" s="36"/>
      <c r="R34" s="188"/>
      <c r="S34" s="36"/>
      <c r="T34" s="188"/>
      <c r="U34" s="36"/>
      <c r="V34" s="188"/>
      <c r="W34" s="36"/>
      <c r="X34" s="188"/>
    </row>
    <row r="35" spans="1:24" x14ac:dyDescent="0.2">
      <c r="A35" s="182">
        <f t="shared" si="1"/>
        <v>2028</v>
      </c>
      <c r="B35" s="206">
        <f>SUM('KU ShareUEC'!$D35:$G35,'KU ShareUEC'!$X35)</f>
        <v>1740.0333921331348</v>
      </c>
      <c r="C35" s="188">
        <f t="shared" si="2"/>
        <v>-4.0985883979620663E-3</v>
      </c>
      <c r="D35" s="206">
        <f>SUM('KU ShareUEC'!$H35:$K35)</f>
        <v>3562.7822959039236</v>
      </c>
      <c r="E35" s="188">
        <f t="shared" si="2"/>
        <v>4.2860404233984184E-3</v>
      </c>
      <c r="F35" s="206">
        <f>'KU ShareUEC'!$L35</f>
        <v>2242.0644627902607</v>
      </c>
      <c r="G35" s="188">
        <f t="shared" si="2"/>
        <v>-2.1186625675946313E-3</v>
      </c>
      <c r="H35" s="206">
        <f>SUM('KU ShareUEC'!$M35:$W35,'KU ShareUEC'!$Y35:$Z35)-'KU ShareUEC'!Q35-'KU ShareUEC'!S35-'KU ShareUEC'!U35</f>
        <v>11030.161916098383</v>
      </c>
      <c r="I35" s="188">
        <f t="shared" si="2"/>
        <v>1.0663666748021106E-2</v>
      </c>
      <c r="J35" s="206">
        <f t="shared" si="0"/>
        <v>19196.902477681699</v>
      </c>
      <c r="K35" s="188">
        <f t="shared" si="4"/>
        <v>5.8485203985627621E-3</v>
      </c>
      <c r="M35" s="206"/>
      <c r="N35" s="25"/>
      <c r="O35" s="36"/>
      <c r="P35" s="188"/>
      <c r="Q35" s="36"/>
      <c r="R35" s="188"/>
      <c r="S35" s="36"/>
      <c r="T35" s="188"/>
      <c r="U35" s="36"/>
      <c r="V35" s="188"/>
      <c r="W35" s="36"/>
      <c r="X35" s="188"/>
    </row>
    <row r="36" spans="1:24" x14ac:dyDescent="0.2">
      <c r="A36" s="182">
        <f t="shared" si="1"/>
        <v>2029</v>
      </c>
      <c r="B36" s="206">
        <f>SUM('KU ShareUEC'!$D36:$G36,'KU ShareUEC'!$X36)</f>
        <v>1736.2894446734347</v>
      </c>
      <c r="C36" s="188">
        <f t="shared" si="2"/>
        <v>-2.1516526502461941E-3</v>
      </c>
      <c r="D36" s="206">
        <f>SUM('KU ShareUEC'!$H36:$K36)</f>
        <v>3578.9184460864044</v>
      </c>
      <c r="E36" s="188">
        <f t="shared" si="2"/>
        <v>4.5290867760940934E-3</v>
      </c>
      <c r="F36" s="206">
        <f>'KU ShareUEC'!$L36</f>
        <v>2238.0662814759462</v>
      </c>
      <c r="G36" s="188">
        <f t="shared" si="2"/>
        <v>-1.7832588583731601E-3</v>
      </c>
      <c r="H36" s="206">
        <f>SUM('KU ShareUEC'!$M36:$W36,'KU ShareUEC'!$Y36:$Z36)-'KU ShareUEC'!Q36-'KU ShareUEC'!S36-'KU ShareUEC'!U36</f>
        <v>11146.021604089801</v>
      </c>
      <c r="I36" s="188">
        <f t="shared" si="2"/>
        <v>1.0503897302026166E-2</v>
      </c>
      <c r="J36" s="206">
        <f t="shared" si="0"/>
        <v>19308.763984358804</v>
      </c>
      <c r="K36" s="188">
        <f t="shared" si="4"/>
        <v>5.8270602149046447E-3</v>
      </c>
      <c r="M36" s="206"/>
      <c r="N36" s="25"/>
      <c r="O36" s="36"/>
      <c r="P36" s="188"/>
      <c r="Q36" s="36"/>
      <c r="R36" s="188"/>
      <c r="S36" s="36"/>
      <c r="T36" s="188"/>
      <c r="U36" s="36"/>
      <c r="V36" s="188"/>
      <c r="W36" s="36"/>
      <c r="X36" s="188"/>
    </row>
    <row r="37" spans="1:24" x14ac:dyDescent="0.2">
      <c r="A37" s="182">
        <f t="shared" si="1"/>
        <v>2030</v>
      </c>
      <c r="B37" s="206">
        <f>SUM('KU ShareUEC'!$D37:$G37,'KU ShareUEC'!$X37)</f>
        <v>1728.6477349711199</v>
      </c>
      <c r="C37" s="188">
        <f t="shared" si="2"/>
        <v>-4.4011726994931388E-3</v>
      </c>
      <c r="D37" s="206">
        <f>SUM('KU ShareUEC'!$H37:$K37)</f>
        <v>3594.6302638116849</v>
      </c>
      <c r="E37" s="188">
        <f t="shared" si="2"/>
        <v>4.3901021948298258E-3</v>
      </c>
      <c r="F37" s="206">
        <f>'KU ShareUEC'!$L37</f>
        <v>2234.9732955928589</v>
      </c>
      <c r="G37" s="188">
        <f t="shared" si="2"/>
        <v>-1.3819902961262898E-3</v>
      </c>
      <c r="H37" s="206">
        <f>SUM('KU ShareUEC'!$M37:$W37,'KU ShareUEC'!$Y37:$Z37)-'KU ShareUEC'!Q37-'KU ShareUEC'!S37-'KU ShareUEC'!U37</f>
        <v>11273.400722603385</v>
      </c>
      <c r="I37" s="188">
        <f t="shared" si="2"/>
        <v>1.1428213854066449E-2</v>
      </c>
      <c r="J37" s="206">
        <f t="shared" si="0"/>
        <v>19433.0501169893</v>
      </c>
      <c r="K37" s="188">
        <f t="shared" si="4"/>
        <v>6.436773101125226E-3</v>
      </c>
      <c r="M37" s="206"/>
      <c r="N37" s="25"/>
      <c r="O37" s="36"/>
      <c r="P37" s="188"/>
      <c r="Q37" s="36"/>
      <c r="R37" s="188"/>
      <c r="S37" s="36"/>
      <c r="T37" s="188"/>
      <c r="U37" s="36"/>
      <c r="V37" s="188"/>
      <c r="W37" s="36"/>
      <c r="X37" s="261"/>
    </row>
    <row r="38" spans="1:24" x14ac:dyDescent="0.2">
      <c r="A38" s="182">
        <f t="shared" si="1"/>
        <v>2031</v>
      </c>
      <c r="B38" s="206">
        <f>SUM('KU ShareUEC'!$D38:$G38,'KU ShareUEC'!$X38)</f>
        <v>1724.8341199503679</v>
      </c>
      <c r="C38" s="188">
        <f t="shared" si="2"/>
        <v>-2.2061261780530472E-3</v>
      </c>
      <c r="D38" s="206">
        <f>SUM('KU ShareUEC'!$H38:$K38)</f>
        <v>3609.5100875896487</v>
      </c>
      <c r="E38" s="188">
        <f t="shared" si="2"/>
        <v>4.1394587720922082E-3</v>
      </c>
      <c r="F38" s="206">
        <f>'KU ShareUEC'!$L38</f>
        <v>2232.656959178817</v>
      </c>
      <c r="G38" s="188">
        <f t="shared" si="2"/>
        <v>-1.0364045148143486E-3</v>
      </c>
      <c r="H38" s="206">
        <f>SUM('KU ShareUEC'!$M38:$W38,'KU ShareUEC'!$Y38:$Z38)-'KU ShareUEC'!Q38-'KU ShareUEC'!S38-'KU ShareUEC'!U38</f>
        <v>11392.329337292436</v>
      </c>
      <c r="I38" s="188">
        <f t="shared" si="2"/>
        <v>1.0549488802486851E-2</v>
      </c>
      <c r="J38" s="206">
        <f t="shared" si="0"/>
        <v>19549.662395264309</v>
      </c>
      <c r="K38" s="188">
        <f t="shared" si="4"/>
        <v>6.0007192681019728E-3</v>
      </c>
      <c r="M38" s="206"/>
      <c r="N38" s="25"/>
      <c r="O38" s="36"/>
      <c r="P38" s="188"/>
      <c r="Q38" s="36"/>
      <c r="R38" s="188"/>
      <c r="S38" s="36"/>
      <c r="T38" s="188"/>
      <c r="U38" s="36"/>
      <c r="V38" s="188"/>
      <c r="W38" s="36"/>
      <c r="X38" s="188"/>
    </row>
    <row r="39" spans="1:24" x14ac:dyDescent="0.2">
      <c r="A39" s="182">
        <f t="shared" si="1"/>
        <v>2032</v>
      </c>
      <c r="B39" s="206">
        <f>SUM('KU ShareUEC'!$D39:$G39,'KU ShareUEC'!$X39)</f>
        <v>1720.1308745616238</v>
      </c>
      <c r="C39" s="188">
        <f t="shared" si="2"/>
        <v>-2.7267812796278879E-3</v>
      </c>
      <c r="D39" s="206">
        <f>SUM('KU ShareUEC'!$H39:$K39)</f>
        <v>3622.6591010441462</v>
      </c>
      <c r="E39" s="188">
        <f t="shared" si="2"/>
        <v>3.6428803730752524E-3</v>
      </c>
      <c r="F39" s="206">
        <f>'KU ShareUEC'!$L39</f>
        <v>2231.1137507521612</v>
      </c>
      <c r="G39" s="188">
        <f t="shared" si="2"/>
        <v>-6.9119817995844102E-4</v>
      </c>
      <c r="H39" s="206">
        <f>SUM('KU ShareUEC'!$M39:$W39,'KU ShareUEC'!$Y39:$Z39)-'KU ShareUEC'!Q39-'KU ShareUEC'!S39-'KU ShareUEC'!U39</f>
        <v>11498.86079589059</v>
      </c>
      <c r="I39" s="188">
        <f t="shared" si="2"/>
        <v>9.3511568568709347E-3</v>
      </c>
      <c r="J39" s="206">
        <f t="shared" si="0"/>
        <v>19654.65064543581</v>
      </c>
      <c r="K39" s="188">
        <f t="shared" si="4"/>
        <v>5.3703357146941411E-3</v>
      </c>
      <c r="M39" s="206"/>
      <c r="N39" s="25"/>
      <c r="O39" s="36"/>
      <c r="P39" s="188"/>
      <c r="Q39" s="36"/>
      <c r="R39" s="188"/>
      <c r="S39" s="36"/>
      <c r="T39" s="188"/>
      <c r="U39" s="36"/>
      <c r="V39" s="188"/>
      <c r="W39" s="36"/>
      <c r="X39" s="188"/>
    </row>
    <row r="40" spans="1:24" x14ac:dyDescent="0.2">
      <c r="A40" s="182">
        <f t="shared" si="1"/>
        <v>2033</v>
      </c>
      <c r="B40" s="206">
        <f>SUM('KU ShareUEC'!$D40:$G40,'KU ShareUEC'!$X40)</f>
        <v>1715.3795213991025</v>
      </c>
      <c r="C40" s="188">
        <f t="shared" si="2"/>
        <v>-2.762204453618855E-3</v>
      </c>
      <c r="D40" s="206">
        <f>SUM('KU ShareUEC'!$H40:$K40)</f>
        <v>3635.3236659702375</v>
      </c>
      <c r="E40" s="188">
        <f t="shared" si="2"/>
        <v>3.4959306335065055E-3</v>
      </c>
      <c r="F40" s="206">
        <f>'KU ShareUEC'!$L40</f>
        <v>2230.4454393019564</v>
      </c>
      <c r="G40" s="188">
        <f t="shared" si="2"/>
        <v>-2.9954163026402192E-4</v>
      </c>
      <c r="H40" s="206">
        <f>SUM('KU ShareUEC'!$M40:$W40,'KU ShareUEC'!$Y40:$Z40)-'KU ShareUEC'!Q40-'KU ShareUEC'!S40-'KU ShareUEC'!U40</f>
        <v>11594.752025605219</v>
      </c>
      <c r="I40" s="188">
        <f t="shared" si="2"/>
        <v>8.3391938920505115E-3</v>
      </c>
      <c r="J40" s="206">
        <f t="shared" si="0"/>
        <v>19749.873563700232</v>
      </c>
      <c r="K40" s="188">
        <f t="shared" si="4"/>
        <v>4.8448033995727169E-3</v>
      </c>
      <c r="M40" s="206"/>
      <c r="N40" s="25"/>
      <c r="O40" s="36"/>
      <c r="P40" s="188"/>
      <c r="Q40" s="36"/>
      <c r="R40" s="188"/>
      <c r="S40" s="36"/>
      <c r="T40" s="188"/>
      <c r="U40" s="36"/>
      <c r="V40" s="188"/>
      <c r="W40" s="36"/>
      <c r="X40" s="188"/>
    </row>
    <row r="41" spans="1:24" x14ac:dyDescent="0.2">
      <c r="A41" s="182">
        <f t="shared" si="1"/>
        <v>2034</v>
      </c>
      <c r="B41" s="206">
        <f>SUM('KU ShareUEC'!$D41:$G41,'KU ShareUEC'!$X41)</f>
        <v>1710.7650432426062</v>
      </c>
      <c r="C41" s="188">
        <f t="shared" si="2"/>
        <v>-2.6900625190702243E-3</v>
      </c>
      <c r="D41" s="206">
        <f>SUM('KU ShareUEC'!$H41:$K41)</f>
        <v>3648.4719816033571</v>
      </c>
      <c r="E41" s="188">
        <f t="shared" si="2"/>
        <v>3.6168211805180928E-3</v>
      </c>
      <c r="F41" s="206">
        <f>'KU ShareUEC'!$L41</f>
        <v>2230.3077870701713</v>
      </c>
      <c r="G41" s="188">
        <f t="shared" si="2"/>
        <v>-6.1715130690753739E-5</v>
      </c>
      <c r="H41" s="206">
        <f>SUM('KU ShareUEC'!$M41:$W41,'KU ShareUEC'!$Y41:$Z41)-'KU ShareUEC'!Q41-'KU ShareUEC'!S41-'KU ShareUEC'!U41</f>
        <v>11683.663058455861</v>
      </c>
      <c r="I41" s="188">
        <f t="shared" si="2"/>
        <v>7.6682133998462465E-3</v>
      </c>
      <c r="J41" s="206">
        <f t="shared" si="0"/>
        <v>19838.646944319087</v>
      </c>
      <c r="K41" s="188">
        <f t="shared" si="4"/>
        <v>4.4948834903946189E-3</v>
      </c>
      <c r="M41" s="206"/>
      <c r="N41" s="25"/>
      <c r="O41" s="36"/>
      <c r="P41" s="188"/>
      <c r="Q41" s="36"/>
      <c r="R41" s="188"/>
      <c r="S41" s="36"/>
      <c r="T41" s="188"/>
      <c r="U41" s="36"/>
      <c r="V41" s="188"/>
      <c r="W41" s="36"/>
      <c r="X41" s="188"/>
    </row>
    <row r="42" spans="1:24" x14ac:dyDescent="0.2">
      <c r="A42" s="182">
        <f t="shared" si="1"/>
        <v>2035</v>
      </c>
      <c r="B42" s="206">
        <f>SUM('KU ShareUEC'!$D42:$G42,'KU ShareUEC'!$X42)</f>
        <v>1705.9413582112368</v>
      </c>
      <c r="C42" s="188">
        <f t="shared" si="2"/>
        <v>-2.8196069649789601E-3</v>
      </c>
      <c r="D42" s="206">
        <f>SUM('KU ShareUEC'!$H42:$K42)</f>
        <v>3661.1080454942503</v>
      </c>
      <c r="E42" s="188">
        <f t="shared" si="2"/>
        <v>3.4633852074534843E-3</v>
      </c>
      <c r="F42" s="206">
        <f>'KU ShareUEC'!$L42</f>
        <v>2231.0659322818074</v>
      </c>
      <c r="G42" s="188">
        <f t="shared" si="2"/>
        <v>3.3992851391695389E-4</v>
      </c>
      <c r="H42" s="206">
        <f>SUM('KU ShareUEC'!$M42:$W42,'KU ShareUEC'!$Y42:$Z42)-'KU ShareUEC'!Q42-'KU ShareUEC'!S42-'KU ShareUEC'!U42</f>
        <v>11774.493861471132</v>
      </c>
      <c r="I42" s="188">
        <f t="shared" si="2"/>
        <v>7.7741717268655641E-3</v>
      </c>
      <c r="J42" s="206">
        <f t="shared" si="0"/>
        <v>19930.235892545996</v>
      </c>
      <c r="K42" s="188">
        <f t="shared" si="4"/>
        <v>4.6166932898181745E-3</v>
      </c>
      <c r="M42" s="206"/>
      <c r="N42" s="25"/>
      <c r="O42" s="36"/>
      <c r="P42" s="188"/>
      <c r="Q42" s="36"/>
      <c r="R42" s="188"/>
      <c r="S42" s="36"/>
      <c r="T42" s="188"/>
      <c r="U42" s="36"/>
      <c r="V42" s="188"/>
      <c r="W42" s="36"/>
      <c r="X42" s="188"/>
    </row>
    <row r="43" spans="1:24" x14ac:dyDescent="0.2">
      <c r="A43" s="182">
        <f t="shared" si="1"/>
        <v>2036</v>
      </c>
      <c r="B43" s="206">
        <f>SUM('KU ShareUEC'!$D43:$G43,'KU ShareUEC'!$X43)</f>
        <v>1700.8540171343952</v>
      </c>
      <c r="C43" s="188">
        <f t="shared" si="2"/>
        <v>-2.982131274533284E-3</v>
      </c>
      <c r="D43" s="206">
        <f>SUM('KU ShareUEC'!$H43:$K43)</f>
        <v>3672.5745581543083</v>
      </c>
      <c r="E43" s="188">
        <f t="shared" si="2"/>
        <v>3.1319787664201293E-3</v>
      </c>
      <c r="F43" s="206">
        <f>'KU ShareUEC'!$L43</f>
        <v>2231.8230005572323</v>
      </c>
      <c r="G43" s="188">
        <f t="shared" si="2"/>
        <v>3.3933030148092236E-4</v>
      </c>
      <c r="H43" s="206">
        <f>SUM('KU ShareUEC'!$M43:$W43,'KU ShareUEC'!$Y43:$Z43)-'KU ShareUEC'!Q43-'KU ShareUEC'!S43-'KU ShareUEC'!U43</f>
        <v>11867.122739836761</v>
      </c>
      <c r="I43" s="188">
        <f t="shared" si="2"/>
        <v>7.8669095636232367E-3</v>
      </c>
      <c r="J43" s="206">
        <f t="shared" si="0"/>
        <v>20023.62183918705</v>
      </c>
      <c r="K43" s="188">
        <f t="shared" ref="K43:K48" si="5">J43/J42-1</f>
        <v>4.6856418129994637E-3</v>
      </c>
      <c r="M43" s="206"/>
      <c r="N43" s="25"/>
      <c r="O43" s="36"/>
      <c r="P43" s="188"/>
      <c r="Q43" s="36"/>
      <c r="R43" s="188"/>
      <c r="S43" s="36"/>
      <c r="T43" s="188"/>
      <c r="U43" s="36"/>
      <c r="V43" s="188"/>
      <c r="W43" s="36"/>
      <c r="X43" s="188"/>
    </row>
    <row r="44" spans="1:24" x14ac:dyDescent="0.2">
      <c r="A44" s="182">
        <f t="shared" si="1"/>
        <v>2037</v>
      </c>
      <c r="B44" s="206">
        <f>SUM('KU ShareUEC'!$D44:$G44,'KU ShareUEC'!$X44)</f>
        <v>1695.8190494052399</v>
      </c>
      <c r="C44" s="188">
        <f t="shared" si="2"/>
        <v>-2.9602585985822882E-3</v>
      </c>
      <c r="D44" s="206">
        <f>SUM('KU ShareUEC'!$H44:$K44)</f>
        <v>3684.0246527719273</v>
      </c>
      <c r="E44" s="188">
        <f t="shared" si="2"/>
        <v>3.1177296570319424E-3</v>
      </c>
      <c r="F44" s="206">
        <f>'KU ShareUEC'!$L44</f>
        <v>2232.5789941894791</v>
      </c>
      <c r="G44" s="188">
        <f t="shared" si="2"/>
        <v>3.3873368634429468E-4</v>
      </c>
      <c r="H44" s="206">
        <f>SUM('KU ShareUEC'!$M44:$W44,'KU ShareUEC'!$Y44:$Z44)-'KU ShareUEC'!Q44-'KU ShareUEC'!S44-'KU ShareUEC'!U44</f>
        <v>11960.884578596919</v>
      </c>
      <c r="I44" s="188">
        <f t="shared" si="2"/>
        <v>7.9009748879910191E-3</v>
      </c>
      <c r="J44" s="206">
        <f t="shared" si="0"/>
        <v>20118.139671579454</v>
      </c>
      <c r="K44" s="188">
        <f t="shared" si="5"/>
        <v>4.7203164917661855E-3</v>
      </c>
      <c r="M44" s="206"/>
      <c r="N44" s="25"/>
      <c r="O44" s="36"/>
      <c r="P44" s="188"/>
      <c r="Q44" s="36"/>
      <c r="R44" s="188"/>
      <c r="S44" s="36"/>
      <c r="T44" s="188"/>
      <c r="U44" s="36"/>
      <c r="V44" s="188"/>
      <c r="W44" s="36"/>
      <c r="X44" s="188"/>
    </row>
    <row r="45" spans="1:24" x14ac:dyDescent="0.2">
      <c r="A45" s="182">
        <f t="shared" si="1"/>
        <v>2038</v>
      </c>
      <c r="B45" s="206">
        <f>SUM('KU ShareUEC'!$D45:$G45,'KU ShareUEC'!$X45)</f>
        <v>1688.5834659216896</v>
      </c>
      <c r="C45" s="188">
        <f t="shared" si="2"/>
        <v>-4.2667190736463967E-3</v>
      </c>
      <c r="D45" s="206">
        <f>SUM('KU ShareUEC'!$H45:$K45)</f>
        <v>3695.4581510083744</v>
      </c>
      <c r="E45" s="188">
        <f t="shared" si="2"/>
        <v>3.103534670389374E-3</v>
      </c>
      <c r="F45" s="206">
        <f>'KU ShareUEC'!$L45</f>
        <v>2233.3339154650766</v>
      </c>
      <c r="G45" s="188">
        <f t="shared" si="2"/>
        <v>3.3813866275833604E-4</v>
      </c>
      <c r="H45" s="206">
        <f>SUM('KU ShareUEC'!$M45:$W45,'KU ShareUEC'!$Y45:$Z45)-'KU ShareUEC'!Q45-'KU ShareUEC'!S45-'KU ShareUEC'!U45</f>
        <v>12055.792579360286</v>
      </c>
      <c r="I45" s="188">
        <f t="shared" si="2"/>
        <v>7.9348646949739532E-3</v>
      </c>
      <c r="J45" s="206">
        <f t="shared" si="0"/>
        <v>20213.80259361842</v>
      </c>
      <c r="K45" s="188">
        <f t="shared" si="5"/>
        <v>4.7550580521174002E-3</v>
      </c>
      <c r="M45" s="206"/>
      <c r="N45" s="25"/>
      <c r="O45" s="36"/>
      <c r="P45" s="188"/>
      <c r="Q45" s="36"/>
      <c r="R45" s="188"/>
      <c r="S45" s="36"/>
      <c r="T45" s="188"/>
      <c r="U45" s="36"/>
      <c r="V45" s="188"/>
      <c r="W45" s="36"/>
      <c r="X45" s="188"/>
    </row>
    <row r="46" spans="1:24" x14ac:dyDescent="0.2">
      <c r="A46" s="182">
        <f t="shared" si="1"/>
        <v>2039</v>
      </c>
      <c r="B46" s="206">
        <f>SUM('KU ShareUEC'!$D46:$G46,'KU ShareUEC'!$X46)</f>
        <v>1681.4156652895638</v>
      </c>
      <c r="C46" s="188">
        <f t="shared" si="2"/>
        <v>-4.2448601308632261E-3</v>
      </c>
      <c r="D46" s="206">
        <f>SUM('KU ShareUEC'!$H46:$K46)</f>
        <v>3706.8748736103853</v>
      </c>
      <c r="E46" s="188">
        <f t="shared" si="2"/>
        <v>3.0893930158282235E-3</v>
      </c>
      <c r="F46" s="206">
        <f>'KU ShareUEC'!$L46</f>
        <v>2234.0877666640722</v>
      </c>
      <c r="G46" s="188">
        <f t="shared" si="2"/>
        <v>3.3754522499984674E-4</v>
      </c>
      <c r="H46" s="206">
        <f>SUM('KU ShareUEC'!$M46:$W46,'KU ShareUEC'!$Y46:$Z46)-'KU ShareUEC'!Q46-'KU ShareUEC'!S46-'KU ShareUEC'!U46</f>
        <v>12151.860102033397</v>
      </c>
      <c r="I46" s="188">
        <f t="shared" si="2"/>
        <v>7.9685779297149484E-3</v>
      </c>
      <c r="J46" s="206">
        <f t="shared" si="0"/>
        <v>20310.623967490523</v>
      </c>
      <c r="K46" s="188">
        <f t="shared" si="5"/>
        <v>4.7898644217823083E-3</v>
      </c>
      <c r="M46" s="206"/>
      <c r="N46" s="25"/>
      <c r="O46" s="36"/>
      <c r="P46" s="188"/>
      <c r="Q46" s="36"/>
      <c r="R46" s="188"/>
      <c r="S46" s="36"/>
      <c r="T46" s="188"/>
      <c r="U46" s="36"/>
      <c r="V46" s="188"/>
      <c r="W46" s="36"/>
      <c r="X46" s="188"/>
    </row>
    <row r="47" spans="1:24" x14ac:dyDescent="0.2">
      <c r="A47" s="182">
        <f t="shared" si="1"/>
        <v>2040</v>
      </c>
      <c r="B47" s="206">
        <f>SUM('KU ShareUEC'!$D47:$G47,'KU ShareUEC'!$X47)</f>
        <v>1674.3135887010048</v>
      </c>
      <c r="C47" s="188">
        <f t="shared" si="2"/>
        <v>-4.2238672656448317E-3</v>
      </c>
      <c r="D47" s="206">
        <f>SUM('KU ShareUEC'!$H47:$K47)</f>
        <v>3718.274640428378</v>
      </c>
      <c r="E47" s="188">
        <f t="shared" si="2"/>
        <v>3.0753039168245344E-3</v>
      </c>
      <c r="F47" s="206">
        <f>'KU ShareUEC'!$L47</f>
        <v>2234.8405500600525</v>
      </c>
      <c r="G47" s="188">
        <f t="shared" si="2"/>
        <v>3.3695336737116222E-4</v>
      </c>
      <c r="H47" s="206">
        <f>SUM('KU ShareUEC'!$M47:$W47,'KU ShareUEC'!$Y47:$Z47)-'KU ShareUEC'!Q47-'KU ShareUEC'!S47-'KU ShareUEC'!U47</f>
        <v>12249.100666715351</v>
      </c>
      <c r="I47" s="188">
        <f t="shared" si="2"/>
        <v>8.0021135748329364E-3</v>
      </c>
      <c r="J47" s="206">
        <f t="shared" si="0"/>
        <v>20408.617315568459</v>
      </c>
      <c r="K47" s="188">
        <f t="shared" si="5"/>
        <v>4.8247335106388345E-3</v>
      </c>
      <c r="M47" s="206"/>
      <c r="N47" s="25"/>
      <c r="O47" s="36"/>
      <c r="P47" s="188"/>
      <c r="Q47" s="36"/>
      <c r="R47" s="188"/>
      <c r="S47" s="36"/>
      <c r="T47" s="188"/>
      <c r="U47" s="36"/>
      <c r="V47" s="188"/>
      <c r="W47" s="36"/>
      <c r="X47" s="188"/>
    </row>
    <row r="48" spans="1:24" x14ac:dyDescent="0.2">
      <c r="A48" s="182">
        <f t="shared" si="1"/>
        <v>2041</v>
      </c>
      <c r="B48" s="206">
        <f>SUM('KU ShareUEC'!$D48:$G48,'KU ShareUEC'!$X48)</f>
        <v>1667.2752575918719</v>
      </c>
      <c r="C48" s="188">
        <f t="shared" si="2"/>
        <v>-4.203711393511167E-3</v>
      </c>
      <c r="D48" s="206">
        <f>SUM('KU ShareUEC'!$H48:$K48)</f>
        <v>3729.6572704351111</v>
      </c>
      <c r="E48" s="188">
        <f t="shared" si="2"/>
        <v>3.0612666108551512E-3</v>
      </c>
      <c r="F48" s="206">
        <f>'KU ShareUEC'!$L48</f>
        <v>2235.5922679201685</v>
      </c>
      <c r="G48" s="188">
        <f t="shared" si="2"/>
        <v>3.3636308420126326E-4</v>
      </c>
      <c r="H48" s="206">
        <f>SUM('KU ShareUEC'!$M48:$W48,'KU ShareUEC'!$Y48:$Z48)-'KU ShareUEC'!Q48-'KU ShareUEC'!S48-'KU ShareUEC'!U48</f>
        <v>12347.527955615211</v>
      </c>
      <c r="I48" s="188">
        <f t="shared" si="2"/>
        <v>8.0354706502916429E-3</v>
      </c>
      <c r="J48" s="206">
        <f t="shared" si="0"/>
        <v>20507.796322328435</v>
      </c>
      <c r="K48" s="188">
        <f t="shared" si="5"/>
        <v>4.8596632112023475E-3</v>
      </c>
      <c r="M48" s="206"/>
      <c r="N48" s="25"/>
      <c r="O48" s="36"/>
      <c r="P48" s="188"/>
      <c r="Q48" s="36"/>
      <c r="R48" s="188"/>
      <c r="S48" s="36"/>
      <c r="T48" s="188"/>
      <c r="U48" s="36"/>
      <c r="V48" s="188"/>
      <c r="W48" s="36"/>
      <c r="X48" s="188"/>
    </row>
    <row r="49" spans="1:11" x14ac:dyDescent="0.2">
      <c r="A49" s="182">
        <f t="shared" si="1"/>
        <v>2042</v>
      </c>
      <c r="B49" s="206">
        <f>SUM('KU ShareUEC'!$D49:$G49,'KU ShareUEC'!$X49)</f>
        <v>1660.2987704918733</v>
      </c>
      <c r="C49" s="188">
        <f t="shared" ref="C49:C50" si="6">B49/B48-1</f>
        <v>-4.1843643203073322E-3</v>
      </c>
      <c r="D49" s="206">
        <f>SUM('KU ShareUEC'!$H49:$K49)</f>
        <v>3741.0225817448118</v>
      </c>
      <c r="E49" s="188">
        <f t="shared" ref="E49:E50" si="7">D49/D48-1</f>
        <v>3.0472803492678224E-3</v>
      </c>
      <c r="F49" s="206">
        <f>'KU ShareUEC'!$L49</f>
        <v>2236.3429225051582</v>
      </c>
      <c r="G49" s="188">
        <f t="shared" ref="G49:G50" si="8">F49/F48-1</f>
        <v>3.3577436984422171E-4</v>
      </c>
      <c r="H49" s="206">
        <f>SUM('KU ShareUEC'!$M49:$W49,'KU ShareUEC'!$Y49:$Z49)-'KU ShareUEC'!Q49-'KU ShareUEC'!S49-'KU ShareUEC'!U49</f>
        <v>12447.155814992557</v>
      </c>
      <c r="I49" s="188">
        <f t="shared" ref="I49:I50" si="9">H49/H48-1</f>
        <v>8.0686482132674708E-3</v>
      </c>
      <c r="J49" s="206">
        <f t="shared" ref="J49:J50" si="10">AnnHeat1995+AnnCool1995+F49+H49</f>
        <v>20608.174836290771</v>
      </c>
      <c r="K49" s="188">
        <f t="shared" ref="K49:K50" si="11">J49/J48-1</f>
        <v>4.8946513991385832E-3</v>
      </c>
    </row>
    <row r="50" spans="1:11" x14ac:dyDescent="0.2">
      <c r="A50" s="182">
        <f t="shared" si="1"/>
        <v>2043</v>
      </c>
      <c r="B50" s="206">
        <f>SUM('KU ShareUEC'!$D50:$G50,'KU ShareUEC'!$X50)</f>
        <v>1653.651157892197</v>
      </c>
      <c r="C50" s="188">
        <f t="shared" si="6"/>
        <v>-4.0038652788418894E-3</v>
      </c>
      <c r="D50" s="206">
        <f>SUM('KU ShareUEC'!$H50:$K50)</f>
        <v>3751.2803517948037</v>
      </c>
      <c r="E50" s="188">
        <f t="shared" si="7"/>
        <v>2.7419695620247708E-3</v>
      </c>
      <c r="F50" s="206">
        <f>'KU ShareUEC'!$L50</f>
        <v>2237.0925160693673</v>
      </c>
      <c r="G50" s="188">
        <f t="shared" si="8"/>
        <v>3.3518721867986656E-4</v>
      </c>
      <c r="H50" s="206">
        <f>SUM('KU ShareUEC'!$M50:$W50,'KU ShareUEC'!$Y50:$Z50)-'KU ShareUEC'!Q50-'KU ShareUEC'!S50-'KU ShareUEC'!U50</f>
        <v>12547.99825712124</v>
      </c>
      <c r="I50" s="188">
        <f t="shared" si="9"/>
        <v>8.1016453579876302E-3</v>
      </c>
      <c r="J50" s="206">
        <f t="shared" si="10"/>
        <v>20709.766871983666</v>
      </c>
      <c r="K50" s="188">
        <f t="shared" si="11"/>
        <v>4.9296959337705726E-3</v>
      </c>
    </row>
  </sheetData>
  <phoneticPr fontId="0" type="noConversion"/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6"/>
  <sheetViews>
    <sheetView tabSelected="1" workbookViewId="0">
      <pane xSplit="1" ySplit="1" topLeftCell="B23" activePane="bottomRight" state="frozenSplit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.85546875" style="224" bestFit="1" customWidth="1"/>
    <col min="2" max="2" width="7.140625" style="224" customWidth="1"/>
    <col min="3" max="3" width="8.28515625" style="224" customWidth="1"/>
    <col min="4" max="4" width="9" style="153" bestFit="1" customWidth="1"/>
    <col min="5" max="5" width="7.42578125" style="153" bestFit="1" customWidth="1"/>
    <col min="6" max="6" width="9.140625" style="153" bestFit="1" customWidth="1"/>
    <col min="7" max="7" width="7.42578125" style="153" customWidth="1"/>
    <col min="8" max="8" width="6.5703125" style="153" bestFit="1" customWidth="1"/>
    <col min="9" max="9" width="7.28515625" style="153" bestFit="1" customWidth="1"/>
    <col min="10" max="10" width="9.140625" style="153" bestFit="1" customWidth="1"/>
    <col min="11" max="11" width="5.5703125" style="153" bestFit="1" customWidth="1"/>
    <col min="12" max="12" width="8" style="153" bestFit="1" customWidth="1"/>
    <col min="13" max="13" width="6.5703125" style="153" bestFit="1" customWidth="1"/>
    <col min="14" max="14" width="8.140625" style="153" bestFit="1" customWidth="1"/>
    <col min="15" max="16" width="6.5703125" style="153" bestFit="1" customWidth="1"/>
    <col min="17" max="17" width="5.5703125" style="153" bestFit="1" customWidth="1"/>
    <col min="18" max="18" width="7" style="153" bestFit="1" customWidth="1"/>
    <col min="19" max="19" width="7.140625" style="153" bestFit="1" customWidth="1"/>
    <col min="20" max="20" width="7.140625" style="153" customWidth="1"/>
    <col min="21" max="21" width="6.5703125" style="153" bestFit="1" customWidth="1"/>
    <col min="22" max="22" width="6.5703125" style="153" customWidth="1"/>
    <col min="23" max="23" width="6.5703125" style="153" bestFit="1" customWidth="1"/>
    <col min="24" max="24" width="8.5703125" style="153" bestFit="1" customWidth="1"/>
    <col min="25" max="26" width="8.140625" style="153" bestFit="1" customWidth="1"/>
    <col min="27" max="27" width="8.140625" style="153" customWidth="1"/>
    <col min="28" max="16384" width="9.140625" style="224"/>
  </cols>
  <sheetData>
    <row r="1" spans="1:49" x14ac:dyDescent="0.2">
      <c r="A1" s="184" t="s">
        <v>15</v>
      </c>
      <c r="B1" s="184" t="s">
        <v>16</v>
      </c>
      <c r="C1" s="184" t="s">
        <v>17</v>
      </c>
      <c r="D1" s="223" t="s">
        <v>0</v>
      </c>
      <c r="E1" s="223" t="s">
        <v>1</v>
      </c>
      <c r="F1" s="223" t="s">
        <v>164</v>
      </c>
      <c r="G1" s="223" t="s">
        <v>147</v>
      </c>
      <c r="H1" s="223" t="s">
        <v>2</v>
      </c>
      <c r="I1" s="223" t="s">
        <v>3</v>
      </c>
      <c r="J1" s="223" t="s">
        <v>166</v>
      </c>
      <c r="K1" s="223" t="s">
        <v>4</v>
      </c>
      <c r="L1" s="223" t="s">
        <v>5</v>
      </c>
      <c r="M1" s="223" t="s">
        <v>6</v>
      </c>
      <c r="N1" s="223" t="s">
        <v>7</v>
      </c>
      <c r="O1" s="223" t="s">
        <v>8</v>
      </c>
      <c r="P1" s="223" t="s">
        <v>9</v>
      </c>
      <c r="Q1" s="223" t="s">
        <v>10</v>
      </c>
      <c r="R1" s="223" t="s">
        <v>230</v>
      </c>
      <c r="S1" s="223" t="s">
        <v>11</v>
      </c>
      <c r="T1" s="223" t="s">
        <v>234</v>
      </c>
      <c r="U1" s="223" t="s">
        <v>12</v>
      </c>
      <c r="V1" s="223" t="s">
        <v>232</v>
      </c>
      <c r="W1" s="223" t="s">
        <v>100</v>
      </c>
      <c r="X1" s="223" t="s">
        <v>174</v>
      </c>
      <c r="Y1" s="223" t="s">
        <v>13</v>
      </c>
      <c r="Z1" s="223" t="s">
        <v>14</v>
      </c>
      <c r="AA1" s="223"/>
      <c r="AD1" s="223" t="s">
        <v>0</v>
      </c>
      <c r="AE1" s="223" t="s">
        <v>1</v>
      </c>
      <c r="AF1" s="223" t="s">
        <v>164</v>
      </c>
      <c r="AG1" s="223" t="s">
        <v>147</v>
      </c>
      <c r="AH1" s="223" t="s">
        <v>2</v>
      </c>
      <c r="AI1" s="223" t="s">
        <v>3</v>
      </c>
      <c r="AJ1" s="223" t="s">
        <v>166</v>
      </c>
      <c r="AK1" s="223" t="s">
        <v>4</v>
      </c>
      <c r="AL1" s="223" t="s">
        <v>5</v>
      </c>
      <c r="AM1" s="223" t="s">
        <v>6</v>
      </c>
      <c r="AN1" s="223" t="s">
        <v>7</v>
      </c>
      <c r="AO1" s="223" t="s">
        <v>8</v>
      </c>
      <c r="AP1" s="223" t="s">
        <v>9</v>
      </c>
      <c r="AQ1" s="223" t="s">
        <v>10</v>
      </c>
      <c r="AR1" s="223" t="s">
        <v>11</v>
      </c>
      <c r="AS1" s="223" t="s">
        <v>12</v>
      </c>
      <c r="AT1" s="223" t="s">
        <v>100</v>
      </c>
      <c r="AU1" s="223" t="s">
        <v>174</v>
      </c>
      <c r="AV1" s="223" t="s">
        <v>13</v>
      </c>
      <c r="AW1" s="223" t="s">
        <v>14</v>
      </c>
    </row>
    <row r="2" spans="1:49" hidden="1" x14ac:dyDescent="0.2">
      <c r="A2" s="225">
        <v>1995</v>
      </c>
      <c r="B2" s="226">
        <f>D2+E2+F2</f>
        <v>1036.3999221118336</v>
      </c>
      <c r="C2" s="226">
        <f t="shared" ref="C2:C7" si="0">SUM(G2:I2)</f>
        <v>4081.8195688335954</v>
      </c>
      <c r="D2" s="227">
        <f>'KU Efficiencies'!B$54*'KU StructuralVars'!$Q2*('KU Shares'!B2/'KU Efficiencies'!B2)/('KU Shares'!B$12/'KU Efficiencies'!B$12)</f>
        <v>693.3721183956784</v>
      </c>
      <c r="E2" s="227">
        <f>'KU Efficiencies'!C$54*'KU StructuralVars'!$Q2*('KU Shares'!C2/'KU Efficiencies'!C2)/('KU Shares'!C$12/'KU Efficiencies'!C$12)</f>
        <v>337.37812399582435</v>
      </c>
      <c r="F2" s="227">
        <f>'KU Efficiencies'!D$54*'KU StructuralVars'!$Q2*('KU Shares'!D2/'KU Efficiencies'!D2)/('KU Shares'!D$12/'KU Efficiencies'!D$12)</f>
        <v>5.6496797203307372</v>
      </c>
      <c r="G2" s="227">
        <f>'KU Efficiencies'!E$54*'KU StructuralVars'!$Q2*('KU Shares'!E2/(1/'KU Efficiencies'!E2))/('KU Shares'!E$12/(1/'KU Efficiencies'!E$12))</f>
        <v>143.19187166342255</v>
      </c>
      <c r="H2" s="227">
        <f>'KU Efficiencies'!F$54*'KU StructuralVars'!$R2*('KU Shares'!F2/'KU Efficiencies'!F2)/('KU Shares'!F$12/'KU Efficiencies'!F$12)</f>
        <v>3254.9694543506057</v>
      </c>
      <c r="I2" s="227">
        <f>'KU Efficiencies'!G$54*'KU StructuralVars'!$R2*('KU Shares'!G2/'KU Efficiencies'!G2)/('KU Shares'!G$12/'KU Efficiencies'!G$12)</f>
        <v>683.65824281956679</v>
      </c>
      <c r="J2" s="227">
        <f>'KU Efficiencies'!H$54*'KU StructuralVars'!$R2*('KU Shares'!H2/'KU Efficiencies'!H2)/('KU Shares'!H$12/'KU Efficiencies'!H$12)</f>
        <v>10.009247933507574</v>
      </c>
      <c r="K2" s="227">
        <f>'KU Efficiencies'!I$54*'KU StructuralVars'!$R2*('KU Shares'!I2/'KU Efficiencies'!I2)/('KU Shares'!I$12/'KU Efficiencies'!I$12)</f>
        <v>585.42016823002427</v>
      </c>
      <c r="L2" s="227">
        <f>'KU Efficiencies'!J$54*('KU Shares'!J2/'KU Efficiencies'!J2)/('KU Shares'!J$12/'KU Efficiencies'!J$12)</f>
        <v>2142.0629707635576</v>
      </c>
      <c r="M2" s="227">
        <f>'KU Efficiencies'!K$54*('KU Shares'!K2/(1/'KU Efficiencies'!K2))/('KU Shares'!K$12/(1/'KU Efficiencies'!K$12))</f>
        <v>533.12864447767004</v>
      </c>
      <c r="N2" s="227">
        <f>'KU Efficiencies'!L$54*('KU Shares'!L2/(1/'KU Efficiencies'!L2))/('KU Shares'!L$12/(1/'KU Efficiencies'!L$12))</f>
        <v>828.42931342085274</v>
      </c>
      <c r="O2" s="227">
        <f>'KU Efficiencies'!M$54*('KU Shares'!M2/(1/'KU Efficiencies'!M2))/('KU Shares'!M$12/(1/'KU Efficiencies'!M$12))</f>
        <v>149.11727641575334</v>
      </c>
      <c r="P2" s="227">
        <f>'KU Efficiencies'!N$54*('KU Shares'!N2/(1/'KU Efficiencies'!N2))/('KU Shares'!N$12/(1/'KU Efficiencies'!N$12))</f>
        <v>289.1818086899674</v>
      </c>
      <c r="Q2" s="227">
        <f>'KU Efficiencies'!O$54*('KU Shares'!O2/(1/'KU Efficiencies'!O2))/('KU Shares'!O$12/(1/'KU Efficiencies'!O$12))</f>
        <v>309.46556570033476</v>
      </c>
      <c r="R2" s="282">
        <f>Q2</f>
        <v>309.46556570033476</v>
      </c>
      <c r="S2" s="227">
        <f>'KU Efficiencies'!Q$54*('KU Shares'!Q2/(1/'KU Efficiencies'!Q2))/('KU Shares'!Q$12/(1/'KU Efficiencies'!Q$12))</f>
        <v>110.93956592638811</v>
      </c>
      <c r="T2" s="282">
        <f>S2</f>
        <v>110.93956592638811</v>
      </c>
      <c r="U2" s="227">
        <f>'KU Efficiencies'!S$54*('KU Shares'!S2/(1/'KU Efficiencies'!S2))/('KU Shares'!S$12/(1/'KU Efficiencies'!S$12))</f>
        <v>811.79188474989144</v>
      </c>
      <c r="V2" s="282">
        <f>U2</f>
        <v>811.79188474989144</v>
      </c>
      <c r="W2" s="227">
        <f>'KU Efficiencies'!U$54*('KU Shares'!U2/(1/'KU Efficiencies'!U2))/('KU Shares'!U$12/(1/'KU Efficiencies'!U$12))</f>
        <v>623.09495680708721</v>
      </c>
      <c r="X2" s="227">
        <f>'KU Efficiencies'!V$54*('KU Shares'!V2/(1/'KU Efficiencies'!V2))/('KU Shares'!V$12/(1/'KU Efficiencies'!V$12))</f>
        <v>211.02719168409553</v>
      </c>
      <c r="Y2" s="227">
        <f>'KU Efficiencies'!W$54*('KU Shares'!W2/(1/'KU Efficiencies'!W2))/('KU Shares'!W$12/(1/'KU Efficiencies'!W$12))</f>
        <v>2103.645759810177</v>
      </c>
      <c r="Z2" s="227" t="e">
        <f>'KU Efficiencies'!#REF!*('KU Shares'!X2/(1/'KU Efficiencies'!X2))/('KU Shares'!X$12/(1/'KU Efficiencies'!X$12))</f>
        <v>#REF!</v>
      </c>
      <c r="AA2" s="227"/>
    </row>
    <row r="3" spans="1:49" hidden="1" x14ac:dyDescent="0.2">
      <c r="A3" s="225">
        <v>1996</v>
      </c>
      <c r="B3" s="226">
        <f>D3+E3+F3</f>
        <v>1070.472754072608</v>
      </c>
      <c r="C3" s="226">
        <f t="shared" si="0"/>
        <v>4022.5110400889453</v>
      </c>
      <c r="D3" s="227">
        <f>'KU Efficiencies'!B$54*'KU StructuralVars'!$Q3*('KU Shares'!B3/'KU Efficiencies'!B3)/('KU Shares'!B$12/'KU Efficiencies'!B$12)</f>
        <v>717.61296274087988</v>
      </c>
      <c r="E3" s="227">
        <f>'KU Efficiencies'!C$54*'KU StructuralVars'!$Q3*('KU Shares'!C3/'KU Efficiencies'!C3)/('KU Shares'!C$12/'KU Efficiencies'!C$12)</f>
        <v>346.82677032966961</v>
      </c>
      <c r="F3" s="227">
        <f>'KU Efficiencies'!D$54*'KU StructuralVars'!$Q3*('KU Shares'!D3/'KU Efficiencies'!D3)/('KU Shares'!D$12/'KU Efficiencies'!D$12)</f>
        <v>6.0330210020585735</v>
      </c>
      <c r="G3" s="227">
        <f>'KU Efficiencies'!E$54*'KU StructuralVars'!$Q3*('KU Shares'!E3/(1/'KU Efficiencies'!E3))/('KU Shares'!E$12/(1/'KU Efficiencies'!E$12))</f>
        <v>138.87204353056237</v>
      </c>
      <c r="H3" s="227">
        <f>'KU Efficiencies'!F$54*'KU StructuralVars'!$R3*('KU Shares'!F3/'KU Efficiencies'!F3)/('KU Shares'!F$12/'KU Efficiencies'!F$12)</f>
        <v>3202.27279337235</v>
      </c>
      <c r="I3" s="227">
        <f>'KU Efficiencies'!G$54*'KU StructuralVars'!$R3*('KU Shares'!G3/'KU Efficiencies'!G3)/('KU Shares'!G$12/'KU Efficiencies'!G$12)</f>
        <v>681.36620318603332</v>
      </c>
      <c r="J3" s="227">
        <f>'KU Efficiencies'!H$54*'KU StructuralVars'!$R3*('KU Shares'!H3/'KU Efficiencies'!H3)/('KU Shares'!H$12/'KU Efficiencies'!H$12)</f>
        <v>10.670142030781431</v>
      </c>
      <c r="K3" s="227">
        <f>'KU Efficiencies'!I$54*'KU StructuralVars'!$R3*('KU Shares'!I3/'KU Efficiencies'!I3)/('KU Shares'!I$12/'KU Efficiencies'!I$12)</f>
        <v>569.76911244167911</v>
      </c>
      <c r="L3" s="227">
        <f>'KU Efficiencies'!J$54*('KU Shares'!J3/'KU Efficiencies'!J3)/('KU Shares'!J$12/'KU Efficiencies'!J$12)</f>
        <v>2136.7815715454321</v>
      </c>
      <c r="M3" s="227">
        <f>'KU Efficiencies'!K$54*('KU Shares'!K3/(1/'KU Efficiencies'!K3))/('KU Shares'!K$12/(1/'KU Efficiencies'!K$12))</f>
        <v>537.54616910752873</v>
      </c>
      <c r="N3" s="227">
        <f>'KU Efficiencies'!L$54*('KU Shares'!L3/(1/'KU Efficiencies'!L3))/('KU Shares'!L$12/(1/'KU Efficiencies'!L$12))</f>
        <v>815.85237651723071</v>
      </c>
      <c r="O3" s="227">
        <f>'KU Efficiencies'!M$54*('KU Shares'!M3/(1/'KU Efficiencies'!M3))/('KU Shares'!M$12/(1/'KU Efficiencies'!M$12))</f>
        <v>146.8534277731014</v>
      </c>
      <c r="P3" s="227">
        <f>'KU Efficiencies'!N$54*('KU Shares'!N3/(1/'KU Efficiencies'!N3))/('KU Shares'!N$12/(1/'KU Efficiencies'!N$12))</f>
        <v>286.1756825571623</v>
      </c>
      <c r="Q3" s="227">
        <f>'KU Efficiencies'!O$54*('KU Shares'!O3/(1/'KU Efficiencies'!O3))/('KU Shares'!O$12/(1/'KU Efficiencies'!O$12))</f>
        <v>305.72282217757123</v>
      </c>
      <c r="R3" s="282">
        <f t="shared" ref="R3:R8" si="1">Q3</f>
        <v>305.72282217757123</v>
      </c>
      <c r="S3" s="227">
        <f>'KU Efficiencies'!Q$54*('KU Shares'!Q3/(1/'KU Efficiencies'!Q3))/('KU Shares'!Q$12/(1/'KU Efficiencies'!Q$12))</f>
        <v>110.36415191550667</v>
      </c>
      <c r="T3" s="282">
        <f t="shared" ref="T3:V12" si="2">S3</f>
        <v>110.36415191550667</v>
      </c>
      <c r="U3" s="227">
        <f>'KU Efficiencies'!S$54*('KU Shares'!S3/(1/'KU Efficiencies'!S3))/('KU Shares'!S$12/(1/'KU Efficiencies'!S$12))</f>
        <v>810.68942096612841</v>
      </c>
      <c r="V3" s="282">
        <f t="shared" si="2"/>
        <v>810.68942096612841</v>
      </c>
      <c r="W3" s="227">
        <f>'KU Efficiencies'!U$54*('KU Shares'!U3/(1/'KU Efficiencies'!U3))/('KU Shares'!U$12/(1/'KU Efficiencies'!U$12))</f>
        <v>632.79051236921896</v>
      </c>
      <c r="X3" s="227">
        <f>'KU Efficiencies'!V$54*('KU Shares'!V3/(1/'KU Efficiencies'!V3))/('KU Shares'!V$12/(1/'KU Efficiencies'!V$12))</f>
        <v>213.98985421270288</v>
      </c>
      <c r="Y3" s="227">
        <f>'KU Efficiencies'!W$54*('KU Shares'!W3/(1/'KU Efficiencies'!W3))/('KU Shares'!W$12/(1/'KU Efficiencies'!W$12))</f>
        <v>2105.2237528737173</v>
      </c>
      <c r="Z3" s="227" t="e">
        <f>'KU Efficiencies'!#REF!*('KU Shares'!X3/(1/'KU Efficiencies'!X3))/('KU Shares'!X$12/(1/'KU Efficiencies'!X$12))</f>
        <v>#REF!</v>
      </c>
      <c r="AA3" s="227"/>
    </row>
    <row r="4" spans="1:49" hidden="1" x14ac:dyDescent="0.2">
      <c r="A4" s="225">
        <v>1997</v>
      </c>
      <c r="B4" s="226">
        <f t="shared" ref="B4:B19" si="3">D4+E4+F4+G4</f>
        <v>1238.6151382154035</v>
      </c>
      <c r="C4" s="226">
        <f t="shared" si="0"/>
        <v>3965.5346811670165</v>
      </c>
      <c r="D4" s="227">
        <f>'KU Efficiencies'!B$54*'KU StructuralVars'!$Q4*('KU Shares'!B4/'KU Efficiencies'!B4)/('KU Shares'!B$12/'KU Efficiencies'!B$12)</f>
        <v>741.64578515927394</v>
      </c>
      <c r="E4" s="227">
        <f>'KU Efficiencies'!C$54*'KU StructuralVars'!$Q4*('KU Shares'!C4/'KU Efficiencies'!C4)/('KU Shares'!C$12/'KU Efficiencies'!C$12)</f>
        <v>356.04941163418226</v>
      </c>
      <c r="F4" s="227">
        <f>'KU Efficiencies'!D$54*'KU StructuralVars'!$Q4*('KU Shares'!D4/'KU Efficiencies'!D4)/('KU Shares'!D$12/'KU Efficiencies'!D$12)</f>
        <v>6.4140164541706381</v>
      </c>
      <c r="G4" s="227">
        <f>'KU Efficiencies'!E$54*'KU StructuralVars'!$Q4*('KU Shares'!E4/(1/'KU Efficiencies'!E4))/('KU Shares'!E$12/(1/'KU Efficiencies'!E$12))</f>
        <v>134.50592496777659</v>
      </c>
      <c r="H4" s="227">
        <f>'KU Efficiencies'!F$54*'KU StructuralVars'!$R4*('KU Shares'!F4/'KU Efficiencies'!F4)/('KU Shares'!F$12/'KU Efficiencies'!F$12)</f>
        <v>3151.8859349666313</v>
      </c>
      <c r="I4" s="227">
        <f>'KU Efficiencies'!G$54*'KU StructuralVars'!$R4*('KU Shares'!G4/'KU Efficiencies'!G4)/('KU Shares'!G$12/'KU Efficiencies'!G$12)</f>
        <v>679.14282123260853</v>
      </c>
      <c r="J4" s="227">
        <f>'KU Efficiencies'!H$54*'KU StructuralVars'!$R4*('KU Shares'!H4/'KU Efficiencies'!H4)/('KU Shares'!H$12/'KU Efficiencies'!H$12)</f>
        <v>11.329929373510613</v>
      </c>
      <c r="K4" s="227">
        <f>'KU Efficiencies'!I$54*'KU StructuralVars'!$R4*('KU Shares'!I4/'KU Efficiencies'!I4)/('KU Shares'!I$12/'KU Efficiencies'!I$12)</f>
        <v>554.36756415141633</v>
      </c>
      <c r="L4" s="227">
        <f>'KU Efficiencies'!J$54*('KU Shares'!J4/'KU Efficiencies'!J4)/('KU Shares'!J$12/'KU Efficiencies'!J$12)</f>
        <v>2131.5261515582965</v>
      </c>
      <c r="M4" s="227">
        <f>'KU Efficiencies'!K$54*('KU Shares'!K4/(1/'KU Efficiencies'!K4))/('KU Shares'!K$12/(1/'KU Efficiencies'!K$12))</f>
        <v>541.96128695861478</v>
      </c>
      <c r="N4" s="227">
        <f>'KU Efficiencies'!L$54*('KU Shares'!L4/(1/'KU Efficiencies'!L4))/('KU Shares'!L$12/(1/'KU Efficiencies'!L$12))</f>
        <v>803.27543961360846</v>
      </c>
      <c r="O4" s="227">
        <f>'KU Efficiencies'!M$54*('KU Shares'!M4/(1/'KU Efficiencies'!M4))/('KU Shares'!M$12/(1/'KU Efficiencies'!M$12))</f>
        <v>144.58957913044941</v>
      </c>
      <c r="P4" s="227">
        <f>'KU Efficiencies'!N$54*('KU Shares'!N4/(1/'KU Efficiencies'!N4))/('KU Shares'!N$12/(1/'KU Efficiencies'!N$12))</f>
        <v>283.16955642435727</v>
      </c>
      <c r="Q4" s="227">
        <f>'KU Efficiencies'!O$54*('KU Shares'!O4/(1/'KU Efficiencies'!O4))/('KU Shares'!O$12/(1/'KU Efficiencies'!O$12))</f>
        <v>301.94154485411684</v>
      </c>
      <c r="R4" s="282">
        <f t="shared" si="1"/>
        <v>301.94154485411684</v>
      </c>
      <c r="S4" s="227">
        <f>'KU Efficiencies'!Q$54*('KU Shares'!Q4/(1/'KU Efficiencies'!Q4))/('KU Shares'!Q$12/(1/'KU Efficiencies'!Q$12))</f>
        <v>109.7807090478378</v>
      </c>
      <c r="T4" s="282">
        <f t="shared" si="2"/>
        <v>109.7807090478378</v>
      </c>
      <c r="U4" s="227">
        <f>'KU Efficiencies'!S$54*('KU Shares'!S4/(1/'KU Efficiencies'!S4))/('KU Shares'!S$12/(1/'KU Efficiencies'!S$12))</f>
        <v>809.55277646970308</v>
      </c>
      <c r="V4" s="282">
        <f t="shared" si="2"/>
        <v>809.55277646970308</v>
      </c>
      <c r="W4" s="227">
        <f>'KU Efficiencies'!U$54*('KU Shares'!U4/(1/'KU Efficiencies'!U4))/('KU Shares'!U$12/(1/'KU Efficiencies'!U$12))</f>
        <v>642.54827338923212</v>
      </c>
      <c r="X4" s="227">
        <f>'KU Efficiencies'!V$54*('KU Shares'!V4/(1/'KU Efficiencies'!V4))/('KU Shares'!V$12/(1/'KU Efficiencies'!V$12))</f>
        <v>216.94250216663121</v>
      </c>
      <c r="Y4" s="227">
        <f>'KU Efficiencies'!W$54*('KU Shares'!W4/(1/'KU Efficiencies'!W4))/('KU Shares'!W$12/(1/'KU Efficiencies'!W$12))</f>
        <v>2106.8017459372586</v>
      </c>
      <c r="Z4" s="227" t="e">
        <f>'KU Efficiencies'!#REF!*('KU Shares'!X4/(1/'KU Efficiencies'!X4))/('KU Shares'!X$12/(1/'KU Efficiencies'!X$12))</f>
        <v>#REF!</v>
      </c>
      <c r="AA4" s="227"/>
    </row>
    <row r="5" spans="1:49" hidden="1" x14ac:dyDescent="0.2">
      <c r="A5" s="225">
        <v>1998</v>
      </c>
      <c r="B5" s="226">
        <f t="shared" si="3"/>
        <v>1267.3798878110501</v>
      </c>
      <c r="C5" s="226">
        <f t="shared" si="0"/>
        <v>3910.7404788357899</v>
      </c>
      <c r="D5" s="227">
        <f>'KU Efficiencies'!B$54*'KU StructuralVars'!$Q5*('KU Shares'!B5/'KU Efficiencies'!B5)/('KU Shares'!B$12/'KU Efficiencies'!B$12)</f>
        <v>765.44631046631957</v>
      </c>
      <c r="E5" s="227">
        <f>'KU Efficiencies'!C$54*'KU StructuralVars'!$Q5*('KU Shares'!C5/'KU Efficiencies'!C5)/('KU Shares'!C$12/'KU Efficiencies'!C$12)</f>
        <v>365.03896683446436</v>
      </c>
      <c r="F5" s="227">
        <f>'KU Efficiencies'!D$54*'KU StructuralVars'!$Q5*('KU Shares'!D5/'KU Efficiencies'!D5)/('KU Shares'!D$12/'KU Efficiencies'!D$12)</f>
        <v>6.7921988924257874</v>
      </c>
      <c r="G5" s="227">
        <f>'KU Efficiencies'!E$54*'KU StructuralVars'!$Q5*('KU Shares'!E5/(1/'KU Efficiencies'!E5))/('KU Shares'!E$12/(1/'KU Efficiencies'!E$12))</f>
        <v>130.10241161784023</v>
      </c>
      <c r="H5" s="227">
        <f>'KU Efficiencies'!F$54*'KU StructuralVars'!$R5*('KU Shares'!F5/'KU Efficiencies'!F5)/('KU Shares'!F$12/'KU Efficiencies'!F$12)</f>
        <v>3103.6529753113791</v>
      </c>
      <c r="I5" s="227">
        <f>'KU Efficiencies'!G$54*'KU StructuralVars'!$R5*('KU Shares'!G5/'KU Efficiencies'!G5)/('KU Shares'!G$12/'KU Efficiencies'!G$12)</f>
        <v>676.9850919065708</v>
      </c>
      <c r="J5" s="227">
        <f>'KU Efficiencies'!H$54*'KU StructuralVars'!$R5*('KU Shares'!H5/'KU Efficiencies'!H5)/('KU Shares'!H$12/'KU Efficiencies'!H$12)</f>
        <v>11.988563374738408</v>
      </c>
      <c r="K5" s="227">
        <f>'KU Efficiencies'!I$54*'KU StructuralVars'!$R5*('KU Shares'!I5/'KU Efficiencies'!I5)/('KU Shares'!I$12/'KU Efficiencies'!I$12)</f>
        <v>539.20636656486749</v>
      </c>
      <c r="L5" s="227">
        <f>'KU Efficiencies'!J$54*('KU Shares'!J5/'KU Efficiencies'!J5)/('KU Shares'!J$12/'KU Efficiencies'!J$12)</f>
        <v>2126.2965195844868</v>
      </c>
      <c r="M5" s="227">
        <f>'KU Efficiencies'!K$54*('KU Shares'!K5/(1/'KU Efficiencies'!K5))/('KU Shares'!K$12/(1/'KU Efficiencies'!K$12))</f>
        <v>546.37399803092808</v>
      </c>
      <c r="N5" s="227">
        <f>'KU Efficiencies'!L$54*('KU Shares'!L5/(1/'KU Efficiencies'!L5))/('KU Shares'!L$12/(1/'KU Efficiencies'!L$12))</f>
        <v>790.69850270998643</v>
      </c>
      <c r="O5" s="227">
        <f>'KU Efficiencies'!M$54*('KU Shares'!M5/(1/'KU Efficiencies'!M5))/('KU Shares'!M$12/(1/'KU Efficiencies'!M$12))</f>
        <v>142.32573048779747</v>
      </c>
      <c r="P5" s="227">
        <f>'KU Efficiencies'!N$54*('KU Shares'!N5/(1/'KU Efficiencies'!N5))/('KU Shares'!N$12/(1/'KU Efficiencies'!N$12))</f>
        <v>280.16343029155229</v>
      </c>
      <c r="Q5" s="227">
        <f>'KU Efficiencies'!O$54*('KU Shares'!O5/(1/'KU Efficiencies'!O5))/('KU Shares'!O$12/(1/'KU Efficiencies'!O$12))</f>
        <v>298.12173372997154</v>
      </c>
      <c r="R5" s="282">
        <f t="shared" si="1"/>
        <v>298.12173372997154</v>
      </c>
      <c r="S5" s="227">
        <f>'KU Efficiencies'!Q$54*('KU Shares'!Q5/(1/'KU Efficiencies'!Q5))/('KU Shares'!Q$12/(1/'KU Efficiencies'!Q$12))</f>
        <v>109.18923732338159</v>
      </c>
      <c r="T5" s="282">
        <f t="shared" si="2"/>
        <v>109.18923732338159</v>
      </c>
      <c r="U5" s="227">
        <f>'KU Efficiencies'!S$54*('KU Shares'!S5/(1/'KU Efficiencies'!S5))/('KU Shares'!S$12/(1/'KU Efficiencies'!S$12))</f>
        <v>808.38195126061487</v>
      </c>
      <c r="V5" s="282">
        <f t="shared" si="2"/>
        <v>808.38195126061487</v>
      </c>
      <c r="W5" s="227">
        <f>'KU Efficiencies'!U$54*('KU Shares'!U5/(1/'KU Efficiencies'!U5))/('KU Shares'!U$12/(1/'KU Efficiencies'!U$12))</f>
        <v>652.36823986712648</v>
      </c>
      <c r="X5" s="227">
        <f>'KU Efficiencies'!V$54*('KU Shares'!V5/(1/'KU Efficiencies'!V5))/('KU Shares'!V$12/(1/'KU Efficiencies'!V$12))</f>
        <v>219.88513554588056</v>
      </c>
      <c r="Y5" s="227">
        <f>'KU Efficiencies'!W$54*('KU Shares'!W5/(1/'KU Efficiencies'!W5))/('KU Shares'!W$12/(1/'KU Efficiencies'!W$12))</f>
        <v>2108.3797390007985</v>
      </c>
      <c r="Z5" s="227" t="e">
        <f>'KU Efficiencies'!#REF!*('KU Shares'!X5/(1/'KU Efficiencies'!X5))/('KU Shares'!X$12/(1/'KU Efficiencies'!X$12))</f>
        <v>#REF!</v>
      </c>
      <c r="AA5" s="227"/>
    </row>
    <row r="6" spans="1:49" hidden="1" x14ac:dyDescent="0.2">
      <c r="A6" s="225">
        <v>1999</v>
      </c>
      <c r="B6" s="226">
        <f t="shared" si="3"/>
        <v>1295.6298099680498</v>
      </c>
      <c r="C6" s="226">
        <f t="shared" si="0"/>
        <v>3857.9931632859912</v>
      </c>
      <c r="D6" s="227">
        <f>'KU Efficiencies'!B$54*'KU StructuralVars'!$Q6*('KU Shares'!B6/'KU Efficiencies'!B6)/('KU Shares'!B$12/'KU Efficiencies'!B$12)</f>
        <v>788.99878185391879</v>
      </c>
      <c r="E6" s="227">
        <f>'KU Efficiencies'!C$54*'KU StructuralVars'!$Q6*('KU Shares'!C6/'KU Efficiencies'!C6)/('KU Shares'!C$12/'KU Efficiencies'!C$12)</f>
        <v>373.7925770556177</v>
      </c>
      <c r="F6" s="227">
        <f>'KU Efficiencies'!D$54*'KU StructuralVars'!$Q6*('KU Shares'!D6/'KU Efficiencies'!D6)/('KU Shares'!D$12/'KU Efficiencies'!D$12)</f>
        <v>7.1671903912187966</v>
      </c>
      <c r="G6" s="227">
        <f>'KU Efficiencies'!E$54*'KU StructuralVars'!$Q6*('KU Shares'!E6/(1/'KU Efficiencies'!E6))/('KU Shares'!E$12/(1/'KU Efficiencies'!E$12))</f>
        <v>125.67126066729443</v>
      </c>
      <c r="H6" s="227">
        <f>'KU Efficiencies'!F$54*'KU StructuralVars'!$R6*('KU Shares'!F6/'KU Efficiencies'!F6)/('KU Shares'!F$12/'KU Efficiencies'!F$12)</f>
        <v>3057.4317324944759</v>
      </c>
      <c r="I6" s="227">
        <f>'KU Efficiencies'!G$54*'KU StructuralVars'!$R6*('KU Shares'!G6/'KU Efficiencies'!G6)/('KU Shares'!G$12/'KU Efficiencies'!G$12)</f>
        <v>674.89017012422073</v>
      </c>
      <c r="J6" s="227">
        <f>'KU Efficiencies'!H$54*'KU StructuralVars'!$R6*('KU Shares'!H6/'KU Efficiencies'!H6)/('KU Shares'!H$12/'KU Efficiencies'!H$12)</f>
        <v>12.645998918377401</v>
      </c>
      <c r="K6" s="227">
        <f>'KU Efficiencies'!I$54*'KU StructuralVars'!$R6*('KU Shares'!I6/'KU Efficiencies'!I6)/('KU Shares'!I$12/'KU Efficiencies'!I$12)</f>
        <v>524.27686549284431</v>
      </c>
      <c r="L6" s="227">
        <f>'KU Efficiencies'!J$54*('KU Shares'!J6/'KU Efficiencies'!J6)/('KU Shares'!J$12/'KU Efficiencies'!J$12)</f>
        <v>2121.0924862783327</v>
      </c>
      <c r="M6" s="227">
        <f>'KU Efficiencies'!K$54*('KU Shares'!K6/(1/'KU Efficiencies'!K6))/('KU Shares'!K$12/(1/'KU Efficiencies'!K$12))</f>
        <v>550.78430232446851</v>
      </c>
      <c r="N6" s="227">
        <f>'KU Efficiencies'!L$54*('KU Shares'!L6/(1/'KU Efficiencies'!L6))/('KU Shares'!L$12/(1/'KU Efficiencies'!L$12))</f>
        <v>778.1215658063644</v>
      </c>
      <c r="O6" s="227">
        <f>'KU Efficiencies'!M$54*('KU Shares'!M6/(1/'KU Efficiencies'!M6))/('KU Shares'!M$12/(1/'KU Efficiencies'!M$12))</f>
        <v>140.06188184514551</v>
      </c>
      <c r="P6" s="227">
        <f>'KU Efficiencies'!N$54*('KU Shares'!N6/(1/'KU Efficiencies'!N6))/('KU Shares'!N$12/(1/'KU Efficiencies'!N$12))</f>
        <v>277.15730415874725</v>
      </c>
      <c r="Q6" s="227">
        <f>'KU Efficiencies'!O$54*('KU Shares'!O6/(1/'KU Efficiencies'!O6))/('KU Shares'!O$12/(1/'KU Efficiencies'!O$12))</f>
        <v>294.26338880513538</v>
      </c>
      <c r="R6" s="282">
        <f t="shared" si="1"/>
        <v>294.26338880513538</v>
      </c>
      <c r="S6" s="227">
        <f>'KU Efficiencies'!Q$54*('KU Shares'!Q6/(1/'KU Efficiencies'!Q6))/('KU Shares'!Q$12/(1/'KU Efficiencies'!Q$12))</f>
        <v>108.58973674213796</v>
      </c>
      <c r="T6" s="282">
        <f t="shared" si="2"/>
        <v>108.58973674213796</v>
      </c>
      <c r="U6" s="227">
        <f>'KU Efficiencies'!S$54*('KU Shares'!S6/(1/'KU Efficiencies'!S6))/('KU Shares'!S$12/(1/'KU Efficiencies'!S$12))</f>
        <v>807.17694533886436</v>
      </c>
      <c r="V6" s="282">
        <f t="shared" si="2"/>
        <v>807.17694533886436</v>
      </c>
      <c r="W6" s="227">
        <f>'KU Efficiencies'!U$54*('KU Shares'!U6/(1/'KU Efficiencies'!U6))/('KU Shares'!U$12/(1/'KU Efficiencies'!U$12))</f>
        <v>662.25041180290259</v>
      </c>
      <c r="X6" s="227">
        <f>'KU Efficiencies'!V$54*('KU Shares'!V6/(1/'KU Efficiencies'!V6))/('KU Shares'!V$12/(1/'KU Efficiencies'!V$12))</f>
        <v>222.81775435045088</v>
      </c>
      <c r="Y6" s="227">
        <f>'KU Efficiencies'!W$54*('KU Shares'!W6/(1/'KU Efficiencies'!W6))/('KU Shares'!W$12/(1/'KU Efficiencies'!W$12))</f>
        <v>2109.9577320643389</v>
      </c>
      <c r="Z6" s="227" t="e">
        <f>'KU Efficiencies'!#REF!*('KU Shares'!X6/(1/'KU Efficiencies'!X6))/('KU Shares'!X$12/(1/'KU Efficiencies'!X$12))</f>
        <v>#REF!</v>
      </c>
      <c r="AA6" s="227"/>
    </row>
    <row r="7" spans="1:49" hidden="1" x14ac:dyDescent="0.2">
      <c r="A7" s="225">
        <v>2000</v>
      </c>
      <c r="B7" s="226">
        <f t="shared" si="3"/>
        <v>1323.3711042610948</v>
      </c>
      <c r="C7" s="226">
        <f t="shared" si="0"/>
        <v>3807.1705495656429</v>
      </c>
      <c r="D7" s="227">
        <f>'KU Efficiencies'!B$54*'KU StructuralVars'!$Q7*('KU Shares'!B7/'KU Efficiencies'!B7)/('KU Shares'!B$12/'KU Efficiencies'!B$12)</f>
        <v>812.29734365417812</v>
      </c>
      <c r="E7" s="227">
        <f>'KU Efficiencies'!C$54*'KU StructuralVars'!$Q7*('KU Shares'!C7/'KU Efficiencies'!C7)/('KU Shares'!C$12/'KU Efficiencies'!C$12)</f>
        <v>382.31211828018263</v>
      </c>
      <c r="F7" s="227">
        <f>'KU Efficiencies'!D$54*'KU StructuralVars'!$Q7*('KU Shares'!D7/'KU Efficiencies'!D7)/('KU Shares'!D$12/'KU Efficiencies'!D$12)</f>
        <v>7.5387223730035045</v>
      </c>
      <c r="G7" s="227">
        <f>'KU Efficiencies'!E$54*'KU StructuralVars'!$Q7*('KU Shares'!E7/(1/'KU Efficiencies'!E7))/('KU Shares'!E$12/(1/'KU Efficiencies'!E$12))</f>
        <v>121.22291995373052</v>
      </c>
      <c r="H7" s="227">
        <f>'KU Efficiencies'!F$54*'KU StructuralVars'!$R7*('KU Shares'!F7/'KU Efficiencies'!F7)/('KU Shares'!F$12/'KU Efficiencies'!F$12)</f>
        <v>3013.0922693458383</v>
      </c>
      <c r="I7" s="227">
        <f>'KU Efficiencies'!G$54*'KU StructuralVars'!$R7*('KU Shares'!G7/'KU Efficiencies'!G7)/('KU Shares'!G$12/'KU Efficiencies'!G$12)</f>
        <v>672.85536026607417</v>
      </c>
      <c r="J7" s="227">
        <f>'KU Efficiencies'!H$54*'KU StructuralVars'!$R7*('KU Shares'!H7/'KU Efficiencies'!H7)/('KU Shares'!H$12/'KU Efficiencies'!H$12)</f>
        <v>13.302192301615216</v>
      </c>
      <c r="K7" s="227">
        <f>'KU Efficiencies'!I$54*'KU StructuralVars'!$R7*('KU Shares'!I7/'KU Efficiencies'!I7)/('KU Shares'!I$12/'KU Efficiencies'!I$12)</f>
        <v>499.94564768871163</v>
      </c>
      <c r="L7" s="227">
        <f>'KU Efficiencies'!J$54*('KU Shares'!J7/'KU Efficiencies'!J7)/('KU Shares'!J$12/'KU Efficiencies'!J$12)</f>
        <v>2115.9138641433037</v>
      </c>
      <c r="M7" s="227">
        <f>'KU Efficiencies'!K$54*('KU Shares'!K7/(1/'KU Efficiencies'!K7))/('KU Shares'!K$12/(1/'KU Efficiencies'!K$12))</f>
        <v>555.1921998392362</v>
      </c>
      <c r="N7" s="227">
        <f>'KU Efficiencies'!L$54*('KU Shares'!L7/(1/'KU Efficiencies'!L7))/('KU Shares'!L$12/(1/'KU Efficiencies'!L$12))</f>
        <v>765.54462890274226</v>
      </c>
      <c r="O7" s="227">
        <f>'KU Efficiencies'!M$54*('KU Shares'!M7/(1/'KU Efficiencies'!M7))/('KU Shares'!M$12/(1/'KU Efficiencies'!M$12))</f>
        <v>137.79803320249354</v>
      </c>
      <c r="P7" s="227">
        <f>'KU Efficiencies'!N$54*('KU Shares'!N7/(1/'KU Efficiencies'!N7))/('KU Shares'!N$12/(1/'KU Efficiencies'!N$12))</f>
        <v>274.15117802594227</v>
      </c>
      <c r="Q7" s="227">
        <f>'KU Efficiencies'!O$54*('KU Shares'!O7/(1/'KU Efficiencies'!O7))/('KU Shares'!O$12/(1/'KU Efficiencies'!O$12))</f>
        <v>290.3665100796083</v>
      </c>
      <c r="R7" s="282">
        <f t="shared" si="1"/>
        <v>290.3665100796083</v>
      </c>
      <c r="S7" s="227">
        <f>'KU Efficiencies'!Q$54*('KU Shares'!Q7/(1/'KU Efficiencies'!Q7))/('KU Shares'!Q$12/(1/'KU Efficiencies'!Q$12))</f>
        <v>107.98220730410696</v>
      </c>
      <c r="T7" s="282">
        <f t="shared" si="2"/>
        <v>107.98220730410696</v>
      </c>
      <c r="U7" s="227">
        <f>'KU Efficiencies'!S$54*('KU Shares'!S7/(1/'KU Efficiencies'!S7))/('KU Shares'!S$12/(1/'KU Efficiencies'!S$12))</f>
        <v>805.93775870445097</v>
      </c>
      <c r="V7" s="282">
        <f t="shared" si="2"/>
        <v>805.93775870445097</v>
      </c>
      <c r="W7" s="227">
        <f>'KU Efficiencies'!U$54*('KU Shares'!U7/(1/'KU Efficiencies'!U7))/('KU Shares'!U$12/(1/'KU Efficiencies'!U$12))</f>
        <v>672.19478919656001</v>
      </c>
      <c r="X7" s="227">
        <f>'KU Efficiencies'!V$54*('KU Shares'!V7/(1/'KU Efficiencies'!V7))/('KU Shares'!V$12/(1/'KU Efficiencies'!V$12))</f>
        <v>225.74035858034216</v>
      </c>
      <c r="Y7" s="227">
        <f>'KU Efficiencies'!W$54*('KU Shares'!W7/(1/'KU Efficiencies'!W7))/('KU Shares'!W$12/(1/'KU Efficiencies'!W$12))</f>
        <v>2111.5357251278797</v>
      </c>
      <c r="Z7" s="227" t="e">
        <f>'KU Efficiencies'!#REF!*('KU Shares'!X7/(1/'KU Efficiencies'!X7))/('KU Shares'!X$12/(1/'KU Efficiencies'!X$12))</f>
        <v>#REF!</v>
      </c>
      <c r="AA7" s="227"/>
    </row>
    <row r="8" spans="1:49" x14ac:dyDescent="0.2">
      <c r="A8" s="225">
        <v>2001</v>
      </c>
      <c r="B8" s="226">
        <f t="shared" si="3"/>
        <v>1350.6265903578592</v>
      </c>
      <c r="C8" s="226">
        <f>SUM(H8:K8)</f>
        <v>4131.3033425837475</v>
      </c>
      <c r="D8" s="227">
        <f>'KU Efficiencies'!B$54*'KU StructuralVars'!$Q8*('KU Shares'!B8/'KU Efficiencies'!B8)/('KU Shares'!B$12/'KU Efficiencies'!B$12)</f>
        <v>835.34709619877617</v>
      </c>
      <c r="E8" s="227">
        <f>'KU Efficiencies'!C$54*'KU StructuralVars'!$Q8*('KU Shares'!C8/'KU Efficiencies'!C8)/('KU Shares'!C$12/'KU Efficiencies'!C$12)</f>
        <v>390.6045406812222</v>
      </c>
      <c r="F8" s="227">
        <f>'KU Efficiencies'!D$54*'KU StructuralVars'!$Q8*('KU Shares'!D8/'KU Efficiencies'!D8)/('KU Shares'!D$12/'KU Efficiencies'!D$12)</f>
        <v>7.9066527016736394</v>
      </c>
      <c r="G8" s="227">
        <f>'KU Efficiencies'!E$54*'KU StructuralVars'!$Q8*('KU Shares'!E8/(1/'KU Efficiencies'!E8))/('KU Shares'!E$12/(1/'KU Efficiencies'!E$12))</f>
        <v>116.76830077618708</v>
      </c>
      <c r="H8" s="227">
        <f>'KU Efficiencies'!F$54*'KU StructuralVars'!$R8*('KU Shares'!F8/'KU Efficiencies'!F8)/('KU Shares'!F$12/'KU Efficiencies'!F$12)</f>
        <v>2970.5156030688036</v>
      </c>
      <c r="I8" s="227">
        <f>'KU Efficiencies'!G$54*'KU StructuralVars'!$R8*('KU Shares'!G8/'KU Efficiencies'!G8)/('KU Shares'!G$12/'KU Efficiencies'!G$12)</f>
        <v>670.87810648911818</v>
      </c>
      <c r="J8" s="227">
        <f>'KU Efficiencies'!H$54*'KU StructuralVars'!$R8*('KU Shares'!H8/'KU Efficiencies'!H8)/('KU Shares'!H$12/'KU Efficiencies'!H$12)</f>
        <v>13.957101180005424</v>
      </c>
      <c r="K8" s="227">
        <f>'KU Efficiencies'!I$54*'KU StructuralVars'!$R8*('KU Shares'!I8/'KU Efficiencies'!I8)/('KU Shares'!I$12/'KU Efficiencies'!I$12)</f>
        <v>475.95253184582026</v>
      </c>
      <c r="L8" s="227">
        <f>'KU Efficiencies'!J$54*('KU Shares'!J8/'KU Efficiencies'!J8)/('KU Shares'!J$12/'KU Efficiencies'!J$12)</f>
        <v>2110.7604675094922</v>
      </c>
      <c r="M8" s="227">
        <f>'KU Efficiencies'!K$54*('KU Shares'!K8/(1/'KU Efficiencies'!K8))/('KU Shares'!K$12/(1/'KU Efficiencies'!K$12))</f>
        <v>559.59769057523124</v>
      </c>
      <c r="N8" s="227">
        <f>'KU Efficiencies'!L$54*('KU Shares'!L8/(1/'KU Efficiencies'!L8))/('KU Shares'!L$12/(1/'KU Efficiencies'!L$12))</f>
        <v>752.96769199912012</v>
      </c>
      <c r="O8" s="227">
        <f>'KU Efficiencies'!M$54*('KU Shares'!M8/(1/'KU Efficiencies'!M8))/('KU Shares'!M$12/(1/'KU Efficiencies'!M$12))</f>
        <v>135.53418455984155</v>
      </c>
      <c r="P8" s="227">
        <f>'KU Efficiencies'!N$54*('KU Shares'!N8/(1/'KU Efficiencies'!N8))/('KU Shares'!N$12/(1/'KU Efficiencies'!N$12))</f>
        <v>271.14505189313718</v>
      </c>
      <c r="Q8" s="227">
        <f>'KU Efficiencies'!O$54*('KU Shares'!O8/(1/'KU Efficiencies'!O8))/('KU Shares'!O$12/(1/'KU Efficiencies'!O$12))</f>
        <v>286.43109755339026</v>
      </c>
      <c r="R8" s="282">
        <f t="shared" si="1"/>
        <v>286.43109755339026</v>
      </c>
      <c r="S8" s="227">
        <f>'KU Efficiencies'!Q$54*('KU Shares'!Q8/(1/'KU Efficiencies'!Q8))/('KU Shares'!Q$12/(1/'KU Efficiencies'!Q$12))</f>
        <v>107.36664900928854</v>
      </c>
      <c r="T8" s="282">
        <f t="shared" si="2"/>
        <v>107.36664900928854</v>
      </c>
      <c r="U8" s="227">
        <f>'KU Efficiencies'!S$54*('KU Shares'!S8/(1/'KU Efficiencies'!S8))/('KU Shares'!S$12/(1/'KU Efficiencies'!S$12))</f>
        <v>804.66439135737528</v>
      </c>
      <c r="V8" s="282">
        <f t="shared" si="2"/>
        <v>804.66439135737528</v>
      </c>
      <c r="W8" s="227">
        <f>'KU Efficiencies'!U$54*('KU Shares'!U8/(1/'KU Efficiencies'!U8))/('KU Shares'!U$12/(1/'KU Efficiencies'!U$12))</f>
        <v>682.41753217865892</v>
      </c>
      <c r="X8" s="227">
        <f>'KU Efficiencies'!V$54*('KU Shares'!V8/(1/'KU Efficiencies'!V8))/('KU Shares'!V$12/(1/'KU Efficiencies'!V$12))</f>
        <v>228.65294823555445</v>
      </c>
      <c r="Y8" s="227">
        <f>'KU Efficiencies'!W$54*('KU Shares'!W8/(1/'KU Efficiencies'!W8))/('KU Shares'!W$12/(1/'KU Efficiencies'!W$12))</f>
        <v>2113.11371819142</v>
      </c>
      <c r="Z8" s="227">
        <f>'KU Efficiencies'!X$54*('KU Shares'!X8/(1/'KU Efficiencies'!X8))/('KU Shares'!X$12/(1/'KU Efficiencies'!X$12))</f>
        <v>3708.1959829581037</v>
      </c>
      <c r="AA8" s="227"/>
      <c r="AB8" s="153">
        <f>SUM(D8:Z8)</f>
        <v>18441.239476882274</v>
      </c>
    </row>
    <row r="9" spans="1:49" x14ac:dyDescent="0.2">
      <c r="A9" s="225">
        <v>2002</v>
      </c>
      <c r="B9" s="226">
        <f t="shared" si="3"/>
        <v>1377.4361741997261</v>
      </c>
      <c r="C9" s="226">
        <f t="shared" ref="C9:C49" si="4">SUM(H9:K9)</f>
        <v>4065.8819373308056</v>
      </c>
      <c r="D9" s="227">
        <f>'KU Efficiencies'!B$54*'KU StructuralVars'!$Q9*('KU Shares'!B9/'KU Efficiencies'!B9)/('KU Shares'!B$12/'KU Efficiencies'!B$12)</f>
        <v>858.16470506992584</v>
      </c>
      <c r="E9" s="227">
        <f>'KU Efficiencies'!C$54*'KU StructuralVars'!$Q9*('KU Shares'!C9/'KU Efficiencies'!C9)/('KU Shares'!C$12/'KU Efficiencies'!C$12)</f>
        <v>398.68198778561714</v>
      </c>
      <c r="F9" s="227">
        <f>'KU Efficiencies'!D$54*'KU StructuralVars'!$Q9*('KU Shares'!D9/'KU Efficiencies'!D9)/('KU Shares'!D$12/'KU Efficiencies'!D$12)</f>
        <v>8.2709781747302813</v>
      </c>
      <c r="G9" s="227">
        <f>'KU Efficiencies'!E$54*'KU StructuralVars'!$Q9*('KU Shares'!E9/(1/'KU Efficiencies'!E9))/('KU Shares'!E$12/(1/'KU Efficiencies'!E$12))</f>
        <v>112.31850316945261</v>
      </c>
      <c r="H9" s="227">
        <f>'KU Efficiencies'!F$54*'KU StructuralVars'!$R9*('KU Shares'!F9/'KU Efficiencies'!F9)/('KU Shares'!F$12/'KU Efficiencies'!F$12)</f>
        <v>2930.0289155464848</v>
      </c>
      <c r="I9" s="227">
        <f>'KU Efficiencies'!G$54*'KU StructuralVars'!$R9*('KU Shares'!G9/'KU Efficiencies'!G9)/('KU Shares'!G$12/'KU Efficiencies'!G$12)</f>
        <v>668.95598378293118</v>
      </c>
      <c r="J9" s="227">
        <f>'KU Efficiencies'!H$54*'KU StructuralVars'!$R9*('KU Shares'!H9/'KU Efficiencies'!H9)/('KU Shares'!H$12/'KU Efficiencies'!H$12)</f>
        <v>14.610684515098765</v>
      </c>
      <c r="K9" s="227">
        <f>'KU Efficiencies'!I$54*'KU StructuralVars'!$R9*('KU Shares'!I9/'KU Efficiencies'!I9)/('KU Shares'!I$12/'KU Efficiencies'!I$12)</f>
        <v>452.28635348629103</v>
      </c>
      <c r="L9" s="227">
        <f>'KU Efficiencies'!J$54*('KU Shares'!J9/'KU Efficiencies'!J9)/('KU Shares'!J$12/'KU Efficiencies'!J$12)</f>
        <v>2119.9075844606541</v>
      </c>
      <c r="M9" s="227">
        <f>'KU Efficiencies'!K$54*('KU Shares'!K9/(1/'KU Efficiencies'!K9))/('KU Shares'!K$12/(1/'KU Efficiencies'!K$12))</f>
        <v>564.00077453245331</v>
      </c>
      <c r="N9" s="227">
        <f>'KU Efficiencies'!L$54*('KU Shares'!L9/(1/'KU Efficiencies'!L9))/('KU Shares'!L$12/(1/'KU Efficiencies'!L$12))</f>
        <v>740.39075509549787</v>
      </c>
      <c r="O9" s="227">
        <f>'KU Efficiencies'!M$54*('KU Shares'!M9/(1/'KU Efficiencies'!M9))/('KU Shares'!M$12/(1/'KU Efficiencies'!M$12))</f>
        <v>133.27033591718958</v>
      </c>
      <c r="P9" s="227">
        <f>'KU Efficiencies'!N$54*('KU Shares'!N9/(1/'KU Efficiencies'!N9))/('KU Shares'!N$12/(1/'KU Efficiencies'!N$12))</f>
        <v>268.1389257603322</v>
      </c>
      <c r="Q9" s="227">
        <f>'KU Efficiencies'!O$54*('KU Shares'!O9/(1/'KU Efficiencies'!O9))/('KU Shares'!O$12/(1/'KU Efficiencies'!O$12))</f>
        <v>282.45715122648147</v>
      </c>
      <c r="R9" s="282">
        <f>Q9</f>
        <v>282.45715122648147</v>
      </c>
      <c r="S9" s="227">
        <f>'KU Efficiencies'!Q$54*('KU Shares'!Q9/(1/'KU Efficiencies'!Q9))/('KU Shares'!Q$12/(1/'KU Efficiencies'!Q$12))</f>
        <v>106.74306185768275</v>
      </c>
      <c r="T9" s="282">
        <f t="shared" si="2"/>
        <v>106.74306185768275</v>
      </c>
      <c r="U9" s="227">
        <f>'KU Efficiencies'!S$54*('KU Shares'!S9/(1/'KU Efficiencies'!S9))/('KU Shares'!S$12/(1/'KU Efficiencies'!S$12))</f>
        <v>803.35684329763694</v>
      </c>
      <c r="V9" s="282">
        <f t="shared" si="2"/>
        <v>803.35684329763694</v>
      </c>
      <c r="W9" s="227">
        <f>'KU Efficiencies'!U$54*('KU Shares'!U9/(1/'KU Efficiencies'!U9))/('KU Shares'!U$12/(1/'KU Efficiencies'!U$12))</f>
        <v>692.48854211157504</v>
      </c>
      <c r="X9" s="227">
        <f>'KU Efficiencies'!V$54*('KU Shares'!V9/(1/'KU Efficiencies'!V9))/('KU Shares'!V$12/(1/'KU Efficiencies'!V$12))</f>
        <v>231.55552331608774</v>
      </c>
      <c r="Y9" s="227">
        <f>'KU Efficiencies'!W$54*('KU Shares'!W9/(1/'KU Efficiencies'!W9))/('KU Shares'!W$12/(1/'KU Efficiencies'!W$12))</f>
        <v>2114.6917112549604</v>
      </c>
      <c r="Z9" s="227">
        <f>'KU Efficiencies'!X$54*('KU Shares'!X9/(1/'KU Efficiencies'!X9))/('KU Shares'!X$12/(1/'KU Efficiencies'!X$12))</f>
        <v>3815.4643058179176</v>
      </c>
      <c r="AA9" s="227"/>
      <c r="AB9" s="153">
        <f t="shared" ref="AB9:AB19" si="5">SUM(D9:Z9)</f>
        <v>18508.340682560804</v>
      </c>
    </row>
    <row r="10" spans="1:49" x14ac:dyDescent="0.2">
      <c r="A10" s="225">
        <v>2003</v>
      </c>
      <c r="B10" s="226">
        <f t="shared" si="3"/>
        <v>1403.8564859112967</v>
      </c>
      <c r="C10" s="226">
        <f t="shared" si="4"/>
        <v>4002.3699309989643</v>
      </c>
      <c r="D10" s="227">
        <f>'KU Efficiencies'!B$54*'KU StructuralVars'!$Q10*('KU Shares'!B10/'KU Efficiencies'!B10)/('KU Shares'!B$12/'KU Efficiencies'!B$12)</f>
        <v>880.7784734982896</v>
      </c>
      <c r="E10" s="227">
        <f>'KU Efficiencies'!C$54*'KU StructuralVars'!$Q10*('KU Shares'!C10/'KU Efficiencies'!C10)/('KU Shares'!C$12/'KU Efficiencies'!C$12)</f>
        <v>406.56166324079885</v>
      </c>
      <c r="F10" s="227">
        <f>'KU Efficiencies'!D$54*'KU StructuralVars'!$Q10*('KU Shares'!D10/'KU Efficiencies'!D10)/('KU Shares'!D$12/'KU Efficiencies'!D$12)</f>
        <v>8.6318410288982843</v>
      </c>
      <c r="G10" s="227">
        <f>'KU Efficiencies'!E$54*'KU StructuralVars'!$Q10*('KU Shares'!E10/(1/'KU Efficiencies'!E10))/('KU Shares'!E$12/(1/'KU Efficiencies'!E$12))</f>
        <v>107.88450814331011</v>
      </c>
      <c r="H10" s="227">
        <f>'KU Efficiencies'!F$54*'KU StructuralVars'!$R10*('KU Shares'!F10/'KU Efficiencies'!F10)/('KU Shares'!F$12/'KU Efficiencies'!F$12)</f>
        <v>2891.0838097198089</v>
      </c>
      <c r="I10" s="227">
        <f>'KU Efficiencies'!G$54*'KU StructuralVars'!$R10*('KU Shares'!G10/'KU Efficiencies'!G10)/('KU Shares'!G$12/'KU Efficiencies'!G$12)</f>
        <v>667.08668970387873</v>
      </c>
      <c r="J10" s="227">
        <f>'KU Efficiencies'!H$54*'KU StructuralVars'!$R10*('KU Shares'!H10/'KU Efficiencies'!H10)/('KU Shares'!H$12/'KU Efficiencies'!H$12)</f>
        <v>15.262902524478552</v>
      </c>
      <c r="K10" s="227">
        <f>'KU Efficiencies'!I$54*'KU StructuralVars'!$R10*('KU Shares'!I10/'KU Efficiencies'!I10)/('KU Shares'!I$12/'KU Efficiencies'!I$12)</f>
        <v>428.9365290507983</v>
      </c>
      <c r="L10" s="227">
        <f>'KU Efficiencies'!J$54*('KU Shares'!J10/'KU Efficiencies'!J10)/('KU Shares'!J$12/'KU Efficiencies'!J$12)</f>
        <v>2129.0103610264086</v>
      </c>
      <c r="M10" s="227">
        <f>'KU Efficiencies'!K$54*('KU Shares'!K10/(1/'KU Efficiencies'!K10))/('KU Shares'!K$12/(1/'KU Efficiencies'!K$12))</f>
        <v>568.40145171090273</v>
      </c>
      <c r="N10" s="227">
        <f>'KU Efficiencies'!L$54*('KU Shares'!L10/(1/'KU Efficiencies'!L10))/('KU Shares'!L$12/(1/'KU Efficiencies'!L$12))</f>
        <v>727.81381819187584</v>
      </c>
      <c r="O10" s="227">
        <f>'KU Efficiencies'!M$54*('KU Shares'!M10/(1/'KU Efficiencies'!M10))/('KU Shares'!M$12/(1/'KU Efficiencies'!M$12))</f>
        <v>131.00648727453762</v>
      </c>
      <c r="P10" s="227">
        <f>'KU Efficiencies'!N$54*('KU Shares'!N10/(1/'KU Efficiencies'!N10))/('KU Shares'!N$12/(1/'KU Efficiencies'!N$12))</f>
        <v>265.13279962752716</v>
      </c>
      <c r="Q10" s="227">
        <f>'KU Efficiencies'!O$54*('KU Shares'!O10/(1/'KU Efficiencies'!O10))/('KU Shares'!O$12/(1/'KU Efficiencies'!O$12))</f>
        <v>278.44467109888166</v>
      </c>
      <c r="R10" s="282">
        <f>Q10</f>
        <v>278.44467109888166</v>
      </c>
      <c r="S10" s="227">
        <f>'KU Efficiencies'!Q$54*('KU Shares'!Q10/(1/'KU Efficiencies'!Q10))/('KU Shares'!Q$12/(1/'KU Efficiencies'!Q$12))</f>
        <v>106.11144584928955</v>
      </c>
      <c r="T10" s="282">
        <f t="shared" si="2"/>
        <v>106.11144584928955</v>
      </c>
      <c r="U10" s="227">
        <f>'KU Efficiencies'!S$54*('KU Shares'!S10/(1/'KU Efficiencies'!S10))/('KU Shares'!S$12/(1/'KU Efficiencies'!S$12))</f>
        <v>802.01511452523607</v>
      </c>
      <c r="V10" s="282">
        <f t="shared" si="2"/>
        <v>802.01511452523607</v>
      </c>
      <c r="W10" s="227">
        <f>'KU Efficiencies'!U$54*('KU Shares'!U10/(1/'KU Efficiencies'!U10))/('KU Shares'!U$12/(1/'KU Efficiencies'!U$12))</f>
        <v>702.62175750237259</v>
      </c>
      <c r="X10" s="227">
        <f>'KU Efficiencies'!V$54*('KU Shares'!V10/(1/'KU Efficiencies'!V10))/('KU Shares'!V$12/(1/'KU Efficiencies'!V$12))</f>
        <v>234.44808382194199</v>
      </c>
      <c r="Y10" s="227">
        <f>'KU Efficiencies'!W$54*('KU Shares'!W10/(1/'KU Efficiencies'!W10))/('KU Shares'!W$12/(1/'KU Efficiencies'!W$12))</f>
        <v>2116.2697043185008</v>
      </c>
      <c r="Z10" s="227">
        <f>'KU Efficiencies'!X$54*('KU Shares'!X10/(1/'KU Efficiencies'!X10))/('KU Shares'!X$12/(1/'KU Efficiencies'!X$12))</f>
        <v>3922.7326286777329</v>
      </c>
      <c r="AA10" s="227"/>
      <c r="AB10" s="153">
        <f t="shared" si="5"/>
        <v>18576.805972008879</v>
      </c>
    </row>
    <row r="11" spans="1:49" x14ac:dyDescent="0.2">
      <c r="A11" s="225">
        <v>2004</v>
      </c>
      <c r="B11" s="226">
        <f t="shared" si="3"/>
        <v>1424.246938291491</v>
      </c>
      <c r="C11" s="226">
        <f t="shared" si="4"/>
        <v>3969.3795777801447</v>
      </c>
      <c r="D11" s="227">
        <f>'KU Efficiencies'!B$54*'KU StructuralVars'!$Q11*('KU Shares'!B11/'KU Efficiencies'!B11)/('KU Shares'!B$12/'KU Efficiencies'!B$12)</f>
        <v>899.3113929770833</v>
      </c>
      <c r="E11" s="227">
        <f>'KU Efficiencies'!C$54*'KU StructuralVars'!$Q11*('KU Shares'!C11/'KU Efficiencies'!C11)/('KU Shares'!C$12/'KU Efficiencies'!C$12)</f>
        <v>412.46916068036131</v>
      </c>
      <c r="F11" s="227">
        <f>'KU Efficiencies'!D$54*'KU StructuralVars'!$Q11*('KU Shares'!D11/'KU Efficiencies'!D11)/('KU Shares'!D$12/'KU Efficiencies'!D$12)</f>
        <v>8.9895284944504663</v>
      </c>
      <c r="G11" s="227">
        <f>'KU Efficiencies'!E$54*'KU StructuralVars'!$Q11*('KU Shares'!E11/(1/'KU Efficiencies'!E11))/('KU Shares'!E$12/(1/'KU Efficiencies'!E$12))</f>
        <v>103.47685613959592</v>
      </c>
      <c r="H11" s="227">
        <f>'KU Efficiencies'!F$54*'KU StructuralVars'!$R11*('KU Shares'!F11/'KU Efficiencies'!F11)/('KU Shares'!F$12/'KU Efficiencies'!F$12)</f>
        <v>2853.588565045935</v>
      </c>
      <c r="I11" s="227">
        <f>'KU Efficiencies'!G$54*'KU StructuralVars'!$R11*('KU Shares'!G11/'KU Efficiencies'!G11)/('KU Shares'!G$12/'KU Efficiencies'!G$12)</f>
        <v>665.26803672815538</v>
      </c>
      <c r="J11" s="227">
        <f>'KU Efficiencies'!H$54*'KU StructuralVars'!$R11*('KU Shares'!H11/'KU Efficiencies'!H11)/('KU Shares'!H$12/'KU Efficiencies'!H$12)</f>
        <v>15.913716634072552</v>
      </c>
      <c r="K11" s="227">
        <f>'KU Efficiencies'!I$54*'KU StructuralVars'!$R11*('KU Shares'!I11/'KU Efficiencies'!I11)/('KU Shares'!I$12/'KU Efficiencies'!I$12)</f>
        <v>434.60925937198192</v>
      </c>
      <c r="L11" s="227">
        <f>'KU Efficiencies'!J$54*('KU Shares'!J11/'KU Efficiencies'!J11)/('KU Shares'!J$12/'KU Efficiencies'!J$12)</f>
        <v>2134.5175090033686</v>
      </c>
      <c r="M11" s="227">
        <f>'KU Efficiencies'!K$54*('KU Shares'!K11/(1/'KU Efficiencies'!K11))/('KU Shares'!K$12/(1/'KU Efficiencies'!K$12))</f>
        <v>572.7997221105793</v>
      </c>
      <c r="N11" s="227">
        <f>'KU Efficiencies'!L$54*('KU Shares'!L11/(1/'KU Efficiencies'!L11))/('KU Shares'!L$12/(1/'KU Efficiencies'!L$12))</f>
        <v>715.2368812882537</v>
      </c>
      <c r="O11" s="227">
        <f>'KU Efficiencies'!M$54*('KU Shares'!M11/(1/'KU Efficiencies'!M11))/('KU Shares'!M$12/(1/'KU Efficiencies'!M$12))</f>
        <v>128.74263863188568</v>
      </c>
      <c r="P11" s="227">
        <f>'KU Efficiencies'!N$54*('KU Shares'!N11/(1/'KU Efficiencies'!N11))/('KU Shares'!N$12/(1/'KU Efficiencies'!N$12))</f>
        <v>262.12667349472218</v>
      </c>
      <c r="Q11" s="227">
        <f>'KU Efficiencies'!O$54*('KU Shares'!O11/(1/'KU Efficiencies'!O11))/('KU Shares'!O$12/(1/'KU Efficiencies'!O$12))</f>
        <v>274.39365717059104</v>
      </c>
      <c r="R11" s="282">
        <f>Q11</f>
        <v>274.39365717059104</v>
      </c>
      <c r="S11" s="227">
        <f>'KU Efficiencies'!Q$54*('KU Shares'!Q11/(1/'KU Efficiencies'!Q11))/('KU Shares'!Q$12/(1/'KU Efficiencies'!Q$12))</f>
        <v>105.47180098410895</v>
      </c>
      <c r="T11" s="282">
        <f t="shared" si="2"/>
        <v>105.47180098410895</v>
      </c>
      <c r="U11" s="227">
        <f>'KU Efficiencies'!S$54*('KU Shares'!S11/(1/'KU Efficiencies'!S11))/('KU Shares'!S$12/(1/'KU Efficiencies'!S$12))</f>
        <v>800.63920504017221</v>
      </c>
      <c r="V11" s="282">
        <f t="shared" si="2"/>
        <v>800.63920504017221</v>
      </c>
      <c r="W11" s="227">
        <f>'KU Efficiencies'!U$54*('KU Shares'!U11/(1/'KU Efficiencies'!U11))/('KU Shares'!U$12/(1/'KU Efficiencies'!U$12))</f>
        <v>712.81717835105144</v>
      </c>
      <c r="X11" s="227">
        <f>'KU Efficiencies'!V$54*('KU Shares'!V11/(1/'KU Efficiencies'!V11))/('KU Shares'!V$12/(1/'KU Efficiencies'!V$12))</f>
        <v>237.33062975311722</v>
      </c>
      <c r="Y11" s="227">
        <f>'KU Efficiencies'!W$54*('KU Shares'!W11/(1/'KU Efficiencies'!W11))/('KU Shares'!W$12/(1/'KU Efficiencies'!W$12))</f>
        <v>2117.8476973820416</v>
      </c>
      <c r="Z11" s="227">
        <f>'KU Efficiencies'!X$54*('KU Shares'!X11/(1/'KU Efficiencies'!X11))/('KU Shares'!X$12/(1/'KU Efficiencies'!X$12))</f>
        <v>4030.0009515375459</v>
      </c>
      <c r="AA11" s="227"/>
      <c r="AB11" s="153">
        <f t="shared" si="5"/>
        <v>18666.055724013946</v>
      </c>
    </row>
    <row r="12" spans="1:49" x14ac:dyDescent="0.2">
      <c r="A12" s="225">
        <v>2005</v>
      </c>
      <c r="B12" s="226">
        <f t="shared" si="3"/>
        <v>1446.6400946788419</v>
      </c>
      <c r="C12" s="226">
        <f t="shared" si="4"/>
        <v>3943.7929126466183</v>
      </c>
      <c r="D12" s="227">
        <f>'KU Efficiencies'!B$54*'KU StructuralVars'!$Q12*('KU Shares'!B12/'KU Efficiencies'!B12)/('KU Shares'!B$12/'KU Efficiencies'!B$12)</f>
        <v>919.13428064024072</v>
      </c>
      <c r="E12" s="227">
        <f>'KU Efficiencies'!C$54*'KU StructuralVars'!$Q12*('KU Shares'!C12/'KU Efficiencies'!C12)/('KU Shares'!C$12/'KU Efficiencies'!C$12)</f>
        <v>418.88968674901759</v>
      </c>
      <c r="F12" s="227">
        <f>'KU Efficiencies'!D$54*'KU StructuralVars'!$Q12*('KU Shares'!D12/'KU Efficiencies'!D12)/('KU Shares'!D$12/'KU Efficiencies'!D$12)</f>
        <v>9.3587965337677108</v>
      </c>
      <c r="G12" s="227">
        <f>'KU Efficiencies'!E$54*'KU StructuralVars'!$Q12*('KU Shares'!E12/(1/'KU Efficiencies'!E12))/('KU Shares'!E$12/(1/'KU Efficiencies'!E$12))</f>
        <v>99.2573307558159</v>
      </c>
      <c r="H12" s="227">
        <f>'KU Efficiencies'!F$54*'KU StructuralVars'!$R12*('KU Shares'!F12/'KU Efficiencies'!F12)/('KU Shares'!F$12/'KU Efficiencies'!F$12)</f>
        <v>2821.7797014184434</v>
      </c>
      <c r="I12" s="227">
        <f>'KU Efficiencies'!G$54*'KU StructuralVars'!$R12*('KU Shares'!G12/'KU Efficiencies'!G12)/('KU Shares'!G$12/'KU Efficiencies'!G$12)</f>
        <v>664.51554558329576</v>
      </c>
      <c r="J12" s="227">
        <f>'KU Efficiencies'!H$54*'KU StructuralVars'!$R12*('KU Shares'!H12/'KU Efficiencies'!H12)/('KU Shares'!H$12/'KU Efficiencies'!H$12)</f>
        <v>16.588492083481007</v>
      </c>
      <c r="K12" s="227">
        <f>'KU Efficiencies'!I$54*'KU StructuralVars'!$R12*('KU Shares'!I12/'KU Efficiencies'!I12)/('KU Shares'!I$12/'KU Efficiencies'!I$12)</f>
        <v>440.90917356139818</v>
      </c>
      <c r="L12" s="227">
        <f>'KU Efficiencies'!J$54*('KU Shares'!J12/'KU Efficiencies'!J12)/('KU Shares'!J$12/'KU Efficiencies'!J$12)</f>
        <v>2139.998090022028</v>
      </c>
      <c r="M12" s="227">
        <f>'KU Efficiencies'!K$54*('KU Shares'!K12/(1/'KU Efficiencies'!K12))/('KU Shares'!K$12/(1/'KU Efficiencies'!K$12))</f>
        <v>577.19558573148345</v>
      </c>
      <c r="N12" s="227">
        <f>'KU Efficiencies'!L$54*('KU Shares'!L12/(1/'KU Efficiencies'!L12))/('KU Shares'!L$12/(1/'KU Efficiencies'!L$12))</f>
        <v>702.65994438463133</v>
      </c>
      <c r="O12" s="227">
        <f>'KU Efficiencies'!M$54*('KU Shares'!M12/(1/'KU Efficiencies'!M12))/('KU Shares'!M$12/(1/'KU Efficiencies'!M$12))</f>
        <v>127.37087069516286</v>
      </c>
      <c r="P12" s="227">
        <f>'KU Efficiencies'!N$54*('KU Shares'!N12/(1/'KU Efficiencies'!N12))/('KU Shares'!N$12/(1/'KU Efficiencies'!N$12))</f>
        <v>259.12054736191692</v>
      </c>
      <c r="Q12" s="227">
        <f>'KU Efficiencies'!O$54*('KU Shares'!O12/(1/'KU Efficiencies'!O12))/('KU Shares'!O$12/(1/'KU Efficiencies'!O$12))</f>
        <v>270.30410944160957</v>
      </c>
      <c r="R12" s="282">
        <f t="shared" ref="R12" si="6">Q12</f>
        <v>270.30410944160957</v>
      </c>
      <c r="S12" s="227">
        <f>'KU Efficiencies'!Q$54*('KU Shares'!Q12/(1/'KU Efficiencies'!Q12))/('KU Shares'!Q$12/(1/'KU Efficiencies'!Q$12))</f>
        <v>104.82412726214095</v>
      </c>
      <c r="T12" s="282">
        <f t="shared" si="2"/>
        <v>104.82412726214095</v>
      </c>
      <c r="U12" s="227">
        <f>'KU Efficiencies'!S$54*('KU Shares'!S12/(1/'KU Efficiencies'!S12))/('KU Shares'!S$12/(1/'KU Efficiencies'!S$12))</f>
        <v>799.22911484244673</v>
      </c>
      <c r="V12" s="282">
        <f t="shared" si="2"/>
        <v>799.22911484244673</v>
      </c>
      <c r="W12" s="227">
        <f>'KU Efficiencies'!U$54*('KU Shares'!U12/(1/'KU Efficiencies'!U12))/('KU Shares'!U$12/(1/'KU Efficiencies'!U$12))</f>
        <v>725.96154439582835</v>
      </c>
      <c r="X12" s="227">
        <f>'KU Efficiencies'!V$54*('KU Shares'!V12/(1/'KU Efficiencies'!V12))/('KU Shares'!V$12/(1/'KU Efficiencies'!V$12))</f>
        <v>240.20316110961355</v>
      </c>
      <c r="Y12" s="227">
        <f>'KU Efficiencies'!W$54*('KU Shares'!W12/(1/'KU Efficiencies'!W12))/('KU Shares'!W$12/(1/'KU Efficiencies'!W$12))</f>
        <v>2119.4256904455815</v>
      </c>
      <c r="Z12" s="227">
        <f>'KU Efficiencies'!X$54*('KU Shares'!X12/(1/'KU Efficiencies'!X12))/('KU Shares'!X$12/(1/'KU Efficiencies'!X$12))</f>
        <v>4216.7914405770534</v>
      </c>
      <c r="AA12" s="227"/>
      <c r="AB12" s="153">
        <f t="shared" si="5"/>
        <v>18847.874585141151</v>
      </c>
      <c r="AC12" s="228"/>
    </row>
    <row r="13" spans="1:49" x14ac:dyDescent="0.2">
      <c r="A13" s="225">
        <v>2006</v>
      </c>
      <c r="B13" s="226">
        <f t="shared" si="3"/>
        <v>1450.7597076015215</v>
      </c>
      <c r="C13" s="226">
        <f t="shared" si="4"/>
        <v>3852.6224051059789</v>
      </c>
      <c r="D13" s="227">
        <f>'KU Efficiencies'!B$54*'KU StructuralVars'!$Q13*('KU Shares'!B13/'KU Efficiencies'!B13)/('KU Shares'!B$12/'KU Efficiencies'!B$12)</f>
        <v>930.00939873943469</v>
      </c>
      <c r="E13" s="227">
        <f>'KU Efficiencies'!C$54*'KU StructuralVars'!$Q13*('KU Shares'!C13/'KU Efficiencies'!C13)/('KU Shares'!C$12/'KU Efficiencies'!C$12)</f>
        <v>418.67120817945181</v>
      </c>
      <c r="F13" s="227">
        <f>'KU Efficiencies'!D$54*'KU StructuralVars'!$Q13*('KU Shares'!D13/'KU Efficiencies'!D13)/('KU Shares'!D$12/'KU Efficiencies'!D$12)</f>
        <v>9.823551806535697</v>
      </c>
      <c r="G13" s="227">
        <f>'KU Efficiencies'!E$54*'KU StructuralVars'!$Q13*('KU Shares'!E13/(1/'KU Efficiencies'!E13))/('KU Shares'!E$12/(1/'KU Efficiencies'!E$12))</f>
        <v>92.255548876099297</v>
      </c>
      <c r="H13" s="227">
        <f>'KU Efficiencies'!F$54*'KU StructuralVars'!$R13*('KU Shares'!F13/'KU Efficiencies'!F13)/('KU Shares'!F$12/'KU Efficiencies'!F$12)</f>
        <v>2743.8511979936652</v>
      </c>
      <c r="I13" s="227">
        <f>'KU Efficiencies'!G$54*'KU StructuralVars'!$R13*('KU Shares'!G13/'KU Efficiencies'!G13)/('KU Shares'!G$12/'KU Efficiencies'!G$12)</f>
        <v>649.40911420381769</v>
      </c>
      <c r="J13" s="227">
        <f>'KU Efficiencies'!H$54*'KU StructuralVars'!$R13*('KU Shares'!H13/'KU Efficiencies'!H13)/('KU Shares'!H$12/'KU Efficiencies'!H$12)</f>
        <v>17.317730629629853</v>
      </c>
      <c r="K13" s="227">
        <f>'KU Efficiencies'!I$54*'KU StructuralVars'!$R13*('KU Shares'!I13/'KU Efficiencies'!I13)/('KU Shares'!I$12/'KU Efficiencies'!I$12)</f>
        <v>442.04436227886612</v>
      </c>
      <c r="L13" s="227">
        <f>'KU Efficiencies'!J$54*('KU Shares'!J13/'KU Efficiencies'!J13)/('KU Shares'!J$12/'KU Efficiencies'!J$12)</f>
        <v>2144.5527062425913</v>
      </c>
      <c r="M13" s="227">
        <f>'KU Efficiencies'!K$54*('KU Shares'!K13/(1/'KU Efficiencies'!K13))/('KU Shares'!K$12/(1/'KU Efficiencies'!K$12))</f>
        <v>581.2289319944573</v>
      </c>
      <c r="N13" s="227">
        <f>'KU Efficiencies'!L$54*('KU Shares'!L13/(1/'KU Efficiencies'!L13))/('KU Shares'!L$12/(1/'KU Efficiencies'!L$12))</f>
        <v>689.63685689656893</v>
      </c>
      <c r="O13" s="227">
        <f>'KU Efficiencies'!M$54*('KU Shares'!M13/(1/'KU Efficiencies'!M13))/('KU Shares'!M$12/(1/'KU Efficiencies'!M$12))</f>
        <v>124.06479632082252</v>
      </c>
      <c r="P13" s="227">
        <f>'KU Efficiencies'!N$54*('KU Shares'!N13/(1/'KU Efficiencies'!N13))/('KU Shares'!N$12/(1/'KU Efficiencies'!N$12))</f>
        <v>256.54093959866611</v>
      </c>
      <c r="Q13" s="227">
        <f>'KU Efficiencies'!O$54*('KU Shares'!O13/(1/'KU Efficiencies'!O13))/('KU Shares'!O$12/(1/'KU Efficiencies'!O$12))</f>
        <v>270.60812033912282</v>
      </c>
      <c r="R13" s="283">
        <f>'KU Efficiencies'!P$54*('KU Shares'!P13/'KU Efficiencies'!P13)/('KU Shares'!P$12/'KU Efficiencies'!P$12)</f>
        <v>271.15939121158851</v>
      </c>
      <c r="S13" s="227">
        <f>'KU Efficiencies'!Q$54*('KU Shares'!Q13/(1/'KU Efficiencies'!Q13))/('KU Shares'!Q$12/(1/'KU Efficiencies'!Q$12))</f>
        <v>103.09485396534758</v>
      </c>
      <c r="T13" s="283">
        <f>'KU Efficiencies'!R$54*('KU Shares'!R13/'KU Efficiencies'!R13)/('KU Shares'!R$12/'KU Efficiencies'!R$12)</f>
        <v>105.79907657570347</v>
      </c>
      <c r="U13" s="227">
        <f>'KU Efficiencies'!S$54*('KU Shares'!S13/(1/'KU Efficiencies'!S13))/('KU Shares'!S$12/(1/'KU Efficiencies'!S$12))</f>
        <v>790.49889423971399</v>
      </c>
      <c r="V13" s="283">
        <f>'KU Efficiencies'!T$54*('KU Shares'!T13/'KU Efficiencies'!T13)/('KU Shares'!T$12/'KU Efficiencies'!T$12)</f>
        <v>798.41495818844135</v>
      </c>
      <c r="W13" s="227">
        <f>'KU Efficiencies'!U$54*('KU Shares'!U13/(1/'KU Efficiencies'!U13))/('KU Shares'!U$12/(1/'KU Efficiencies'!U$12))</f>
        <v>765.48113533998401</v>
      </c>
      <c r="X13" s="227">
        <f>'KU Efficiencies'!V$54*('KU Shares'!V13/(1/'KU Efficiencies'!V13))/('KU Shares'!V$12/(1/'KU Efficiencies'!V$12))</f>
        <v>245.16228603977791</v>
      </c>
      <c r="Y13" s="227">
        <f>'KU Efficiencies'!W$54*('KU Shares'!W13/(1/'KU Efficiencies'!W13))/('KU Shares'!W$12/(1/'KU Efficiencies'!W$12))</f>
        <v>2093.8772627174935</v>
      </c>
      <c r="Z13" s="227">
        <f>'KU Efficiencies'!X$54*('KU Shares'!X13/(1/'KU Efficiencies'!X13))/('KU Shares'!X$12/(1/'KU Efficiencies'!X$12))</f>
        <v>4480.7550342244904</v>
      </c>
      <c r="AA13" s="227"/>
      <c r="AB13" s="153">
        <f t="shared" si="5"/>
        <v>19024.257356602269</v>
      </c>
      <c r="AC13" s="228"/>
    </row>
    <row r="14" spans="1:49" x14ac:dyDescent="0.2">
      <c r="A14" s="225">
        <v>2007</v>
      </c>
      <c r="B14" s="226">
        <f t="shared" si="3"/>
        <v>1451.8888478750825</v>
      </c>
      <c r="C14" s="226">
        <f t="shared" si="4"/>
        <v>3771.9052541895626</v>
      </c>
      <c r="D14" s="227">
        <f>'KU Efficiencies'!B$54*'KU StructuralVars'!$Q14*('KU Shares'!B14/'KU Efficiencies'!B14)/('KU Shares'!B$12/'KU Efficiencies'!B$12)</f>
        <v>938.59658068081239</v>
      </c>
      <c r="E14" s="227">
        <f>'KU Efficiencies'!C$54*'KU StructuralVars'!$Q14*('KU Shares'!C14/'KU Efficiencies'!C14)/('KU Shares'!C$12/'KU Efficiencies'!C$12)</f>
        <v>417.37821763710571</v>
      </c>
      <c r="F14" s="227">
        <f>'KU Efficiencies'!D$54*'KU StructuralVars'!$Q14*('KU Shares'!D14/'KU Efficiencies'!D14)/('KU Shares'!D$12/'KU Efficiencies'!D$12)</f>
        <v>10.547274796412822</v>
      </c>
      <c r="G14" s="227">
        <f>'KU Efficiencies'!E$54*'KU StructuralVars'!$Q14*('KU Shares'!E14/(1/'KU Efficiencies'!E14))/('KU Shares'!E$12/(1/'KU Efficiencies'!E$12))</f>
        <v>85.366774760751383</v>
      </c>
      <c r="H14" s="227">
        <f>'KU Efficiencies'!F$54*'KU StructuralVars'!$R14*('KU Shares'!F14/'KU Efficiencies'!F14)/('KU Shares'!F$12/'KU Efficiencies'!F$12)</f>
        <v>2678.0674488219952</v>
      </c>
      <c r="I14" s="227">
        <f>'KU Efficiencies'!G$54*'KU StructuralVars'!$R14*('KU Shares'!G14/'KU Efficiencies'!G14)/('KU Shares'!G$12/'KU Efficiencies'!G$12)</f>
        <v>633.24801279904932</v>
      </c>
      <c r="J14" s="227">
        <f>'KU Efficiencies'!H$54*'KU StructuralVars'!$R14*('KU Shares'!H14/'KU Efficiencies'!H14)/('KU Shares'!H$12/'KU Efficiencies'!H$12)</f>
        <v>18.52874298405375</v>
      </c>
      <c r="K14" s="227">
        <f>'KU Efficiencies'!I$54*'KU StructuralVars'!$R14*('KU Shares'!I14/'KU Efficiencies'!I14)/('KU Shares'!I$12/'KU Efficiencies'!I$12)</f>
        <v>442.0610495844644</v>
      </c>
      <c r="L14" s="227">
        <f>'KU Efficiencies'!J$54*('KU Shares'!J14/'KU Efficiencies'!J14)/('KU Shares'!J$12/'KU Efficiencies'!J$12)</f>
        <v>2138.4953505285871</v>
      </c>
      <c r="M14" s="227">
        <f>'KU Efficiencies'!K$54*('KU Shares'!K14/(1/'KU Efficiencies'!K14))/('KU Shares'!K$12/(1/'KU Efficiencies'!K$12))</f>
        <v>585.42173494392591</v>
      </c>
      <c r="N14" s="227">
        <f>'KU Efficiencies'!L$54*('KU Shares'!L14/(1/'KU Efficiencies'!L14))/('KU Shares'!L$12/(1/'KU Efficiencies'!L$12))</f>
        <v>676.85513909106351</v>
      </c>
      <c r="O14" s="227">
        <f>'KU Efficiencies'!M$54*('KU Shares'!M14/(1/'KU Efficiencies'!M14))/('KU Shares'!M$12/(1/'KU Efficiencies'!M$12))</f>
        <v>121.84954009919778</v>
      </c>
      <c r="P14" s="227">
        <f>'KU Efficiencies'!N$54*('KU Shares'!N14/(1/'KU Efficiencies'!N14))/('KU Shares'!N$12/(1/'KU Efficiencies'!N$12))</f>
        <v>304.78441494604107</v>
      </c>
      <c r="Q14" s="227">
        <f>'KU Efficiencies'!O$54*('KU Shares'!O14/(1/'KU Efficiencies'!O14))/('KU Shares'!O$12/(1/'KU Efficiencies'!O$12))</f>
        <v>231.08223336613975</v>
      </c>
      <c r="R14" s="283">
        <f>'KU Efficiencies'!P$54*('KU Shares'!P14/'KU Efficiencies'!P14)/('KU Shares'!P$12/'KU Efficiencies'!P$12)</f>
        <v>231.41452418789149</v>
      </c>
      <c r="S14" s="227">
        <f>'KU Efficiencies'!Q$54*('KU Shares'!Q14/(1/'KU Efficiencies'!Q14))/('KU Shares'!Q$12/(1/'KU Efficiencies'!Q$12))</f>
        <v>96.742597422438806</v>
      </c>
      <c r="T14" s="283">
        <f>'KU Efficiencies'!R$54*('KU Shares'!R14/'KU Efficiencies'!R14)/('KU Shares'!R$12/'KU Efficiencies'!R$12)</f>
        <v>101.92784309392648</v>
      </c>
      <c r="U14" s="227">
        <f>'KU Efficiencies'!S$54*('KU Shares'!S14/(1/'KU Efficiencies'!S14))/('KU Shares'!S$12/(1/'KU Efficiencies'!S$12))</f>
        <v>539.18091532148605</v>
      </c>
      <c r="V14" s="283">
        <f>'KU Efficiencies'!T$54*('KU Shares'!T14/'KU Efficiencies'!T14)/('KU Shares'!T$12/'KU Efficiencies'!T$12)</f>
        <v>550.15589831344857</v>
      </c>
      <c r="W14" s="227">
        <f>'KU Efficiencies'!U$54*('KU Shares'!U14/(1/'KU Efficiencies'!U14))/('KU Shares'!U$12/(1/'KU Efficiencies'!U$12))</f>
        <v>823.22572188146478</v>
      </c>
      <c r="X14" s="227">
        <f>'KU Efficiencies'!V$54*('KU Shares'!V14/(1/'KU Efficiencies'!V14))/('KU Shares'!V$12/(1/'KU Efficiencies'!V$12))</f>
        <v>249.82009723556976</v>
      </c>
      <c r="Y14" s="227">
        <f>'KU Efficiencies'!W$54*('KU Shares'!W14/(1/'KU Efficiencies'!W14))/('KU Shares'!W$12/(1/'KU Efficiencies'!W$12))</f>
        <v>2046.1536762452954</v>
      </c>
      <c r="Z14" s="227">
        <f>'KU Efficiencies'!X$54*('KU Shares'!X14/(1/'KU Efficiencies'!X14))/('KU Shares'!X$12/(1/'KU Efficiencies'!X$12))</f>
        <v>4821.7724515413111</v>
      </c>
      <c r="AA14" s="227"/>
      <c r="AB14" s="153">
        <f t="shared" si="5"/>
        <v>18742.676240282435</v>
      </c>
      <c r="AC14" s="228"/>
    </row>
    <row r="15" spans="1:49" x14ac:dyDescent="0.2">
      <c r="A15" s="225">
        <v>2008</v>
      </c>
      <c r="B15" s="226">
        <f t="shared" si="3"/>
        <v>1492.8412808157957</v>
      </c>
      <c r="C15" s="226">
        <f t="shared" si="4"/>
        <v>3710.0120161499553</v>
      </c>
      <c r="D15" s="227">
        <f>'KU Efficiencies'!B$54*'KU StructuralVars'!$Q15*('KU Shares'!B15/'KU Efficiencies'!B15)/('KU Shares'!B$12/'KU Efficiencies'!B$12)</f>
        <v>972.5555191443899</v>
      </c>
      <c r="E15" s="227">
        <f>'KU Efficiencies'!C$54*'KU StructuralVars'!$Q15*('KU Shares'!C15/'KU Efficiencies'!C15)/('KU Shares'!C$12/'KU Efficiencies'!C$12)</f>
        <v>429.05047193751074</v>
      </c>
      <c r="F15" s="227">
        <f>'KU Efficiencies'!D$54*'KU StructuralVars'!$Q15*('KU Shares'!D15/'KU Efficiencies'!D15)/('KU Shares'!D$12/'KU Efficiencies'!D$12)</f>
        <v>11.985427076974638</v>
      </c>
      <c r="G15" s="227">
        <f>'KU Efficiencies'!E$54*'KU StructuralVars'!$Q15*('KU Shares'!E15/(1/'KU Efficiencies'!E15))/('KU Shares'!E$12/(1/'KU Efficiencies'!E$12))</f>
        <v>79.249862656920513</v>
      </c>
      <c r="H15" s="227">
        <f>'KU Efficiencies'!F$54*'KU StructuralVars'!$R15*('KU Shares'!F15/'KU Efficiencies'!F15)/('KU Shares'!F$12/'KU Efficiencies'!F$12)</f>
        <v>2657.3646795927179</v>
      </c>
      <c r="I15" s="227">
        <f>'KU Efficiencies'!G$54*'KU StructuralVars'!$R15*('KU Shares'!G15/'KU Efficiencies'!G15)/('KU Shares'!G$12/'KU Efficiencies'!G$12)</f>
        <v>625.77322019753558</v>
      </c>
      <c r="J15" s="227">
        <f>'KU Efficiencies'!H$54*'KU StructuralVars'!$R15*('KU Shares'!H15/'KU Efficiencies'!H15)/('KU Shares'!H$12/'KU Efficiencies'!H$12)</f>
        <v>21.091207016763359</v>
      </c>
      <c r="K15" s="227">
        <f>'KU Efficiencies'!I$54*'KU StructuralVars'!$R15*('KU Shares'!I15/'KU Efficiencies'!I15)/('KU Shares'!I$12/'KU Efficiencies'!I$12)</f>
        <v>405.78290934293886</v>
      </c>
      <c r="L15" s="227">
        <f>'KU Efficiencies'!J$54*('KU Shares'!J15/'KU Efficiencies'!J15)/('KU Shares'!J$12/'KU Efficiencies'!J$12)</f>
        <v>2224.8187071835441</v>
      </c>
      <c r="M15" s="227">
        <f>'KU Efficiencies'!K$54*('KU Shares'!K15/(1/'KU Efficiencies'!K15))/('KU Shares'!K$12/(1/'KU Efficiencies'!K$12))</f>
        <v>594.85131432412334</v>
      </c>
      <c r="N15" s="227">
        <f>'KU Efficiencies'!L$54*('KU Shares'!L15/(1/'KU Efficiencies'!L15))/('KU Shares'!L$12/(1/'KU Efficiencies'!L$12))</f>
        <v>665.57728780466834</v>
      </c>
      <c r="O15" s="227">
        <f>'KU Efficiencies'!M$54*('KU Shares'!M15/(1/'KU Efficiencies'!M15))/('KU Shares'!M$12/(1/'KU Efficiencies'!M$12))</f>
        <v>119.73831431462803</v>
      </c>
      <c r="P15" s="227">
        <f>'KU Efficiencies'!N$54*('KU Shares'!N15/(1/'KU Efficiencies'!N15))/('KU Shares'!N$12/(1/'KU Efficiencies'!N$12))</f>
        <v>304.4108895478584</v>
      </c>
      <c r="Q15" s="227">
        <f>'KU Efficiencies'!O$54*('KU Shares'!O15/(1/'KU Efficiencies'!O15))/('KU Shares'!O$12/(1/'KU Efficiencies'!O$12))</f>
        <v>245.45189695225662</v>
      </c>
      <c r="R15" s="283">
        <f>'KU Efficiencies'!P$54*('KU Shares'!P15/'KU Efficiencies'!P15)/('KU Shares'!P$12/'KU Efficiencies'!P$12)</f>
        <v>244.63940021804717</v>
      </c>
      <c r="S15" s="227">
        <f>'KU Efficiencies'!Q$54*('KU Shares'!Q15/(1/'KU Efficiencies'!Q15))/('KU Shares'!Q$12/(1/'KU Efficiencies'!Q$12))</f>
        <v>98.08451769461179</v>
      </c>
      <c r="T15" s="283">
        <f>'KU Efficiencies'!R$54*('KU Shares'!R15/'KU Efficiencies'!R15)/('KU Shares'!R$12/'KU Efficiencies'!R$12)</f>
        <v>110.29993865172943</v>
      </c>
      <c r="U15" s="227">
        <f>'KU Efficiencies'!S$54*('KU Shares'!S15/(1/'KU Efficiencies'!S15))/('KU Shares'!S$12/(1/'KU Efficiencies'!S$12))</f>
        <v>553.76967704928859</v>
      </c>
      <c r="V15" s="283">
        <f>'KU Efficiencies'!T$54*('KU Shares'!T15/'KU Efficiencies'!T15)/('KU Shares'!T$12/'KU Efficiencies'!T$12)</f>
        <v>571.55454686094788</v>
      </c>
      <c r="W15" s="227">
        <f>'KU Efficiencies'!U$54*('KU Shares'!U15/(1/'KU Efficiencies'!U15))/('KU Shares'!U$12/(1/'KU Efficiencies'!U$12))</f>
        <v>882.26780057381688</v>
      </c>
      <c r="X15" s="227">
        <f>'KU Efficiencies'!V$54*('KU Shares'!V15/(1/'KU Efficiencies'!V15))/('KU Shares'!V$12/(1/'KU Efficiencies'!V$12))</f>
        <v>254.46849954674735</v>
      </c>
      <c r="Y15" s="227">
        <f>'KU Efficiencies'!W$54*('KU Shares'!W15/(1/'KU Efficiencies'!W15))/('KU Shares'!W$12/(1/'KU Efficiencies'!W$12))</f>
        <v>2006.5582988027245</v>
      </c>
      <c r="Z15" s="227">
        <f>'KU Efficiencies'!X$54*('KU Shares'!X15/(1/'KU Efficiencies'!X15))/('KU Shares'!X$12/(1/'KU Efficiencies'!X$12))</f>
        <v>5071.3192510206054</v>
      </c>
      <c r="AA15" s="227"/>
      <c r="AB15" s="153">
        <f t="shared" si="5"/>
        <v>19150.663637511348</v>
      </c>
      <c r="AC15" s="228"/>
    </row>
    <row r="16" spans="1:49" x14ac:dyDescent="0.2">
      <c r="A16" s="225">
        <v>2009</v>
      </c>
      <c r="B16" s="226">
        <f t="shared" si="3"/>
        <v>1524.3661771553514</v>
      </c>
      <c r="C16" s="226">
        <f t="shared" si="4"/>
        <v>3595.0100655509204</v>
      </c>
      <c r="D16" s="227">
        <f>'KU Efficiencies'!B$54*'KU StructuralVars'!$Q16*('KU Shares'!B16/'KU Efficiencies'!B16)/('KU Shares'!B$12/'KU Efficiencies'!B$12)</f>
        <v>1003.2122921162439</v>
      </c>
      <c r="E16" s="227">
        <f>'KU Efficiencies'!C$54*'KU StructuralVars'!$Q16*('KU Shares'!C16/'KU Efficiencies'!C16)/('KU Shares'!C$12/'KU Efficiencies'!C$12)</f>
        <v>434.73342762819993</v>
      </c>
      <c r="F16" s="227">
        <f>'KU Efficiencies'!D$54*'KU StructuralVars'!$Q16*('KU Shares'!D16/'KU Efficiencies'!D16)/('KU Shares'!D$12/'KU Efficiencies'!D$12)</f>
        <v>13.258794321748516</v>
      </c>
      <c r="G16" s="227">
        <f>'KU Efficiencies'!E$54*'KU StructuralVars'!$Q16*('KU Shares'!E16/(1/'KU Efficiencies'!E16))/('KU Shares'!E$12/(1/'KU Efficiencies'!E$12))</f>
        <v>73.16166308915875</v>
      </c>
      <c r="H16" s="227">
        <f>'KU Efficiencies'!F$54*'KU StructuralVars'!$R16*('KU Shares'!F16/'KU Efficiencies'!F16)/('KU Shares'!F$12/'KU Efficiencies'!F$12)</f>
        <v>2595.8556350398635</v>
      </c>
      <c r="I16" s="227">
        <f>'KU Efficiencies'!G$54*'KU StructuralVars'!$R16*('KU Shares'!G16/'KU Efficiencies'!G16)/('KU Shares'!G$12/'KU Efficiencies'!G$12)</f>
        <v>606.5047670507447</v>
      </c>
      <c r="J16" s="227">
        <f>'KU Efficiencies'!H$54*'KU StructuralVars'!$R16*('KU Shares'!H16/'KU Efficiencies'!H16)/('KU Shares'!H$12/'KU Efficiencies'!H$12)</f>
        <v>23.410293270619828</v>
      </c>
      <c r="K16" s="227">
        <f>'KU Efficiencies'!I$54*'KU StructuralVars'!$R16*('KU Shares'!I16/'KU Efficiencies'!I16)/('KU Shares'!I$12/'KU Efficiencies'!I$12)</f>
        <v>369.23937018969241</v>
      </c>
      <c r="L16" s="227">
        <f>'KU Efficiencies'!J$54*('KU Shares'!J16/'KU Efficiencies'!J16)/('KU Shares'!J$12/'KU Efficiencies'!J$12)</f>
        <v>2310.023850805147</v>
      </c>
      <c r="M16" s="227">
        <f>'KU Efficiencies'!K$54*('KU Shares'!K16/(1/'KU Efficiencies'!K16))/('KU Shares'!K$12/(1/'KU Efficiencies'!K$12))</f>
        <v>601.43997340075146</v>
      </c>
      <c r="N16" s="227">
        <f>'KU Efficiencies'!L$54*('KU Shares'!L16/(1/'KU Efficiencies'!L16))/('KU Shares'!L$12/(1/'KU Efficiencies'!L$12))</f>
        <v>655.17255832937224</v>
      </c>
      <c r="O16" s="227">
        <f>'KU Efficiencies'!M$54*('KU Shares'!M16/(1/'KU Efficiencies'!M16))/('KU Shares'!M$12/(1/'KU Efficiencies'!M$12))</f>
        <v>117.95238861837264</v>
      </c>
      <c r="P16" s="227">
        <f>'KU Efficiencies'!N$54*('KU Shares'!N16/(1/'KU Efficiencies'!N16))/('KU Shares'!N$12/(1/'KU Efficiencies'!N$12))</f>
        <v>304.58317693791963</v>
      </c>
      <c r="Q16" s="227">
        <f>'KU Efficiencies'!O$54*('KU Shares'!O16/(1/'KU Efficiencies'!O16))/('KU Shares'!O$12/(1/'KU Efficiencies'!O$12))</f>
        <v>259.0052380773144</v>
      </c>
      <c r="R16" s="283">
        <f>'KU Efficiencies'!P$54*('KU Shares'!P16/'KU Efficiencies'!P16)/('KU Shares'!P$12/'KU Efficiencies'!P$12)</f>
        <v>258.4620032593059</v>
      </c>
      <c r="S16" s="227">
        <f>'KU Efficiencies'!Q$54*('KU Shares'!Q16/(1/'KU Efficiencies'!Q16))/('KU Shares'!Q$12/(1/'KU Efficiencies'!Q$12))</f>
        <v>99.280701932790691</v>
      </c>
      <c r="T16" s="283">
        <f>'KU Efficiencies'!R$54*('KU Shares'!R16/'KU Efficiencies'!R16)/('KU Shares'!R$12/'KU Efficiencies'!R$12)</f>
        <v>117.01074467941234</v>
      </c>
      <c r="U16" s="227">
        <f>'KU Efficiencies'!S$54*('KU Shares'!S16/(1/'KU Efficiencies'!S16))/('KU Shares'!S$12/(1/'KU Efficiencies'!S$12))</f>
        <v>567.65965881832062</v>
      </c>
      <c r="V16" s="283">
        <f>'KU Efficiencies'!T$54*('KU Shares'!T16/'KU Efficiencies'!T16)/('KU Shares'!T$12/'KU Efficiencies'!T$12)</f>
        <v>592.68717052463148</v>
      </c>
      <c r="W16" s="227">
        <f>'KU Efficiencies'!U$54*('KU Shares'!U16/(1/'KU Efficiencies'!U16))/('KU Shares'!U$12/(1/'KU Efficiencies'!U$12))</f>
        <v>924.25643620816902</v>
      </c>
      <c r="X16" s="227">
        <f>'KU Efficiencies'!V$54*('KU Shares'!V16/(1/'KU Efficiencies'!V16))/('KU Shares'!V$12/(1/'KU Efficiencies'!V$12))</f>
        <v>259.07165440302265</v>
      </c>
      <c r="Y16" s="227">
        <f>'KU Efficiencies'!W$54*('KU Shares'!W16/(1/'KU Efficiencies'!W16))/('KU Shares'!W$12/(1/'KU Efficiencies'!W$12))</f>
        <v>1951.7035463311204</v>
      </c>
      <c r="Z16" s="227">
        <f>'KU Efficiencies'!X$54*('KU Shares'!X16/(1/'KU Efficiencies'!X16))/('KU Shares'!X$12/(1/'KU Efficiencies'!X$12))</f>
        <v>4926.9241694501861</v>
      </c>
      <c r="AA16" s="227"/>
      <c r="AB16" s="153">
        <f t="shared" si="5"/>
        <v>19064.609514482108</v>
      </c>
      <c r="AC16" s="228"/>
    </row>
    <row r="17" spans="1:49" x14ac:dyDescent="0.2">
      <c r="A17" s="225">
        <v>2010</v>
      </c>
      <c r="B17" s="226">
        <f t="shared" si="3"/>
        <v>1561.2661317618106</v>
      </c>
      <c r="C17" s="226">
        <f t="shared" si="4"/>
        <v>3554.8464182367366</v>
      </c>
      <c r="D17" s="227">
        <f>'KU Efficiencies'!B$54*'KU StructuralVars'!$Q17*('KU Shares'!B17/'KU Efficiencies'!B17)/('KU Shares'!B$12/'KU Efficiencies'!B$12)</f>
        <v>1034.0023548393888</v>
      </c>
      <c r="E17" s="227">
        <f>'KU Efficiencies'!C$54*'KU StructuralVars'!$Q17*('KU Shares'!C17/'KU Efficiencies'!C17)/('KU Shares'!C$12/'KU Efficiencies'!C$12)</f>
        <v>445.52116417566242</v>
      </c>
      <c r="F17" s="227">
        <f>'KU Efficiencies'!D$54*'KU StructuralVars'!$Q17*('KU Shares'!D17/'KU Efficiencies'!D17)/('KU Shares'!D$12/'KU Efficiencies'!D$12)</f>
        <v>14.423848306130973</v>
      </c>
      <c r="G17" s="227">
        <f>'KU Efficiencies'!E$54*'KU StructuralVars'!$Q17*('KU Shares'!E17/(1/'KU Efficiencies'!E17))/('KU Shares'!E$12/(1/'KU Efficiencies'!E$12))</f>
        <v>67.318764440628371</v>
      </c>
      <c r="H17" s="227">
        <f>'KU Efficiencies'!F$54*'KU StructuralVars'!$R17*('KU Shares'!F17/'KU Efficiencies'!F17)/('KU Shares'!F$12/'KU Efficiencies'!F$12)</f>
        <v>2596.2256875931698</v>
      </c>
      <c r="I17" s="227">
        <f>'KU Efficiencies'!G$54*'KU StructuralVars'!$R17*('KU Shares'!G17/'KU Efficiencies'!G17)/('KU Shares'!G$12/'KU Efficiencies'!G$12)</f>
        <v>599.9449325627395</v>
      </c>
      <c r="J17" s="227">
        <f>'KU Efficiencies'!H$54*'KU StructuralVars'!$R17*('KU Shares'!H17/'KU Efficiencies'!H17)/('KU Shares'!H$12/'KU Efficiencies'!H$12)</f>
        <v>25.566919717179136</v>
      </c>
      <c r="K17" s="227">
        <f>'KU Efficiencies'!I$54*'KU StructuralVars'!$R17*('KU Shares'!I17/'KU Efficiencies'!I17)/('KU Shares'!I$12/'KU Efficiencies'!I$12)</f>
        <v>333.10887836364822</v>
      </c>
      <c r="L17" s="227">
        <f>'KU Efficiencies'!J$54*('KU Shares'!J17/'KU Efficiencies'!J17)/('KU Shares'!J$12/'KU Efficiencies'!J$12)</f>
        <v>2396.1099380506462</v>
      </c>
      <c r="M17" s="227">
        <f>'KU Efficiencies'!K$54*('KU Shares'!K17/(1/'KU Efficiencies'!K17))/('KU Shares'!K$12/(1/'KU Efficiencies'!K$12))</f>
        <v>610.13718992238398</v>
      </c>
      <c r="N17" s="227">
        <f>'KU Efficiencies'!L$54*('KU Shares'!L17/(1/'KU Efficiencies'!L17))/('KU Shares'!L$12/(1/'KU Efficiencies'!L$12))</f>
        <v>646.24737230840537</v>
      </c>
      <c r="O17" s="227">
        <f>'KU Efficiencies'!M$54*('KU Shares'!M17/(1/'KU Efficiencies'!M17))/('KU Shares'!M$12/(1/'KU Efficiencies'!M$12))</f>
        <v>116.51318714968953</v>
      </c>
      <c r="P17" s="227">
        <f>'KU Efficiencies'!N$54*('KU Shares'!N17/(1/'KU Efficiencies'!N17))/('KU Shares'!N$12/(1/'KU Efficiencies'!N$12))</f>
        <v>305.35307015894773</v>
      </c>
      <c r="Q17" s="227">
        <f>'KU Efficiencies'!O$54*('KU Shares'!O17/(1/'KU Efficiencies'!O17))/('KU Shares'!O$12/(1/'KU Efficiencies'!O$12))</f>
        <v>268.50465704093915</v>
      </c>
      <c r="R17" s="283">
        <f>'KU Efficiencies'!P$54*('KU Shares'!P17/'KU Efficiencies'!P17)/('KU Shares'!P$12/'KU Efficiencies'!P$12)</f>
        <v>262.24303113921655</v>
      </c>
      <c r="S17" s="227">
        <f>'KU Efficiencies'!Q$54*('KU Shares'!Q17/(1/'KU Efficiencies'!Q17))/('KU Shares'!Q$12/(1/'KU Efficiencies'!Q$12))</f>
        <v>100.33115013697551</v>
      </c>
      <c r="T17" s="283">
        <f>'KU Efficiencies'!R$54*('KU Shares'!R17/'KU Efficiencies'!R17)/('KU Shares'!R$12/'KU Efficiencies'!R$12)</f>
        <v>123.74933098035501</v>
      </c>
      <c r="U17" s="227">
        <f>'KU Efficiencies'!S$54*('KU Shares'!S17/(1/'KU Efficiencies'!S17))/('KU Shares'!S$12/(1/'KU Efficiencies'!S$12))</f>
        <v>580.85086062858227</v>
      </c>
      <c r="V17" s="283">
        <f>'KU Efficiencies'!T$54*('KU Shares'!T17/'KU Efficiencies'!T17)/('KU Shares'!T$12/'KU Efficiencies'!T$12)</f>
        <v>613.785998476759</v>
      </c>
      <c r="W17" s="227">
        <f>'KU Efficiencies'!U$54*('KU Shares'!U17/(1/'KU Efficiencies'!U17))/('KU Shares'!U$12/(1/'KU Efficiencies'!U$12))</f>
        <v>957.79521065626932</v>
      </c>
      <c r="X17" s="227">
        <f>'KU Efficiencies'!V$54*('KU Shares'!V17/(1/'KU Efficiencies'!V17))/('KU Shares'!V$12/(1/'KU Efficiencies'!V$12))</f>
        <v>263.82856820064166</v>
      </c>
      <c r="Y17" s="227">
        <f>'KU Efficiencies'!W$54*('KU Shares'!W17/(1/'KU Efficiencies'!W17))/('KU Shares'!W$12/(1/'KU Efficiencies'!W$12))</f>
        <v>1908.341992840747</v>
      </c>
      <c r="Z17" s="227">
        <f>'KU Efficiencies'!X$54*('KU Shares'!X17/(1/'KU Efficiencies'!X17))/('KU Shares'!X$12/(1/'KU Efficiencies'!X$12))</f>
        <v>5085.2529181225309</v>
      </c>
      <c r="AA17" s="227"/>
      <c r="AB17" s="153">
        <f t="shared" si="5"/>
        <v>19355.157025811634</v>
      </c>
      <c r="AC17" s="228"/>
    </row>
    <row r="18" spans="1:49" x14ac:dyDescent="0.2">
      <c r="A18" s="225">
        <v>2011</v>
      </c>
      <c r="B18" s="226">
        <f t="shared" si="3"/>
        <v>1553.6442808941679</v>
      </c>
      <c r="C18" s="226">
        <f t="shared" si="4"/>
        <v>3548.2833936288025</v>
      </c>
      <c r="D18" s="227">
        <f>'KU Efficiencies'!B$54*'KU StructuralVars'!$Q18*('KU Shares'!B18/'KU Efficiencies'!B18)/('KU Shares'!B$12/'KU Efficiencies'!B$12)</f>
        <v>1021.3678746906452</v>
      </c>
      <c r="E18" s="227">
        <f>'KU Efficiencies'!C$54*'KU StructuralVars'!$Q18*('KU Shares'!C18/'KU Efficiencies'!C18)/('KU Shares'!C$12/'KU Efficiencies'!C$12)</f>
        <v>451.87183034356894</v>
      </c>
      <c r="F18" s="227">
        <f>'KU Efficiencies'!D$54*'KU StructuralVars'!$Q18*('KU Shares'!D18/'KU Efficiencies'!D18)/('KU Shares'!D$12/'KU Efficiencies'!D$12)</f>
        <v>17.643174556478371</v>
      </c>
      <c r="G18" s="227">
        <f>'KU Efficiencies'!E$54*'KU StructuralVars'!$Q18*('KU Shares'!E18/(1/'KU Efficiencies'!E18))/('KU Shares'!E$12/(1/'KU Efficiencies'!E$12))</f>
        <v>62.761401303475139</v>
      </c>
      <c r="H18" s="227">
        <f>'KU Efficiencies'!F$54*'KU StructuralVars'!$R18*('KU Shares'!F18/'KU Efficiencies'!F18)/('KU Shares'!F$12/'KU Efficiencies'!F$12)</f>
        <v>2570.8800206839546</v>
      </c>
      <c r="I18" s="227">
        <f>'KU Efficiencies'!G$54*'KU StructuralVars'!$R18*('KU Shares'!G18/'KU Efficiencies'!G18)/('KU Shares'!G$12/'KU Efficiencies'!G$12)</f>
        <v>616.91148814422399</v>
      </c>
      <c r="J18" s="227">
        <f>'KU Efficiencies'!H$54*'KU StructuralVars'!$R18*('KU Shares'!H18/'KU Efficiencies'!H18)/('KU Shares'!H$12/'KU Efficiencies'!H$12)</f>
        <v>31.345965463385262</v>
      </c>
      <c r="K18" s="227">
        <f>'KU Efficiencies'!I$54*'KU StructuralVars'!$R18*('KU Shares'!I18/'KU Efficiencies'!I18)/('KU Shares'!I$12/'KU Efficiencies'!I$12)</f>
        <v>329.1459193372383</v>
      </c>
      <c r="L18" s="227">
        <f>'KU Efficiencies'!J$54*('KU Shares'!J18/'KU Efficiencies'!J18)/('KU Shares'!J$12/'KU Efficiencies'!J$12)</f>
        <v>2395.8546636873953</v>
      </c>
      <c r="M18" s="227">
        <f>'KU Efficiencies'!K$54*('KU Shares'!K18/(1/'KU Efficiencies'!K18))/('KU Shares'!K$12/(1/'KU Efficiencies'!K$12))</f>
        <v>608.57529674059288</v>
      </c>
      <c r="N18" s="227">
        <f>'KU Efficiencies'!L$54*('KU Shares'!L18/(1/'KU Efficiencies'!L18))/('KU Shares'!L$12/(1/'KU Efficiencies'!L$12))</f>
        <v>640.36316440541725</v>
      </c>
      <c r="O18" s="227">
        <f>'KU Efficiencies'!M$54*('KU Shares'!M18/(1/'KU Efficiencies'!M18))/('KU Shares'!M$12/(1/'KU Efficiencies'!M$12))</f>
        <v>115.65318537770028</v>
      </c>
      <c r="P18" s="227">
        <f>'KU Efficiencies'!N$54*('KU Shares'!N18/(1/'KU Efficiencies'!N18))/('KU Shares'!N$12/(1/'KU Efficiencies'!N$12))</f>
        <v>304.68885646302965</v>
      </c>
      <c r="Q18" s="227">
        <f>'KU Efficiencies'!O$54*('KU Shares'!O18/(1/'KU Efficiencies'!O18))/('KU Shares'!O$12/(1/'KU Efficiencies'!O$12))</f>
        <v>266.74762151775747</v>
      </c>
      <c r="R18" s="283">
        <f>'KU Efficiencies'!P$54*('KU Shares'!P18/'KU Efficiencies'!P18)/('KU Shares'!P$12/'KU Efficiencies'!P$12)</f>
        <v>261.25455131687829</v>
      </c>
      <c r="S18" s="227">
        <f>'KU Efficiencies'!Q$54*('KU Shares'!Q18/(1/'KU Efficiencies'!Q18))/('KU Shares'!Q$12/(1/'KU Efficiencies'!Q$12))</f>
        <v>101.54520632992408</v>
      </c>
      <c r="T18" s="283">
        <f>'KU Efficiencies'!R$54*('KU Shares'!R18/'KU Efficiencies'!R18)/('KU Shares'!R$12/'KU Efficiencies'!R$12)</f>
        <v>122.78572240404911</v>
      </c>
      <c r="U18" s="227">
        <f>'KU Efficiencies'!S$54*('KU Shares'!S18/(1/'KU Efficiencies'!S18))/('KU Shares'!S$12/(1/'KU Efficiencies'!S$12))</f>
        <v>573.22935046765826</v>
      </c>
      <c r="V18" s="283">
        <f>'KU Efficiencies'!T$54*('KU Shares'!T18/'KU Efficiencies'!T18)/('KU Shares'!T$12/'KU Efficiencies'!T$12)</f>
        <v>613.0816833121379</v>
      </c>
      <c r="W18" s="227">
        <f>'KU Efficiencies'!U$54*('KU Shares'!U18/(1/'KU Efficiencies'!U18))/('KU Shares'!U$12/(1/'KU Efficiencies'!U$12))</f>
        <v>957.06873278044179</v>
      </c>
      <c r="X18" s="227">
        <f>'KU Efficiencies'!V$54*('KU Shares'!V18/(1/'KU Efficiencies'!V18))/('KU Shares'!V$12/(1/'KU Efficiencies'!V$12))</f>
        <v>268.37431218124556</v>
      </c>
      <c r="Y18" s="227">
        <f>'KU Efficiencies'!W$54*('KU Shares'!W18/(1/'KU Efficiencies'!W18))/('KU Shares'!W$12/(1/'KU Efficiencies'!W$12))</f>
        <v>1826.5150765667127</v>
      </c>
      <c r="Z18" s="227">
        <f>'KU Efficiencies'!X$54*('KU Shares'!X18/(1/'KU Efficiencies'!X18))/('KU Shares'!X$12/(1/'KU Efficiencies'!X$12))</f>
        <v>5014.1642232146287</v>
      </c>
      <c r="AA18" s="227"/>
      <c r="AB18" s="153">
        <f t="shared" si="5"/>
        <v>19171.82932128854</v>
      </c>
      <c r="AC18" s="228"/>
    </row>
    <row r="19" spans="1:49" x14ac:dyDescent="0.2">
      <c r="A19" s="225">
        <v>2012</v>
      </c>
      <c r="B19" s="226">
        <f t="shared" si="3"/>
        <v>1550.9056580624967</v>
      </c>
      <c r="C19" s="226">
        <f t="shared" si="4"/>
        <v>3537.941630226735</v>
      </c>
      <c r="D19" s="227">
        <f>'KU Efficiencies'!B$54*'KU StructuralVars'!$Q19*('KU Shares'!B19/'KU Efficiencies'!B19)/('KU Shares'!B$12/'KU Efficiencies'!B$12)</f>
        <v>1004.6914441187769</v>
      </c>
      <c r="E19" s="227">
        <f>'KU Efficiencies'!C$54*'KU StructuralVars'!$Q19*('KU Shares'!C19/'KU Efficiencies'!C19)/('KU Shares'!C$12/'KU Efficiencies'!C$12)</f>
        <v>462.10398693533438</v>
      </c>
      <c r="F19" s="227">
        <f>'KU Efficiencies'!D$54*'KU StructuralVars'!$Q19*('KU Shares'!D19/'KU Efficiencies'!D19)/('KU Shares'!D$12/'KU Efficiencies'!D$12)</f>
        <v>22.620733775807473</v>
      </c>
      <c r="G19" s="227">
        <f>'KU Efficiencies'!E$54*'KU StructuralVars'!$Q19*('KU Shares'!E19/(1/'KU Efficiencies'!E19))/('KU Shares'!E$12/(1/'KU Efficiencies'!E$12))</f>
        <v>61.489493232578106</v>
      </c>
      <c r="H19" s="227">
        <f>'KU Efficiencies'!F$54*'KU StructuralVars'!$R19*('KU Shares'!F19/'KU Efficiencies'!F19)/('KU Shares'!F$12/'KU Efficiencies'!F$12)</f>
        <v>2530.328287852858</v>
      </c>
      <c r="I19" s="227">
        <f>'KU Efficiencies'!G$54*'KU StructuralVars'!$R19*('KU Shares'!G19/'KU Efficiencies'!G19)/('KU Shares'!G$12/'KU Efficiencies'!G$12)</f>
        <v>641.90374150215507</v>
      </c>
      <c r="J19" s="227">
        <f>'KU Efficiencies'!H$54*'KU StructuralVars'!$R19*('KU Shares'!H19/'KU Efficiencies'!H19)/('KU Shares'!H$12/'KU Efficiencies'!H$12)</f>
        <v>40.33066215845259</v>
      </c>
      <c r="K19" s="227">
        <f>'KU Efficiencies'!I$54*'KU StructuralVars'!$R19*('KU Shares'!I19/'KU Efficiencies'!I19)/('KU Shares'!I$12/'KU Efficiencies'!I$12)</f>
        <v>325.37893871326958</v>
      </c>
      <c r="L19" s="227">
        <f>'KU Efficiencies'!J$54*('KU Shares'!J19/'KU Efficiencies'!J19)/('KU Shares'!J$12/'KU Efficiencies'!J$12)</f>
        <v>2396.0076984364155</v>
      </c>
      <c r="M19" s="227">
        <f>'KU Efficiencies'!K$54*('KU Shares'!K19/(1/'KU Efficiencies'!K19))/('KU Shares'!K$12/(1/'KU Efficiencies'!K$12))</f>
        <v>611.33220447961696</v>
      </c>
      <c r="N19" s="227">
        <f>'KU Efficiencies'!L$54*('KU Shares'!L19/(1/'KU Efficiencies'!L19))/('KU Shares'!L$12/(1/'KU Efficiencies'!L$12))</f>
        <v>635.01964747909551</v>
      </c>
      <c r="O19" s="227">
        <f>'KU Efficiencies'!M$54*('KU Shares'!M19/(1/'KU Efficiencies'!M19))/('KU Shares'!M$12/(1/'KU Efficiencies'!M$12))</f>
        <v>114.81805267284038</v>
      </c>
      <c r="P19" s="227">
        <f>'KU Efficiencies'!N$54*('KU Shares'!N19/(1/'KU Efficiencies'!N19))/('KU Shares'!N$12/(1/'KU Efficiencies'!N$12))</f>
        <v>304.63328110986328</v>
      </c>
      <c r="Q19" s="227">
        <f>'KU Efficiencies'!O$54*('KU Shares'!O19/(1/'KU Efficiencies'!O19))/('KU Shares'!O$12/(1/'KU Efficiencies'!O$12))</f>
        <v>266.44222659678724</v>
      </c>
      <c r="R19" s="283">
        <f>'KU Efficiencies'!P$54*('KU Shares'!P19/'KU Efficiencies'!P19)/('KU Shares'!P$12/'KU Efficiencies'!P$12)</f>
        <v>260.53731402448329</v>
      </c>
      <c r="S19" s="227">
        <f>'KU Efficiencies'!Q$54*('KU Shares'!Q19/(1/'KU Efficiencies'!Q19))/('KU Shares'!Q$12/(1/'KU Efficiencies'!Q$12))</f>
        <v>101.52058311061717</v>
      </c>
      <c r="T19" s="283">
        <f>'KU Efficiencies'!R$54*('KU Shares'!R19/'KU Efficiencies'!R19)/('KU Shares'!R$12/'KU Efficiencies'!R$12)</f>
        <v>122.84949030321029</v>
      </c>
      <c r="U19" s="227">
        <f>'KU Efficiencies'!S$54*('KU Shares'!S19/(1/'KU Efficiencies'!S19))/('KU Shares'!S$12/(1/'KU Efficiencies'!S$12))</f>
        <v>596.44664821167669</v>
      </c>
      <c r="V19" s="283">
        <f>'KU Efficiencies'!T$54*('KU Shares'!T19/'KU Efficiencies'!T19)/('KU Shares'!T$12/'KU Efficiencies'!T$12)</f>
        <v>612.58046994885319</v>
      </c>
      <c r="W19" s="227">
        <f>'KU Efficiencies'!U$54*('KU Shares'!U19/(1/'KU Efficiencies'!U19))/('KU Shares'!U$12/(1/'KU Efficiencies'!U$12))</f>
        <v>814.14476268550573</v>
      </c>
      <c r="X19" s="227">
        <f>'KU Efficiencies'!V$54*('KU Shares'!V19/(1/'KU Efficiencies'!V19))/('KU Shares'!V$12/(1/'KU Efficiencies'!V$12))</f>
        <v>267.68778238641084</v>
      </c>
      <c r="Y19" s="227">
        <f>'KU Efficiencies'!W$54*('KU Shares'!W19/(1/'KU Efficiencies'!W19))/('KU Shares'!W$12/(1/'KU Efficiencies'!W$12))</f>
        <v>1786.8529595316215</v>
      </c>
      <c r="Z19" s="227">
        <f>'KU Efficiencies'!X$54*('KU Shares'!X19/(1/'KU Efficiencies'!X19))/('KU Shares'!X$12/(1/'KU Efficiencies'!X$12))</f>
        <v>5086.2375661677415</v>
      </c>
      <c r="AA19" s="227"/>
      <c r="AB19" s="153">
        <f t="shared" si="5"/>
        <v>19065.957975433972</v>
      </c>
      <c r="AC19" s="225">
        <v>2012</v>
      </c>
      <c r="AD19" s="192">
        <f t="shared" ref="AD19:AQ19" si="7">D19/$AB$19</f>
        <v>5.2695565856868957E-2</v>
      </c>
      <c r="AE19" s="192">
        <f t="shared" si="7"/>
        <v>2.4237123963597541E-2</v>
      </c>
      <c r="AF19" s="192">
        <f t="shared" si="7"/>
        <v>1.1864462202714253E-3</v>
      </c>
      <c r="AG19" s="192">
        <f t="shared" si="7"/>
        <v>3.2250932951706827E-3</v>
      </c>
      <c r="AH19" s="192">
        <f t="shared" si="7"/>
        <v>0.1327144584663999</v>
      </c>
      <c r="AI19" s="192">
        <f t="shared" si="7"/>
        <v>3.3667531541254452E-2</v>
      </c>
      <c r="AJ19" s="192">
        <f t="shared" si="7"/>
        <v>2.1153231435009812E-3</v>
      </c>
      <c r="AK19" s="192">
        <f t="shared" si="7"/>
        <v>1.7065963280340411E-2</v>
      </c>
      <c r="AL19" s="192">
        <f t="shared" si="7"/>
        <v>0.12566941044995555</v>
      </c>
      <c r="AM19" s="192">
        <f t="shared" si="7"/>
        <v>3.2064069650594204E-2</v>
      </c>
      <c r="AN19" s="192">
        <f t="shared" si="7"/>
        <v>3.3306464238372024E-2</v>
      </c>
      <c r="AO19" s="192">
        <f t="shared" si="7"/>
        <v>6.0221496774922447E-3</v>
      </c>
      <c r="AP19" s="192">
        <f t="shared" si="7"/>
        <v>1.5977863871428643E-2</v>
      </c>
      <c r="AQ19" s="192">
        <f t="shared" si="7"/>
        <v>1.3974762083294824E-2</v>
      </c>
      <c r="AR19" s="192">
        <f>S19/$AB$19</f>
        <v>5.3247040217661232E-3</v>
      </c>
      <c r="AS19" s="192">
        <f>U19/$AB$19</f>
        <v>3.1283329638100738E-2</v>
      </c>
      <c r="AT19" s="192">
        <f>W19/$AB$19</f>
        <v>4.2701487317579931E-2</v>
      </c>
      <c r="AU19" s="192">
        <f>X19/$AB$19</f>
        <v>1.4040090864110795E-2</v>
      </c>
      <c r="AV19" s="192">
        <f>Y19/$AB$19</f>
        <v>9.3719547784272814E-2</v>
      </c>
      <c r="AW19" s="192">
        <f>Z19/$AB$19</f>
        <v>0.2667706271419058</v>
      </c>
    </row>
    <row r="20" spans="1:49" x14ac:dyDescent="0.2">
      <c r="A20" s="225">
        <v>2013</v>
      </c>
      <c r="B20" s="226">
        <f>D20+E20+F20+G20</f>
        <v>1545.7955220461961</v>
      </c>
      <c r="C20" s="226">
        <f t="shared" si="4"/>
        <v>3526.4220331186634</v>
      </c>
      <c r="D20" s="227">
        <f>'KU Efficiencies'!B$54*'KU StructuralVars'!$Q20*('KU Shares'!B20/'KU Efficiencies'!B20)/('KU Shares'!B$12/'KU Efficiencies'!B$12)</f>
        <v>995.17674179069252</v>
      </c>
      <c r="E20" s="227">
        <f>'KU Efficiencies'!C$54*'KU StructuralVars'!$Q20*('KU Shares'!C20/'KU Efficiencies'!C20)/('KU Shares'!C$12/'KU Efficiencies'!C$12)</f>
        <v>467.0329303336257</v>
      </c>
      <c r="F20" s="227">
        <f>'KU Efficiencies'!D$54*'KU StructuralVars'!$Q20*('KU Shares'!D20/'KU Efficiencies'!D20)/('KU Shares'!D$12/'KU Efficiencies'!D$12)</f>
        <v>25.305201831338465</v>
      </c>
      <c r="G20" s="227">
        <f>'KU Efficiencies'!E$54*'KU StructuralVars'!$Q20*('KU Shares'!E20/(1/'KU Efficiencies'!E20))/('KU Shares'!E$12/(1/'KU Efficiencies'!E$12))</f>
        <v>58.280648090539295</v>
      </c>
      <c r="H20" s="227">
        <f>'KU Efficiencies'!F$54*'KU StructuralVars'!$R20*('KU Shares'!F20/'KU Efficiencies'!F20)/('KU Shares'!F$12/'KU Efficiencies'!F$12)</f>
        <v>2503.5102062929518</v>
      </c>
      <c r="I20" s="227">
        <f>'KU Efficiencies'!G$54*'KU StructuralVars'!$R20*('KU Shares'!G20/'KU Efficiencies'!G20)/('KU Shares'!G$12/'KU Efficiencies'!G$12)</f>
        <v>655.66416755112994</v>
      </c>
      <c r="J20" s="227">
        <f>'KU Efficiencies'!H$54*'KU StructuralVars'!$R20*('KU Shares'!H20/'KU Efficiencies'!H20)/('KU Shares'!H$12/'KU Efficiencies'!H$12)</f>
        <v>45.291273125964331</v>
      </c>
      <c r="K20" s="227">
        <f>'KU Efficiencies'!I$54*'KU StructuralVars'!$R20*('KU Shares'!I20/'KU Efficiencies'!I20)/('KU Shares'!I$12/'KU Efficiencies'!I$12)</f>
        <v>321.95638614861741</v>
      </c>
      <c r="L20" s="227">
        <f>'KU Efficiencies'!J$54*('KU Shares'!J20/'KU Efficiencies'!J20)/('KU Shares'!J$12/'KU Efficiencies'!J$12)</f>
        <v>2395.7141686207137</v>
      </c>
      <c r="M20" s="227">
        <f>'KU Efficiencies'!K$54*('KU Shares'!K20/(1/'KU Efficiencies'!K20))/('KU Shares'!K$12/(1/'KU Efficiencies'!K$12))</f>
        <v>609.85044830493746</v>
      </c>
      <c r="N20" s="227">
        <f>'KU Efficiencies'!L$54*('KU Shares'!L20/(1/'KU Efficiencies'!L20))/('KU Shares'!L$12/(1/'KU Efficiencies'!L$12))</f>
        <v>631.00791927501734</v>
      </c>
      <c r="O20" s="227">
        <f>'KU Efficiencies'!M$54*('KU Shares'!M20/(1/'KU Efficiencies'!M20))/('KU Shares'!M$12/(1/'KU Efficiencies'!M$12))</f>
        <v>114.09998316831808</v>
      </c>
      <c r="P20" s="227">
        <f>'KU Efficiencies'!N$54*('KU Shares'!N20/(1/'KU Efficiencies'!N20))/('KU Shares'!N$12/(1/'KU Efficiencies'!N$12))</f>
        <v>303.96267001495272</v>
      </c>
      <c r="Q20" s="227">
        <f>'KU Efficiencies'!O$54*('KU Shares'!O20/(1/'KU Efficiencies'!O20))/('KU Shares'!O$12/(1/'KU Efficiencies'!O$12))</f>
        <v>262.20236570374084</v>
      </c>
      <c r="R20" s="283">
        <f>'KU Efficiencies'!P$54*('KU Shares'!P20/'KU Efficiencies'!P20)/('KU Shares'!P$12/'KU Efficiencies'!P$12)</f>
        <v>254.27440083881336</v>
      </c>
      <c r="S20" s="227">
        <f>'KU Efficiencies'!Q$54*('KU Shares'!Q20/(1/'KU Efficiencies'!Q20))/('KU Shares'!Q$12/(1/'KU Efficiencies'!Q$12))</f>
        <v>100.91605784605402</v>
      </c>
      <c r="T20" s="283">
        <f>'KU Efficiencies'!R$54*('KU Shares'!R20/'KU Efficiencies'!R20)/('KU Shares'!R$12/'KU Efficiencies'!R$12)</f>
        <v>123.39099578409112</v>
      </c>
      <c r="U20" s="227">
        <f>'KU Efficiencies'!S$54*('KU Shares'!S20/(1/'KU Efficiencies'!S20))/('KU Shares'!S$12/(1/'KU Efficiencies'!S$12))</f>
        <v>594.41363581792712</v>
      </c>
      <c r="V20" s="283">
        <f>'KU Efficiencies'!T$54*('KU Shares'!T20/'KU Efficiencies'!T20)/('KU Shares'!T$12/'KU Efficiencies'!T$12)</f>
        <v>611.64363298182377</v>
      </c>
      <c r="W20" s="227">
        <f>'KU Efficiencies'!U$54*('KU Shares'!U20/(1/'KU Efficiencies'!U20))/('KU Shares'!U$12/(1/'KU Efficiencies'!U$12))</f>
        <v>805.1828010697285</v>
      </c>
      <c r="X20" s="227">
        <f>'KU Efficiencies'!V$54*('KU Shares'!V20/(1/'KU Efficiencies'!V20))/('KU Shares'!V$12/(1/'KU Efficiencies'!V$12))</f>
        <v>264.64379138770693</v>
      </c>
      <c r="Y20" s="229">
        <f>'KU Efficiencies'!W$54*('KU Shares'!W20/(1/'KU Efficiencies'!W20))/('KU Shares'!W$12/(1/'KU Efficiencies'!W$12))</f>
        <v>1555.9497441393216</v>
      </c>
      <c r="Z20" s="227">
        <f>'KU Efficiencies'!X$54*('KU Shares'!X20/(1/'KU Efficiencies'!X20))/('KU Shares'!X$12/(1/'KU Efficiencies'!X$12))</f>
        <v>5081.6424274111505</v>
      </c>
      <c r="AA20" s="227"/>
      <c r="AB20" s="153">
        <f>SUM(D20:Z20)</f>
        <v>18781.112597529158</v>
      </c>
      <c r="AC20" s="225">
        <v>2013</v>
      </c>
      <c r="AD20" s="192">
        <f t="shared" ref="AD20:AD50" si="8">D20/$AB$19</f>
        <v>5.2196524458563993E-2</v>
      </c>
      <c r="AE20" s="192">
        <f t="shared" ref="AE20:AE50" si="9">E20/$AB$19</f>
        <v>2.4495644589974781E-2</v>
      </c>
      <c r="AF20" s="192">
        <f t="shared" ref="AF20:AF50" si="10">F20/$AB$19</f>
        <v>1.3272452327831421E-3</v>
      </c>
      <c r="AG20" s="192">
        <f t="shared" ref="AG20:AG50" si="11">G20/$AB$19</f>
        <v>3.0567909656379452E-3</v>
      </c>
      <c r="AH20" s="192">
        <f t="shared" ref="AH20:AH50" si="12">H20/$AB$19</f>
        <v>0.13130786344534404</v>
      </c>
      <c r="AI20" s="192">
        <f t="shared" ref="AI20:AI50" si="13">I20/$AB$19</f>
        <v>3.4389259034134943E-2</v>
      </c>
      <c r="AJ20" s="192">
        <f t="shared" ref="AJ20:AJ50" si="14">J20/$AB$19</f>
        <v>2.3755047181117806E-3</v>
      </c>
      <c r="AK20" s="192">
        <f t="shared" ref="AK20:AK50" si="15">K20/$AB$19</f>
        <v>1.688645210292871E-2</v>
      </c>
      <c r="AL20" s="192">
        <f t="shared" ref="AL20:AL50" si="16">L20/$AB$19</f>
        <v>0.12565401495731471</v>
      </c>
      <c r="AM20" s="192">
        <f t="shared" ref="AM20:AM50" si="17">M20/$AB$19</f>
        <v>3.1986352277221797E-2</v>
      </c>
      <c r="AN20" s="192">
        <f t="shared" ref="AN20:AN50" si="18">N20/$AB$19</f>
        <v>3.3096051092111702E-2</v>
      </c>
      <c r="AO20" s="192">
        <f t="shared" ref="AO20:AO50" si="19">O20/$AB$19</f>
        <v>5.9844872896149858E-3</v>
      </c>
      <c r="AP20" s="192">
        <f t="shared" ref="AP20:AP50" si="20">P20/$AB$19</f>
        <v>1.5942690653498834E-2</v>
      </c>
      <c r="AQ20" s="192">
        <f t="shared" ref="AQ20:AQ50" si="21">Q20/$AB$19</f>
        <v>1.3752383491119737E-2</v>
      </c>
      <c r="AR20" s="192">
        <f t="shared" ref="AR20:AR50" si="22">S20/$AB$19</f>
        <v>5.2929969727239477E-3</v>
      </c>
      <c r="AS20" s="192">
        <f t="shared" ref="AS20:AS49" si="23">U20/$AB$19</f>
        <v>3.1176699150591583E-2</v>
      </c>
      <c r="AT20" s="192">
        <f t="shared" ref="AT20:AT49" si="24">W20/$AB$19</f>
        <v>4.2231436894342639E-2</v>
      </c>
      <c r="AU20" s="192">
        <f t="shared" ref="AU20:AU49" si="25">X20/$AB$19</f>
        <v>1.3880435052290269E-2</v>
      </c>
      <c r="AV20" s="192">
        <f t="shared" ref="AV20:AV49" si="26">Y20/$AB$19</f>
        <v>8.1608789138428048E-2</v>
      </c>
      <c r="AW20" s="192">
        <f t="shared" ref="AW20:AW49" si="27">Z20/$AB$19</f>
        <v>0.26652961440273415</v>
      </c>
    </row>
    <row r="21" spans="1:49" x14ac:dyDescent="0.2">
      <c r="A21" s="225">
        <v>2014</v>
      </c>
      <c r="B21" s="226">
        <f t="shared" ref="B21:B49" si="28">D21+E21+F21+G21</f>
        <v>1543.6325847106505</v>
      </c>
      <c r="C21" s="226">
        <f t="shared" si="4"/>
        <v>3515.6965400597314</v>
      </c>
      <c r="D21" s="227">
        <f>'KU Efficiencies'!B$54*'KU StructuralVars'!$Q21*('KU Shares'!B21/'KU Efficiencies'!B21)/('KU Shares'!B$12/'KU Efficiencies'!B$12)</f>
        <v>984.04516485410875</v>
      </c>
      <c r="E21" s="227">
        <f>'KU Efficiencies'!C$54*'KU StructuralVars'!$Q21*('KU Shares'!C21/'KU Efficiencies'!C21)/('KU Shares'!C$12/'KU Efficiencies'!C$12)</f>
        <v>474.32182992720584</v>
      </c>
      <c r="F21" s="227">
        <f>'KU Efficiencies'!D$54*'KU StructuralVars'!$Q21*('KU Shares'!D21/'KU Efficiencies'!D21)/('KU Shares'!D$12/'KU Efficiencies'!D$12)</f>
        <v>29.182363365475616</v>
      </c>
      <c r="G21" s="227">
        <f>'KU Efficiencies'!E$54*'KU StructuralVars'!$Q21*('KU Shares'!E21/(1/'KU Efficiencies'!E21))/('KU Shares'!E$12/(1/'KU Efficiencies'!E$12))</f>
        <v>56.083226563860336</v>
      </c>
      <c r="H21" s="227">
        <f>'KU Efficiencies'!F$54*'KU StructuralVars'!$R21*('KU Shares'!F21/'KU Efficiencies'!F21)/('KU Shares'!F$12/'KU Efficiencies'!F$12)</f>
        <v>2474.2574759655186</v>
      </c>
      <c r="I21" s="227">
        <f>'KU Efficiencies'!G$54*'KU StructuralVars'!$R21*('KU Shares'!G21/'KU Efficiencies'!G21)/('KU Shares'!G$12/'KU Efficiencies'!G$12)</f>
        <v>674.28454253287327</v>
      </c>
      <c r="J21" s="227">
        <f>'KU Efficiencies'!H$54*'KU StructuralVars'!$R21*('KU Shares'!H21/'KU Efficiencies'!H21)/('KU Shares'!H$12/'KU Efficiencies'!H$12)</f>
        <v>52.432186187152801</v>
      </c>
      <c r="K21" s="227">
        <f>'KU Efficiencies'!I$54*'KU StructuralVars'!$R21*('KU Shares'!I21/'KU Efficiencies'!I21)/('KU Shares'!I$12/'KU Efficiencies'!I$12)</f>
        <v>314.72233537418691</v>
      </c>
      <c r="L21" s="227">
        <f>'KU Efficiencies'!J$54*('KU Shares'!J21/'KU Efficiencies'!J21)/('KU Shares'!J$12/'KU Efficiencies'!J$12)</f>
        <v>2395.3904526785004</v>
      </c>
      <c r="M21" s="227">
        <f>'KU Efficiencies'!K$54*('KU Shares'!K21/(1/'KU Efficiencies'!K21))/('KU Shares'!K$12/(1/'KU Efficiencies'!K$12))</f>
        <v>609.89177929042478</v>
      </c>
      <c r="N21" s="227">
        <f>'KU Efficiencies'!L$54*('KU Shares'!L21/(1/'KU Efficiencies'!L21))/('KU Shares'!L$12/(1/'KU Efficiencies'!L$12))</f>
        <v>618.82651387697592</v>
      </c>
      <c r="O21" s="227">
        <f>'KU Efficiencies'!M$54*('KU Shares'!M21/(1/'KU Efficiencies'!M21))/('KU Shares'!M$12/(1/'KU Efficiencies'!M$12))</f>
        <v>111.87055889931112</v>
      </c>
      <c r="P21" s="227">
        <f>'KU Efficiencies'!N$54*('KU Shares'!N21/(1/'KU Efficiencies'!N21))/('KU Shares'!N$12/(1/'KU Efficiencies'!N$12))</f>
        <v>295.56860935992836</v>
      </c>
      <c r="Q21" s="227">
        <f>'KU Efficiencies'!O$54*('KU Shares'!O21/(1/'KU Efficiencies'!O21))/('KU Shares'!O$12/(1/'KU Efficiencies'!O$12))</f>
        <v>259.07215257603798</v>
      </c>
      <c r="R21" s="283">
        <f>'KU Efficiencies'!P$54*('KU Shares'!P21/'KU Efficiencies'!P21)/('KU Shares'!P$12/'KU Efficiencies'!P$12)</f>
        <v>251.51316547107081</v>
      </c>
      <c r="S21" s="227">
        <f>'KU Efficiencies'!Q$54*('KU Shares'!Q21/(1/'KU Efficiencies'!Q21))/('KU Shares'!Q$12/(1/'KU Efficiencies'!Q$12))</f>
        <v>100.59513316667305</v>
      </c>
      <c r="T21" s="283">
        <f>'KU Efficiencies'!R$54*('KU Shares'!R21/'KU Efficiencies'!R21)/('KU Shares'!R$12/'KU Efficiencies'!R$12)</f>
        <v>123.97850667333717</v>
      </c>
      <c r="U21" s="227">
        <f>'KU Efficiencies'!S$54*('KU Shares'!S21/(1/'KU Efficiencies'!S21))/('KU Shares'!S$12/(1/'KU Efficiencies'!S$12))</f>
        <v>592.95003528885491</v>
      </c>
      <c r="V21" s="283">
        <f>'KU Efficiencies'!T$54*('KU Shares'!T21/'KU Efficiencies'!T21)/('KU Shares'!T$12/'KU Efficiencies'!T$12)</f>
        <v>610.87528850615331</v>
      </c>
      <c r="W21" s="227">
        <f>'KU Efficiencies'!U$54*('KU Shares'!U21/(1/'KU Efficiencies'!U21))/('KU Shares'!U$12/(1/'KU Efficiencies'!U$12))</f>
        <v>797.2496296421017</v>
      </c>
      <c r="X21" s="227">
        <f>'KU Efficiencies'!V$54*('KU Shares'!V21/(1/'KU Efficiencies'!V21))/('KU Shares'!V$12/(1/'KU Efficiencies'!V$12))</f>
        <v>265.25316051731937</v>
      </c>
      <c r="Y21" s="227">
        <f>'KU Efficiencies'!W$54*('KU Shares'!W21/(1/'KU Efficiencies'!W21))/('KU Shares'!W$12/(1/'KU Efficiencies'!W$12))</f>
        <v>1455.3203400262073</v>
      </c>
      <c r="Z21" s="227">
        <f>'KU Efficiencies'!X$54*('KU Shares'!X21/(1/'KU Efficiencies'!X21))/('KU Shares'!X$12/(1/'KU Efficiencies'!X$12))</f>
        <v>5154.1708797864248</v>
      </c>
      <c r="AA21" s="286">
        <f>Z21/Z20-1</f>
        <v>1.4272639881949267E-2</v>
      </c>
      <c r="AB21" s="153">
        <f>SUM(D21:Z21)</f>
        <v>18701.855330529703</v>
      </c>
      <c r="AC21" s="225">
        <v>2014</v>
      </c>
      <c r="AD21" s="192">
        <f t="shared" si="8"/>
        <v>5.1612678792328573E-2</v>
      </c>
      <c r="AE21" s="192">
        <f t="shared" si="9"/>
        <v>2.4877943743417359E-2</v>
      </c>
      <c r="AF21" s="192">
        <f t="shared" si="10"/>
        <v>1.5306004242260677E-3</v>
      </c>
      <c r="AG21" s="192">
        <f t="shared" si="11"/>
        <v>2.9415373009907095E-3</v>
      </c>
      <c r="AH21" s="192">
        <f t="shared" si="12"/>
        <v>0.12977357230900957</v>
      </c>
      <c r="AI21" s="192">
        <f t="shared" si="13"/>
        <v>3.5365888428038741E-2</v>
      </c>
      <c r="AJ21" s="192">
        <f t="shared" si="14"/>
        <v>2.7500420516351925E-3</v>
      </c>
      <c r="AK21" s="192">
        <f t="shared" si="15"/>
        <v>1.6507029742733045E-2</v>
      </c>
      <c r="AL21" s="192">
        <f t="shared" si="16"/>
        <v>0.12563703621737252</v>
      </c>
      <c r="AM21" s="192">
        <f t="shared" si="17"/>
        <v>3.1988520066825683E-2</v>
      </c>
      <c r="AN21" s="192">
        <f t="shared" si="18"/>
        <v>3.2457142445940508E-2</v>
      </c>
      <c r="AO21" s="192">
        <f t="shared" si="19"/>
        <v>5.8675550970716311E-3</v>
      </c>
      <c r="AP21" s="192">
        <f t="shared" si="20"/>
        <v>1.550242635280962E-2</v>
      </c>
      <c r="AQ21" s="192">
        <f t="shared" si="21"/>
        <v>1.3588205371576199E-2</v>
      </c>
      <c r="AR21" s="192">
        <f t="shared" si="22"/>
        <v>5.27616463312714E-3</v>
      </c>
      <c r="AS21" s="192">
        <f t="shared" si="23"/>
        <v>3.1099934031788845E-2</v>
      </c>
      <c r="AT21" s="192">
        <f t="shared" si="24"/>
        <v>4.1815346004084278E-2</v>
      </c>
      <c r="AU21" s="192">
        <f t="shared" si="25"/>
        <v>1.3912396159641792E-2</v>
      </c>
      <c r="AV21" s="192">
        <f t="shared" si="26"/>
        <v>7.633082701122873E-2</v>
      </c>
      <c r="AW21" s="192">
        <f t="shared" si="27"/>
        <v>0.27033369560697923</v>
      </c>
    </row>
    <row r="22" spans="1:49" x14ac:dyDescent="0.2">
      <c r="A22" s="225">
        <v>2015</v>
      </c>
      <c r="B22" s="226">
        <f t="shared" si="28"/>
        <v>1538.9155575206562</v>
      </c>
      <c r="C22" s="226">
        <f t="shared" si="4"/>
        <v>3491.1774077622931</v>
      </c>
      <c r="D22" s="227">
        <f>'KU Efficiencies'!B$54*'KU StructuralVars'!$Q22*('KU Shares'!B22/'KU Efficiencies'!B22)/('KU Shares'!B$12/'KU Efficiencies'!B$12)</f>
        <v>971.97181768698636</v>
      </c>
      <c r="E22" s="227">
        <f>'KU Efficiencies'!C$54*'KU StructuralVars'!$Q22*('KU Shares'!C22/'KU Efficiencies'!C22)/('KU Shares'!C$12/'KU Efficiencies'!C$12)</f>
        <v>479.41453754070579</v>
      </c>
      <c r="F22" s="227">
        <f>'KU Efficiencies'!D$54*'KU StructuralVars'!$Q22*('KU Shares'!D22/'KU Efficiencies'!D22)/('KU Shares'!D$12/'KU Efficiencies'!D$12)</f>
        <v>33.723451938151065</v>
      </c>
      <c r="G22" s="227">
        <f>'KU Efficiencies'!E$54*'KU StructuralVars'!$Q22*('KU Shares'!E22/(1/'KU Efficiencies'!E22))/('KU Shares'!E$12/(1/'KU Efficiencies'!E$12))</f>
        <v>53.805750354812957</v>
      </c>
      <c r="H22" s="227">
        <f>'KU Efficiencies'!F$54*'KU StructuralVars'!$R22*('KU Shares'!F22/'KU Efficiencies'!F22)/('KU Shares'!F$12/'KU Efficiencies'!F$12)</f>
        <v>2433.4039502656287</v>
      </c>
      <c r="I22" s="227">
        <f>'KU Efficiencies'!G$54*'KU StructuralVars'!$R22*('KU Shares'!G22/'KU Efficiencies'!G22)/('KU Shares'!G$12/'KU Efficiencies'!G$12)</f>
        <v>686.73509450623874</v>
      </c>
      <c r="J22" s="227">
        <f>'KU Efficiencies'!H$54*'KU StructuralVars'!$R22*('KU Shares'!H22/'KU Efficiencies'!H22)/('KU Shares'!H$12/'KU Efficiencies'!H$12)</f>
        <v>60.855338101108913</v>
      </c>
      <c r="K22" s="227">
        <f>'KU Efficiencies'!I$54*'KU StructuralVars'!$R22*('KU Shares'!I22/'KU Efficiencies'!I22)/('KU Shares'!I$12/'KU Efficiencies'!I$12)</f>
        <v>310.18302488931681</v>
      </c>
      <c r="L22" s="227">
        <f>'KU Efficiencies'!J$54*('KU Shares'!J22/'KU Efficiencies'!J22)/('KU Shares'!J$12/'KU Efficiencies'!J$12)</f>
        <v>2361.7718753230206</v>
      </c>
      <c r="M22" s="227">
        <f>'KU Efficiencies'!K$54*('KU Shares'!K22/(1/'KU Efficiencies'!K22))/('KU Shares'!K$12/(1/'KU Efficiencies'!K$12))</f>
        <v>610.04488200631431</v>
      </c>
      <c r="N22" s="227">
        <f>'KU Efficiencies'!L$54*('KU Shares'!L22/(1/'KU Efficiencies'!L22))/('KU Shares'!L$12/(1/'KU Efficiencies'!L$12))</f>
        <v>611.94459986574839</v>
      </c>
      <c r="O22" s="227">
        <f>'KU Efficiencies'!M$54*('KU Shares'!M22/(1/'KU Efficiencies'!M22))/('KU Shares'!M$12/(1/'KU Efficiencies'!M$12))</f>
        <v>110.5344165445361</v>
      </c>
      <c r="P22" s="227">
        <f>'KU Efficiencies'!N$54*('KU Shares'!N22/(1/'KU Efficiencies'!N22))/('KU Shares'!N$12/(1/'KU Efficiencies'!N$12))</f>
        <v>291.77785356024856</v>
      </c>
      <c r="Q22" s="227">
        <f>'KU Efficiencies'!O$54*('KU Shares'!O22/(1/'KU Efficiencies'!O22))/('KU Shares'!O$12/(1/'KU Efficiencies'!O$12))</f>
        <v>256.29345793581626</v>
      </c>
      <c r="R22" s="283">
        <f>'KU Efficiencies'!P$54*('KU Shares'!P22/'KU Efficiencies'!P22)/('KU Shares'!P$12/'KU Efficiencies'!P$12)</f>
        <v>249.21042295930917</v>
      </c>
      <c r="S22" s="227">
        <f>'KU Efficiencies'!Q$54*('KU Shares'!Q22/(1/'KU Efficiencies'!Q22))/('KU Shares'!Q$12/(1/'KU Efficiencies'!Q$12))</f>
        <v>96.930954486485106</v>
      </c>
      <c r="T22" s="283">
        <f>'KU Efficiencies'!R$54*('KU Shares'!R22/'KU Efficiencies'!R22)/('KU Shares'!R$12/'KU Efficiencies'!R$12)</f>
        <v>133.03309711932289</v>
      </c>
      <c r="U22" s="227">
        <f>'KU Efficiencies'!S$54*('KU Shares'!S22/(1/'KU Efficiencies'!S22))/('KU Shares'!S$12/(1/'KU Efficiencies'!S$12))</f>
        <v>579.6524438954275</v>
      </c>
      <c r="V22" s="283">
        <f>'KU Efficiencies'!T$54*('KU Shares'!T22/'KU Efficiencies'!T22)/('KU Shares'!T$12/'KU Efficiencies'!T$12)</f>
        <v>576.82555694059704</v>
      </c>
      <c r="W22" s="227">
        <f>'KU Efficiencies'!U$54*('KU Shares'!U22/(1/'KU Efficiencies'!U22))/('KU Shares'!U$12/(1/'KU Efficiencies'!U$12))</f>
        <v>790.18936785240965</v>
      </c>
      <c r="X22" s="227">
        <f>'KU Efficiencies'!V$54*('KU Shares'!V22/(1/'KU Efficiencies'!V22))/('KU Shares'!V$12/(1/'KU Efficiencies'!V$12))</f>
        <v>265.20351138988639</v>
      </c>
      <c r="Y22" s="227">
        <f>'KU Efficiencies'!W$54*('KU Shares'!W22/(1/'KU Efficiencies'!W22))/('KU Shares'!W$12/(1/'KU Efficiencies'!W$12))</f>
        <v>1392.7936548362388</v>
      </c>
      <c r="Z22" s="227">
        <f>'KU Efficiencies'!X$54*('KU Shares'!X22/(1/'KU Efficiencies'!X22))/('KU Shares'!X$12/(1/'KU Efficiencies'!X$12))</f>
        <v>5223.2424404114336</v>
      </c>
      <c r="AA22" s="286">
        <f t="shared" ref="AA22:AA50" si="29">Z22/Z21-1</f>
        <v>1.3401100242115049E-2</v>
      </c>
      <c r="AB22" s="153">
        <f t="shared" ref="AB22:AB30" si="30">SUM(D22:Z22)</f>
        <v>18579.541500409745</v>
      </c>
      <c r="AC22" s="225">
        <v>2015</v>
      </c>
      <c r="AD22" s="192">
        <f t="shared" si="8"/>
        <v>5.0979437746550615E-2</v>
      </c>
      <c r="AE22" s="192">
        <f t="shared" si="9"/>
        <v>2.5145053721319425E-2</v>
      </c>
      <c r="AF22" s="192">
        <f t="shared" si="10"/>
        <v>1.7687782581710775E-3</v>
      </c>
      <c r="AG22" s="192">
        <f t="shared" si="11"/>
        <v>2.8220848081245311E-3</v>
      </c>
      <c r="AH22" s="192">
        <f t="shared" si="12"/>
        <v>0.12763082523317271</v>
      </c>
      <c r="AI22" s="192">
        <f t="shared" si="13"/>
        <v>3.6018913678037077E-2</v>
      </c>
      <c r="AJ22" s="192">
        <f t="shared" si="14"/>
        <v>3.1918321743664574E-3</v>
      </c>
      <c r="AK22" s="192">
        <f t="shared" si="15"/>
        <v>1.626894516860785E-2</v>
      </c>
      <c r="AL22" s="192">
        <f t="shared" si="16"/>
        <v>0.12387375857882971</v>
      </c>
      <c r="AM22" s="192">
        <f t="shared" si="17"/>
        <v>3.1996550228021191E-2</v>
      </c>
      <c r="AN22" s="192">
        <f t="shared" si="18"/>
        <v>3.209618948359292E-2</v>
      </c>
      <c r="AO22" s="192">
        <f t="shared" si="19"/>
        <v>5.797475096030162E-3</v>
      </c>
      <c r="AP22" s="192">
        <f t="shared" si="20"/>
        <v>1.5303603099104555E-2</v>
      </c>
      <c r="AQ22" s="192">
        <f t="shared" si="21"/>
        <v>1.344246422162706E-2</v>
      </c>
      <c r="AR22" s="192">
        <f t="shared" si="22"/>
        <v>5.0839802862976151E-3</v>
      </c>
      <c r="AS22" s="192">
        <f t="shared" si="23"/>
        <v>3.040248198607674E-2</v>
      </c>
      <c r="AT22" s="192">
        <f t="shared" si="24"/>
        <v>4.1445038789582438E-2</v>
      </c>
      <c r="AU22" s="192">
        <f t="shared" si="25"/>
        <v>1.3909792087635708E-2</v>
      </c>
      <c r="AV22" s="192">
        <f t="shared" si="26"/>
        <v>7.3051333514466979E-2</v>
      </c>
      <c r="AW22" s="192">
        <f t="shared" si="27"/>
        <v>0.27395646456062978</v>
      </c>
    </row>
    <row r="23" spans="1:49" x14ac:dyDescent="0.2">
      <c r="A23" s="225">
        <v>2016</v>
      </c>
      <c r="B23" s="226">
        <f t="shared" si="28"/>
        <v>1537.0498142004537</v>
      </c>
      <c r="C23" s="226">
        <f t="shared" si="4"/>
        <v>3480.5580972893122</v>
      </c>
      <c r="D23" s="227">
        <f>'KU Efficiencies'!B$54*'KU StructuralVars'!$Q23*('KU Shares'!B23/'KU Efficiencies'!B23)/('KU Shares'!B$12/'KU Efficiencies'!B$12)</f>
        <v>960.92566479823881</v>
      </c>
      <c r="E23" s="227">
        <f>'KU Efficiencies'!C$54*'KU StructuralVars'!$Q23*('KU Shares'!C23/'KU Efficiencies'!C23)/('KU Shares'!C$12/'KU Efficiencies'!C$12)</f>
        <v>486.13114826739252</v>
      </c>
      <c r="F23" s="227">
        <f>'KU Efficiencies'!D$54*'KU StructuralVars'!$Q23*('KU Shares'!D23/'KU Efficiencies'!D23)/('KU Shares'!D$12/'KU Efficiencies'!D$12)</f>
        <v>38.328133746241186</v>
      </c>
      <c r="G23" s="227">
        <f>'KU Efficiencies'!E$54*'KU StructuralVars'!$Q23*('KU Shares'!E23/(1/'KU Efficiencies'!E23))/('KU Shares'!E$12/(1/'KU Efficiencies'!E$12))</f>
        <v>51.664867388581165</v>
      </c>
      <c r="H23" s="227">
        <f>'KU Efficiencies'!F$54*'KU StructuralVars'!$R23*('KU Shares'!F23/'KU Efficiencies'!F23)/('KU Shares'!F$12/'KU Efficiencies'!F$12)</f>
        <v>2401.0550535762136</v>
      </c>
      <c r="I23" s="227">
        <f>'KU Efficiencies'!G$54*'KU StructuralVars'!$R23*('KU Shares'!G23/'KU Efficiencies'!G23)/('KU Shares'!G$12/'KU Efficiencies'!G$12)</f>
        <v>703.84855260375286</v>
      </c>
      <c r="J23" s="227">
        <f>'KU Efficiencies'!H$54*'KU StructuralVars'!$R23*('KU Shares'!H23/'KU Efficiencies'!H23)/('KU Shares'!H$12/'KU Efficiencies'!H$12)</f>
        <v>69.475654434713491</v>
      </c>
      <c r="K23" s="227">
        <f>'KU Efficiencies'!I$54*'KU StructuralVars'!$R23*('KU Shares'!I23/'KU Efficiencies'!I23)/('KU Shares'!I$12/'KU Efficiencies'!I$12)</f>
        <v>306.17883667463212</v>
      </c>
      <c r="L23" s="227">
        <f>'KU Efficiencies'!J$54*('KU Shares'!J23/'KU Efficiencies'!J23)/('KU Shares'!J$12/'KU Efficiencies'!J$12)</f>
        <v>2347.5124914434418</v>
      </c>
      <c r="M23" s="227">
        <f>'KU Efficiencies'!K$54*('KU Shares'!K23/(1/'KU Efficiencies'!K23))/('KU Shares'!K$12/(1/'KU Efficiencies'!K$12))</f>
        <v>610.57978552067584</v>
      </c>
      <c r="N23" s="227">
        <f>'KU Efficiencies'!L$54*('KU Shares'!L23/(1/'KU Efficiencies'!L23))/('KU Shares'!L$12/(1/'KU Efficiencies'!L$12))</f>
        <v>605.94621895850787</v>
      </c>
      <c r="O23" s="227">
        <f>'KU Efficiencies'!M$54*('KU Shares'!M23/(1/'KU Efficiencies'!M23))/('KU Shares'!M$12/(1/'KU Efficiencies'!M$12))</f>
        <v>109.23363747282662</v>
      </c>
      <c r="P23" s="227">
        <f>'KU Efficiencies'!N$54*('KU Shares'!N23/(1/'KU Efficiencies'!N23))/('KU Shares'!N$12/(1/'KU Efficiencies'!N$12))</f>
        <v>288.30622292847784</v>
      </c>
      <c r="Q23" s="227">
        <f>'KU Efficiencies'!O$54*('KU Shares'!O23/(1/'KU Efficiencies'!O23))/('KU Shares'!O$12/(1/'KU Efficiencies'!O$12))</f>
        <v>253.92839555923888</v>
      </c>
      <c r="R23" s="283">
        <f>'KU Efficiencies'!P$54*('KU Shares'!P23/'KU Efficiencies'!P23)/('KU Shares'!P$12/'KU Efficiencies'!P$12)</f>
        <v>247.35921276421783</v>
      </c>
      <c r="S23" s="227">
        <f>'KU Efficiencies'!Q$54*('KU Shares'!Q23/(1/'KU Efficiencies'!Q23))/('KU Shares'!Q$12/(1/'KU Efficiencies'!Q$12))</f>
        <v>93.067944617533058</v>
      </c>
      <c r="T23" s="283">
        <f>'KU Efficiencies'!R$54*('KU Shares'!R23/'KU Efficiencies'!R23)/('KU Shares'!R$12/'KU Efficiencies'!R$12)</f>
        <v>138.81392862573821</v>
      </c>
      <c r="U23" s="227">
        <f>'KU Efficiencies'!S$54*('KU Shares'!S23/(1/'KU Efficiencies'!S23))/('KU Shares'!S$12/(1/'KU Efficiencies'!S$12))</f>
        <v>567.69161086065503</v>
      </c>
      <c r="V23" s="283">
        <f>'KU Efficiencies'!T$54*('KU Shares'!T23/'KU Efficiencies'!T23)/('KU Shares'!T$12/'KU Efficiencies'!T$12)</f>
        <v>564.4763298613675</v>
      </c>
      <c r="W23" s="227">
        <f>'KU Efficiencies'!U$54*('KU Shares'!U23/(1/'KU Efficiencies'!U23))/('KU Shares'!U$12/(1/'KU Efficiencies'!U$12))</f>
        <v>785.95493522564232</v>
      </c>
      <c r="X23" s="227">
        <f>'KU Efficiencies'!V$54*('KU Shares'!V23/(1/'KU Efficiencies'!V23))/('KU Shares'!V$12/(1/'KU Efficiencies'!V$12))</f>
        <v>264.61937574533363</v>
      </c>
      <c r="Y23" s="227">
        <f>'KU Efficiencies'!W$54*('KU Shares'!W23/(1/'KU Efficiencies'!W23))/('KU Shares'!W$12/(1/'KU Efficiencies'!W$12))</f>
        <v>1350.2718579032801</v>
      </c>
      <c r="Z23" s="227">
        <f>'KU Efficiencies'!X$54*('KU Shares'!X23/(1/'KU Efficiencies'!X23))/('KU Shares'!X$12/(1/'KU Efficiencies'!X$12))</f>
        <v>5324.3697136053715</v>
      </c>
      <c r="AA23" s="286">
        <f t="shared" si="29"/>
        <v>1.9361014608767046E-2</v>
      </c>
      <c r="AB23" s="153">
        <f t="shared" si="30"/>
        <v>18569.739572582072</v>
      </c>
      <c r="AC23" s="225">
        <v>2016</v>
      </c>
      <c r="AD23" s="192">
        <f t="shared" si="8"/>
        <v>5.0400072529078709E-2</v>
      </c>
      <c r="AE23" s="192">
        <f t="shared" si="9"/>
        <v>2.5497336608722249E-2</v>
      </c>
      <c r="AF23" s="192">
        <f t="shared" si="10"/>
        <v>2.0102915256409387E-3</v>
      </c>
      <c r="AG23" s="192">
        <f t="shared" si="11"/>
        <v>2.7097965628136863E-3</v>
      </c>
      <c r="AH23" s="192">
        <f t="shared" si="12"/>
        <v>0.12593414171319978</v>
      </c>
      <c r="AI23" s="192">
        <f t="shared" si="13"/>
        <v>3.6916506031883886E-2</v>
      </c>
      <c r="AJ23" s="192">
        <f t="shared" si="14"/>
        <v>3.6439634727104299E-3</v>
      </c>
      <c r="AK23" s="192">
        <f t="shared" si="15"/>
        <v>1.6058927491035917E-2</v>
      </c>
      <c r="AL23" s="192">
        <f t="shared" si="16"/>
        <v>0.12312586099624027</v>
      </c>
      <c r="AM23" s="192">
        <f t="shared" si="17"/>
        <v>3.2024605650940445E-2</v>
      </c>
      <c r="AN23" s="192">
        <f t="shared" si="18"/>
        <v>3.178157739250527E-2</v>
      </c>
      <c r="AO23" s="192">
        <f t="shared" si="19"/>
        <v>5.7292498815727762E-3</v>
      </c>
      <c r="AP23" s="192">
        <f t="shared" si="20"/>
        <v>1.5121517801515846E-2</v>
      </c>
      <c r="AQ23" s="192">
        <f t="shared" si="21"/>
        <v>1.3318417877896276E-2</v>
      </c>
      <c r="AR23" s="192">
        <f t="shared" si="22"/>
        <v>4.8813673426454035E-3</v>
      </c>
      <c r="AS23" s="192">
        <f t="shared" si="23"/>
        <v>2.9775142250502807E-2</v>
      </c>
      <c r="AT23" s="192">
        <f t="shared" si="24"/>
        <v>4.1222944907270138E-2</v>
      </c>
      <c r="AU23" s="192">
        <f t="shared" si="25"/>
        <v>1.3879154464008015E-2</v>
      </c>
      <c r="AV23" s="192">
        <f t="shared" si="26"/>
        <v>7.0821086443339107E-2</v>
      </c>
      <c r="AW23" s="192">
        <f t="shared" si="27"/>
        <v>0.27926053967315428</v>
      </c>
    </row>
    <row r="24" spans="1:49" x14ac:dyDescent="0.2">
      <c r="A24" s="225">
        <v>2017</v>
      </c>
      <c r="B24" s="226">
        <f t="shared" si="28"/>
        <v>1536.3073896624028</v>
      </c>
      <c r="C24" s="226">
        <f t="shared" si="4"/>
        <v>3475.1372317926048</v>
      </c>
      <c r="D24" s="227">
        <f>'KU Efficiencies'!B$54*'KU StructuralVars'!$Q24*('KU Shares'!B24/'KU Efficiencies'!B24)/('KU Shares'!B$12/'KU Efficiencies'!B$12)</f>
        <v>951.41414556911229</v>
      </c>
      <c r="E24" s="227">
        <f>'KU Efficiencies'!C$54*'KU StructuralVars'!$Q24*('KU Shares'!C24/'KU Efficiencies'!C24)/('KU Shares'!C$12/'KU Efficiencies'!C$12)</f>
        <v>492.97514043295678</v>
      </c>
      <c r="F24" s="227">
        <f>'KU Efficiencies'!D$54*'KU StructuralVars'!$Q24*('KU Shares'!D24/'KU Efficiencies'!D24)/('KU Shares'!D$12/'KU Efficiencies'!D$12)</f>
        <v>42.313181554907949</v>
      </c>
      <c r="G24" s="227">
        <f>'KU Efficiencies'!E$54*'KU StructuralVars'!$Q24*('KU Shares'!E24/(1/'KU Efficiencies'!E24))/('KU Shares'!E$12/(1/'KU Efficiencies'!E$12))</f>
        <v>49.6049221054257</v>
      </c>
      <c r="H24" s="227">
        <f>'KU Efficiencies'!F$54*'KU StructuralVars'!$R24*('KU Shares'!F24/'KU Efficiencies'!F24)/('KU Shares'!F$12/'KU Efficiencies'!F$12)</f>
        <v>2374.0961620001735</v>
      </c>
      <c r="I24" s="227">
        <f>'KU Efficiencies'!G$54*'KU StructuralVars'!$R24*('KU Shares'!G24/'KU Efficiencies'!G24)/('KU Shares'!G$12/'KU Efficiencies'!G$12)</f>
        <v>721.35523363141192</v>
      </c>
      <c r="J24" s="227">
        <f>'KU Efficiencies'!H$54*'KU StructuralVars'!$R24*('KU Shares'!H24/'KU Efficiencies'!H24)/('KU Shares'!H$12/'KU Efficiencies'!H$12)</f>
        <v>77.063555924210519</v>
      </c>
      <c r="K24" s="227">
        <f>'KU Efficiencies'!I$54*'KU StructuralVars'!$R24*('KU Shares'!I24/'KU Efficiencies'!I24)/('KU Shares'!I$12/'KU Efficiencies'!I$12)</f>
        <v>302.62228023680876</v>
      </c>
      <c r="L24" s="227">
        <f>'KU Efficiencies'!J$54*('KU Shares'!J24/'KU Efficiencies'!J24)/('KU Shares'!J$12/'KU Efficiencies'!J$12)</f>
        <v>2335.3957138172623</v>
      </c>
      <c r="M24" s="227">
        <f>'KU Efficiencies'!K$54*('KU Shares'!K24/(1/'KU Efficiencies'!K24))/('KU Shares'!K$12/(1/'KU Efficiencies'!K$12))</f>
        <v>611.22433310051645</v>
      </c>
      <c r="N24" s="227">
        <f>'KU Efficiencies'!L$54*('KU Shares'!L24/(1/'KU Efficiencies'!L24))/('KU Shares'!L$12/(1/'KU Efficiencies'!L$12))</f>
        <v>600.79025231191804</v>
      </c>
      <c r="O24" s="227">
        <f>'KU Efficiencies'!M$54*('KU Shares'!M24/(1/'KU Efficiencies'!M24))/('KU Shares'!M$12/(1/'KU Efficiencies'!M$12))</f>
        <v>108.00195233918161</v>
      </c>
      <c r="P24" s="227">
        <f>'KU Efficiencies'!N$54*('KU Shares'!N24/(1/'KU Efficiencies'!N24))/('KU Shares'!N$12/(1/'KU Efficiencies'!N$12))</f>
        <v>285.19229765795723</v>
      </c>
      <c r="Q24" s="227">
        <f>'KU Efficiencies'!O$54*('KU Shares'!O24/(1/'KU Efficiencies'!O24))/('KU Shares'!O$12/(1/'KU Efficiencies'!O$12))</f>
        <v>251.8774121975791</v>
      </c>
      <c r="R24" s="283">
        <f>'KU Efficiencies'!P$54*('KU Shares'!P24/'KU Efficiencies'!P24)/('KU Shares'!P$12/'KU Efficiencies'!P$12)</f>
        <v>245.82583625362631</v>
      </c>
      <c r="S24" s="227">
        <f>'KU Efficiencies'!Q$54*('KU Shares'!Q24/(1/'KU Efficiencies'!Q24))/('KU Shares'!Q$12/(1/'KU Efficiencies'!Q$12))</f>
        <v>89.198970352511552</v>
      </c>
      <c r="T24" s="283">
        <f>'KU Efficiencies'!R$54*('KU Shares'!R24/'KU Efficiencies'!R24)/('KU Shares'!R$12/'KU Efficiencies'!R$12)</f>
        <v>145.04822922292973</v>
      </c>
      <c r="U24" s="227">
        <f>'KU Efficiencies'!S$54*('KU Shares'!S24/(1/'KU Efficiencies'!S24))/('KU Shares'!S$12/(1/'KU Efficiencies'!S$12))</f>
        <v>556.20320824958822</v>
      </c>
      <c r="V24" s="283">
        <f>'KU Efficiencies'!T$54*('KU Shares'!T24/'KU Efficiencies'!T24)/('KU Shares'!T$12/'KU Efficiencies'!T$12)</f>
        <v>552.41502603561798</v>
      </c>
      <c r="W24" s="227">
        <f>'KU Efficiencies'!U$54*('KU Shares'!U24/(1/'KU Efficiencies'!U24))/('KU Shares'!U$12/(1/'KU Efficiencies'!U$12))</f>
        <v>783.59566998775006</v>
      </c>
      <c r="X24" s="227">
        <f>'KU Efficiencies'!V$54*('KU Shares'!V24/(1/'KU Efficiencies'!V24))/('KU Shares'!V$12/(1/'KU Efficiencies'!V$12))</f>
        <v>263.45918990756621</v>
      </c>
      <c r="Y24" s="227">
        <f>'KU Efficiencies'!W$54*('KU Shares'!W24/(1/'KU Efficiencies'!W24))/('KU Shares'!W$12/(1/'KU Efficiencies'!W$12))</f>
        <v>1319.4499547731796</v>
      </c>
      <c r="Z24" s="227">
        <f>'KU Efficiencies'!X$54*('KU Shares'!X24/(1/'KU Efficiencies'!X24))/('KU Shares'!X$12/(1/'KU Efficiencies'!X$12))</f>
        <v>5422.3231057467183</v>
      </c>
      <c r="AA24" s="286">
        <f t="shared" si="29"/>
        <v>1.8397180776354771E-2</v>
      </c>
      <c r="AB24" s="153">
        <f t="shared" si="30"/>
        <v>18581.445773408912</v>
      </c>
      <c r="AC24" s="225">
        <v>2017</v>
      </c>
      <c r="AD24" s="192">
        <f t="shared" si="8"/>
        <v>4.9901198082728734E-2</v>
      </c>
      <c r="AE24" s="192">
        <f t="shared" si="9"/>
        <v>2.5856300589151796E-2</v>
      </c>
      <c r="AF24" s="192">
        <f t="shared" si="10"/>
        <v>2.2193052984501205E-3</v>
      </c>
      <c r="AG24" s="192">
        <f t="shared" si="11"/>
        <v>2.6017534586691344E-3</v>
      </c>
      <c r="AH24" s="192">
        <f t="shared" si="12"/>
        <v>0.12452016127692819</v>
      </c>
      <c r="AI24" s="192">
        <f t="shared" si="13"/>
        <v>3.7834722732571886E-2</v>
      </c>
      <c r="AJ24" s="192">
        <f t="shared" si="14"/>
        <v>4.0419451266757774E-3</v>
      </c>
      <c r="AK24" s="192">
        <f t="shared" si="15"/>
        <v>1.5872387877217096E-2</v>
      </c>
      <c r="AL24" s="192">
        <f t="shared" si="16"/>
        <v>0.12249034204451534</v>
      </c>
      <c r="AM24" s="192">
        <f t="shared" si="17"/>
        <v>3.2058411850485788E-2</v>
      </c>
      <c r="AN24" s="192">
        <f t="shared" si="18"/>
        <v>3.1511149509823838E-2</v>
      </c>
      <c r="AO24" s="192">
        <f t="shared" si="19"/>
        <v>5.6646486097545971E-3</v>
      </c>
      <c r="AP24" s="192">
        <f t="shared" si="20"/>
        <v>1.4958193971969342E-2</v>
      </c>
      <c r="AQ24" s="192">
        <f t="shared" si="21"/>
        <v>1.3210844822070682E-2</v>
      </c>
      <c r="AR24" s="192">
        <f t="shared" si="22"/>
        <v>4.6784415693899191E-3</v>
      </c>
      <c r="AS24" s="192">
        <f t="shared" si="23"/>
        <v>2.9172581255357988E-2</v>
      </c>
      <c r="AT24" s="192">
        <f t="shared" si="24"/>
        <v>4.109920262057612E-2</v>
      </c>
      <c r="AU24" s="192">
        <f t="shared" si="25"/>
        <v>1.3818303294648348E-2</v>
      </c>
      <c r="AV24" s="192">
        <f t="shared" si="26"/>
        <v>6.92044929750322E-2</v>
      </c>
      <c r="AW24" s="192">
        <f t="shared" si="27"/>
        <v>0.28439814630522375</v>
      </c>
    </row>
    <row r="25" spans="1:49" x14ac:dyDescent="0.2">
      <c r="A25" s="225">
        <v>2018</v>
      </c>
      <c r="B25" s="226">
        <f t="shared" si="28"/>
        <v>1535.576653098452</v>
      </c>
      <c r="C25" s="226">
        <f t="shared" si="4"/>
        <v>3473.4417452056814</v>
      </c>
      <c r="D25" s="227">
        <f>'KU Efficiencies'!B$54*'KU StructuralVars'!$Q25*('KU Shares'!B25/'KU Efficiencies'!B25)/('KU Shares'!B$12/'KU Efficiencies'!B$12)</f>
        <v>942.81774921375779</v>
      </c>
      <c r="E25" s="227">
        <f>'KU Efficiencies'!C$54*'KU StructuralVars'!$Q25*('KU Shares'!C25/'KU Efficiencies'!C25)/('KU Shares'!C$12/'KU Efficiencies'!C$12)</f>
        <v>499.45359663975557</v>
      </c>
      <c r="F25" s="227">
        <f>'KU Efficiencies'!D$54*'KU StructuralVars'!$Q25*('KU Shares'!D25/'KU Efficiencies'!D25)/('KU Shares'!D$12/'KU Efficiencies'!D$12)</f>
        <v>45.692354487676994</v>
      </c>
      <c r="G25" s="227">
        <f>'KU Efficiencies'!E$54*'KU StructuralVars'!$Q25*('KU Shares'!E25/(1/'KU Efficiencies'!E25))/('KU Shares'!E$12/(1/'KU Efficiencies'!E$12))</f>
        <v>47.612952757261503</v>
      </c>
      <c r="H25" s="227">
        <f>'KU Efficiencies'!F$54*'KU StructuralVars'!$R25*('KU Shares'!F25/'KU Efficiencies'!F25)/('KU Shares'!F$12/'KU Efficiencies'!F$12)</f>
        <v>2352.3204149763533</v>
      </c>
      <c r="I25" s="227">
        <f>'KU Efficiencies'!G$54*'KU StructuralVars'!$R25*('KU Shares'!G25/'KU Efficiencies'!G25)/('KU Shares'!G$12/'KU Efficiencies'!G$12)</f>
        <v>738.26045132205149</v>
      </c>
      <c r="J25" s="227">
        <f>'KU Efficiencies'!H$54*'KU StructuralVars'!$R25*('KU Shares'!H25/'KU Efficiencies'!H25)/('KU Shares'!H$12/'KU Efficiencies'!H$12)</f>
        <v>83.609408128860451</v>
      </c>
      <c r="K25" s="227">
        <f>'KU Efficiencies'!I$54*'KU StructuralVars'!$R25*('KU Shares'!I25/'KU Efficiencies'!I25)/('KU Shares'!I$12/'KU Efficiencies'!I$12)</f>
        <v>299.25147077841626</v>
      </c>
      <c r="L25" s="227">
        <f>'KU Efficiencies'!J$54*('KU Shares'!J25/'KU Efficiencies'!J25)/('KU Shares'!J$12/'KU Efficiencies'!J$12)</f>
        <v>2323.9692276920682</v>
      </c>
      <c r="M25" s="227">
        <f>'KU Efficiencies'!K$54*('KU Shares'!K25/(1/'KU Efficiencies'!K25))/('KU Shares'!K$12/(1/'KU Efficiencies'!K$12))</f>
        <v>611.83097125802283</v>
      </c>
      <c r="N25" s="227">
        <f>'KU Efficiencies'!L$54*('KU Shares'!L25/(1/'KU Efficiencies'!L25))/('KU Shares'!L$12/(1/'KU Efficiencies'!L$12))</f>
        <v>596.29191469341379</v>
      </c>
      <c r="O25" s="227">
        <f>'KU Efficiencies'!M$54*('KU Shares'!M25/(1/'KU Efficiencies'!M25))/('KU Shares'!M$12/(1/'KU Efficiencies'!M$12))</f>
        <v>106.87039387710081</v>
      </c>
      <c r="P25" s="227">
        <f>'KU Efficiencies'!N$54*('KU Shares'!N25/(1/'KU Efficiencies'!N25))/('KU Shares'!N$12/(1/'KU Efficiencies'!N$12))</f>
        <v>282.33536405516594</v>
      </c>
      <c r="Q25" s="227">
        <f>'KU Efficiencies'!O$54*('KU Shares'!O25/(1/'KU Efficiencies'!O25))/('KU Shares'!O$12/(1/'KU Efficiencies'!O$12))</f>
        <v>249.65493683409841</v>
      </c>
      <c r="R25" s="283">
        <f>'KU Efficiencies'!P$54*('KU Shares'!P25/'KU Efficiencies'!P25)/('KU Shares'!P$12/'KU Efficiencies'!P$12)</f>
        <v>244.37823590025357</v>
      </c>
      <c r="S25" s="227">
        <f>'KU Efficiencies'!Q$54*('KU Shares'!Q25/(1/'KU Efficiencies'!Q25))/('KU Shares'!Q$12/(1/'KU Efficiencies'!Q$12))</f>
        <v>85.349584172886523</v>
      </c>
      <c r="T25" s="283">
        <f>'KU Efficiencies'!R$54*('KU Shares'!R25/'KU Efficiencies'!R25)/('KU Shares'!R$12/'KU Efficiencies'!R$12)</f>
        <v>151.79053451294664</v>
      </c>
      <c r="U25" s="227">
        <f>'KU Efficiencies'!S$54*('KU Shares'!S25/(1/'KU Efficiencies'!S25))/('KU Shares'!S$12/(1/'KU Efficiencies'!S$12))</f>
        <v>545.24778859914295</v>
      </c>
      <c r="V25" s="283">
        <f>'KU Efficiencies'!T$54*('KU Shares'!T25/'KU Efficiencies'!T25)/('KU Shares'!T$12/'KU Efficiencies'!T$12)</f>
        <v>541.73370569971132</v>
      </c>
      <c r="W25" s="227">
        <f>'KU Efficiencies'!U$54*('KU Shares'!U25/(1/'KU Efficiencies'!U25))/('KU Shares'!U$12/(1/'KU Efficiencies'!U$12))</f>
        <v>782.07887152051296</v>
      </c>
      <c r="X25" s="227">
        <f>'KU Efficiencies'!V$54*('KU Shares'!V25/(1/'KU Efficiencies'!V25))/('KU Shares'!V$12/(1/'KU Efficiencies'!V$12))</f>
        <v>262.1169594831</v>
      </c>
      <c r="Y25" s="227">
        <f>'KU Efficiencies'!W$54*('KU Shares'!W25/(1/'KU Efficiencies'!W25))/('KU Shares'!W$12/(1/'KU Efficiencies'!W$12))</f>
        <v>1294.9258898385308</v>
      </c>
      <c r="Z25" s="227">
        <f>'KU Efficiencies'!X$54*('KU Shares'!X25/(1/'KU Efficiencies'!X25))/('KU Shares'!X$12/(1/'KU Efficiencies'!X$12))</f>
        <v>5528.4739847108585</v>
      </c>
      <c r="AA25" s="286">
        <f t="shared" si="29"/>
        <v>1.9576642131790223E-2</v>
      </c>
      <c r="AB25" s="153">
        <f t="shared" si="30"/>
        <v>18616.066761151953</v>
      </c>
      <c r="AC25" s="225">
        <v>2018</v>
      </c>
      <c r="AD25" s="192">
        <f t="shared" si="8"/>
        <v>4.9450321375330619E-2</v>
      </c>
      <c r="AE25" s="192">
        <f t="shared" si="9"/>
        <v>2.6196092390599491E-2</v>
      </c>
      <c r="AF25" s="192">
        <f t="shared" si="10"/>
        <v>2.3965412357748032E-3</v>
      </c>
      <c r="AG25" s="192">
        <f t="shared" si="11"/>
        <v>2.49727565845942E-3</v>
      </c>
      <c r="AH25" s="192">
        <f t="shared" si="12"/>
        <v>0.12337803419095235</v>
      </c>
      <c r="AI25" s="192">
        <f t="shared" si="13"/>
        <v>3.8721392980792378E-2</v>
      </c>
      <c r="AJ25" s="192">
        <f t="shared" si="14"/>
        <v>4.3852718146441504E-3</v>
      </c>
      <c r="AK25" s="192">
        <f t="shared" si="15"/>
        <v>1.569559059995803E-2</v>
      </c>
      <c r="AL25" s="192">
        <f t="shared" si="16"/>
        <v>0.121891028538217</v>
      </c>
      <c r="AM25" s="192">
        <f t="shared" si="17"/>
        <v>3.2090229719710504E-2</v>
      </c>
      <c r="AN25" s="192">
        <f t="shared" si="18"/>
        <v>3.1275213942132965E-2</v>
      </c>
      <c r="AO25" s="192">
        <f t="shared" si="19"/>
        <v>5.6052989319918117E-3</v>
      </c>
      <c r="AP25" s="192">
        <f t="shared" si="20"/>
        <v>1.4808349227400389E-2</v>
      </c>
      <c r="AQ25" s="192">
        <f t="shared" si="21"/>
        <v>1.3094277096161273E-2</v>
      </c>
      <c r="AR25" s="192">
        <f t="shared" si="22"/>
        <v>4.4765431814576227E-3</v>
      </c>
      <c r="AS25" s="192">
        <f t="shared" si="23"/>
        <v>2.8597974951045293E-2</v>
      </c>
      <c r="AT25" s="192">
        <f t="shared" si="24"/>
        <v>4.1019647296411894E-2</v>
      </c>
      <c r="AU25" s="192">
        <f t="shared" si="25"/>
        <v>1.3747903977383744E-2</v>
      </c>
      <c r="AV25" s="192">
        <f t="shared" si="26"/>
        <v>6.7918217983434753E-2</v>
      </c>
      <c r="AW25" s="192">
        <f t="shared" si="27"/>
        <v>0.28996570703838559</v>
      </c>
    </row>
    <row r="26" spans="1:49" x14ac:dyDescent="0.2">
      <c r="A26" s="225">
        <v>2019</v>
      </c>
      <c r="B26" s="226">
        <f t="shared" si="28"/>
        <v>1534.8370693002221</v>
      </c>
      <c r="C26" s="226">
        <f t="shared" si="4"/>
        <v>3474.5484640836976</v>
      </c>
      <c r="D26" s="227">
        <f>'KU Efficiencies'!B$54*'KU StructuralVars'!$Q26*('KU Shares'!B26/'KU Efficiencies'!B26)/('KU Shares'!B$12/'KU Efficiencies'!B$12)</f>
        <v>934.820180814433</v>
      </c>
      <c r="E26" s="227">
        <f>'KU Efficiencies'!C$54*'KU StructuralVars'!$Q26*('KU Shares'!C26/'KU Efficiencies'!C26)/('KU Shares'!C$12/'KU Efficiencies'!C$12)</f>
        <v>505.70380210621988</v>
      </c>
      <c r="F26" s="227">
        <f>'KU Efficiencies'!D$54*'KU StructuralVars'!$Q26*('KU Shares'!D26/'KU Efficiencies'!D26)/('KU Shares'!D$12/'KU Efficiencies'!D$12)</f>
        <v>48.60082877302942</v>
      </c>
      <c r="G26" s="227">
        <f>'KU Efficiencies'!E$54*'KU StructuralVars'!$Q26*('KU Shares'!E26/(1/'KU Efficiencies'!E26))/('KU Shares'!E$12/(1/'KU Efficiencies'!E$12))</f>
        <v>45.712257606539623</v>
      </c>
      <c r="H26" s="227">
        <f>'KU Efficiencies'!F$54*'KU StructuralVars'!$R26*('KU Shares'!F26/'KU Efficiencies'!F26)/('KU Shares'!F$12/'KU Efficiencies'!F$12)</f>
        <v>2334.3459728718631</v>
      </c>
      <c r="I26" s="227">
        <f>'KU Efficiencies'!G$54*'KU StructuralVars'!$R26*('KU Shares'!G26/'KU Efficiencies'!G26)/('KU Shares'!G$12/'KU Efficiencies'!G$12)</f>
        <v>754.66906089927795</v>
      </c>
      <c r="J26" s="227">
        <f>'KU Efficiencies'!H$54*'KU StructuralVars'!$R26*('KU Shares'!H26/'KU Efficiencies'!H26)/('KU Shares'!H$12/'KU Efficiencies'!H$12)</f>
        <v>89.342404902139663</v>
      </c>
      <c r="K26" s="227">
        <f>'KU Efficiencies'!I$54*'KU StructuralVars'!$R26*('KU Shares'!I26/'KU Efficiencies'!I26)/('KU Shares'!I$12/'KU Efficiencies'!I$12)</f>
        <v>296.1910254104169</v>
      </c>
      <c r="L26" s="227">
        <f>'KU Efficiencies'!J$54*('KU Shares'!J26/'KU Efficiencies'!J26)/('KU Shares'!J$12/'KU Efficiencies'!J$12)</f>
        <v>2313.2757523831469</v>
      </c>
      <c r="M26" s="227">
        <f>'KU Efficiencies'!K$54*('KU Shares'!K26/(1/'KU Efficiencies'!K26))/('KU Shares'!K$12/(1/'KU Efficiencies'!K$12))</f>
        <v>612.48466709924253</v>
      </c>
      <c r="N26" s="227">
        <f>'KU Efficiencies'!L$54*('KU Shares'!L26/(1/'KU Efficiencies'!L26))/('KU Shares'!L$12/(1/'KU Efficiencies'!L$12))</f>
        <v>592.32591256628587</v>
      </c>
      <c r="O26" s="227">
        <f>'KU Efficiencies'!M$54*('KU Shares'!M26/(1/'KU Efficiencies'!M26))/('KU Shares'!M$12/(1/'KU Efficiencies'!M$12))</f>
        <v>105.84715007441547</v>
      </c>
      <c r="P26" s="227">
        <f>'KU Efficiencies'!N$54*('KU Shares'!N26/(1/'KU Efficiencies'!N26))/('KU Shares'!N$12/(1/'KU Efficiencies'!N$12))</f>
        <v>279.61207013016667</v>
      </c>
      <c r="Q26" s="227">
        <f>'KU Efficiencies'!O$54*('KU Shares'!O26/(1/'KU Efficiencies'!O26))/('KU Shares'!O$12/(1/'KU Efficiencies'!O$12))</f>
        <v>247.19515694598468</v>
      </c>
      <c r="R26" s="283">
        <f>'KU Efficiencies'!P$54*('KU Shares'!P26/'KU Efficiencies'!P26)/('KU Shares'!P$12/'KU Efficiencies'!P$12)</f>
        <v>242.61545129448788</v>
      </c>
      <c r="S26" s="227">
        <f>'KU Efficiencies'!Q$54*('KU Shares'!Q26/(1/'KU Efficiencies'!Q26))/('KU Shares'!Q$12/(1/'KU Efficiencies'!Q$12))</f>
        <v>81.630839017285837</v>
      </c>
      <c r="T26" s="283">
        <f>'KU Efficiencies'!R$54*('KU Shares'!R26/'KU Efficiencies'!R26)/('KU Shares'!R$12/'KU Efficiencies'!R$12)</f>
        <v>158.77022046067469</v>
      </c>
      <c r="U26" s="227">
        <f>'KU Efficiencies'!S$54*('KU Shares'!S26/(1/'KU Efficiencies'!S26))/('KU Shares'!S$12/(1/'KU Efficiencies'!S$12))</f>
        <v>535.06405621950717</v>
      </c>
      <c r="V26" s="283">
        <f>'KU Efficiencies'!T$54*('KU Shares'!T26/'KU Efficiencies'!T26)/('KU Shares'!T$12/'KU Efficiencies'!T$12)</f>
        <v>531.54004839721711</v>
      </c>
      <c r="W26" s="227">
        <f>'KU Efficiencies'!U$54*('KU Shares'!U26/(1/'KU Efficiencies'!U26))/('KU Shares'!U$12/(1/'KU Efficiencies'!U$12))</f>
        <v>782.14046303609018</v>
      </c>
      <c r="X26" s="227">
        <f>'KU Efficiencies'!V$54*('KU Shares'!V26/(1/'KU Efficiencies'!V26))/('KU Shares'!V$12/(1/'KU Efficiencies'!V$12))</f>
        <v>257.51565936807594</v>
      </c>
      <c r="Y26" s="227">
        <f>'KU Efficiencies'!W$54*('KU Shares'!W26/(1/'KU Efficiencies'!W26))/('KU Shares'!W$12/(1/'KU Efficiencies'!W$12))</f>
        <v>1275.4504621636438</v>
      </c>
      <c r="Z26" s="227">
        <f>'KU Efficiencies'!X$54*('KU Shares'!X26/(1/'KU Efficiencies'!X26))/('KU Shares'!X$12/(1/'KU Efficiencies'!X$12))</f>
        <v>5639.4926147087635</v>
      </c>
      <c r="AA26" s="286">
        <f t="shared" si="29"/>
        <v>2.008124308894832E-2</v>
      </c>
      <c r="AB26" s="153">
        <f t="shared" si="30"/>
        <v>18664.346057248909</v>
      </c>
      <c r="AC26" s="225">
        <v>2019</v>
      </c>
      <c r="AD26" s="192">
        <f t="shared" si="8"/>
        <v>4.9030852895979644E-2</v>
      </c>
      <c r="AE26" s="192">
        <f t="shared" si="9"/>
        <v>2.652391255439706E-2</v>
      </c>
      <c r="AF26" s="192">
        <f t="shared" si="10"/>
        <v>2.5490892634742203E-3</v>
      </c>
      <c r="AG26" s="192">
        <f t="shared" si="11"/>
        <v>2.3975851444463878E-3</v>
      </c>
      <c r="AH26" s="192">
        <f t="shared" si="12"/>
        <v>0.12243528365475323</v>
      </c>
      <c r="AI26" s="192">
        <f t="shared" si="13"/>
        <v>3.9582016380800319E-2</v>
      </c>
      <c r="AJ26" s="192">
        <f t="shared" si="14"/>
        <v>4.6859646400802518E-3</v>
      </c>
      <c r="AK26" s="192">
        <f t="shared" si="15"/>
        <v>1.5535071764663066E-2</v>
      </c>
      <c r="AL26" s="192">
        <f t="shared" si="16"/>
        <v>0.1213301610841557</v>
      </c>
      <c r="AM26" s="192">
        <f t="shared" si="17"/>
        <v>3.2124515741008886E-2</v>
      </c>
      <c r="AN26" s="192">
        <f t="shared" si="18"/>
        <v>3.1067199105834786E-2</v>
      </c>
      <c r="AO26" s="192">
        <f t="shared" si="19"/>
        <v>5.5516303041681396E-3</v>
      </c>
      <c r="AP26" s="192">
        <f t="shared" si="20"/>
        <v>1.4665513817372309E-2</v>
      </c>
      <c r="AQ26" s="192">
        <f t="shared" si="21"/>
        <v>1.2965262866124518E-2</v>
      </c>
      <c r="AR26" s="192">
        <f t="shared" si="22"/>
        <v>4.2814968501695642E-3</v>
      </c>
      <c r="AS26" s="192">
        <f t="shared" si="23"/>
        <v>2.806384325974726E-2</v>
      </c>
      <c r="AT26" s="192">
        <f t="shared" si="24"/>
        <v>4.1022877740728228E-2</v>
      </c>
      <c r="AU26" s="192">
        <f t="shared" si="25"/>
        <v>1.3506568078030943E-2</v>
      </c>
      <c r="AV26" s="192">
        <f t="shared" si="26"/>
        <v>6.6896741501635062E-2</v>
      </c>
      <c r="AW26" s="192">
        <f t="shared" si="27"/>
        <v>0.29578857888888216</v>
      </c>
    </row>
    <row r="27" spans="1:49" x14ac:dyDescent="0.2">
      <c r="A27" s="225">
        <v>2020</v>
      </c>
      <c r="B27" s="226">
        <f t="shared" si="28"/>
        <v>1533.7322986686418</v>
      </c>
      <c r="C27" s="226">
        <f t="shared" si="4"/>
        <v>3475.1663933410864</v>
      </c>
      <c r="D27" s="227">
        <f>'KU Efficiencies'!B$54*'KU StructuralVars'!$Q27*('KU Shares'!B27/'KU Efficiencies'!B27)/('KU Shares'!B$12/'KU Efficiencies'!B$12)</f>
        <v>927.1724073708624</v>
      </c>
      <c r="E27" s="227">
        <f>'KU Efficiencies'!C$54*'KU StructuralVars'!$Q27*('KU Shares'!C27/'KU Efficiencies'!C27)/('KU Shares'!C$12/'KU Efficiencies'!C$12)</f>
        <v>511.5617599632904</v>
      </c>
      <c r="F27" s="227">
        <f>'KU Efficiencies'!D$54*'KU StructuralVars'!$Q27*('KU Shares'!D27/'KU Efficiencies'!D27)/('KU Shares'!D$12/'KU Efficiencies'!D$12)</f>
        <v>51.095594607036219</v>
      </c>
      <c r="G27" s="227">
        <f>'KU Efficiencies'!E$54*'KU StructuralVars'!$Q27*('KU Shares'!E27/(1/'KU Efficiencies'!E27))/('KU Shares'!E$12/(1/'KU Efficiencies'!E$12))</f>
        <v>43.902536727452713</v>
      </c>
      <c r="H27" s="227">
        <f>'KU Efficiencies'!F$54*'KU StructuralVars'!$R27*('KU Shares'!F27/'KU Efficiencies'!F27)/('KU Shares'!F$12/'KU Efficiencies'!F$12)</f>
        <v>2317.4627190129577</v>
      </c>
      <c r="I27" s="227">
        <f>'KU Efficiencies'!G$54*'KU StructuralVars'!$R27*('KU Shares'!G27/'KU Efficiencies'!G27)/('KU Shares'!G$12/'KU Efficiencies'!G$12)</f>
        <v>770.56797471545713</v>
      </c>
      <c r="J27" s="227">
        <f>'KU Efficiencies'!H$54*'KU StructuralVars'!$R27*('KU Shares'!H27/'KU Efficiencies'!H27)/('KU Shares'!H$12/'KU Efficiencies'!H$12)</f>
        <v>94.286043685720514</v>
      </c>
      <c r="K27" s="227">
        <f>'KU Efficiencies'!I$54*'KU StructuralVars'!$R27*('KU Shares'!I27/'KU Efficiencies'!I27)/('KU Shares'!I$12/'KU Efficiencies'!I$12)</f>
        <v>292.84965592695113</v>
      </c>
      <c r="L27" s="227">
        <f>'KU Efficiencies'!J$54*('KU Shares'!J27/'KU Efficiencies'!J27)/('KU Shares'!J$12/'KU Efficiencies'!J$12)</f>
        <v>2303.3151004723404</v>
      </c>
      <c r="M27" s="227">
        <f>'KU Efficiencies'!K$54*('KU Shares'!K27/(1/'KU Efficiencies'!K27))/('KU Shares'!K$12/(1/'KU Efficiencies'!K$12))</f>
        <v>613.08139155055323</v>
      </c>
      <c r="N27" s="227">
        <f>'KU Efficiencies'!L$54*('KU Shares'!L27/(1/'KU Efficiencies'!L27))/('KU Shares'!L$12/(1/'KU Efficiencies'!L$12))</f>
        <v>588.55422219293143</v>
      </c>
      <c r="O27" s="227">
        <f>'KU Efficiencies'!M$54*('KU Shares'!M27/(1/'KU Efficiencies'!M27))/('KU Shares'!M$12/(1/'KU Efficiencies'!M$12))</f>
        <v>104.88512126978124</v>
      </c>
      <c r="P27" s="227">
        <f>'KU Efficiencies'!N$54*('KU Shares'!N27/(1/'KU Efficiencies'!N27))/('KU Shares'!N$12/(1/'KU Efficiencies'!N$12))</f>
        <v>277.06070322091466</v>
      </c>
      <c r="Q27" s="227">
        <f>'KU Efficiencies'!O$54*('KU Shares'!O27/(1/'KU Efficiencies'!O27))/('KU Shares'!O$12/(1/'KU Efficiencies'!O$12))</f>
        <v>244.46514946605993</v>
      </c>
      <c r="R27" s="283">
        <f>'KU Efficiencies'!P$54*('KU Shares'!P27/'KU Efficiencies'!P27)/('KU Shares'!P$12/'KU Efficiencies'!P$12)</f>
        <v>240.5757524510924</v>
      </c>
      <c r="S27" s="227">
        <f>'KU Efficiencies'!Q$54*('KU Shares'!Q27/(1/'KU Efficiencies'!Q27))/('KU Shares'!Q$12/(1/'KU Efficiencies'!Q$12))</f>
        <v>78.307805334866615</v>
      </c>
      <c r="T27" s="283">
        <f>'KU Efficiencies'!R$54*('KU Shares'!R27/'KU Efficiencies'!R27)/('KU Shares'!R$12/'KU Efficiencies'!R$12)</f>
        <v>165.55025834545194</v>
      </c>
      <c r="U27" s="227">
        <f>'KU Efficiencies'!S$54*('KU Shares'!S27/(1/'KU Efficiencies'!S27))/('KU Shares'!S$12/(1/'KU Efficiencies'!S$12))</f>
        <v>525.33799499497491</v>
      </c>
      <c r="V27" s="283">
        <f>'KU Efficiencies'!T$54*('KU Shares'!T27/'KU Efficiencies'!T27)/('KU Shares'!T$12/'KU Efficiencies'!T$12)</f>
        <v>522.11338266567611</v>
      </c>
      <c r="W27" s="227">
        <f>'KU Efficiencies'!U$54*('KU Shares'!U27/(1/'KU Efficiencies'!U27))/('KU Shares'!U$12/(1/'KU Efficiencies'!U$12))</f>
        <v>782.9019882327965</v>
      </c>
      <c r="X27" s="227">
        <f>'KU Efficiencies'!V$54*('KU Shares'!V27/(1/'KU Efficiencies'!V27))/('KU Shares'!V$12/(1/'KU Efficiencies'!V$12))</f>
        <v>255.43067484557434</v>
      </c>
      <c r="Y27" s="227">
        <f>'KU Efficiencies'!W$54*('KU Shares'!W27/(1/'KU Efficiencies'!W27))/('KU Shares'!W$12/(1/'KU Efficiencies'!W$12))</f>
        <v>1219.437973335891</v>
      </c>
      <c r="Z27" s="227">
        <f>'KU Efficiencies'!X$54*('KU Shares'!X27/(1/'KU Efficiencies'!X27))/('KU Shares'!X$12/(1/'KU Efficiencies'!X$12))</f>
        <v>5743.9294731013133</v>
      </c>
      <c r="AA27" s="286">
        <f t="shared" si="29"/>
        <v>1.8518839464415793E-2</v>
      </c>
      <c r="AB27" s="153">
        <f t="shared" si="30"/>
        <v>18673.845683489948</v>
      </c>
      <c r="AC27" s="225">
        <v>2020</v>
      </c>
      <c r="AD27" s="192">
        <f t="shared" si="8"/>
        <v>4.8629730987842401E-2</v>
      </c>
      <c r="AE27" s="192">
        <f t="shared" si="9"/>
        <v>2.6831159526441075E-2</v>
      </c>
      <c r="AF27" s="192">
        <f t="shared" si="10"/>
        <v>2.6799384889482952E-3</v>
      </c>
      <c r="AG27" s="192">
        <f t="shared" si="11"/>
        <v>2.3026661856708208E-3</v>
      </c>
      <c r="AH27" s="192">
        <f t="shared" si="12"/>
        <v>0.1215497653985681</v>
      </c>
      <c r="AI27" s="192">
        <f t="shared" si="13"/>
        <v>4.0415906491995598E-2</v>
      </c>
      <c r="AJ27" s="192">
        <f t="shared" si="14"/>
        <v>4.9452560320968827E-3</v>
      </c>
      <c r="AK27" s="192">
        <f t="shared" si="15"/>
        <v>1.5359818599426311E-2</v>
      </c>
      <c r="AL27" s="192">
        <f t="shared" si="16"/>
        <v>0.12080772985234241</v>
      </c>
      <c r="AM27" s="192">
        <f t="shared" si="17"/>
        <v>3.2155813641281172E-2</v>
      </c>
      <c r="AN27" s="192">
        <f t="shared" si="18"/>
        <v>3.0869375824244937E-2</v>
      </c>
      <c r="AO27" s="192">
        <f t="shared" si="19"/>
        <v>5.5011723725040826E-3</v>
      </c>
      <c r="AP27" s="192">
        <f t="shared" si="20"/>
        <v>1.4531695893691821E-2</v>
      </c>
      <c r="AQ27" s="192">
        <f t="shared" si="21"/>
        <v>1.2822075333484286E-2</v>
      </c>
      <c r="AR27" s="192">
        <f t="shared" si="22"/>
        <v>4.1072053885655435E-3</v>
      </c>
      <c r="AS27" s="192">
        <f t="shared" si="23"/>
        <v>2.7553716192591018E-2</v>
      </c>
      <c r="AT27" s="192">
        <f t="shared" si="24"/>
        <v>4.1062819358017408E-2</v>
      </c>
      <c r="AU27" s="192">
        <f t="shared" si="25"/>
        <v>1.3397211678253494E-2</v>
      </c>
      <c r="AV27" s="192">
        <f t="shared" si="26"/>
        <v>6.3958914359672228E-2</v>
      </c>
      <c r="AW27" s="192">
        <f t="shared" si="27"/>
        <v>0.30126624009673303</v>
      </c>
    </row>
    <row r="28" spans="1:49" x14ac:dyDescent="0.2">
      <c r="A28" s="198">
        <v>2021</v>
      </c>
      <c r="B28" s="226">
        <f t="shared" si="28"/>
        <v>1532.2445554766759</v>
      </c>
      <c r="C28" s="226">
        <f t="shared" si="4"/>
        <v>3479.9019945795098</v>
      </c>
      <c r="D28" s="227">
        <f>'KU Efficiencies'!B$54*'KU StructuralVars'!$Q28*('KU Shares'!B28/'KU Efficiencies'!B28)/('KU Shares'!B$12/'KU Efficiencies'!B$12)</f>
        <v>919.80863542484019</v>
      </c>
      <c r="E28" s="227">
        <f>'KU Efficiencies'!C$54*'KU StructuralVars'!$Q28*('KU Shares'!C28/'KU Efficiencies'!C28)/('KU Shares'!C$12/'KU Efficiencies'!C$12)</f>
        <v>517.06419527088872</v>
      </c>
      <c r="F28" s="227">
        <f>'KU Efficiencies'!D$54*'KU StructuralVars'!$Q28*('KU Shares'!D28/'KU Efficiencies'!D28)/('KU Shares'!D$12/'KU Efficiencies'!D$12)</f>
        <v>53.20171648037212</v>
      </c>
      <c r="G28" s="227">
        <f>'KU Efficiencies'!E$54*'KU StructuralVars'!$Q28*('KU Shares'!E28/(1/'KU Efficiencies'!E28))/('KU Shares'!E$12/(1/'KU Efficiencies'!E$12))</f>
        <v>42.170008300574835</v>
      </c>
      <c r="H28" s="227">
        <f>'KU Efficiencies'!F$54*'KU StructuralVars'!$R28*('KU Shares'!F28/'KU Efficiencies'!F28)/('KU Shares'!F$12/'KU Efficiencies'!F$12)</f>
        <v>2305.413503041545</v>
      </c>
      <c r="I28" s="227">
        <f>'KU Efficiencies'!G$54*'KU StructuralVars'!$R28*('KU Shares'!G28/'KU Efficiencies'!G28)/('KU Shares'!G$12/'KU Efficiencies'!G$12)</f>
        <v>785.61786102803512</v>
      </c>
      <c r="J28" s="227">
        <f>'KU Efficiencies'!H$54*'KU StructuralVars'!$R28*('KU Shares'!H28/'KU Efficiencies'!H28)/('KU Shares'!H$12/'KU Efficiencies'!H$12)</f>
        <v>98.553154334462235</v>
      </c>
      <c r="K28" s="227">
        <f>'KU Efficiencies'!I$54*'KU StructuralVars'!$R28*('KU Shares'!I28/'KU Efficiencies'!I28)/('KU Shares'!I$12/'KU Efficiencies'!I$12)</f>
        <v>290.31747617546728</v>
      </c>
      <c r="L28" s="227">
        <f>'KU Efficiencies'!J$54*('KU Shares'!J28/'KU Efficiencies'!J28)/('KU Shares'!J$12/'KU Efficiencies'!J$12)</f>
        <v>2293.7861030771487</v>
      </c>
      <c r="M28" s="227">
        <f>'KU Efficiencies'!K$54*('KU Shares'!K28/(1/'KU Efficiencies'!K28))/('KU Shares'!K$12/(1/'KU Efficiencies'!K$12))</f>
        <v>613.68248660281847</v>
      </c>
      <c r="N28" s="227">
        <f>'KU Efficiencies'!L$54*('KU Shares'!L28/(1/'KU Efficiencies'!L28))/('KU Shares'!L$12/(1/'KU Efficiencies'!L$12))</f>
        <v>585.05635404387829</v>
      </c>
      <c r="O28" s="227">
        <f>'KU Efficiencies'!M$54*('KU Shares'!M28/(1/'KU Efficiencies'!M28))/('KU Shares'!M$12/(1/'KU Efficiencies'!M$12))</f>
        <v>104.00074494133425</v>
      </c>
      <c r="P28" s="227">
        <f>'KU Efficiencies'!N$54*('KU Shares'!N28/(1/'KU Efficiencies'!N28))/('KU Shares'!N$12/(1/'KU Efficiencies'!N$12))</f>
        <v>274.58909045101058</v>
      </c>
      <c r="Q28" s="227">
        <f>'KU Efficiencies'!O$54*('KU Shares'!O28/(1/'KU Efficiencies'!O28))/('KU Shares'!O$12/(1/'KU Efficiencies'!O$12))</f>
        <v>241.40445367639933</v>
      </c>
      <c r="R28" s="283">
        <f>'KU Efficiencies'!P$54*('KU Shares'!P28/'KU Efficiencies'!P28)/('KU Shares'!P$12/'KU Efficiencies'!P$12)</f>
        <v>238.19853456845365</v>
      </c>
      <c r="S28" s="227">
        <f>'KU Efficiencies'!Q$54*('KU Shares'!Q28/(1/'KU Efficiencies'!Q28))/('KU Shares'!Q$12/(1/'KU Efficiencies'!Q$12))</f>
        <v>75.446932024384367</v>
      </c>
      <c r="T28" s="283">
        <f>'KU Efficiencies'!R$54*('KU Shares'!R28/'KU Efficiencies'!R28)/('KU Shares'!R$12/'KU Efficiencies'!R$12)</f>
        <v>171.83528547986555</v>
      </c>
      <c r="U28" s="227">
        <f>'KU Efficiencies'!S$54*('KU Shares'!S28/(1/'KU Efficiencies'!S28))/('KU Shares'!S$12/(1/'KU Efficiencies'!S$12))</f>
        <v>516.47847917680667</v>
      </c>
      <c r="V28" s="283">
        <f>'KU Efficiencies'!T$54*('KU Shares'!T28/'KU Efficiencies'!T28)/('KU Shares'!T$12/'KU Efficiencies'!T$12)</f>
        <v>513.31444073302453</v>
      </c>
      <c r="W28" s="227">
        <f>'KU Efficiencies'!U$54*('KU Shares'!U28/(1/'KU Efficiencies'!U28))/('KU Shares'!U$12/(1/'KU Efficiencies'!U$12))</f>
        <v>785.02969862992461</v>
      </c>
      <c r="X28" s="227">
        <f>'KU Efficiencies'!V$54*('KU Shares'!V28/(1/'KU Efficiencies'!V28))/('KU Shares'!V$12/(1/'KU Efficiencies'!V$12))</f>
        <v>251.04357167057768</v>
      </c>
      <c r="Y28" s="227">
        <f>'KU Efficiencies'!W$54*('KU Shares'!W28/(1/'KU Efficiencies'!W28))/('KU Shares'!W$12/(1/'KU Efficiencies'!W$12))</f>
        <v>1190.9081045694013</v>
      </c>
      <c r="Z28" s="227">
        <f>'KU Efficiencies'!X$54*('KU Shares'!X28/(1/'KU Efficiencies'!X28))/('KU Shares'!X$12/(1/'KU Efficiencies'!X$12))</f>
        <v>5843.2362727413247</v>
      </c>
      <c r="AA28" s="286">
        <f t="shared" si="29"/>
        <v>1.72890005187325E-2</v>
      </c>
      <c r="AB28" s="153">
        <f t="shared" si="30"/>
        <v>18710.157102442539</v>
      </c>
      <c r="AC28" s="198">
        <v>2021</v>
      </c>
      <c r="AD28" s="192">
        <f t="shared" si="8"/>
        <v>4.8243504816804457E-2</v>
      </c>
      <c r="AE28" s="192">
        <f t="shared" si="9"/>
        <v>2.7119759517833485E-2</v>
      </c>
      <c r="AF28" s="192">
        <f t="shared" si="10"/>
        <v>2.7904035322495334E-3</v>
      </c>
      <c r="AG28" s="192">
        <f t="shared" si="11"/>
        <v>2.2117959325678718E-3</v>
      </c>
      <c r="AH28" s="192">
        <f t="shared" si="12"/>
        <v>0.12091779002198656</v>
      </c>
      <c r="AI28" s="192">
        <f t="shared" si="13"/>
        <v>4.1205265533485642E-2</v>
      </c>
      <c r="AJ28" s="192">
        <f t="shared" si="14"/>
        <v>5.1690638603864338E-3</v>
      </c>
      <c r="AK28" s="192">
        <f t="shared" si="15"/>
        <v>1.5227007032614587E-2</v>
      </c>
      <c r="AL28" s="192">
        <f t="shared" si="16"/>
        <v>0.12030793868488732</v>
      </c>
      <c r="AM28" s="192">
        <f t="shared" si="17"/>
        <v>3.2187340777396739E-2</v>
      </c>
      <c r="AN28" s="192">
        <f t="shared" si="18"/>
        <v>3.0685914381942379E-2</v>
      </c>
      <c r="AO28" s="192">
        <f t="shared" si="19"/>
        <v>5.4547872745411849E-3</v>
      </c>
      <c r="AP28" s="192">
        <f t="shared" si="20"/>
        <v>1.4402061034898536E-2</v>
      </c>
      <c r="AQ28" s="192">
        <f t="shared" si="21"/>
        <v>1.2661543363697915E-2</v>
      </c>
      <c r="AR28" s="192">
        <f t="shared" si="22"/>
        <v>3.9571540082903736E-3</v>
      </c>
      <c r="AS28" s="192">
        <f t="shared" si="23"/>
        <v>2.7089039000415125E-2</v>
      </c>
      <c r="AT28" s="192">
        <f t="shared" si="24"/>
        <v>4.1174416708639368E-2</v>
      </c>
      <c r="AU28" s="192">
        <f t="shared" si="25"/>
        <v>1.3167110301724218E-2</v>
      </c>
      <c r="AV28" s="192">
        <f t="shared" si="26"/>
        <v>6.2462536952187647E-2</v>
      </c>
      <c r="AW28" s="192">
        <f t="shared" si="27"/>
        <v>0.30647483227804206</v>
      </c>
    </row>
    <row r="29" spans="1:49" x14ac:dyDescent="0.2">
      <c r="A29" s="198">
        <v>2022</v>
      </c>
      <c r="B29" s="226">
        <f t="shared" si="28"/>
        <v>1530.0690859651111</v>
      </c>
      <c r="C29" s="226">
        <f t="shared" si="4"/>
        <v>3486.179337424599</v>
      </c>
      <c r="D29" s="227">
        <f>'KU Efficiencies'!B$54*'KU StructuralVars'!$Q29*('KU Shares'!B29/'KU Efficiencies'!B29)/('KU Shares'!B$12/'KU Efficiencies'!B$12)</f>
        <v>912.32160269379801</v>
      </c>
      <c r="E29" s="227">
        <f>'KU Efficiencies'!C$54*'KU StructuralVars'!$Q29*('KU Shares'!C29/'KU Efficiencies'!C29)/('KU Shares'!C$12/'KU Efficiencies'!C$12)</f>
        <v>522.24204537778144</v>
      </c>
      <c r="F29" s="227">
        <f>'KU Efficiencies'!D$54*'KU StructuralVars'!$Q29*('KU Shares'!D29/'KU Efficiencies'!D29)/('KU Shares'!D$12/'KU Efficiencies'!D$12)</f>
        <v>55.021301308035156</v>
      </c>
      <c r="G29" s="227">
        <f>'KU Efficiencies'!E$54*'KU StructuralVars'!$Q29*('KU Shares'!E29/(1/'KU Efficiencies'!E29))/('KU Shares'!E$12/(1/'KU Efficiencies'!E$12))</f>
        <v>40.484136585496657</v>
      </c>
      <c r="H29" s="227">
        <f>'KU Efficiencies'!F$54*'KU StructuralVars'!$R29*('KU Shares'!F29/'KU Efficiencies'!F29)/('KU Shares'!F$12/'KU Efficiencies'!F$12)</f>
        <v>2295.7314867126643</v>
      </c>
      <c r="I29" s="227">
        <f>'KU Efficiencies'!G$54*'KU StructuralVars'!$R29*('KU Shares'!G29/'KU Efficiencies'!G29)/('KU Shares'!G$12/'KU Efficiencies'!G$12)</f>
        <v>800.11386011561433</v>
      </c>
      <c r="J29" s="227">
        <f>'KU Efficiencies'!H$54*'KU StructuralVars'!$R29*('KU Shares'!H29/'KU Efficiencies'!H29)/('KU Shares'!H$12/'KU Efficiencies'!H$12)</f>
        <v>102.32298864659303</v>
      </c>
      <c r="K29" s="227">
        <f>'KU Efficiencies'!I$54*'KU StructuralVars'!$R29*('KU Shares'!I29/'KU Efficiencies'!I29)/('KU Shares'!I$12/'KU Efficiencies'!I$12)</f>
        <v>288.01100194972747</v>
      </c>
      <c r="L29" s="227">
        <f>'KU Efficiencies'!J$54*('KU Shares'!J29/'KU Efficiencies'!J29)/('KU Shares'!J$12/'KU Efficiencies'!J$12)</f>
        <v>2284.6651765800134</v>
      </c>
      <c r="M29" s="227">
        <f>'KU Efficiencies'!K$54*('KU Shares'!K29/(1/'KU Efficiencies'!K29))/('KU Shares'!K$12/(1/'KU Efficiencies'!K$12))</f>
        <v>614.25144141614533</v>
      </c>
      <c r="N29" s="227">
        <f>'KU Efficiencies'!L$54*('KU Shares'!L29/(1/'KU Efficiencies'!L29))/('KU Shares'!L$12/(1/'KU Efficiencies'!L$12))</f>
        <v>581.93805999698759</v>
      </c>
      <c r="O29" s="227">
        <f>'KU Efficiencies'!M$54*('KU Shares'!M29/(1/'KU Efficiencies'!M29))/('KU Shares'!M$12/(1/'KU Efficiencies'!M$12))</f>
        <v>103.21435299283351</v>
      </c>
      <c r="P29" s="227">
        <f>'KU Efficiencies'!N$54*('KU Shares'!N29/(1/'KU Efficiencies'!N29))/('KU Shares'!N$12/(1/'KU Efficiencies'!N$12))</f>
        <v>272.17262134480353</v>
      </c>
      <c r="Q29" s="227">
        <f>'KU Efficiencies'!O$54*('KU Shares'!O29/(1/'KU Efficiencies'!O29))/('KU Shares'!O$12/(1/'KU Efficiencies'!O$12))</f>
        <v>238.70545155442701</v>
      </c>
      <c r="R29" s="283">
        <f>'KU Efficiencies'!P$54*('KU Shares'!P29/'KU Efficiencies'!P29)/('KU Shares'!P$12/'KU Efficiencies'!P$12)</f>
        <v>236.05908248411001</v>
      </c>
      <c r="S29" s="227">
        <f>'KU Efficiencies'!Q$54*('KU Shares'!Q29/(1/'KU Efficiencies'!Q29))/('KU Shares'!Q$12/(1/'KU Efficiencies'!Q$12))</f>
        <v>73.09044366384812</v>
      </c>
      <c r="T29" s="283">
        <f>'KU Efficiencies'!R$54*('KU Shares'!R29/'KU Efficiencies'!R29)/('KU Shares'!R$12/'KU Efficiencies'!R$12)</f>
        <v>177.38440469449756</v>
      </c>
      <c r="U29" s="227">
        <f>'KU Efficiencies'!S$54*('KU Shares'!S29/(1/'KU Efficiencies'!S29))/('KU Shares'!S$12/(1/'KU Efficiencies'!S$12))</f>
        <v>508.14621167725238</v>
      </c>
      <c r="V29" s="283">
        <f>'KU Efficiencies'!T$54*('KU Shares'!T29/'KU Efficiencies'!T29)/('KU Shares'!T$12/'KU Efficiencies'!T$12)</f>
        <v>505.02521538548433</v>
      </c>
      <c r="W29" s="227">
        <f>'KU Efficiencies'!U$54*('KU Shares'!U29/(1/'KU Efficiencies'!U29))/('KU Shares'!U$12/(1/'KU Efficiencies'!U$12))</f>
        <v>787.87866863641875</v>
      </c>
      <c r="X29" s="227">
        <f>'KU Efficiencies'!V$54*('KU Shares'!V29/(1/'KU Efficiencies'!V29))/('KU Shares'!V$12/(1/'KU Efficiencies'!V$12))</f>
        <v>247.95168769004783</v>
      </c>
      <c r="Y29" s="227">
        <f>'KU Efficiencies'!W$54*('KU Shares'!W29/(1/'KU Efficiencies'!W29))/('KU Shares'!W$12/(1/'KU Efficiencies'!W$12))</f>
        <v>1168.9136198859158</v>
      </c>
      <c r="Z29" s="227">
        <f>'KU Efficiencies'!X$54*('KU Shares'!X29/(1/'KU Efficiencies'!X29))/('KU Shares'!X$12/(1/'KU Efficiencies'!X$12))</f>
        <v>5953.5609952959539</v>
      </c>
      <c r="AA29" s="286">
        <f t="shared" si="29"/>
        <v>1.8880756725394354E-2</v>
      </c>
      <c r="AB29" s="153">
        <f t="shared" si="30"/>
        <v>18769.205856688452</v>
      </c>
      <c r="AC29" s="198">
        <v>2022</v>
      </c>
      <c r="AD29" s="192">
        <f t="shared" si="8"/>
        <v>4.7850813678982321E-2</v>
      </c>
      <c r="AE29" s="192">
        <f t="shared" si="9"/>
        <v>2.7391335177108737E-2</v>
      </c>
      <c r="AF29" s="192">
        <f t="shared" si="10"/>
        <v>2.8858398502151729E-3</v>
      </c>
      <c r="AG29" s="192">
        <f t="shared" si="11"/>
        <v>2.1233728007614143E-3</v>
      </c>
      <c r="AH29" s="192">
        <f t="shared" si="12"/>
        <v>0.12040997308767065</v>
      </c>
      <c r="AI29" s="192">
        <f t="shared" si="13"/>
        <v>4.1965573465888355E-2</v>
      </c>
      <c r="AJ29" s="192">
        <f t="shared" si="14"/>
        <v>5.3667897924895118E-3</v>
      </c>
      <c r="AK29" s="192">
        <f t="shared" si="15"/>
        <v>1.510603360821537E-2</v>
      </c>
      <c r="AL29" s="192">
        <f t="shared" si="16"/>
        <v>0.11982955063279535</v>
      </c>
      <c r="AM29" s="192">
        <f t="shared" si="17"/>
        <v>3.2217182173987453E-2</v>
      </c>
      <c r="AN29" s="192">
        <f t="shared" si="18"/>
        <v>3.0522361412251134E-2</v>
      </c>
      <c r="AO29" s="192">
        <f t="shared" si="19"/>
        <v>5.4135414085052912E-3</v>
      </c>
      <c r="AP29" s="192">
        <f t="shared" si="20"/>
        <v>1.4275318433801826E-2</v>
      </c>
      <c r="AQ29" s="192">
        <f t="shared" si="21"/>
        <v>1.251998204664005E-2</v>
      </c>
      <c r="AR29" s="192">
        <f t="shared" si="22"/>
        <v>3.8335573674306528E-3</v>
      </c>
      <c r="AS29" s="192">
        <f t="shared" si="23"/>
        <v>2.6652015719954202E-2</v>
      </c>
      <c r="AT29" s="192">
        <f t="shared" si="24"/>
        <v>4.132384376654881E-2</v>
      </c>
      <c r="AU29" s="192">
        <f t="shared" si="25"/>
        <v>1.3004942526860052E-2</v>
      </c>
      <c r="AV29" s="192">
        <f t="shared" si="26"/>
        <v>6.130893718490478E-2</v>
      </c>
      <c r="AW29" s="192">
        <f t="shared" si="27"/>
        <v>0.31226130902873983</v>
      </c>
    </row>
    <row r="30" spans="1:49" x14ac:dyDescent="0.2">
      <c r="A30" s="198">
        <v>2023</v>
      </c>
      <c r="B30" s="226">
        <f t="shared" si="28"/>
        <v>1527.7359858617349</v>
      </c>
      <c r="C30" s="226">
        <f t="shared" si="4"/>
        <v>3494.8649817371042</v>
      </c>
      <c r="D30" s="227">
        <f>'KU Efficiencies'!B$54*'KU StructuralVars'!$Q30*('KU Shares'!B30/'KU Efficiencies'!B30)/('KU Shares'!B$12/'KU Efficiencies'!B$12)</f>
        <v>904.62890528313017</v>
      </c>
      <c r="E30" s="227">
        <f>'KU Efficiencies'!C$54*'KU StructuralVars'!$Q30*('KU Shares'!C30/'KU Efficiencies'!C30)/('KU Shares'!C$12/'KU Efficiencies'!C$12)</f>
        <v>527.57457325111613</v>
      </c>
      <c r="F30" s="227">
        <f>'KU Efficiencies'!D$54*'KU StructuralVars'!$Q30*('KU Shares'!D30/'KU Efficiencies'!D30)/('KU Shares'!D$12/'KU Efficiencies'!D$12)</f>
        <v>56.682965063363511</v>
      </c>
      <c r="G30" s="227">
        <f>'KU Efficiencies'!E$54*'KU StructuralVars'!$Q30*('KU Shares'!E30/(1/'KU Efficiencies'!E30))/('KU Shares'!E$12/(1/'KU Efficiencies'!E$12))</f>
        <v>38.849542264125063</v>
      </c>
      <c r="H30" s="227">
        <f>'KU Efficiencies'!F$54*'KU StructuralVars'!$R30*('KU Shares'!F30/'KU Efficiencies'!F30)/('KU Shares'!F$12/'KU Efficiencies'!F$12)</f>
        <v>2288.3382446739847</v>
      </c>
      <c r="I30" s="227">
        <f>'KU Efficiencies'!G$54*'KU StructuralVars'!$R30*('KU Shares'!G30/'KU Efficiencies'!G30)/('KU Shares'!G$12/'KU Efficiencies'!G$12)</f>
        <v>814.9272693041238</v>
      </c>
      <c r="J30" s="227">
        <f>'KU Efficiencies'!H$54*'KU StructuralVars'!$R30*('KU Shares'!H30/'KU Efficiencies'!H30)/('KU Shares'!H$12/'KU Efficiencies'!H$12)</f>
        <v>105.81166279864445</v>
      </c>
      <c r="K30" s="227">
        <f>'KU Efficiencies'!I$54*'KU StructuralVars'!$R30*('KU Shares'!I30/'KU Efficiencies'!I30)/('KU Shares'!I$12/'KU Efficiencies'!I$12)</f>
        <v>285.78780496035102</v>
      </c>
      <c r="L30" s="227">
        <f>'KU Efficiencies'!J$54*('KU Shares'!J30/'KU Efficiencies'!J30)/('KU Shares'!J$12/'KU Efficiencies'!J$12)</f>
        <v>2275.8735014157064</v>
      </c>
      <c r="M30" s="227">
        <f>'KU Efficiencies'!K$54*('KU Shares'!K30/(1/'KU Efficiencies'!K30))/('KU Shares'!K$12/(1/'KU Efficiencies'!K$12))</f>
        <v>614.82661995753813</v>
      </c>
      <c r="N30" s="227">
        <f>'KU Efficiencies'!L$54*('KU Shares'!L30/(1/'KU Efficiencies'!L30))/('KU Shares'!L$12/(1/'KU Efficiencies'!L$12))</f>
        <v>579.23243156263243</v>
      </c>
      <c r="O30" s="227">
        <f>'KU Efficiencies'!M$54*('KU Shares'!M30/(1/'KU Efficiencies'!M30))/('KU Shares'!M$12/(1/'KU Efficiencies'!M$12))</f>
        <v>102.54663976455659</v>
      </c>
      <c r="P30" s="227">
        <f>'KU Efficiencies'!N$54*('KU Shares'!N30/(1/'KU Efficiencies'!N30))/('KU Shares'!N$12/(1/'KU Efficiencies'!N$12))</f>
        <v>269.86806249790607</v>
      </c>
      <c r="Q30" s="227">
        <f>'KU Efficiencies'!O$54*('KU Shares'!O30/(1/'KU Efficiencies'!O30))/('KU Shares'!O$12/(1/'KU Efficiencies'!O$12))</f>
        <v>236.22748545940237</v>
      </c>
      <c r="R30" s="283">
        <f>'KU Efficiencies'!P$54*('KU Shares'!P30/'KU Efficiencies'!P30)/('KU Shares'!P$12/'KU Efficiencies'!P$12)</f>
        <v>234.07975033053472</v>
      </c>
      <c r="S30" s="227">
        <f>'KU Efficiencies'!Q$54*('KU Shares'!Q30/(1/'KU Efficiencies'!Q30))/('KU Shares'!Q$12/(1/'KU Efficiencies'!Q$12))</f>
        <v>71.106963714814754</v>
      </c>
      <c r="T30" s="283">
        <f>'KU Efficiencies'!R$54*('KU Shares'!R30/'KU Efficiencies'!R30)/('KU Shares'!R$12/'KU Efficiencies'!R$12)</f>
        <v>182.37096165036732</v>
      </c>
      <c r="U30" s="227">
        <f>'KU Efficiencies'!S$54*('KU Shares'!S30/(1/'KU Efficiencies'!S30))/('KU Shares'!S$12/(1/'KU Efficiencies'!S$12))</f>
        <v>500.40864918966582</v>
      </c>
      <c r="V30" s="283">
        <f>'KU Efficiencies'!T$54*('KU Shares'!T30/'KU Efficiencies'!T30)/('KU Shares'!T$12/'KU Efficiencies'!T$12)</f>
        <v>497.185724921619</v>
      </c>
      <c r="W30" s="227">
        <f>'KU Efficiencies'!U$54*('KU Shares'!U30/(1/'KU Efficiencies'!U30))/('KU Shares'!U$12/(1/'KU Efficiencies'!U$12))</f>
        <v>791.50229891177992</v>
      </c>
      <c r="X30" s="227">
        <f>'KU Efficiencies'!V$54*('KU Shares'!V30/(1/'KU Efficiencies'!V30))/('KU Shares'!V$12/(1/'KU Efficiencies'!V$12))</f>
        <v>243.70358327595437</v>
      </c>
      <c r="Y30" s="227">
        <f>'KU Efficiencies'!W$54*('KU Shares'!W30/(1/'KU Efficiencies'!W30))/('KU Shares'!W$12/(1/'KU Efficiencies'!W$12))</f>
        <v>1151.5081740756818</v>
      </c>
      <c r="Z30" s="227">
        <f>'KU Efficiencies'!X$54*('KU Shares'!X30/(1/'KU Efficiencies'!X30))/('KU Shares'!X$12/(1/'KU Efficiencies'!X$12))</f>
        <v>6067.353117244108</v>
      </c>
      <c r="AA30" s="286">
        <f t="shared" si="29"/>
        <v>1.9113287331407935E-2</v>
      </c>
      <c r="AB30" s="153">
        <f t="shared" si="30"/>
        <v>18840.394931571103</v>
      </c>
      <c r="AC30" s="198">
        <v>2023</v>
      </c>
      <c r="AD30" s="192">
        <f t="shared" si="8"/>
        <v>4.7447335531145232E-2</v>
      </c>
      <c r="AE30" s="192">
        <f t="shared" si="9"/>
        <v>2.7671023608196517E-2</v>
      </c>
      <c r="AF30" s="192">
        <f t="shared" si="10"/>
        <v>2.9729932865895409E-3</v>
      </c>
      <c r="AG30" s="192">
        <f t="shared" si="11"/>
        <v>2.0376391427161314E-3</v>
      </c>
      <c r="AH30" s="192">
        <f t="shared" si="12"/>
        <v>0.12002220122495043</v>
      </c>
      <c r="AI30" s="192">
        <f t="shared" si="13"/>
        <v>4.274252939999857E-2</v>
      </c>
      <c r="AJ30" s="192">
        <f t="shared" si="14"/>
        <v>5.5497690142284079E-3</v>
      </c>
      <c r="AK30" s="192">
        <f t="shared" si="15"/>
        <v>1.4989428033387136E-2</v>
      </c>
      <c r="AL30" s="192">
        <f t="shared" si="16"/>
        <v>0.1193684316491264</v>
      </c>
      <c r="AM30" s="192">
        <f t="shared" si="17"/>
        <v>3.22473500020155E-2</v>
      </c>
      <c r="AN30" s="192">
        <f t="shared" si="18"/>
        <v>3.0380452548409025E-2</v>
      </c>
      <c r="AO30" s="192">
        <f t="shared" si="19"/>
        <v>5.3785201822371302E-3</v>
      </c>
      <c r="AP30" s="192">
        <f t="shared" si="20"/>
        <v>1.4154445470068935E-2</v>
      </c>
      <c r="AQ30" s="192">
        <f t="shared" si="21"/>
        <v>1.239001395910847E-2</v>
      </c>
      <c r="AR30" s="192">
        <f t="shared" si="22"/>
        <v>3.7295248319772008E-3</v>
      </c>
      <c r="AS30" s="192">
        <f t="shared" si="23"/>
        <v>2.6246184421177803E-2</v>
      </c>
      <c r="AT30" s="192">
        <f t="shared" si="24"/>
        <v>4.1513901369740328E-2</v>
      </c>
      <c r="AU30" s="192">
        <f t="shared" si="25"/>
        <v>1.2782131566111736E-2</v>
      </c>
      <c r="AV30" s="192">
        <f t="shared" si="26"/>
        <v>6.039603022095047E-2</v>
      </c>
      <c r="AW30" s="192">
        <f t="shared" si="27"/>
        <v>0.31822964915068763</v>
      </c>
    </row>
    <row r="31" spans="1:49" x14ac:dyDescent="0.2">
      <c r="A31" s="198">
        <v>2024</v>
      </c>
      <c r="B31" s="226">
        <f t="shared" si="28"/>
        <v>1525.5413778845234</v>
      </c>
      <c r="C31" s="226">
        <f t="shared" si="4"/>
        <v>3506.0114991647529</v>
      </c>
      <c r="D31" s="227">
        <f>'KU Efficiencies'!B$54*'KU StructuralVars'!$Q31*('KU Shares'!B31/'KU Efficiencies'!B31)/('KU Shares'!B$12/'KU Efficiencies'!B$12)</f>
        <v>896.92034882541498</v>
      </c>
      <c r="E31" s="227">
        <f>'KU Efficiencies'!C$54*'KU StructuralVars'!$Q31*('KU Shares'!C31/'KU Efficiencies'!C31)/('KU Shares'!C$12/'KU Efficiencies'!C$12)</f>
        <v>533.14726903734652</v>
      </c>
      <c r="F31" s="227">
        <f>'KU Efficiencies'!D$54*'KU StructuralVars'!$Q31*('KU Shares'!D31/'KU Efficiencies'!D31)/('KU Shares'!D$12/'KU Efficiencies'!D$12)</f>
        <v>58.21580126313966</v>
      </c>
      <c r="G31" s="227">
        <f>'KU Efficiencies'!E$54*'KU StructuralVars'!$Q31*('KU Shares'!E31/(1/'KU Efficiencies'!E31))/('KU Shares'!E$12/(1/'KU Efficiencies'!E$12))</f>
        <v>37.257958758622486</v>
      </c>
      <c r="H31" s="227">
        <f>'KU Efficiencies'!F$54*'KU StructuralVars'!$R31*('KU Shares'!F31/'KU Efficiencies'!F31)/('KU Shares'!F$12/'KU Efficiencies'!F$12)</f>
        <v>2283.0616585694743</v>
      </c>
      <c r="I31" s="227">
        <f>'KU Efficiencies'!G$54*'KU StructuralVars'!$R31*('KU Shares'!G31/'KU Efficiencies'!G31)/('KU Shares'!G$12/'KU Efficiencies'!G$12)</f>
        <v>830.14698824779305</v>
      </c>
      <c r="J31" s="227">
        <f>'KU Efficiencies'!H$54*'KU StructuralVars'!$R31*('KU Shares'!H31/'KU Efficiencies'!H31)/('KU Shares'!H$12/'KU Efficiencies'!H$12)</f>
        <v>109.06531334223997</v>
      </c>
      <c r="K31" s="227">
        <f>'KU Efficiencies'!I$54*'KU StructuralVars'!$R31*('KU Shares'!I31/'KU Efficiencies'!I31)/('KU Shares'!I$12/'KU Efficiencies'!I$12)</f>
        <v>283.73753900524537</v>
      </c>
      <c r="L31" s="227">
        <f>'KU Efficiencies'!J$54*('KU Shares'!J31/'KU Efficiencies'!J31)/('KU Shares'!J$12/'KU Efficiencies'!J$12)</f>
        <v>2267.4006861623916</v>
      </c>
      <c r="M31" s="227">
        <f>'KU Efficiencies'!K$54*('KU Shares'!K31/(1/'KU Efficiencies'!K31))/('KU Shares'!K$12/(1/'KU Efficiencies'!K$12))</f>
        <v>615.34196754499203</v>
      </c>
      <c r="N31" s="227">
        <f>'KU Efficiencies'!L$54*('KU Shares'!L31/(1/'KU Efficiencies'!L31))/('KU Shares'!L$12/(1/'KU Efficiencies'!L$12))</f>
        <v>576.94255574684121</v>
      </c>
      <c r="O31" s="227">
        <f>'KU Efficiencies'!M$54*('KU Shares'!M31/(1/'KU Efficiencies'!M31))/('KU Shares'!M$12/(1/'KU Efficiencies'!M$12))</f>
        <v>101.98632707878008</v>
      </c>
      <c r="P31" s="227">
        <f>'KU Efficiencies'!N$54*('KU Shares'!N31/(1/'KU Efficiencies'!N31))/('KU Shares'!N$12/(1/'KU Efficiencies'!N$12))</f>
        <v>267.63192064390324</v>
      </c>
      <c r="Q31" s="227">
        <f>'KU Efficiencies'!O$54*('KU Shares'!O31/(1/'KU Efficiencies'!O31))/('KU Shares'!O$12/(1/'KU Efficiencies'!O$12))</f>
        <v>233.94725984073747</v>
      </c>
      <c r="R31" s="283">
        <f>'KU Efficiencies'!P$54*('KU Shares'!P31/'KU Efficiencies'!P31)/('KU Shares'!P$12/'KU Efficiencies'!P$12)</f>
        <v>232.19397080123287</v>
      </c>
      <c r="S31" s="227">
        <f>'KU Efficiencies'!Q$54*('KU Shares'!Q31/(1/'KU Efficiencies'!Q31))/('KU Shares'!Q$12/(1/'KU Efficiencies'!Q$12))</f>
        <v>69.244582004629507</v>
      </c>
      <c r="T31" s="283">
        <f>'KU Efficiencies'!R$54*('KU Shares'!R31/'KU Efficiencies'!R31)/('KU Shares'!R$12/'KU Efficiencies'!R$12)</f>
        <v>187.38313821593556</v>
      </c>
      <c r="U31" s="227">
        <f>'KU Efficiencies'!S$54*('KU Shares'!S31/(1/'KU Efficiencies'!S31))/('KU Shares'!S$12/(1/'KU Efficiencies'!S$12))</f>
        <v>492.90997695494036</v>
      </c>
      <c r="V31" s="283">
        <f>'KU Efficiencies'!T$54*('KU Shares'!T31/'KU Efficiencies'!T31)/('KU Shares'!T$12/'KU Efficiencies'!T$12)</f>
        <v>489.63488564231</v>
      </c>
      <c r="W31" s="227">
        <f>'KU Efficiencies'!U$54*('KU Shares'!U31/(1/'KU Efficiencies'!U31))/('KU Shares'!U$12/(1/'KU Efficiencies'!U$12))</f>
        <v>795.47179068203002</v>
      </c>
      <c r="X31" s="227">
        <f>'KU Efficiencies'!V$54*('KU Shares'!V31/(1/'KU Efficiencies'!V31))/('KU Shares'!V$12/(1/'KU Efficiencies'!V$12))</f>
        <v>239.88786914477984</v>
      </c>
      <c r="Y31" s="227">
        <f>'KU Efficiencies'!W$54*('KU Shares'!W31/(1/'KU Efficiencies'!W31))/('KU Shares'!W$12/(1/'KU Efficiencies'!W$12))</f>
        <v>1136.7273452200893</v>
      </c>
      <c r="Z31" s="227">
        <f>'KU Efficiencies'!X$54*('KU Shares'!X31/(1/'KU Efficiencies'!X31))/('KU Shares'!X$12/(1/'KU Efficiencies'!X$12))</f>
        <v>6185.3192897158742</v>
      </c>
      <c r="AA31" s="286">
        <f t="shared" si="29"/>
        <v>1.9442773511318068E-2</v>
      </c>
      <c r="AB31" s="153">
        <f>SUM(D31:Z31)</f>
        <v>18923.576442448742</v>
      </c>
      <c r="AC31" s="198">
        <v>2024</v>
      </c>
      <c r="AD31" s="192">
        <f t="shared" si="8"/>
        <v>4.7043025584189123E-2</v>
      </c>
      <c r="AE31" s="192">
        <f t="shared" si="9"/>
        <v>2.7963308726699908E-2</v>
      </c>
      <c r="AF31" s="192">
        <f t="shared" si="10"/>
        <v>3.0533897818378346E-3</v>
      </c>
      <c r="AG31" s="192">
        <f t="shared" si="11"/>
        <v>1.9541613805416163E-3</v>
      </c>
      <c r="AH31" s="192">
        <f t="shared" si="12"/>
        <v>0.11974544691177565</v>
      </c>
      <c r="AI31" s="192">
        <f t="shared" si="13"/>
        <v>4.3540796078404109E-2</v>
      </c>
      <c r="AJ31" s="192">
        <f t="shared" si="14"/>
        <v>5.7204213647574385E-3</v>
      </c>
      <c r="AK31" s="192">
        <f t="shared" si="15"/>
        <v>1.4881892605178002E-2</v>
      </c>
      <c r="AL31" s="192">
        <f t="shared" si="16"/>
        <v>0.11892403670898062</v>
      </c>
      <c r="AM31" s="192">
        <f t="shared" si="17"/>
        <v>3.227437972630829E-2</v>
      </c>
      <c r="AN31" s="192">
        <f t="shared" si="18"/>
        <v>3.0260349702344765E-2</v>
      </c>
      <c r="AO31" s="192">
        <f t="shared" si="19"/>
        <v>5.3491320609322128E-3</v>
      </c>
      <c r="AP31" s="192">
        <f t="shared" si="20"/>
        <v>1.4037160943538244E-2</v>
      </c>
      <c r="AQ31" s="192">
        <f t="shared" si="21"/>
        <v>1.2270417261077199E-2</v>
      </c>
      <c r="AR31" s="192">
        <f t="shared" si="22"/>
        <v>3.6318438388382836E-3</v>
      </c>
      <c r="AS31" s="192">
        <f t="shared" si="23"/>
        <v>2.5852882797184541E-2</v>
      </c>
      <c r="AT31" s="192">
        <f t="shared" si="24"/>
        <v>4.172209923608225E-2</v>
      </c>
      <c r="AU31" s="192">
        <f t="shared" si="25"/>
        <v>1.2581999260350285E-2</v>
      </c>
      <c r="AV31" s="192">
        <f t="shared" si="26"/>
        <v>5.9620783109075093E-2</v>
      </c>
      <c r="AW31" s="192">
        <f t="shared" si="27"/>
        <v>0.32441691614371065</v>
      </c>
    </row>
    <row r="32" spans="1:49" x14ac:dyDescent="0.2">
      <c r="A32" s="198">
        <v>2025</v>
      </c>
      <c r="B32" s="226">
        <f t="shared" si="28"/>
        <v>1523.3034112227726</v>
      </c>
      <c r="C32" s="226">
        <f t="shared" si="4"/>
        <v>3518.6469633708498</v>
      </c>
      <c r="D32" s="227">
        <f>'KU Efficiencies'!B$54*'KU StructuralVars'!$Q32*('KU Shares'!B32/'KU Efficiencies'!B32)/('KU Shares'!B$12/'KU Efficiencies'!B$12)</f>
        <v>889.17868968288622</v>
      </c>
      <c r="E32" s="227">
        <f>'KU Efficiencies'!C$54*'KU StructuralVars'!$Q32*('KU Shares'!C32/'KU Efficiencies'!C32)/('KU Shares'!C$12/'KU Efficiencies'!C$12)</f>
        <v>538.82166236093087</v>
      </c>
      <c r="F32" s="227">
        <f>'KU Efficiencies'!D$54*'KU StructuralVars'!$Q32*('KU Shares'!D32/'KU Efficiencies'!D32)/('KU Shares'!D$12/'KU Efficiencies'!D$12)</f>
        <v>59.597511837284294</v>
      </c>
      <c r="G32" s="227">
        <f>'KU Efficiencies'!E$54*'KU StructuralVars'!$Q32*('KU Shares'!E32/(1/'KU Efficiencies'!E32))/('KU Shares'!E$12/(1/'KU Efficiencies'!E$12))</f>
        <v>35.705547341670936</v>
      </c>
      <c r="H32" s="227">
        <f>'KU Efficiencies'!F$54*'KU StructuralVars'!$R32*('KU Shares'!F32/'KU Efficiencies'!F32)/('KU Shares'!F$12/'KU Efficiencies'!F$12)</f>
        <v>2279.2302496874113</v>
      </c>
      <c r="I32" s="227">
        <f>'KU Efficiencies'!G$54*'KU StructuralVars'!$R32*('KU Shares'!G32/'KU Efficiencies'!G32)/('KU Shares'!G$12/'KU Efficiencies'!G$12)</f>
        <v>845.54094225478752</v>
      </c>
      <c r="J32" s="227">
        <f>'KU Efficiencies'!H$54*'KU StructuralVars'!$R32*('KU Shares'!H32/'KU Efficiencies'!H32)/('KU Shares'!H$12/'KU Efficiencies'!H$12)</f>
        <v>112.03634583317073</v>
      </c>
      <c r="K32" s="227">
        <f>'KU Efficiencies'!I$54*'KU StructuralVars'!$R32*('KU Shares'!I32/'KU Efficiencies'!I32)/('KU Shares'!I$12/'KU Efficiencies'!I$12)</f>
        <v>281.83942559547984</v>
      </c>
      <c r="L32" s="227">
        <f>'KU Efficiencies'!J$54*('KU Shares'!J32/'KU Efficiencies'!J32)/('KU Shares'!J$12/'KU Efficiencies'!J$12)</f>
        <v>2259.4424476995164</v>
      </c>
      <c r="M32" s="227">
        <f>'KU Efficiencies'!K$54*('KU Shares'!K32/(1/'KU Efficiencies'!K32))/('KU Shares'!K$12/(1/'KU Efficiencies'!K$12))</f>
        <v>615.78574378330757</v>
      </c>
      <c r="N32" s="227">
        <f>'KU Efficiencies'!L$54*('KU Shares'!L32/(1/'KU Efficiencies'!L32))/('KU Shares'!L$12/(1/'KU Efficiencies'!L$12))</f>
        <v>575.07235132209826</v>
      </c>
      <c r="O32" s="227">
        <f>'KU Efficiencies'!M$54*('KU Shares'!M32/(1/'KU Efficiencies'!M32))/('KU Shares'!M$12/(1/'KU Efficiencies'!M$12))</f>
        <v>101.52197907375911</v>
      </c>
      <c r="P32" s="227">
        <f>'KU Efficiencies'!N$54*('KU Shares'!N32/(1/'KU Efficiencies'!N32))/('KU Shares'!N$12/(1/'KU Efficiencies'!N$12))</f>
        <v>265.3397334345222</v>
      </c>
      <c r="Q32" s="227">
        <f>'KU Efficiencies'!O$54*('KU Shares'!O32/(1/'KU Efficiencies'!O32))/('KU Shares'!O$12/(1/'KU Efficiencies'!O$12))</f>
        <v>232.57168856868327</v>
      </c>
      <c r="R32" s="283">
        <f>'KU Efficiencies'!P$54*('KU Shares'!P32/'KU Efficiencies'!P32)/('KU Shares'!P$12/'KU Efficiencies'!P$12)</f>
        <v>231.09408325312648</v>
      </c>
      <c r="S32" s="227">
        <f>'KU Efficiencies'!Q$54*('KU Shares'!Q32/(1/'KU Efficiencies'!Q32))/('KU Shares'!Q$12/(1/'KU Efficiencies'!Q$12))</f>
        <v>67.422608634959431</v>
      </c>
      <c r="T32" s="283">
        <f>'KU Efficiencies'!R$54*('KU Shares'!R32/'KU Efficiencies'!R32)/('KU Shares'!R$12/'KU Efficiencies'!R$12)</f>
        <v>192.5296262079776</v>
      </c>
      <c r="U32" s="227">
        <f>'KU Efficiencies'!S$54*('KU Shares'!S32/(1/'KU Efficiencies'!S32))/('KU Shares'!S$12/(1/'KU Efficiencies'!S$12))</f>
        <v>485.86476432674567</v>
      </c>
      <c r="V32" s="283">
        <f>'KU Efficiencies'!T$54*('KU Shares'!T32/'KU Efficiencies'!T32)/('KU Shares'!T$12/'KU Efficiencies'!T$12)</f>
        <v>482.56364592131769</v>
      </c>
      <c r="W32" s="227">
        <f>'KU Efficiencies'!U$54*('KU Shares'!U32/(1/'KU Efficiencies'!U32))/('KU Shares'!U$12/(1/'KU Efficiencies'!U$12))</f>
        <v>799.62171395288271</v>
      </c>
      <c r="X32" s="227">
        <f>'KU Efficiencies'!V$54*('KU Shares'!V32/(1/'KU Efficiencies'!V32))/('KU Shares'!V$12/(1/'KU Efficiencies'!V$12))</f>
        <v>236.27984320911676</v>
      </c>
      <c r="Y32" s="227">
        <f>'KU Efficiencies'!W$54*('KU Shares'!W32/(1/'KU Efficiencies'!W32))/('KU Shares'!W$12/(1/'KU Efficiencies'!W$12))</f>
        <v>1123.7507872972535</v>
      </c>
      <c r="Z32" s="227">
        <f>'KU Efficiencies'!X$54*('KU Shares'!X32/(1/'KU Efficiencies'!X32))/('KU Shares'!X$12/(1/'KU Efficiencies'!X$12))</f>
        <v>6309.611994470235</v>
      </c>
      <c r="AA32" s="286">
        <f t="shared" si="29"/>
        <v>2.0094792028120256E-2</v>
      </c>
      <c r="AB32" s="153">
        <f>SUM(D32:Z32)</f>
        <v>19020.423385749124</v>
      </c>
      <c r="AC32" s="198">
        <v>2025</v>
      </c>
      <c r="AD32" s="192">
        <f t="shared" si="8"/>
        <v>4.6636979417901347E-2</v>
      </c>
      <c r="AE32" s="192">
        <f t="shared" si="9"/>
        <v>2.8260927830386997E-2</v>
      </c>
      <c r="AF32" s="192">
        <f t="shared" si="10"/>
        <v>3.1258598132899618E-3</v>
      </c>
      <c r="AG32" s="192">
        <f t="shared" si="11"/>
        <v>1.8727381749019207E-3</v>
      </c>
      <c r="AH32" s="192">
        <f t="shared" si="12"/>
        <v>0.11954449142414689</v>
      </c>
      <c r="AI32" s="192">
        <f t="shared" si="13"/>
        <v>4.4348201299103183E-2</v>
      </c>
      <c r="AJ32" s="192">
        <f t="shared" si="14"/>
        <v>5.8762505391822886E-3</v>
      </c>
      <c r="AK32" s="192">
        <f t="shared" si="15"/>
        <v>1.4782337502192293E-2</v>
      </c>
      <c r="AL32" s="192">
        <f t="shared" si="16"/>
        <v>0.11850663106520813</v>
      </c>
      <c r="AM32" s="192">
        <f t="shared" si="17"/>
        <v>3.2297655568984923E-2</v>
      </c>
      <c r="AN32" s="192">
        <f t="shared" si="18"/>
        <v>3.0162258411723406E-2</v>
      </c>
      <c r="AO32" s="192">
        <f t="shared" si="19"/>
        <v>5.3247772393376584E-3</v>
      </c>
      <c r="AP32" s="192">
        <f t="shared" si="20"/>
        <v>1.3916936866031387E-2</v>
      </c>
      <c r="AQ32" s="192">
        <f t="shared" si="21"/>
        <v>1.2198269232962031E-2</v>
      </c>
      <c r="AR32" s="192">
        <f t="shared" si="22"/>
        <v>3.5362822430339896E-3</v>
      </c>
      <c r="AS32" s="192">
        <f t="shared" si="23"/>
        <v>2.5483364903707999E-2</v>
      </c>
      <c r="AT32" s="192">
        <f t="shared" si="24"/>
        <v>4.1939760644766767E-2</v>
      </c>
      <c r="AU32" s="192">
        <f t="shared" si="25"/>
        <v>1.2392760097004182E-2</v>
      </c>
      <c r="AV32" s="192">
        <f t="shared" si="26"/>
        <v>5.8940169109004611E-2</v>
      </c>
      <c r="AW32" s="192">
        <f t="shared" si="27"/>
        <v>0.33093600660402261</v>
      </c>
    </row>
    <row r="33" spans="1:49" x14ac:dyDescent="0.2">
      <c r="A33" s="198">
        <f t="shared" ref="A33:A50" si="31">A32+1</f>
        <v>2026</v>
      </c>
      <c r="B33" s="226">
        <f t="shared" si="28"/>
        <v>1520.9566894715365</v>
      </c>
      <c r="C33" s="226">
        <f t="shared" si="4"/>
        <v>3532.6421780639357</v>
      </c>
      <c r="D33" s="227">
        <f>'KU Efficiencies'!B$54*'KU StructuralVars'!$Q33*('KU Shares'!B33/'KU Efficiencies'!B33)/('KU Shares'!B$12/'KU Efficiencies'!B$12)</f>
        <v>881.53078208707609</v>
      </c>
      <c r="E33" s="227">
        <f>'KU Efficiencies'!C$54*'KU StructuralVars'!$Q33*('KU Shares'!C33/'KU Efficiencies'!C33)/('KU Shares'!C$12/'KU Efficiencies'!C$12)</f>
        <v>544.419317153272</v>
      </c>
      <c r="F33" s="227">
        <f>'KU Efficiencies'!D$54*'KU StructuralVars'!$Q33*('KU Shares'!D33/'KU Efficiencies'!D33)/('KU Shares'!D$12/'KU Efficiencies'!D$12)</f>
        <v>60.804302419077125</v>
      </c>
      <c r="G33" s="227">
        <f>'KU Efficiencies'!E$54*'KU StructuralVars'!$Q33*('KU Shares'!E33/(1/'KU Efficiencies'!E33))/('KU Shares'!E$12/(1/'KU Efficiencies'!E$12))</f>
        <v>34.202287812111138</v>
      </c>
      <c r="H33" s="227">
        <f>'KU Efficiencies'!F$54*'KU StructuralVars'!$R33*('KU Shares'!F33/'KU Efficiencies'!F33)/('KU Shares'!F$12/'KU Efficiencies'!F$12)</f>
        <v>2276.9239557707228</v>
      </c>
      <c r="I33" s="227">
        <f>'KU Efficiencies'!G$54*'KU StructuralVars'!$R33*('KU Shares'!G33/'KU Efficiencies'!G33)/('KU Shares'!G$12/'KU Efficiencies'!G$12)</f>
        <v>860.91750494598557</v>
      </c>
      <c r="J33" s="227">
        <f>'KU Efficiencies'!H$54*'KU StructuralVars'!$R33*('KU Shares'!H33/'KU Efficiencies'!H33)/('KU Shares'!H$12/'KU Efficiencies'!H$12)</f>
        <v>114.69190641806959</v>
      </c>
      <c r="K33" s="227">
        <f>'KU Efficiencies'!I$54*'KU StructuralVars'!$R33*('KU Shares'!I33/'KU Efficiencies'!I33)/('KU Shares'!I$12/'KU Efficiencies'!I$12)</f>
        <v>280.10881092915787</v>
      </c>
      <c r="L33" s="227">
        <f>'KU Efficiencies'!J$54*('KU Shares'!J33/'KU Efficiencies'!J33)/('KU Shares'!J$12/'KU Efficiencies'!J$12)</f>
        <v>2252.5685436612594</v>
      </c>
      <c r="M33" s="227">
        <f>'KU Efficiencies'!K$54*('KU Shares'!K33/(1/'KU Efficiencies'!K33))/('KU Shares'!K$12/(1/'KU Efficiencies'!K$12))</f>
        <v>616.16140940694027</v>
      </c>
      <c r="N33" s="227">
        <f>'KU Efficiencies'!L$54*('KU Shares'!L33/(1/'KU Efficiencies'!L33))/('KU Shares'!L$12/(1/'KU Efficiencies'!L$12))</f>
        <v>573.64285235436159</v>
      </c>
      <c r="O33" s="227">
        <f>'KU Efficiencies'!M$54*('KU Shares'!M33/(1/'KU Efficiencies'!M33))/('KU Shares'!M$12/(1/'KU Efficiencies'!M$12))</f>
        <v>101.14431090926981</v>
      </c>
      <c r="P33" s="227">
        <f>'KU Efficiencies'!N$54*('KU Shares'!N33/(1/'KU Efficiencies'!N33))/('KU Shares'!N$12/(1/'KU Efficiencies'!N$12))</f>
        <v>263.13918608258513</v>
      </c>
      <c r="Q33" s="227">
        <f>'KU Efficiencies'!O$54*('KU Shares'!O33/(1/'KU Efficiencies'!O33))/('KU Shares'!O$12/(1/'KU Efficiencies'!O$12))</f>
        <v>232.12453531473099</v>
      </c>
      <c r="R33" s="283">
        <f>'KU Efficiencies'!P$54*('KU Shares'!P33/'KU Efficiencies'!P33)/('KU Shares'!P$12/'KU Efficiencies'!P$12)</f>
        <v>230.85011393557176</v>
      </c>
      <c r="S33" s="264">
        <f>'KU Efficiencies'!Q$54*('KU Shares'!Q33/(1/'KU Efficiencies'!Q33))/('KU Shares'!Q$12/(1/'KU Efficiencies'!Q$12))</f>
        <v>65.640863465269703</v>
      </c>
      <c r="T33" s="283">
        <f>'KU Efficiencies'!R$54*('KU Shares'!R33/'KU Efficiencies'!R33)/('KU Shares'!R$12/'KU Efficiencies'!R$12)</f>
        <v>197.88767918177862</v>
      </c>
      <c r="U33" s="227">
        <f>'KU Efficiencies'!S$54*('KU Shares'!S33/(1/'KU Efficiencies'!S33))/('KU Shares'!S$12/(1/'KU Efficiencies'!S$12))</f>
        <v>479.21870518011889</v>
      </c>
      <c r="V33" s="283">
        <f>'KU Efficiencies'!T$54*('KU Shares'!T33/'KU Efficiencies'!T33)/('KU Shares'!T$12/'KU Efficiencies'!T$12)</f>
        <v>475.70583801187314</v>
      </c>
      <c r="W33" s="227">
        <f>'KU Efficiencies'!U$54*('KU Shares'!U33/(1/'KU Efficiencies'!U33))/('KU Shares'!U$12/(1/'KU Efficiencies'!U$12))</f>
        <v>804.01732039148385</v>
      </c>
      <c r="X33" s="227">
        <f>'KU Efficiencies'!V$54*('KU Shares'!V33/(1/'KU Efficiencies'!V33))/('KU Shares'!V$12/(1/'KU Efficiencies'!V$12))</f>
        <v>231.74872423997607</v>
      </c>
      <c r="Y33" s="227">
        <f>'KU Efficiencies'!W$54*('KU Shares'!W33/(1/'KU Efficiencies'!W33))/('KU Shares'!W$12/(1/'KU Efficiencies'!W$12))</f>
        <v>1112.1648571325104</v>
      </c>
      <c r="Z33" s="227">
        <f>'KU Efficiencies'!X$54*('KU Shares'!X33/(1/'KU Efficiencies'!X33))/('KU Shares'!X$12/(1/'KU Efficiencies'!X$12))</f>
        <v>6426.869311762347</v>
      </c>
      <c r="AA33" s="286">
        <f t="shared" si="29"/>
        <v>1.8583918851884595E-2</v>
      </c>
      <c r="AB33" s="153">
        <f t="shared" ref="AB33:AB43" si="32">SUM(D33:Z33)</f>
        <v>19116.483118565549</v>
      </c>
      <c r="AC33" s="198">
        <f t="shared" ref="AC33:AC50" si="33">AC32+1</f>
        <v>2026</v>
      </c>
      <c r="AD33" s="192">
        <f t="shared" si="8"/>
        <v>4.6235850473545954E-2</v>
      </c>
      <c r="AE33" s="192">
        <f t="shared" si="9"/>
        <v>2.8554522036330049E-2</v>
      </c>
      <c r="AF33" s="192">
        <f t="shared" si="10"/>
        <v>3.1891553782622413E-3</v>
      </c>
      <c r="AG33" s="192">
        <f t="shared" si="11"/>
        <v>1.7938929612757964E-3</v>
      </c>
      <c r="AH33" s="192">
        <f t="shared" si="12"/>
        <v>0.1194235274568676</v>
      </c>
      <c r="AI33" s="192">
        <f t="shared" si="13"/>
        <v>4.5154694353950482E-2</v>
      </c>
      <c r="AJ33" s="192">
        <f t="shared" si="14"/>
        <v>6.0155333692567328E-3</v>
      </c>
      <c r="AK33" s="192">
        <f t="shared" si="15"/>
        <v>1.469156762487735E-2</v>
      </c>
      <c r="AL33" s="192">
        <f t="shared" si="16"/>
        <v>0.11814609822195347</v>
      </c>
      <c r="AM33" s="192">
        <f t="shared" si="17"/>
        <v>3.2317359043843974E-2</v>
      </c>
      <c r="AN33" s="192">
        <f t="shared" si="18"/>
        <v>3.0087281902828413E-2</v>
      </c>
      <c r="AO33" s="192">
        <f t="shared" si="19"/>
        <v>5.3049687322080444E-3</v>
      </c>
      <c r="AP33" s="192">
        <f t="shared" si="20"/>
        <v>1.3801519253406183E-2</v>
      </c>
      <c r="AQ33" s="192">
        <f t="shared" si="21"/>
        <v>1.2174816267497173E-2</v>
      </c>
      <c r="AR33" s="192">
        <f t="shared" si="22"/>
        <v>3.4428305962829866E-3</v>
      </c>
      <c r="AS33" s="192">
        <f t="shared" si="23"/>
        <v>2.5134782411541066E-2</v>
      </c>
      <c r="AT33" s="192">
        <f t="shared" si="24"/>
        <v>4.217030801323704E-2</v>
      </c>
      <c r="AU33" s="192">
        <f t="shared" si="25"/>
        <v>1.2155105163799203E-2</v>
      </c>
      <c r="AV33" s="192">
        <f t="shared" si="26"/>
        <v>5.8332492842243122E-2</v>
      </c>
      <c r="AW33" s="192">
        <f t="shared" si="27"/>
        <v>0.33708609449591853</v>
      </c>
    </row>
    <row r="34" spans="1:49" x14ac:dyDescent="0.2">
      <c r="A34" s="198">
        <f t="shared" si="31"/>
        <v>2027</v>
      </c>
      <c r="B34" s="226">
        <f t="shared" si="28"/>
        <v>1518.5312849606564</v>
      </c>
      <c r="C34" s="226">
        <f t="shared" si="4"/>
        <v>3547.577236463314</v>
      </c>
      <c r="D34" s="227">
        <f>'KU Efficiencies'!B$54*'KU StructuralVars'!$Q34*('KU Shares'!B34/'KU Efficiencies'!B34)/('KU Shares'!B$12/'KU Efficiencies'!B$12)</f>
        <v>874.17660296548922</v>
      </c>
      <c r="E34" s="227">
        <f>'KU Efficiencies'!C$54*'KU StructuralVars'!$Q34*('KU Shares'!C34/'KU Efficiencies'!C34)/('KU Shares'!C$12/'KU Efficiencies'!C$12)</f>
        <v>549.7898989353381</v>
      </c>
      <c r="F34" s="227">
        <f>'KU Efficiencies'!D$54*'KU StructuralVars'!$Q34*('KU Shares'!D34/'KU Efficiencies'!D34)/('KU Shares'!D$12/'KU Efficiencies'!D$12)</f>
        <v>61.827102947577714</v>
      </c>
      <c r="G34" s="227">
        <f>'KU Efficiencies'!E$54*'KU StructuralVars'!$Q34*('KU Shares'!E34/(1/'KU Efficiencies'!E34))/('KU Shares'!E$12/(1/'KU Efficiencies'!E$12))</f>
        <v>32.737680112251404</v>
      </c>
      <c r="H34" s="227">
        <f>'KU Efficiencies'!F$54*'KU StructuralVars'!$R34*('KU Shares'!F34/'KU Efficiencies'!F34)/('KU Shares'!F$12/'KU Efficiencies'!F$12)</f>
        <v>2276.1464887553634</v>
      </c>
      <c r="I34" s="227">
        <f>'KU Efficiencies'!G$54*'KU StructuralVars'!$R34*('KU Shares'!G34/'KU Efficiencies'!G34)/('KU Shares'!G$12/'KU Efficiencies'!G$12)</f>
        <v>875.91297480771425</v>
      </c>
      <c r="J34" s="227">
        <f>'KU Efficiencies'!H$54*'KU StructuralVars'!$R34*('KU Shares'!H34/'KU Efficiencies'!H34)/('KU Shares'!H$12/'KU Efficiencies'!H$12)</f>
        <v>117.0026340319736</v>
      </c>
      <c r="K34" s="227">
        <f>'KU Efficiencies'!I$54*'KU StructuralVars'!$R34*('KU Shares'!I34/'KU Efficiencies'!I34)/('KU Shares'!I$12/'KU Efficiencies'!I$12)</f>
        <v>278.51513886826262</v>
      </c>
      <c r="L34" s="227">
        <f>'KU Efficiencies'!J$54*('KU Shares'!J34/'KU Efficiencies'!J34)/('KU Shares'!J$12/'KU Efficiencies'!J$12)</f>
        <v>2246.8247262336781</v>
      </c>
      <c r="M34" s="227">
        <f>'KU Efficiencies'!K$54*('KU Shares'!K34/(1/'KU Efficiencies'!K34))/('KU Shares'!K$12/(1/'KU Efficiencies'!K$12))</f>
        <v>616.45884515125658</v>
      </c>
      <c r="N34" s="227">
        <f>'KU Efficiencies'!L$54*('KU Shares'!L34/(1/'KU Efficiencies'!L34))/('KU Shares'!L$12/(1/'KU Efficiencies'!L$12))</f>
        <v>572.6778057083352</v>
      </c>
      <c r="O34" s="227">
        <f>'KU Efficiencies'!M$54*('KU Shares'!M34/(1/'KU Efficiencies'!M34))/('KU Shares'!M$12/(1/'KU Efficiencies'!M$12))</f>
        <v>100.85092569561874</v>
      </c>
      <c r="P34" s="227">
        <f>'KU Efficiencies'!N$54*('KU Shares'!N34/(1/'KU Efficiencies'!N34))/('KU Shares'!N$12/(1/'KU Efficiencies'!N$12))</f>
        <v>260.99727970996787</v>
      </c>
      <c r="Q34" s="227">
        <f>'KU Efficiencies'!O$54*('KU Shares'!O34/(1/'KU Efficiencies'!O34))/('KU Shares'!O$12/(1/'KU Efficiencies'!O$12))</f>
        <v>232.44946963949272</v>
      </c>
      <c r="R34" s="283">
        <f>'KU Efficiencies'!P$54*('KU Shares'!P34/'KU Efficiencies'!P34)/('KU Shares'!P$12/'KU Efficiencies'!P$12)</f>
        <v>231.29258336595936</v>
      </c>
      <c r="S34" s="264">
        <f>'KU Efficiencies'!Q$54*('KU Shares'!Q34/(1/'KU Efficiencies'!Q34))/('KU Shares'!Q$12/(1/'KU Efficiencies'!Q$12))</f>
        <v>64.003960506910616</v>
      </c>
      <c r="T34" s="283">
        <f>'KU Efficiencies'!R$54*('KU Shares'!R34/'KU Efficiencies'!R34)/('KU Shares'!R$12/'KU Efficiencies'!R$12)</f>
        <v>203.03250664988579</v>
      </c>
      <c r="U34" s="227">
        <f>'KU Efficiencies'!S$54*('KU Shares'!S34/(1/'KU Efficiencies'!S34))/('KU Shares'!S$12/(1/'KU Efficiencies'!S$12))</f>
        <v>473.46458614038414</v>
      </c>
      <c r="V34" s="283">
        <f>'KU Efficiencies'!T$54*('KU Shares'!T34/'KU Efficiencies'!T34)/('KU Shares'!T$12/'KU Efficiencies'!T$12)</f>
        <v>469.67403591811848</v>
      </c>
      <c r="W34" s="227">
        <f>'KU Efficiencies'!U$54*('KU Shares'!U34/(1/'KU Efficiencies'!U34))/('KU Shares'!U$12/(1/'KU Efficiencies'!U$12))</f>
        <v>808.57141054642909</v>
      </c>
      <c r="X34" s="227">
        <f>'KU Efficiencies'!V$54*('KU Shares'!V34/(1/'KU Efficiencies'!V34))/('KU Shares'!V$12/(1/'KU Efficiencies'!V$12))</f>
        <v>228.66313796325844</v>
      </c>
      <c r="Y34" s="227">
        <f>'KU Efficiencies'!W$54*('KU Shares'!W34/(1/'KU Efficiencies'!W34))/('KU Shares'!W$12/(1/'KU Efficiencies'!W$12))</f>
        <v>1101.6097313953412</v>
      </c>
      <c r="Z34" s="227">
        <f>'KU Efficiencies'!X$54*('KU Shares'!X34/(1/'KU Efficiencies'!X34))/('KU Shares'!X$12/(1/'KU Efficiencies'!X$12))</f>
        <v>6548.6158684911543</v>
      </c>
      <c r="AA34" s="286">
        <f t="shared" si="29"/>
        <v>1.8943368975309349E-2</v>
      </c>
      <c r="AB34" s="153">
        <f t="shared" si="32"/>
        <v>19225.29539453976</v>
      </c>
      <c r="AC34" s="198">
        <f t="shared" si="33"/>
        <v>2027</v>
      </c>
      <c r="AD34" s="192">
        <f t="shared" si="8"/>
        <v>4.5850127441371936E-2</v>
      </c>
      <c r="AE34" s="192">
        <f t="shared" si="9"/>
        <v>2.8836206375978019E-2</v>
      </c>
      <c r="AF34" s="192">
        <f t="shared" si="10"/>
        <v>3.2428007565756963E-3</v>
      </c>
      <c r="AG34" s="192">
        <f t="shared" si="11"/>
        <v>1.7170750168668742E-3</v>
      </c>
      <c r="AH34" s="192">
        <f t="shared" si="12"/>
        <v>0.1193827496991299</v>
      </c>
      <c r="AI34" s="192">
        <f t="shared" si="13"/>
        <v>4.5941199279695623E-2</v>
      </c>
      <c r="AJ34" s="192">
        <f t="shared" si="14"/>
        <v>6.1367298817467594E-3</v>
      </c>
      <c r="AK34" s="192">
        <f t="shared" si="15"/>
        <v>1.4607980319012696E-2</v>
      </c>
      <c r="AL34" s="192">
        <f t="shared" si="16"/>
        <v>0.11784483785858847</v>
      </c>
      <c r="AM34" s="192">
        <f t="shared" si="17"/>
        <v>3.2332959400495319E-2</v>
      </c>
      <c r="AN34" s="192">
        <f t="shared" si="18"/>
        <v>3.0036665686886375E-2</v>
      </c>
      <c r="AO34" s="192">
        <f t="shared" si="19"/>
        <v>5.289580823872723E-3</v>
      </c>
      <c r="AP34" s="192">
        <f t="shared" si="20"/>
        <v>1.3689177330940128E-2</v>
      </c>
      <c r="AQ34" s="192">
        <f t="shared" si="21"/>
        <v>1.2191858910997196E-2</v>
      </c>
      <c r="AR34" s="192">
        <f t="shared" si="22"/>
        <v>3.3569758513775274E-3</v>
      </c>
      <c r="AS34" s="192">
        <f t="shared" si="23"/>
        <v>2.4832981733749329E-2</v>
      </c>
      <c r="AT34" s="192">
        <f t="shared" si="24"/>
        <v>4.2409167773696653E-2</v>
      </c>
      <c r="AU34" s="192">
        <f t="shared" si="25"/>
        <v>1.1993267700363412E-2</v>
      </c>
      <c r="AV34" s="192">
        <f t="shared" si="26"/>
        <v>5.7778881754315142E-2</v>
      </c>
      <c r="AW34" s="192">
        <f t="shared" si="27"/>
        <v>0.34347164076040071</v>
      </c>
    </row>
    <row r="35" spans="1:49" x14ac:dyDescent="0.2">
      <c r="A35" s="198">
        <f t="shared" si="31"/>
        <v>2028</v>
      </c>
      <c r="B35" s="226">
        <f t="shared" si="28"/>
        <v>1516.2643179573902</v>
      </c>
      <c r="C35" s="226">
        <f t="shared" si="4"/>
        <v>3562.7822959039236</v>
      </c>
      <c r="D35" s="227">
        <f>'KU Efficiencies'!B$54*'KU StructuralVars'!$Q35*('KU Shares'!B35/'KU Efficiencies'!B35)/('KU Shares'!B$12/'KU Efficiencies'!B$12)</f>
        <v>867.2657488725215</v>
      </c>
      <c r="E35" s="227">
        <f>'KU Efficiencies'!C$54*'KU StructuralVars'!$Q35*('KU Shares'!C35/'KU Efficiencies'!C35)/('KU Shares'!C$12/'KU Efficiencies'!C$12)</f>
        <v>554.95934958511668</v>
      </c>
      <c r="F35" s="227">
        <f>'KU Efficiencies'!D$54*'KU StructuralVars'!$Q35*('KU Shares'!D35/'KU Efficiencies'!D35)/('KU Shares'!D$12/'KU Efficiencies'!D$12)</f>
        <v>62.697561616099435</v>
      </c>
      <c r="G35" s="227">
        <f>'KU Efficiencies'!E$54*'KU StructuralVars'!$Q35*('KU Shares'!E35/(1/'KU Efficiencies'!E35))/('KU Shares'!E$12/(1/'KU Efficiencies'!E$12))</f>
        <v>31.341657883652672</v>
      </c>
      <c r="H35" s="227">
        <f>'KU Efficiencies'!F$54*'KU StructuralVars'!$R35*('KU Shares'!F35/'KU Efficiencies'!F35)/('KU Shares'!F$12/'KU Efficiencies'!F$12)</f>
        <v>2276.2379459338918</v>
      </c>
      <c r="I35" s="227">
        <f>'KU Efficiencies'!G$54*'KU StructuralVars'!$R35*('KU Shares'!G35/'KU Efficiencies'!G35)/('KU Shares'!G$12/'KU Efficiencies'!G$12)</f>
        <v>890.43507256504779</v>
      </c>
      <c r="J35" s="227">
        <f>'KU Efficiencies'!H$54*'KU StructuralVars'!$R35*('KU Shares'!H35/'KU Efficiencies'!H35)/('KU Shares'!H$12/'KU Efficiencies'!H$12)</f>
        <v>119.01418868563508</v>
      </c>
      <c r="K35" s="227">
        <f>'KU Efficiencies'!I$54*'KU StructuralVars'!$R35*('KU Shares'!I35/'KU Efficiencies'!I35)/('KU Shares'!I$12/'KU Efficiencies'!I$12)</f>
        <v>277.09508871934895</v>
      </c>
      <c r="L35" s="227">
        <f>'KU Efficiencies'!J$54*('KU Shares'!J35/'KU Efficiencies'!J35)/('KU Shares'!J$12/'KU Efficiencies'!J$12)</f>
        <v>2242.0644627902607</v>
      </c>
      <c r="M35" s="227">
        <f>'KU Efficiencies'!K$54*('KU Shares'!K35/(1/'KU Efficiencies'!K35))/('KU Shares'!K$12/(1/'KU Efficiencies'!K$12))</f>
        <v>616.77495473251906</v>
      </c>
      <c r="N35" s="227">
        <f>'KU Efficiencies'!L$54*('KU Shares'!L35/(1/'KU Efficiencies'!L35))/('KU Shares'!L$12/(1/'KU Efficiencies'!L$12))</f>
        <v>571.82009510002104</v>
      </c>
      <c r="O35" s="227">
        <f>'KU Efficiencies'!M$54*('KU Shares'!M35/(1/'KU Efficiencies'!M35))/('KU Shares'!M$12/(1/'KU Efficiencies'!M$12))</f>
        <v>100.57822766614211</v>
      </c>
      <c r="P35" s="227">
        <f>'KU Efficiencies'!N$54*('KU Shares'!N35/(1/'KU Efficiencies'!N35))/('KU Shares'!N$12/(1/'KU Efficiencies'!N$12))</f>
        <v>258.91262658014909</v>
      </c>
      <c r="Q35" s="227">
        <f>'KU Efficiencies'!O$54*('KU Shares'!O35/(1/'KU Efficiencies'!O35))/('KU Shares'!O$12/(1/'KU Efficiencies'!O$12))</f>
        <v>233.53060189291833</v>
      </c>
      <c r="R35" s="283">
        <f>'KU Efficiencies'!P$54*('KU Shares'!P35/'KU Efficiencies'!P35)/('KU Shares'!P$12/'KU Efficiencies'!P$12)</f>
        <v>232.41176120606647</v>
      </c>
      <c r="S35" s="264">
        <f>'KU Efficiencies'!Q$54*('KU Shares'!Q35/(1/'KU Efficiencies'!Q35))/('KU Shares'!Q$12/(1/'KU Efficiencies'!Q$12))</f>
        <v>62.496810364960396</v>
      </c>
      <c r="T35" s="283">
        <f>'KU Efficiencies'!R$54*('KU Shares'!R35/'KU Efficiencies'!R35)/('KU Shares'!R$12/'KU Efficiencies'!R$12)</f>
        <v>208.07645364779253</v>
      </c>
      <c r="U35" s="227">
        <f>'KU Efficiencies'!S$54*('KU Shares'!S35/(1/'KU Efficiencies'!S35))/('KU Shares'!S$12/(1/'KU Efficiencies'!S$12))</f>
        <v>468.95567642655993</v>
      </c>
      <c r="V35" s="283">
        <f>'KU Efficiencies'!T$54*('KU Shares'!T35/'KU Efficiencies'!T35)/('KU Shares'!T$12/'KU Efficiencies'!T$12)</f>
        <v>464.61871098743507</v>
      </c>
      <c r="W35" s="227">
        <f>'KU Efficiencies'!U$54*('KU Shares'!U35/(1/'KU Efficiencies'!U35))/('KU Shares'!U$12/(1/'KU Efficiencies'!U$12))</f>
        <v>813.85238751807788</v>
      </c>
      <c r="X35" s="227">
        <f>'KU Efficiencies'!V$54*('KU Shares'!V35/(1/'KU Efficiencies'!V35))/('KU Shares'!V$12/(1/'KU Efficiencies'!V$12))</f>
        <v>223.76907417574455</v>
      </c>
      <c r="Y35" s="227">
        <f>'KU Efficiencies'!W$54*('KU Shares'!W35/(1/'KU Efficiencies'!W35))/('KU Shares'!W$12/(1/'KU Efficiencies'!W$12))</f>
        <v>1092.6090021244163</v>
      </c>
      <c r="Z35" s="227">
        <f>'KU Efficiencies'!X$54*('KU Shares'!X35/(1/'KU Efficiencies'!X35))/('KU Shares'!X$12/(1/'KU Efficiencies'!X$12))</f>
        <v>6670.507696535763</v>
      </c>
      <c r="AA35" s="286">
        <f t="shared" si="29"/>
        <v>1.8613372732869227E-2</v>
      </c>
      <c r="AB35" s="153">
        <f t="shared" si="32"/>
        <v>19340.025155610143</v>
      </c>
      <c r="AC35" s="198">
        <f t="shared" si="33"/>
        <v>2028</v>
      </c>
      <c r="AD35" s="192">
        <f t="shared" si="8"/>
        <v>4.5487656586150699E-2</v>
      </c>
      <c r="AE35" s="192">
        <f t="shared" si="9"/>
        <v>2.9107341487910991E-2</v>
      </c>
      <c r="AF35" s="192">
        <f t="shared" si="10"/>
        <v>3.2884558802072118E-3</v>
      </c>
      <c r="AG35" s="192">
        <f t="shared" si="11"/>
        <v>1.6438543462665577E-3</v>
      </c>
      <c r="AH35" s="192">
        <f t="shared" si="12"/>
        <v>0.11938754658259342</v>
      </c>
      <c r="AI35" s="192">
        <f t="shared" si="13"/>
        <v>4.6702876074328492E-2</v>
      </c>
      <c r="AJ35" s="192">
        <f t="shared" si="14"/>
        <v>6.2422349214753328E-3</v>
      </c>
      <c r="AK35" s="192">
        <f t="shared" si="15"/>
        <v>1.4533499395958981E-2</v>
      </c>
      <c r="AL35" s="192">
        <f t="shared" si="16"/>
        <v>0.11759516441183321</v>
      </c>
      <c r="AM35" s="192">
        <f t="shared" si="17"/>
        <v>3.2349539190593975E-2</v>
      </c>
      <c r="AN35" s="192">
        <f t="shared" si="18"/>
        <v>2.9991679192663566E-2</v>
      </c>
      <c r="AO35" s="192">
        <f t="shared" si="19"/>
        <v>5.2752779480440869E-3</v>
      </c>
      <c r="AP35" s="192">
        <f t="shared" si="20"/>
        <v>1.3579838312543844E-2</v>
      </c>
      <c r="AQ35" s="192">
        <f t="shared" si="21"/>
        <v>1.2248563759230818E-2</v>
      </c>
      <c r="AR35" s="192">
        <f t="shared" si="22"/>
        <v>3.2779265770692474E-3</v>
      </c>
      <c r="AS35" s="192">
        <f t="shared" si="23"/>
        <v>2.4596491664924367E-2</v>
      </c>
      <c r="AT35" s="192">
        <f t="shared" si="24"/>
        <v>4.2686152385665962E-2</v>
      </c>
      <c r="AU35" s="192">
        <f t="shared" si="25"/>
        <v>1.1736576492199637E-2</v>
      </c>
      <c r="AV35" s="192">
        <f t="shared" si="26"/>
        <v>5.7306797986873603E-2</v>
      </c>
      <c r="AW35" s="192">
        <f t="shared" si="27"/>
        <v>0.34986480643304424</v>
      </c>
    </row>
    <row r="36" spans="1:49" x14ac:dyDescent="0.2">
      <c r="A36" s="198">
        <f t="shared" si="31"/>
        <v>2029</v>
      </c>
      <c r="B36" s="226">
        <f t="shared" si="28"/>
        <v>1514.3627469490032</v>
      </c>
      <c r="C36" s="226">
        <f t="shared" si="4"/>
        <v>3578.9184460864044</v>
      </c>
      <c r="D36" s="227">
        <f>'KU Efficiencies'!B$54*'KU StructuralVars'!$Q36*('KU Shares'!B36/'KU Efficiencies'!B36)/('KU Shares'!B$12/'KU Efficiencies'!B$12)</f>
        <v>860.76597659984225</v>
      </c>
      <c r="E36" s="227">
        <f>'KU Efficiencies'!C$54*'KU StructuralVars'!$Q36*('KU Shares'!C36/'KU Efficiencies'!C36)/('KU Shares'!C$12/'KU Efficiencies'!C$12)</f>
        <v>560.11950383248848</v>
      </c>
      <c r="F36" s="227">
        <f>'KU Efficiencies'!D$54*'KU StructuralVars'!$Q36*('KU Shares'!D36/'KU Efficiencies'!D36)/('KU Shares'!D$12/'KU Efficiencies'!D$12)</f>
        <v>63.464725062795701</v>
      </c>
      <c r="G36" s="227">
        <f>'KU Efficiencies'!E$54*'KU StructuralVars'!$Q36*('KU Shares'!E36/(1/'KU Efficiencies'!E36))/('KU Shares'!E$12/(1/'KU Efficiencies'!E$12))</f>
        <v>30.012541453876864</v>
      </c>
      <c r="H36" s="227">
        <f>'KU Efficiencies'!F$54*'KU StructuralVars'!$R36*('KU Shares'!F36/'KU Efficiencies'!F36)/('KU Shares'!F$12/'KU Efficiencies'!F$12)</f>
        <v>2277.3367427375752</v>
      </c>
      <c r="I36" s="227">
        <f>'KU Efficiencies'!G$54*'KU StructuralVars'!$R36*('KU Shares'!G36/'KU Efficiencies'!G36)/('KU Shares'!G$12/'KU Efficiencies'!G$12)</f>
        <v>904.82710042540168</v>
      </c>
      <c r="J36" s="227">
        <f>'KU Efficiencies'!H$54*'KU StructuralVars'!$R36*('KU Shares'!H36/'KU Efficiencies'!H36)/('KU Shares'!H$12/'KU Efficiencies'!H$12)</f>
        <v>120.81506026212007</v>
      </c>
      <c r="K36" s="227">
        <f>'KU Efficiencies'!I$54*'KU StructuralVars'!$R36*('KU Shares'!I36/'KU Efficiencies'!I36)/('KU Shares'!I$12/'KU Efficiencies'!I$12)</f>
        <v>275.93954266130777</v>
      </c>
      <c r="L36" s="227">
        <f>'KU Efficiencies'!J$54*('KU Shares'!J36/'KU Efficiencies'!J36)/('KU Shares'!J$12/'KU Efficiencies'!J$12)</f>
        <v>2238.0662814759462</v>
      </c>
      <c r="M36" s="227">
        <f>'KU Efficiencies'!K$54*('KU Shares'!K36/(1/'KU Efficiencies'!K36))/('KU Shares'!K$12/(1/'KU Efficiencies'!K$12))</f>
        <v>617.14222746165672</v>
      </c>
      <c r="N36" s="227">
        <f>'KU Efficiencies'!L$54*('KU Shares'!L36/(1/'KU Efficiencies'!L36))/('KU Shares'!L$12/(1/'KU Efficiencies'!L$12))</f>
        <v>570.95610279841981</v>
      </c>
      <c r="O36" s="227">
        <f>'KU Efficiencies'!M$54*('KU Shares'!M36/(1/'KU Efficiencies'!M36))/('KU Shares'!M$12/(1/'KU Efficiencies'!M$12))</f>
        <v>100.31203566665351</v>
      </c>
      <c r="P36" s="227">
        <f>'KU Efficiencies'!N$54*('KU Shares'!N36/(1/'KU Efficiencies'!N36))/('KU Shares'!N$12/(1/'KU Efficiencies'!N$12))</f>
        <v>256.8964086873732</v>
      </c>
      <c r="Q36" s="227">
        <f>'KU Efficiencies'!O$54*('KU Shares'!O36/(1/'KU Efficiencies'!O36))/('KU Shares'!O$12/(1/'KU Efficiencies'!O$12))</f>
        <v>234.77856678416759</v>
      </c>
      <c r="R36" s="283">
        <f>'KU Efficiencies'!P$54*('KU Shares'!P36/'KU Efficiencies'!P36)/('KU Shares'!P$12/'KU Efficiencies'!P$12)</f>
        <v>233.6921379769874</v>
      </c>
      <c r="S36" s="264">
        <f>'KU Efficiencies'!Q$54*('KU Shares'!Q36/(1/'KU Efficiencies'!Q36))/('KU Shares'!Q$12/(1/'KU Efficiencies'!Q$12))</f>
        <v>61.113504564762593</v>
      </c>
      <c r="T36" s="283">
        <f>'KU Efficiencies'!R$54*('KU Shares'!R36/'KU Efficiencies'!R36)/('KU Shares'!R$12/'KU Efficiencies'!R$12)</f>
        <v>212.84124934630864</v>
      </c>
      <c r="U36" s="227">
        <f>'KU Efficiencies'!S$54*('KU Shares'!S36/(1/'KU Efficiencies'!S36))/('KU Shares'!S$12/(1/'KU Efficiencies'!S$12))</f>
        <v>465.72239507676795</v>
      </c>
      <c r="V36" s="283">
        <f>'KU Efficiencies'!T$54*('KU Shares'!T36/'KU Efficiencies'!T36)/('KU Shares'!T$12/'KU Efficiencies'!T$12)</f>
        <v>460.4687072178138</v>
      </c>
      <c r="W36" s="227">
        <f>'KU Efficiencies'!U$54*('KU Shares'!U36/(1/'KU Efficiencies'!U36))/('KU Shares'!U$12/(1/'KU Efficiencies'!U$12))</f>
        <v>819.9613343283512</v>
      </c>
      <c r="X36" s="227">
        <f>'KU Efficiencies'!V$54*('KU Shares'!V36/(1/'KU Efficiencies'!V36))/('KU Shares'!V$12/(1/'KU Efficiencies'!V$12))</f>
        <v>221.92669772443145</v>
      </c>
      <c r="Y36" s="227">
        <f>'KU Efficiencies'!W$54*('KU Shares'!W36/(1/'KU Efficiencies'!W36))/('KU Shares'!W$12/(1/'KU Efficiencies'!W$12))</f>
        <v>1085.2043944378738</v>
      </c>
      <c r="Z36" s="227">
        <f>'KU Efficiencies'!X$54*('KU Shares'!X36/(1/'KU Efficiencies'!X36))/('KU Shares'!X$12/(1/'KU Efficiencies'!X$12))</f>
        <v>6788.54700616836</v>
      </c>
      <c r="AA36" s="286">
        <f t="shared" si="29"/>
        <v>1.7695700987482521E-2</v>
      </c>
      <c r="AB36" s="153">
        <f t="shared" si="32"/>
        <v>19460.910242751277</v>
      </c>
      <c r="AC36" s="198">
        <f t="shared" si="33"/>
        <v>2029</v>
      </c>
      <c r="AD36" s="192">
        <f t="shared" si="8"/>
        <v>4.5146746767664045E-2</v>
      </c>
      <c r="AE36" s="192">
        <f t="shared" si="9"/>
        <v>2.9377989008167803E-2</v>
      </c>
      <c r="AF36" s="192">
        <f t="shared" si="10"/>
        <v>3.328693220900228E-3</v>
      </c>
      <c r="AG36" s="192">
        <f t="shared" si="11"/>
        <v>1.5741428514920311E-3</v>
      </c>
      <c r="AH36" s="192">
        <f t="shared" si="12"/>
        <v>0.11944517792769022</v>
      </c>
      <c r="AI36" s="192">
        <f t="shared" si="13"/>
        <v>4.7457730767646172E-2</v>
      </c>
      <c r="AJ36" s="192">
        <f t="shared" si="14"/>
        <v>6.3366897387368299E-3</v>
      </c>
      <c r="AK36" s="192">
        <f t="shared" si="15"/>
        <v>1.4472891580735111E-2</v>
      </c>
      <c r="AL36" s="192">
        <f t="shared" si="16"/>
        <v>0.11738546179319397</v>
      </c>
      <c r="AM36" s="192">
        <f t="shared" si="17"/>
        <v>3.2368802462316847E-2</v>
      </c>
      <c r="AN36" s="192">
        <f t="shared" si="18"/>
        <v>2.9946363226756454E-2</v>
      </c>
      <c r="AO36" s="192">
        <f t="shared" si="19"/>
        <v>5.2613163102479907E-3</v>
      </c>
      <c r="AP36" s="192">
        <f t="shared" si="20"/>
        <v>1.3474088688246247E-2</v>
      </c>
      <c r="AQ36" s="192">
        <f t="shared" si="21"/>
        <v>1.2314018896227198E-2</v>
      </c>
      <c r="AR36" s="192">
        <f t="shared" si="22"/>
        <v>3.2053728768051347E-3</v>
      </c>
      <c r="AS36" s="192">
        <f t="shared" si="23"/>
        <v>2.4426907668465444E-2</v>
      </c>
      <c r="AT36" s="192">
        <f t="shared" si="24"/>
        <v>4.3006563603300269E-2</v>
      </c>
      <c r="AU36" s="192">
        <f t="shared" si="25"/>
        <v>1.1639944764924933E-2</v>
      </c>
      <c r="AV36" s="192">
        <f t="shared" si="26"/>
        <v>5.6918430001583635E-2</v>
      </c>
      <c r="AW36" s="192">
        <f t="shared" si="27"/>
        <v>0.35605590943372684</v>
      </c>
    </row>
    <row r="37" spans="1:49" x14ac:dyDescent="0.2">
      <c r="A37" s="198">
        <f t="shared" si="31"/>
        <v>2030</v>
      </c>
      <c r="B37" s="226">
        <f t="shared" si="28"/>
        <v>1512.2948672434791</v>
      </c>
      <c r="C37" s="226">
        <f t="shared" si="4"/>
        <v>3594.6302638116849</v>
      </c>
      <c r="D37" s="227">
        <f>'KU Efficiencies'!B$54*'KU StructuralVars'!$Q37*('KU Shares'!B37/'KU Efficiencies'!B37)/('KU Shares'!B$12/'KU Efficiencies'!B$12)</f>
        <v>854.26315014528336</v>
      </c>
      <c r="E37" s="227">
        <f>'KU Efficiencies'!C$54*'KU StructuralVars'!$Q37*('KU Shares'!C37/'KU Efficiencies'!C37)/('KU Shares'!C$12/'KU Efficiencies'!C$12)</f>
        <v>565.15989833982746</v>
      </c>
      <c r="F37" s="227">
        <f>'KU Efficiencies'!D$54*'KU StructuralVars'!$Q37*('KU Shares'!D37/'KU Efficiencies'!D37)/('KU Shares'!D$12/'KU Efficiencies'!D$12)</f>
        <v>64.147689668401384</v>
      </c>
      <c r="G37" s="227">
        <f>'KU Efficiencies'!E$54*'KU StructuralVars'!$Q37*('KU Shares'!E37/(1/'KU Efficiencies'!E37))/('KU Shares'!E$12/(1/'KU Efficiencies'!E$12))</f>
        <v>28.724129089966738</v>
      </c>
      <c r="H37" s="227">
        <f>'KU Efficiencies'!F$54*'KU StructuralVars'!$R37*('KU Shares'!F37/'KU Efficiencies'!F37)/('KU Shares'!F$12/'KU Efficiencies'!F$12)</f>
        <v>2278.7815724124562</v>
      </c>
      <c r="I37" s="227">
        <f>'KU Efficiencies'!G$54*'KU StructuralVars'!$R37*('KU Shares'!G37/'KU Efficiencies'!G37)/('KU Shares'!G$12/'KU Efficiencies'!G$12)</f>
        <v>918.99093677196981</v>
      </c>
      <c r="J37" s="227">
        <f>'KU Efficiencies'!H$54*'KU StructuralVars'!$R37*('KU Shares'!H37/'KU Efficiencies'!H37)/('KU Shares'!H$12/'KU Efficiencies'!H$12)</f>
        <v>122.45426976196921</v>
      </c>
      <c r="K37" s="227">
        <f>'KU Efficiencies'!I$54*'KU StructuralVars'!$R37*('KU Shares'!I37/'KU Efficiencies'!I37)/('KU Shares'!I$12/'KU Efficiencies'!I$12)</f>
        <v>274.40348486528995</v>
      </c>
      <c r="L37" s="227">
        <f>'KU Efficiencies'!J$54*('KU Shares'!J37/'KU Efficiencies'!J37)/('KU Shares'!J$12/'KU Efficiencies'!J$12)</f>
        <v>2234.9732955928589</v>
      </c>
      <c r="M37" s="227">
        <f>'KU Efficiencies'!K$54*('KU Shares'!K37/(1/'KU Efficiencies'!K37))/('KU Shares'!K$12/(1/'KU Efficiencies'!K$12))</f>
        <v>617.54584647485058</v>
      </c>
      <c r="N37" s="227">
        <f>'KU Efficiencies'!L$54*('KU Shares'!L37/(1/'KU Efficiencies'!L37))/('KU Shares'!L$12/(1/'KU Efficiencies'!L$12))</f>
        <v>570.06415061512087</v>
      </c>
      <c r="O37" s="227">
        <f>'KU Efficiencies'!M$54*('KU Shares'!M37/(1/'KU Efficiencies'!M37))/('KU Shares'!M$12/(1/'KU Efficiencies'!M$12))</f>
        <v>100.05263884647238</v>
      </c>
      <c r="P37" s="227">
        <f>'KU Efficiencies'!N$54*('KU Shares'!N37/(1/'KU Efficiencies'!N37))/('KU Shares'!N$12/(1/'KU Efficiencies'!N$12))</f>
        <v>254.96837962555475</v>
      </c>
      <c r="Q37" s="227">
        <f>'KU Efficiencies'!O$54*('KU Shares'!O37/(1/'KU Efficiencies'!O37))/('KU Shares'!O$12/(1/'KU Efficiencies'!O$12))</f>
        <v>236.22293876041044</v>
      </c>
      <c r="R37" s="283">
        <f>'KU Efficiencies'!P$54*('KU Shares'!P37/'KU Efficiencies'!P37)/('KU Shares'!P$12/'KU Efficiencies'!P$12)</f>
        <v>235.15590619423946</v>
      </c>
      <c r="S37" s="264">
        <f>'KU Efficiencies'!Q$54*('KU Shares'!Q37/(1/'KU Efficiencies'!Q37))/('KU Shares'!Q$12/(1/'KU Efficiencies'!Q$12))</f>
        <v>60.047760241865447</v>
      </c>
      <c r="T37" s="283">
        <f>'KU Efficiencies'!R$54*('KU Shares'!R37/'KU Efficiencies'!R37)/('KU Shares'!R$12/'KU Efficiencies'!R$12)</f>
        <v>216.74419933007073</v>
      </c>
      <c r="U37" s="227">
        <f>'KU Efficiencies'!S$54*('KU Shares'!S37/(1/'KU Efficiencies'!S37))/('KU Shares'!S$12/(1/'KU Efficiencies'!S$12))</f>
        <v>463.59975575403894</v>
      </c>
      <c r="V37" s="283">
        <f>'KU Efficiencies'!T$54*('KU Shares'!T37/'KU Efficiencies'!T37)/('KU Shares'!T$12/'KU Efficiencies'!T$12)</f>
        <v>457.20163884611043</v>
      </c>
      <c r="W37" s="227">
        <f>'KU Efficiencies'!U$54*('KU Shares'!U37/(1/'KU Efficiencies'!U37))/('KU Shares'!U$12/(1/'KU Efficiencies'!U$12))</f>
        <v>826.70591060252605</v>
      </c>
      <c r="X37" s="227">
        <f>'KU Efficiencies'!V$54*('KU Shares'!V37/(1/'KU Efficiencies'!V37))/('KU Shares'!V$12/(1/'KU Efficiencies'!V$12))</f>
        <v>216.35286772764073</v>
      </c>
      <c r="Y37" s="227">
        <f>'KU Efficiencies'!W$54*('KU Shares'!W37/(1/'KU Efficiencies'!W37))/('KU Shares'!W$12/(1/'KU Efficiencies'!W$12))</f>
        <v>1078.9100266001583</v>
      </c>
      <c r="Z37" s="227">
        <f>'KU Efficiencies'!X$54*('KU Shares'!X37/(1/'KU Efficiencies'!X37))/('KU Shares'!X$12/(1/'KU Efficiencies'!X$12))</f>
        <v>6916.0520254682824</v>
      </c>
      <c r="AA37" s="286">
        <f t="shared" si="29"/>
        <v>1.8782372602571096E-2</v>
      </c>
      <c r="AB37" s="153">
        <f t="shared" si="32"/>
        <v>19591.522471735367</v>
      </c>
      <c r="AC37" s="198">
        <f t="shared" si="33"/>
        <v>2030</v>
      </c>
      <c r="AD37" s="192">
        <f t="shared" si="8"/>
        <v>4.4805676758858951E-2</v>
      </c>
      <c r="AE37" s="192">
        <f t="shared" si="9"/>
        <v>2.9642355189706301E-2</v>
      </c>
      <c r="AF37" s="192">
        <f t="shared" si="10"/>
        <v>3.3645143743133254E-3</v>
      </c>
      <c r="AG37" s="192">
        <f t="shared" si="11"/>
        <v>1.5065662646994756E-3</v>
      </c>
      <c r="AH37" s="192">
        <f t="shared" si="12"/>
        <v>0.11952095852453946</v>
      </c>
      <c r="AI37" s="192">
        <f t="shared" si="13"/>
        <v>4.8200616929716701E-2</v>
      </c>
      <c r="AJ37" s="192">
        <f t="shared" si="14"/>
        <v>6.4226654605946676E-3</v>
      </c>
      <c r="AK37" s="192">
        <f t="shared" si="15"/>
        <v>1.439232611436846E-2</v>
      </c>
      <c r="AL37" s="192">
        <f t="shared" si="16"/>
        <v>0.11722323622408946</v>
      </c>
      <c r="AM37" s="192">
        <f t="shared" si="17"/>
        <v>3.2389972078536181E-2</v>
      </c>
      <c r="AN37" s="192">
        <f t="shared" si="18"/>
        <v>2.989958077897973E-2</v>
      </c>
      <c r="AO37" s="192">
        <f t="shared" si="19"/>
        <v>5.2477110762222277E-3</v>
      </c>
      <c r="AP37" s="192">
        <f t="shared" si="20"/>
        <v>1.3372964524209869E-2</v>
      </c>
      <c r="AQ37" s="192">
        <f t="shared" si="21"/>
        <v>1.238977548701083E-2</v>
      </c>
      <c r="AR37" s="192">
        <f t="shared" si="22"/>
        <v>3.1494751178637623E-3</v>
      </c>
      <c r="AS37" s="192">
        <f t="shared" si="23"/>
        <v>2.431557629317006E-2</v>
      </c>
      <c r="AT37" s="192">
        <f t="shared" si="24"/>
        <v>4.3360313269740589E-2</v>
      </c>
      <c r="AU37" s="192">
        <f t="shared" si="25"/>
        <v>1.1347600157642548E-2</v>
      </c>
      <c r="AV37" s="192">
        <f t="shared" si="26"/>
        <v>5.6588293543409038E-2</v>
      </c>
      <c r="AW37" s="192">
        <f t="shared" si="27"/>
        <v>0.36274348419205837</v>
      </c>
    </row>
    <row r="38" spans="1:49" x14ac:dyDescent="0.2">
      <c r="A38" s="198">
        <f t="shared" si="31"/>
        <v>2031</v>
      </c>
      <c r="B38" s="226">
        <f t="shared" si="28"/>
        <v>1509.7231647518856</v>
      </c>
      <c r="C38" s="226">
        <f t="shared" si="4"/>
        <v>3609.5100875896487</v>
      </c>
      <c r="D38" s="227">
        <f>'KU Efficiencies'!B$54*'KU StructuralVars'!$Q38*('KU Shares'!B38/'KU Efficiencies'!B38)/('KU Shares'!B$12/'KU Efficiencies'!B$12)</f>
        <v>847.70553743269261</v>
      </c>
      <c r="E38" s="227">
        <f>'KU Efficiencies'!C$54*'KU StructuralVars'!$Q38*('KU Shares'!C38/'KU Efficiencies'!C38)/('KU Shares'!C$12/'KU Efficiencies'!C$12)</f>
        <v>569.83303294690074</v>
      </c>
      <c r="F38" s="227">
        <f>'KU Efficiencies'!D$54*'KU StructuralVars'!$Q38*('KU Shares'!D38/'KU Efficiencies'!D38)/('KU Shares'!D$12/'KU Efficiencies'!D$12)</f>
        <v>64.726404736187632</v>
      </c>
      <c r="G38" s="227">
        <f>'KU Efficiencies'!E$54*'KU StructuralVars'!$Q38*('KU Shares'!E38/(1/'KU Efficiencies'!E38))/('KU Shares'!E$12/(1/'KU Efficiencies'!E$12))</f>
        <v>27.458189636104876</v>
      </c>
      <c r="H38" s="227">
        <f>'KU Efficiencies'!F$54*'KU StructuralVars'!$R38*('KU Shares'!F38/'KU Efficiencies'!F38)/('KU Shares'!F$12/'KU Efficiencies'!F$12)</f>
        <v>2279.769644461011</v>
      </c>
      <c r="I38" s="227">
        <f>'KU Efficiencies'!G$54*'KU StructuralVars'!$R38*('KU Shares'!G38/'KU Efficiencies'!G38)/('KU Shares'!G$12/'KU Efficiencies'!G$12)</f>
        <v>932.6108622727138</v>
      </c>
      <c r="J38" s="227">
        <f>'KU Efficiencies'!H$54*'KU StructuralVars'!$R38*('KU Shares'!H38/'KU Efficiencies'!H38)/('KU Shares'!H$12/'KU Efficiencies'!H$12)</f>
        <v>123.91150589806801</v>
      </c>
      <c r="K38" s="227">
        <f>'KU Efficiencies'!I$54*'KU StructuralVars'!$R38*('KU Shares'!I38/'KU Efficiencies'!I38)/('KU Shares'!I$12/'KU Efficiencies'!I$12)</f>
        <v>273.21807495785595</v>
      </c>
      <c r="L38" s="227">
        <f>'KU Efficiencies'!J$54*('KU Shares'!J38/'KU Efficiencies'!J38)/('KU Shares'!J$12/'KU Efficiencies'!J$12)</f>
        <v>2232.656959178817</v>
      </c>
      <c r="M38" s="227">
        <f>'KU Efficiencies'!K$54*('KU Shares'!K38/(1/'KU Efficiencies'!K38))/('KU Shares'!K$12/(1/'KU Efficiencies'!K$12))</f>
        <v>617.90226368897152</v>
      </c>
      <c r="N38" s="227">
        <f>'KU Efficiencies'!L$54*('KU Shares'!L38/(1/'KU Efficiencies'!L38))/('KU Shares'!L$12/(1/'KU Efficiencies'!L$12))</f>
        <v>569.10062047913743</v>
      </c>
      <c r="O38" s="227">
        <f>'KU Efficiencies'!M$54*('KU Shares'!M38/(1/'KU Efficiencies'!M38))/('KU Shares'!M$12/(1/'KU Efficiencies'!M$12))</f>
        <v>99.786894897038508</v>
      </c>
      <c r="P38" s="227">
        <f>'KU Efficiencies'!N$54*('KU Shares'!N38/(1/'KU Efficiencies'!N38))/('KU Shares'!N$12/(1/'KU Efficiencies'!N$12))</f>
        <v>253.14065524520242</v>
      </c>
      <c r="Q38" s="227">
        <f>'KU Efficiencies'!O$54*('KU Shares'!O38/(1/'KU Efficiencies'!O38))/('KU Shares'!O$12/(1/'KU Efficiencies'!O$12))</f>
        <v>237.88237339052588</v>
      </c>
      <c r="R38" s="283">
        <f>'KU Efficiencies'!P$54*('KU Shares'!P38/'KU Efficiencies'!P38)/('KU Shares'!P$12/'KU Efficiencies'!P$12)</f>
        <v>236.80787015448783</v>
      </c>
      <c r="S38" s="264">
        <f>'KU Efficiencies'!Q$54*('KU Shares'!Q38/(1/'KU Efficiencies'!Q38))/('KU Shares'!Q$12/(1/'KU Efficiencies'!Q$12))</f>
        <v>59.368126019578689</v>
      </c>
      <c r="T38" s="283">
        <f>'KU Efficiencies'!R$54*('KU Shares'!R38/'KU Efficiencies'!R38)/('KU Shares'!R$12/'KU Efficiencies'!R$12)</f>
        <v>219.37429203021003</v>
      </c>
      <c r="U38" s="227">
        <f>'KU Efficiencies'!S$54*('KU Shares'!S38/(1/'KU Efficiencies'!S38))/('KU Shares'!S$12/(1/'KU Efficiencies'!S$12))</f>
        <v>462.2088493878764</v>
      </c>
      <c r="V38" s="283">
        <f>'KU Efficiencies'!T$54*('KU Shares'!T38/'KU Efficiencies'!T38)/('KU Shares'!T$12/'KU Efficiencies'!T$12)</f>
        <v>454.77831355689511</v>
      </c>
      <c r="W38" s="227">
        <f>'KU Efficiencies'!U$54*('KU Shares'!U38/(1/'KU Efficiencies'!U38))/('KU Shares'!U$12/(1/'KU Efficiencies'!U$12))</f>
        <v>833.57452269672297</v>
      </c>
      <c r="X38" s="227">
        <f>'KU Efficiencies'!V$54*('KU Shares'!V38/(1/'KU Efficiencies'!V38))/('KU Shares'!V$12/(1/'KU Efficiencies'!V$12))</f>
        <v>215.1109551984824</v>
      </c>
      <c r="Y38" s="227">
        <f>'KU Efficiencies'!W$54*('KU Shares'!W38/(1/'KU Efficiencies'!W38))/('KU Shares'!W$12/(1/'KU Efficiencies'!W$12))</f>
        <v>1074.1971761602467</v>
      </c>
      <c r="Z38" s="227">
        <f>'KU Efficiencies'!X$54*('KU Shares'!X38/(1/'KU Efficiencies'!X38))/('KU Shares'!X$12/(1/'KU Efficiencies'!X$12))</f>
        <v>7033.6667283835241</v>
      </c>
      <c r="AA38" s="286">
        <f t="shared" si="29"/>
        <v>1.7006046582953127E-2</v>
      </c>
      <c r="AB38" s="153">
        <f t="shared" si="32"/>
        <v>19718.789852809252</v>
      </c>
      <c r="AC38" s="198">
        <f t="shared" si="33"/>
        <v>2031</v>
      </c>
      <c r="AD38" s="192">
        <f t="shared" si="8"/>
        <v>4.4461733238106406E-2</v>
      </c>
      <c r="AE38" s="192">
        <f t="shared" si="9"/>
        <v>2.9887458772389873E-2</v>
      </c>
      <c r="AF38" s="192">
        <f t="shared" si="10"/>
        <v>3.3948676913893362E-3</v>
      </c>
      <c r="AG38" s="192">
        <f t="shared" si="11"/>
        <v>1.4401683708463058E-3</v>
      </c>
      <c r="AH38" s="192">
        <f t="shared" si="12"/>
        <v>0.11957278241137631</v>
      </c>
      <c r="AI38" s="192">
        <f t="shared" si="13"/>
        <v>4.8914975238818867E-2</v>
      </c>
      <c r="AJ38" s="192">
        <f t="shared" si="14"/>
        <v>6.4990967701557406E-3</v>
      </c>
      <c r="AK38" s="192">
        <f t="shared" si="15"/>
        <v>1.4330151955117642E-2</v>
      </c>
      <c r="AL38" s="192">
        <f t="shared" si="16"/>
        <v>0.11710174553282567</v>
      </c>
      <c r="AM38" s="192">
        <f t="shared" si="17"/>
        <v>3.2408665983903025E-2</v>
      </c>
      <c r="AN38" s="192">
        <f t="shared" si="18"/>
        <v>2.9849044103234145E-2</v>
      </c>
      <c r="AO38" s="192">
        <f t="shared" si="19"/>
        <v>5.2337729384283509E-3</v>
      </c>
      <c r="AP38" s="192">
        <f t="shared" si="20"/>
        <v>1.3277101290759586E-2</v>
      </c>
      <c r="AQ38" s="192">
        <f t="shared" si="21"/>
        <v>1.2476812006877997E-2</v>
      </c>
      <c r="AR38" s="192">
        <f t="shared" si="22"/>
        <v>3.1138286413970435E-3</v>
      </c>
      <c r="AS38" s="192">
        <f t="shared" si="23"/>
        <v>2.4242623947006565E-2</v>
      </c>
      <c r="AT38" s="192">
        <f t="shared" si="24"/>
        <v>4.3720568553164946E-2</v>
      </c>
      <c r="AU38" s="192">
        <f t="shared" si="25"/>
        <v>1.1282462464023453E-2</v>
      </c>
      <c r="AV38" s="192">
        <f t="shared" si="26"/>
        <v>5.6341106885073593E-2</v>
      </c>
      <c r="AW38" s="192">
        <f t="shared" si="27"/>
        <v>0.36891231678189129</v>
      </c>
    </row>
    <row r="39" spans="1:49" x14ac:dyDescent="0.2">
      <c r="A39" s="198">
        <f t="shared" si="31"/>
        <v>2032</v>
      </c>
      <c r="B39" s="226">
        <f t="shared" si="28"/>
        <v>1506.5212092805571</v>
      </c>
      <c r="C39" s="226">
        <f t="shared" si="4"/>
        <v>3622.6591010441462</v>
      </c>
      <c r="D39" s="227">
        <f>'KU Efficiencies'!B$54*'KU StructuralVars'!$Q39*('KU Shares'!B39/'KU Efficiencies'!B39)/('KU Shares'!B$12/'KU Efficiencies'!B$12)</f>
        <v>841.12173369161212</v>
      </c>
      <c r="E39" s="227">
        <f>'KU Efficiencies'!C$54*'KU StructuralVars'!$Q39*('KU Shares'!C39/'KU Efficiencies'!C39)/('KU Shares'!C$12/'KU Efficiencies'!C$12)</f>
        <v>574.00763558053234</v>
      </c>
      <c r="F39" s="227">
        <f>'KU Efficiencies'!D$54*'KU StructuralVars'!$Q39*('KU Shares'!D39/'KU Efficiencies'!D39)/('KU Shares'!D$12/'KU Efficiencies'!D$12)</f>
        <v>65.187494474076217</v>
      </c>
      <c r="G39" s="227">
        <f>'KU Efficiencies'!E$54*'KU StructuralVars'!$Q39*('KU Shares'!E39/(1/'KU Efficiencies'!E39))/('KU Shares'!E$12/(1/'KU Efficiencies'!E$12))</f>
        <v>26.204345534336476</v>
      </c>
      <c r="H39" s="227">
        <f>'KU Efficiencies'!F$54*'KU StructuralVars'!$R39*('KU Shares'!F39/'KU Efficiencies'!F39)/('KU Shares'!F$12/'KU Efficiencies'!F$12)</f>
        <v>2280.0323221778121</v>
      </c>
      <c r="I39" s="227">
        <f>'KU Efficiencies'!G$54*'KU StructuralVars'!$R39*('KU Shares'!G39/'KU Efficiencies'!G39)/('KU Shares'!G$12/'KU Efficiencies'!G$12)</f>
        <v>945.4491900383307</v>
      </c>
      <c r="J39" s="227">
        <f>'KU Efficiencies'!H$54*'KU StructuralVars'!$R39*('KU Shares'!H39/'KU Efficiencies'!H39)/('KU Shares'!H$12/'KU Efficiencies'!H$12)</f>
        <v>125.16341846256181</v>
      </c>
      <c r="K39" s="227">
        <f>'KU Efficiencies'!I$54*'KU StructuralVars'!$R39*('KU Shares'!I39/'KU Efficiencies'!I39)/('KU Shares'!I$12/'KU Efficiencies'!I$12)</f>
        <v>272.01417036544166</v>
      </c>
      <c r="L39" s="227">
        <f>'KU Efficiencies'!J$54*('KU Shares'!J39/'KU Efficiencies'!J39)/('KU Shares'!J$12/'KU Efficiencies'!J$12)</f>
        <v>2231.1137507521612</v>
      </c>
      <c r="M39" s="227">
        <f>'KU Efficiencies'!K$54*('KU Shares'!K39/(1/'KU Efficiencies'!K39))/('KU Shares'!K$12/(1/'KU Efficiencies'!K$12))</f>
        <v>618.15910782215087</v>
      </c>
      <c r="N39" s="227">
        <f>'KU Efficiencies'!L$54*('KU Shares'!L39/(1/'KU Efficiencies'!L39))/('KU Shares'!L$12/(1/'KU Efficiencies'!L$12))</f>
        <v>568.03927203988712</v>
      </c>
      <c r="O39" s="227">
        <f>'KU Efficiencies'!M$54*('KU Shares'!M39/(1/'KU Efficiencies'!M39))/('KU Shares'!M$12/(1/'KU Efficiencies'!M$12))</f>
        <v>99.503638349400276</v>
      </c>
      <c r="P39" s="227">
        <f>'KU Efficiencies'!N$54*('KU Shares'!N39/(1/'KU Efficiencies'!N39))/('KU Shares'!N$12/(1/'KU Efficiencies'!N$12))</f>
        <v>251.40231741045235</v>
      </c>
      <c r="Q39" s="227">
        <f>'KU Efficiencies'!O$54*('KU Shares'!O39/(1/'KU Efficiencies'!O39))/('KU Shares'!O$12/(1/'KU Efficiencies'!O$12))</f>
        <v>239.48195376486777</v>
      </c>
      <c r="R39" s="283">
        <f>'KU Efficiencies'!P$54*('KU Shares'!P39/'KU Efficiencies'!P39)/('KU Shares'!P$12/'KU Efficiencies'!P$12)</f>
        <v>238.40027267924435</v>
      </c>
      <c r="S39" s="264">
        <f>'KU Efficiencies'!Q$54*('KU Shares'!Q39/(1/'KU Efficiencies'!Q39))/('KU Shares'!Q$12/(1/'KU Efficiencies'!Q$12))</f>
        <v>59.027379497665358</v>
      </c>
      <c r="T39" s="283">
        <f>'KU Efficiencies'!R$54*('KU Shares'!R39/'KU Efficiencies'!R39)/('KU Shares'!R$12/'KU Efficiencies'!R$12)</f>
        <v>220.95959607661393</v>
      </c>
      <c r="U39" s="227">
        <f>'KU Efficiencies'!S$54*('KU Shares'!S39/(1/'KU Efficiencies'!S39))/('KU Shares'!S$12/(1/'KU Efficiencies'!S$12))</f>
        <v>461.43976778003179</v>
      </c>
      <c r="V39" s="283">
        <f>'KU Efficiencies'!T$54*('KU Shares'!T39/'KU Efficiencies'!T39)/('KU Shares'!T$12/'KU Efficiencies'!T$12)</f>
        <v>453.19317767217831</v>
      </c>
      <c r="W39" s="227">
        <f>'KU Efficiencies'!U$54*('KU Shares'!U39/(1/'KU Efficiencies'!U39))/('KU Shares'!U$12/(1/'KU Efficiencies'!U$12))</f>
        <v>840.25024874904545</v>
      </c>
      <c r="X39" s="227">
        <f>'KU Efficiencies'!V$54*('KU Shares'!V39/(1/'KU Efficiencies'!V39))/('KU Shares'!V$12/(1/'KU Efficiencies'!V$12))</f>
        <v>213.60966528106684</v>
      </c>
      <c r="Y39" s="227">
        <f>'KU Efficiencies'!W$54*('KU Shares'!W39/(1/'KU Efficiencies'!W39))/('KU Shares'!W$12/(1/'KU Efficiencies'!W$12))</f>
        <v>1070.0692847796925</v>
      </c>
      <c r="Z39" s="227">
        <f>'KU Efficiencies'!X$54*('KU Shares'!X39/(1/'KU Efficiencies'!X39))/('KU Shares'!X$12/(1/'KU Efficiencies'!X$12))</f>
        <v>7138.8838803119252</v>
      </c>
      <c r="AA39" s="286">
        <f t="shared" si="29"/>
        <v>1.4959075542179123E-2</v>
      </c>
      <c r="AB39" s="153">
        <f t="shared" si="32"/>
        <v>19832.713623291089</v>
      </c>
      <c r="AC39" s="198">
        <f t="shared" si="33"/>
        <v>2032</v>
      </c>
      <c r="AD39" s="192">
        <f t="shared" si="8"/>
        <v>4.4116416010954035E-2</v>
      </c>
      <c r="AE39" s="192">
        <f t="shared" si="9"/>
        <v>3.010641460136057E-2</v>
      </c>
      <c r="AF39" s="192">
        <f t="shared" si="10"/>
        <v>3.4190516184955792E-3</v>
      </c>
      <c r="AG39" s="192">
        <f t="shared" si="11"/>
        <v>1.374404872186341E-3</v>
      </c>
      <c r="AH39" s="192">
        <f t="shared" si="12"/>
        <v>0.11958655972679573</v>
      </c>
      <c r="AI39" s="192">
        <f t="shared" si="13"/>
        <v>4.9588339135988826E-2</v>
      </c>
      <c r="AJ39" s="192">
        <f t="shared" si="14"/>
        <v>6.5647589606476556E-3</v>
      </c>
      <c r="AK39" s="192">
        <f t="shared" si="15"/>
        <v>1.4267007758850899E-2</v>
      </c>
      <c r="AL39" s="192">
        <f t="shared" si="16"/>
        <v>0.11702080501944342</v>
      </c>
      <c r="AM39" s="192">
        <f t="shared" si="17"/>
        <v>3.2422137330766911E-2</v>
      </c>
      <c r="AN39" s="192">
        <f t="shared" si="18"/>
        <v>2.9793376906200677E-2</v>
      </c>
      <c r="AO39" s="192">
        <f t="shared" si="19"/>
        <v>5.2189162735808148E-3</v>
      </c>
      <c r="AP39" s="192">
        <f t="shared" si="20"/>
        <v>1.3185926337107121E-2</v>
      </c>
      <c r="AQ39" s="192">
        <f t="shared" si="21"/>
        <v>1.2560709200840289E-2</v>
      </c>
      <c r="AR39" s="192">
        <f t="shared" si="22"/>
        <v>3.0959566560316933E-3</v>
      </c>
      <c r="AS39" s="192">
        <f t="shared" si="23"/>
        <v>2.4202285999716657E-2</v>
      </c>
      <c r="AT39" s="192">
        <f t="shared" si="24"/>
        <v>4.4070707059760003E-2</v>
      </c>
      <c r="AU39" s="192">
        <f t="shared" si="25"/>
        <v>1.1203720555573329E-2</v>
      </c>
      <c r="AV39" s="192">
        <f t="shared" si="26"/>
        <v>5.6124601038062237E-2</v>
      </c>
      <c r="AW39" s="192">
        <f t="shared" si="27"/>
        <v>0.37443090399707191</v>
      </c>
    </row>
    <row r="40" spans="1:49" x14ac:dyDescent="0.2">
      <c r="A40" s="198">
        <f t="shared" si="31"/>
        <v>2033</v>
      </c>
      <c r="B40" s="226">
        <f t="shared" si="28"/>
        <v>1503.1326891489032</v>
      </c>
      <c r="C40" s="226">
        <f t="shared" si="4"/>
        <v>3635.3236659702375</v>
      </c>
      <c r="D40" s="227">
        <f>'KU Efficiencies'!B$54*'KU StructuralVars'!$Q40*('KU Shares'!B40/'KU Efficiencies'!B40)/('KU Shares'!B$12/'KU Efficiencies'!B$12)</f>
        <v>834.57093950629962</v>
      </c>
      <c r="E40" s="227">
        <f>'KU Efficiencies'!C$54*'KU StructuralVars'!$Q40*('KU Shares'!C40/'KU Efficiencies'!C40)/('KU Shares'!C$12/'KU Efficiencies'!C$12)</f>
        <v>578.0028961982556</v>
      </c>
      <c r="F40" s="227">
        <f>'KU Efficiencies'!D$54*'KU StructuralVars'!$Q40*('KU Shares'!D40/'KU Efficiencies'!D40)/('KU Shares'!D$12/'KU Efficiencies'!D$12)</f>
        <v>65.584579373213373</v>
      </c>
      <c r="G40" s="227">
        <f>'KU Efficiencies'!E$54*'KU StructuralVars'!$Q40*('KU Shares'!E40/(1/'KU Efficiencies'!E40))/('KU Shares'!E$12/(1/'KU Efficiencies'!E$12))</f>
        <v>24.974274071134619</v>
      </c>
      <c r="H40" s="227">
        <f>'KU Efficiencies'!F$54*'KU StructuralVars'!$R40*('KU Shares'!F40/'KU Efficiencies'!F40)/('KU Shares'!F$12/'KU Efficiencies'!F$12)</f>
        <v>2280.2033726692725</v>
      </c>
      <c r="I40" s="227">
        <f>'KU Efficiencies'!G$54*'KU StructuralVars'!$R40*('KU Shares'!G40/'KU Efficiencies'!G40)/('KU Shares'!G$12/'KU Efficiencies'!G$12)</f>
        <v>957.99989334808106</v>
      </c>
      <c r="J40" s="227">
        <f>'KU Efficiencies'!H$54*'KU StructuralVars'!$R40*('KU Shares'!H40/'KU Efficiencies'!H40)/('KU Shares'!H$12/'KU Efficiencies'!H$12)</f>
        <v>126.2944274607365</v>
      </c>
      <c r="K40" s="227">
        <f>'KU Efficiencies'!I$54*'KU StructuralVars'!$R40*('KU Shares'!I40/'KU Efficiencies'!I40)/('KU Shares'!I$12/'KU Efficiencies'!I$12)</f>
        <v>270.82597249214717</v>
      </c>
      <c r="L40" s="227">
        <f>'KU Efficiencies'!J$54*('KU Shares'!J40/'KU Efficiencies'!J40)/('KU Shares'!J$12/'KU Efficiencies'!J$12)</f>
        <v>2230.4454393019564</v>
      </c>
      <c r="M40" s="227">
        <f>'KU Efficiencies'!K$54*('KU Shares'!K40/(1/'KU Efficiencies'!K40))/('KU Shares'!K$12/(1/'KU Efficiencies'!K$12))</f>
        <v>618.27402504255144</v>
      </c>
      <c r="N40" s="227">
        <f>'KU Efficiencies'!L$54*('KU Shares'!L40/(1/'KU Efficiencies'!L40))/('KU Shares'!L$12/(1/'KU Efficiencies'!L$12))</f>
        <v>567.10119969701395</v>
      </c>
      <c r="O40" s="227">
        <f>'KU Efficiencies'!M$54*('KU Shares'!M40/(1/'KU Efficiencies'!M40))/('KU Shares'!M$12/(1/'KU Efficiencies'!M$12))</f>
        <v>99.249581510436244</v>
      </c>
      <c r="P40" s="227">
        <f>'KU Efficiencies'!N$54*('KU Shares'!N40/(1/'KU Efficiencies'!N40))/('KU Shares'!N$12/(1/'KU Efficiencies'!N$12))</f>
        <v>249.73777908905234</v>
      </c>
      <c r="Q40" s="227">
        <f>'KU Efficiencies'!O$54*('KU Shares'!O40/(1/'KU Efficiencies'!O40))/('KU Shares'!O$12/(1/'KU Efficiencies'!O$12))</f>
        <v>241.0482570491682</v>
      </c>
      <c r="R40" s="283">
        <f>'KU Efficiencies'!P$54*('KU Shares'!P40/'KU Efficiencies'!P40)/('KU Shares'!P$12/'KU Efficiencies'!P$12)</f>
        <v>239.95946383220507</v>
      </c>
      <c r="S40" s="264">
        <f>'KU Efficiencies'!Q$54*('KU Shares'!Q40/(1/'KU Efficiencies'!Q40))/('KU Shares'!Q$12/(1/'KU Efficiencies'!Q$12))</f>
        <v>59.037294754723249</v>
      </c>
      <c r="T40" s="283">
        <f>'KU Efficiencies'!R$54*('KU Shares'!R40/'KU Efficiencies'!R40)/('KU Shares'!R$12/'KU Efficiencies'!R$12)</f>
        <v>221.33471054535269</v>
      </c>
      <c r="U40" s="227">
        <f>'KU Efficiencies'!S$54*('KU Shares'!S40/(1/'KU Efficiencies'!S40))/('KU Shares'!S$12/(1/'KU Efficiencies'!S$12))</f>
        <v>461.15568218135746</v>
      </c>
      <c r="V40" s="283">
        <f>'KU Efficiencies'!T$54*('KU Shares'!T40/'KU Efficiencies'!T40)/('KU Shares'!T$12/'KU Efficiencies'!T$12)</f>
        <v>452.52232766654919</v>
      </c>
      <c r="W40" s="227">
        <f>'KU Efficiencies'!U$54*('KU Shares'!U40/(1/'KU Efficiencies'!U40))/('KU Shares'!U$12/(1/'KU Efficiencies'!U$12))</f>
        <v>846.21242150180751</v>
      </c>
      <c r="X40" s="227">
        <f>'KU Efficiencies'!V$54*('KU Shares'!V40/(1/'KU Efficiencies'!V40))/('KU Shares'!V$12/(1/'KU Efficiencies'!V$12))</f>
        <v>212.24683225019928</v>
      </c>
      <c r="Y40" s="227">
        <f>'KU Efficiencies'!W$54*('KU Shares'!W40/(1/'KU Efficiencies'!W40))/('KU Shares'!W$12/(1/'KU Efficiencies'!W$12))</f>
        <v>1065.7162464199123</v>
      </c>
      <c r="Z40" s="227">
        <f>'KU Efficiencies'!X$54*('KU Shares'!X40/(1/'KU Efficiencies'!X40))/('KU Shares'!X$12/(1/'KU Efficiencies'!X$12))</f>
        <v>7234.6442703003386</v>
      </c>
      <c r="AA40" s="286">
        <f t="shared" si="29"/>
        <v>1.3413916179881857E-2</v>
      </c>
      <c r="AB40" s="153">
        <f t="shared" si="32"/>
        <v>19937.141886261765</v>
      </c>
      <c r="AC40" s="198">
        <f t="shared" si="33"/>
        <v>2033</v>
      </c>
      <c r="AD40" s="192">
        <f t="shared" si="8"/>
        <v>4.3772830118561271E-2</v>
      </c>
      <c r="AE40" s="192">
        <f t="shared" si="9"/>
        <v>3.0315964030918269E-2</v>
      </c>
      <c r="AF40" s="192">
        <f t="shared" si="10"/>
        <v>3.439878523686957E-3</v>
      </c>
      <c r="AG40" s="192">
        <f t="shared" si="11"/>
        <v>1.3098882365792147E-3</v>
      </c>
      <c r="AH40" s="192">
        <f t="shared" si="12"/>
        <v>0.11959553123988104</v>
      </c>
      <c r="AI40" s="192">
        <f t="shared" si="13"/>
        <v>5.0246617273700112E-2</v>
      </c>
      <c r="AJ40" s="192">
        <f t="shared" si="14"/>
        <v>6.6240798193022256E-3</v>
      </c>
      <c r="AK40" s="192">
        <f t="shared" si="15"/>
        <v>1.4204687372179248E-2</v>
      </c>
      <c r="AL40" s="192">
        <f t="shared" si="16"/>
        <v>0.11698575241673309</v>
      </c>
      <c r="AM40" s="192">
        <f t="shared" si="17"/>
        <v>3.2428164681742332E-2</v>
      </c>
      <c r="AN40" s="192">
        <f t="shared" si="18"/>
        <v>2.9744175479024457E-2</v>
      </c>
      <c r="AO40" s="192">
        <f t="shared" si="19"/>
        <v>5.2055911189103085E-3</v>
      </c>
      <c r="AP40" s="192">
        <f t="shared" si="20"/>
        <v>1.3098622131173973E-2</v>
      </c>
      <c r="AQ40" s="192">
        <f t="shared" si="21"/>
        <v>1.264286102800358E-2</v>
      </c>
      <c r="AR40" s="192">
        <f t="shared" si="22"/>
        <v>3.0964767063260804E-3</v>
      </c>
      <c r="AS40" s="192">
        <f t="shared" si="23"/>
        <v>2.418738585155519E-2</v>
      </c>
      <c r="AT40" s="192">
        <f t="shared" si="24"/>
        <v>4.4383420051178749E-2</v>
      </c>
      <c r="AU40" s="192">
        <f t="shared" si="25"/>
        <v>1.1132240641864112E-2</v>
      </c>
      <c r="AV40" s="192">
        <f t="shared" si="26"/>
        <v>5.5896286344125065E-2</v>
      </c>
      <c r="AW40" s="192">
        <f t="shared" si="27"/>
        <v>0.37945348875844598</v>
      </c>
    </row>
    <row r="41" spans="1:49" x14ac:dyDescent="0.2">
      <c r="A41" s="198">
        <f t="shared" si="31"/>
        <v>2034</v>
      </c>
      <c r="B41" s="226">
        <f t="shared" si="28"/>
        <v>1499.8643099798649</v>
      </c>
      <c r="C41" s="226">
        <f t="shared" si="4"/>
        <v>3648.4719816033571</v>
      </c>
      <c r="D41" s="227">
        <f>'KU Efficiencies'!B$54*'KU StructuralVars'!$Q41*('KU Shares'!B41/'KU Efficiencies'!B41)/('KU Shares'!B$12/'KU Efficiencies'!B$12)</f>
        <v>828.11167541186603</v>
      </c>
      <c r="E41" s="227">
        <f>'KU Efficiencies'!C$54*'KU StructuralVars'!$Q41*('KU Shares'!C41/'KU Efficiencies'!C41)/('KU Shares'!C$12/'KU Efficiencies'!C$12)</f>
        <v>582.02980640687861</v>
      </c>
      <c r="F41" s="227">
        <f>'KU Efficiencies'!D$54*'KU StructuralVars'!$Q41*('KU Shares'!D41/'KU Efficiencies'!D41)/('KU Shares'!D$12/'KU Efficiencies'!D$12)</f>
        <v>65.949730917891642</v>
      </c>
      <c r="G41" s="227">
        <f>'KU Efficiencies'!E$54*'KU StructuralVars'!$Q41*('KU Shares'!E41/(1/'KU Efficiencies'!E41))/('KU Shares'!E$12/(1/'KU Efficiencies'!E$12))</f>
        <v>23.77309724322858</v>
      </c>
      <c r="H41" s="227">
        <f>'KU Efficiencies'!F$54*'KU StructuralVars'!$R41*('KU Shares'!F41/'KU Efficiencies'!F41)/('KU Shares'!F$12/'KU Efficiencies'!F$12)</f>
        <v>2280.7221494313744</v>
      </c>
      <c r="I41" s="227">
        <f>'KU Efficiencies'!G$54*'KU StructuralVars'!$R41*('KU Shares'!G41/'KU Efficiencies'!G41)/('KU Shares'!G$12/'KU Efficiencies'!G$12)</f>
        <v>970.67561625078758</v>
      </c>
      <c r="J41" s="227">
        <f>'KU Efficiencies'!H$54*'KU StructuralVars'!$R41*('KU Shares'!H41/'KU Efficiencies'!H41)/('KU Shares'!H$12/'KU Efficiencies'!H$12)</f>
        <v>127.36418001303996</v>
      </c>
      <c r="K41" s="227">
        <f>'KU Efficiencies'!I$54*'KU StructuralVars'!$R41*('KU Shares'!I41/'KU Efficiencies'!I41)/('KU Shares'!I$12/'KU Efficiencies'!I$12)</f>
        <v>269.71003590815519</v>
      </c>
      <c r="L41" s="227">
        <f>'KU Efficiencies'!J$54*('KU Shares'!J41/'KU Efficiencies'!J41)/('KU Shares'!J$12/'KU Efficiencies'!J$12)</f>
        <v>2230.3077870701713</v>
      </c>
      <c r="M41" s="227">
        <f>'KU Efficiencies'!K$54*('KU Shares'!K41/(1/'KU Efficiencies'!K41))/('KU Shares'!K$12/(1/'KU Efficiencies'!K$12))</f>
        <v>618.29676319200553</v>
      </c>
      <c r="N41" s="227">
        <f>'KU Efficiencies'!L$54*('KU Shares'!L41/(1/'KU Efficiencies'!L41))/('KU Shares'!L$12/(1/'KU Efficiencies'!L$12))</f>
        <v>566.29896325139157</v>
      </c>
      <c r="O41" s="227">
        <f>'KU Efficiencies'!M$54*('KU Shares'!M41/(1/'KU Efficiencies'!M41))/('KU Shares'!M$12/(1/'KU Efficiencies'!M$12))</f>
        <v>99.029970393275335</v>
      </c>
      <c r="P41" s="227">
        <f>'KU Efficiencies'!N$54*('KU Shares'!N41/(1/'KU Efficiencies'!N41))/('KU Shares'!N$12/(1/'KU Efficiencies'!N$12))</f>
        <v>248.16540836079196</v>
      </c>
      <c r="Q41" s="227">
        <f>'KU Efficiencies'!O$54*('KU Shares'!O41/(1/'KU Efficiencies'!O41))/('KU Shares'!O$12/(1/'KU Efficiencies'!O$12))</f>
        <v>242.5957253041226</v>
      </c>
      <c r="R41" s="283">
        <f>'KU Efficiencies'!P$54*('KU Shares'!P41/'KU Efficiencies'!P41)/('KU Shares'!P$12/'KU Efficiencies'!P$12)</f>
        <v>241.49990667560883</v>
      </c>
      <c r="S41" s="264">
        <f>'KU Efficiencies'!Q$54*('KU Shares'!Q41/(1/'KU Efficiencies'!Q41))/('KU Shares'!Q$12/(1/'KU Efficiencies'!Q$12))</f>
        <v>59.059590700381179</v>
      </c>
      <c r="T41" s="283">
        <f>'KU Efficiencies'!R$54*('KU Shares'!R41/'KU Efficiencies'!R41)/('KU Shares'!R$12/'KU Efficiencies'!R$12)</f>
        <v>221.5187956592795</v>
      </c>
      <c r="U41" s="227">
        <f>'KU Efficiencies'!S$54*('KU Shares'!S41/(1/'KU Efficiencies'!S41))/('KU Shares'!S$12/(1/'KU Efficiencies'!S$12))</f>
        <v>461.41078745073344</v>
      </c>
      <c r="V41" s="283">
        <f>'KU Efficiencies'!T$54*('KU Shares'!T41/'KU Efficiencies'!T41)/('KU Shares'!T$12/'KU Efficiencies'!T$12)</f>
        <v>452.67937914875819</v>
      </c>
      <c r="W41" s="227">
        <f>'KU Efficiencies'!U$54*('KU Shares'!U41/(1/'KU Efficiencies'!U41))/('KU Shares'!U$12/(1/'KU Efficiencies'!U$12))</f>
        <v>851.90103695682535</v>
      </c>
      <c r="X41" s="227">
        <f>'KU Efficiencies'!V$54*('KU Shares'!V41/(1/'KU Efficiencies'!V41))/('KU Shares'!V$12/(1/'KU Efficiencies'!V$12))</f>
        <v>210.90073326274137</v>
      </c>
      <c r="Y41" s="227">
        <f>'KU Efficiencies'!W$54*('KU Shares'!W41/(1/'KU Efficiencies'!W41))/('KU Shares'!W$12/(1/'KU Efficiencies'!W$12))</f>
        <v>1061.3461516007064</v>
      </c>
      <c r="Z41" s="227">
        <f>'KU Efficiencies'!X$54*('KU Shares'!X41/(1/'KU Efficiencies'!X41))/('KU Shares'!X$12/(1/'KU Efficiencies'!X$12))</f>
        <v>7322.9266832172179</v>
      </c>
      <c r="AA41" s="286">
        <f t="shared" si="29"/>
        <v>1.2202730309670784E-2</v>
      </c>
      <c r="AB41" s="153">
        <f t="shared" si="32"/>
        <v>20036.273973827232</v>
      </c>
      <c r="AC41" s="198">
        <f t="shared" si="33"/>
        <v>2034</v>
      </c>
      <c r="AD41" s="192">
        <f t="shared" si="8"/>
        <v>4.3434044933848483E-2</v>
      </c>
      <c r="AE41" s="192">
        <f t="shared" si="9"/>
        <v>3.0527173465755564E-2</v>
      </c>
      <c r="AF41" s="192">
        <f t="shared" si="10"/>
        <v>3.4590305403413919E-3</v>
      </c>
      <c r="AG41" s="192">
        <f t="shared" si="11"/>
        <v>1.2468871102023641E-3</v>
      </c>
      <c r="AH41" s="192">
        <f t="shared" si="12"/>
        <v>0.11962274082267621</v>
      </c>
      <c r="AI41" s="192">
        <f t="shared" si="13"/>
        <v>5.0911452626795868E-2</v>
      </c>
      <c r="AJ41" s="192">
        <f t="shared" si="14"/>
        <v>6.6801878078796588E-3</v>
      </c>
      <c r="AK41" s="192">
        <f t="shared" si="15"/>
        <v>1.4146157054141737E-2</v>
      </c>
      <c r="AL41" s="192">
        <f t="shared" si="16"/>
        <v>0.11697853262573374</v>
      </c>
      <c r="AM41" s="192">
        <f t="shared" si="17"/>
        <v>3.2429357286356451E-2</v>
      </c>
      <c r="AN41" s="192">
        <f t="shared" si="18"/>
        <v>2.9702098577005894E-2</v>
      </c>
      <c r="AO41" s="192">
        <f t="shared" si="19"/>
        <v>5.1940726251926634E-3</v>
      </c>
      <c r="AP41" s="192">
        <f t="shared" si="20"/>
        <v>1.3016152069596876E-2</v>
      </c>
      <c r="AQ41" s="192">
        <f t="shared" si="21"/>
        <v>1.272402496725847E-2</v>
      </c>
      <c r="AR41" s="192">
        <f t="shared" si="22"/>
        <v>3.0976461175713302E-3</v>
      </c>
      <c r="AS41" s="192">
        <f t="shared" si="23"/>
        <v>2.4200765995878629E-2</v>
      </c>
      <c r="AT41" s="192">
        <f t="shared" si="24"/>
        <v>4.4681785098576184E-2</v>
      </c>
      <c r="AU41" s="192">
        <f t="shared" si="25"/>
        <v>1.1061638420397332E-2</v>
      </c>
      <c r="AV41" s="192">
        <f t="shared" si="26"/>
        <v>5.5667077047385993E-2</v>
      </c>
      <c r="AW41" s="192">
        <f t="shared" si="27"/>
        <v>0.38408385734682898</v>
      </c>
    </row>
    <row r="42" spans="1:49" x14ac:dyDescent="0.2">
      <c r="A42" s="198">
        <f t="shared" si="31"/>
        <v>2035</v>
      </c>
      <c r="B42" s="226">
        <f t="shared" si="28"/>
        <v>1496.4089343720104</v>
      </c>
      <c r="C42" s="226">
        <f t="shared" si="4"/>
        <v>3661.1080454942503</v>
      </c>
      <c r="D42" s="227">
        <f>'KU Efficiencies'!B$54*'KU StructuralVars'!$Q42*('KU Shares'!B42/'KU Efficiencies'!B42)/('KU Shares'!B$12/'KU Efficiencies'!B$12)</f>
        <v>821.58881405904788</v>
      </c>
      <c r="E42" s="227">
        <f>'KU Efficiencies'!C$54*'KU StructuralVars'!$Q42*('KU Shares'!C42/'KU Efficiencies'!C42)/('KU Shares'!C$12/'KU Efficiencies'!C$12)</f>
        <v>585.95002404355603</v>
      </c>
      <c r="F42" s="227">
        <f>'KU Efficiencies'!D$54*'KU StructuralVars'!$Q42*('KU Shares'!D42/'KU Efficiencies'!D42)/('KU Shares'!D$12/'KU Efficiencies'!D$12)</f>
        <v>66.267971577454432</v>
      </c>
      <c r="G42" s="227">
        <f>'KU Efficiencies'!E$54*'KU StructuralVars'!$Q42*('KU Shares'!E42/(1/'KU Efficiencies'!E42))/('KU Shares'!E$12/(1/'KU Efficiencies'!E$12))</f>
        <v>22.602124691952085</v>
      </c>
      <c r="H42" s="227">
        <f>'KU Efficiencies'!F$54*'KU StructuralVars'!$R42*('KU Shares'!F42/'KU Efficiencies'!F42)/('KU Shares'!F$12/'KU Efficiencies'!F$12)</f>
        <v>2281.0609237500621</v>
      </c>
      <c r="I42" s="227">
        <f>'KU Efficiencies'!G$54*'KU StructuralVars'!$R42*('KU Shares'!G42/'KU Efficiencies'!G42)/('KU Shares'!G$12/'KU Efficiencies'!G$12)</f>
        <v>983.09500545994229</v>
      </c>
      <c r="J42" s="227">
        <f>'KU Efficiencies'!H$54*'KU StructuralVars'!$R42*('KU Shares'!H42/'KU Efficiencies'!H42)/('KU Shares'!H$12/'KU Efficiencies'!H$12)</f>
        <v>128.34601228660981</v>
      </c>
      <c r="K42" s="227">
        <f>'KU Efficiencies'!I$54*'KU StructuralVars'!$R42*('KU Shares'!I42/'KU Efficiencies'!I42)/('KU Shares'!I$12/'KU Efficiencies'!I$12)</f>
        <v>268.60610399763556</v>
      </c>
      <c r="L42" s="227">
        <f>'KU Efficiencies'!J$54*('KU Shares'!J42/'KU Efficiencies'!J42)/('KU Shares'!J$12/'KU Efficiencies'!J$12)</f>
        <v>2231.0659322818074</v>
      </c>
      <c r="M42" s="227">
        <f>'KU Efficiencies'!K$54*('KU Shares'!K42/(1/'KU Efficiencies'!K42))/('KU Shares'!K$12/(1/'KU Efficiencies'!K$12))</f>
        <v>618.31327037377548</v>
      </c>
      <c r="N42" s="227">
        <f>'KU Efficiencies'!L$54*('KU Shares'!L42/(1/'KU Efficiencies'!L42))/('KU Shares'!L$12/(1/'KU Efficiencies'!L$12))</f>
        <v>565.62080311254908</v>
      </c>
      <c r="O42" s="227">
        <f>'KU Efficiencies'!M$54*('KU Shares'!M42/(1/'KU Efficiencies'!M42))/('KU Shares'!M$12/(1/'KU Efficiencies'!M$12))</f>
        <v>98.839685542935541</v>
      </c>
      <c r="P42" s="227">
        <f>'KU Efficiencies'!N$54*('KU Shares'!N42/(1/'KU Efficiencies'!N42))/('KU Shares'!N$12/(1/'KU Efficiencies'!N$12))</f>
        <v>246.67622850087182</v>
      </c>
      <c r="Q42" s="227">
        <f>'KU Efficiencies'!O$54*('KU Shares'!O42/(1/'KU Efficiencies'!O42))/('KU Shares'!O$12/(1/'KU Efficiencies'!O$12))</f>
        <v>244.12776236938609</v>
      </c>
      <c r="R42" s="283">
        <f>'KU Efficiencies'!P$54*('KU Shares'!P42/'KU Efficiencies'!P42)/('KU Shares'!P$12/'KU Efficiencies'!P$12)</f>
        <v>243.02503639264373</v>
      </c>
      <c r="S42" s="264">
        <f>'KU Efficiencies'!Q$54*('KU Shares'!Q42/(1/'KU Efficiencies'!Q42))/('KU Shares'!Q$12/(1/'KU Efficiencies'!Q$12))</f>
        <v>59.094755352452381</v>
      </c>
      <c r="T42" s="283">
        <f>'KU Efficiencies'!R$54*('KU Shares'!R42/'KU Efficiencies'!R42)/('KU Shares'!R$12/'KU Efficiencies'!R$12)</f>
        <v>221.70010494920047</v>
      </c>
      <c r="U42" s="227">
        <f>'KU Efficiencies'!S$54*('KU Shares'!S42/(1/'KU Efficiencies'!S42))/('KU Shares'!S$12/(1/'KU Efficiencies'!S$12))</f>
        <v>462.60863506495451</v>
      </c>
      <c r="V42" s="283">
        <f>'KU Efficiencies'!T$54*('KU Shares'!T42/'KU Efficiencies'!T42)/('KU Shares'!T$12/'KU Efficiencies'!T$12)</f>
        <v>453.73893430407236</v>
      </c>
      <c r="W42" s="227">
        <f>'KU Efficiencies'!U$54*('KU Shares'!U42/(1/'KU Efficiencies'!U42))/('KU Shares'!U$12/(1/'KU Efficiencies'!U$12))</f>
        <v>857.79390910068753</v>
      </c>
      <c r="X42" s="227">
        <f>'KU Efficiencies'!V$54*('KU Shares'!V42/(1/'KU Efficiencies'!V42))/('KU Shares'!V$12/(1/'KU Efficiencies'!V$12))</f>
        <v>209.5324238392264</v>
      </c>
      <c r="Y42" s="227">
        <f>'KU Efficiencies'!W$54*('KU Shares'!W42/(1/'KU Efficiencies'!W42))/('KU Shares'!W$12/(1/'KU Efficiencies'!W$12))</f>
        <v>1057.629380394337</v>
      </c>
      <c r="Z42" s="227">
        <f>'KU Efficiencies'!X$54*('KU Shares'!X42/(1/'KU Efficiencies'!X42))/('KU Shares'!X$12/(1/'KU Efficiencies'!X$12))</f>
        <v>7411.1565088000598</v>
      </c>
      <c r="AA42" s="286">
        <f t="shared" si="29"/>
        <v>1.2048437653356281E-2</v>
      </c>
      <c r="AB42" s="153">
        <f t="shared" si="32"/>
        <v>20138.440350245222</v>
      </c>
      <c r="AC42" s="198">
        <f t="shared" si="33"/>
        <v>2035</v>
      </c>
      <c r="AD42" s="192">
        <f t="shared" si="8"/>
        <v>4.3091924104608083E-2</v>
      </c>
      <c r="AE42" s="192">
        <f t="shared" si="9"/>
        <v>3.073278692833261E-2</v>
      </c>
      <c r="AF42" s="192">
        <f t="shared" si="10"/>
        <v>3.4757221044355137E-3</v>
      </c>
      <c r="AG42" s="192">
        <f t="shared" si="11"/>
        <v>1.1854701830914752E-3</v>
      </c>
      <c r="AH42" s="192">
        <f t="shared" si="12"/>
        <v>0.11964050936696463</v>
      </c>
      <c r="AI42" s="192">
        <f t="shared" si="13"/>
        <v>5.156284340533198E-2</v>
      </c>
      <c r="AJ42" s="192">
        <f t="shared" si="14"/>
        <v>6.731684421626259E-3</v>
      </c>
      <c r="AK42" s="192">
        <f t="shared" si="15"/>
        <v>1.4088256375248916E-2</v>
      </c>
      <c r="AL42" s="192">
        <f t="shared" si="16"/>
        <v>0.11701829696448939</v>
      </c>
      <c r="AM42" s="192">
        <f t="shared" si="17"/>
        <v>3.2430223079818868E-2</v>
      </c>
      <c r="AN42" s="192">
        <f t="shared" si="18"/>
        <v>2.966652941548166E-2</v>
      </c>
      <c r="AO42" s="192">
        <f t="shared" si="19"/>
        <v>5.1840922795638221E-3</v>
      </c>
      <c r="AP42" s="192">
        <f t="shared" si="20"/>
        <v>1.2938045327630964E-2</v>
      </c>
      <c r="AQ42" s="192">
        <f t="shared" si="21"/>
        <v>1.2804379548299584E-2</v>
      </c>
      <c r="AR42" s="192">
        <f t="shared" si="22"/>
        <v>3.0994904860586893E-3</v>
      </c>
      <c r="AS42" s="192">
        <f t="shared" si="23"/>
        <v>2.4263592506655822E-2</v>
      </c>
      <c r="AT42" s="192">
        <f t="shared" si="24"/>
        <v>4.4990863307573341E-2</v>
      </c>
      <c r="AU42" s="192">
        <f t="shared" si="25"/>
        <v>1.098987127262128E-2</v>
      </c>
      <c r="AV42" s="192">
        <f t="shared" si="26"/>
        <v>5.5472134248751991E-2</v>
      </c>
      <c r="AW42" s="192">
        <f t="shared" si="27"/>
        <v>0.38871146775573284</v>
      </c>
    </row>
    <row r="43" spans="1:49" x14ac:dyDescent="0.2">
      <c r="A43" s="198">
        <f t="shared" si="31"/>
        <v>2036</v>
      </c>
      <c r="B43" s="226">
        <f t="shared" si="28"/>
        <v>1492.6810252214389</v>
      </c>
      <c r="C43" s="226">
        <f t="shared" si="4"/>
        <v>3672.5745581543083</v>
      </c>
      <c r="D43" s="227">
        <f>'KU Efficiencies'!B$54*'KU StructuralVars'!$Q43*('KU Shares'!B43/'KU Efficiencies'!B43)/('KU Shares'!B$12/'KU Efficiencies'!B$12)</f>
        <v>815.09775822460892</v>
      </c>
      <c r="E43" s="227">
        <f>'KU Efficiencies'!C$54*'KU StructuralVars'!$Q43*('KU Shares'!C43/'KU Efficiencies'!C43)/('KU Shares'!C$12/'KU Efficiencies'!C$12)</f>
        <v>589.83184092111912</v>
      </c>
      <c r="F43" s="227">
        <f t="shared" ref="F43:F50" si="34">F42</f>
        <v>66.267971577454432</v>
      </c>
      <c r="G43" s="227">
        <f>'KU Efficiencies'!E$54*'KU StructuralVars'!$Q43*('KU Shares'!E43/(1/'KU Efficiencies'!E43))/('KU Shares'!E$12/(1/'KU Efficiencies'!E$12))</f>
        <v>21.48345449825651</v>
      </c>
      <c r="H43" s="227">
        <f>'KU Efficiencies'!F$54*'KU StructuralVars'!$R43*('KU Shares'!F43/'KU Efficiencies'!F43)/('KU Shares'!F$12/'KU Efficiencies'!F$12)</f>
        <v>2281.3937881449556</v>
      </c>
      <c r="I43" s="227">
        <f>'KU Efficiencies'!G$54*'KU StructuralVars'!$R43*('KU Shares'!G43/'KU Efficiencies'!G43)/('KU Shares'!G$12/'KU Efficiencies'!G$12)</f>
        <v>995.50277414052744</v>
      </c>
      <c r="J43" s="227">
        <f>'KU Efficiencies'!H$54*'KU StructuralVars'!$R43*('KU Shares'!H43/'KU Efficiencies'!H43)/('KU Shares'!H$12/'KU Efficiencies'!H$12)</f>
        <v>128.1747438664446</v>
      </c>
      <c r="K43" s="227">
        <f>'KU Efficiencies'!I$54*'KU StructuralVars'!$R43*('KU Shares'!I43/'KU Efficiencies'!I43)/('KU Shares'!I$12/'KU Efficiencies'!I$12)</f>
        <v>267.50325200238075</v>
      </c>
      <c r="L43" s="227">
        <f>'KU Efficiencies'!J$54*('KU Shares'!J43/'KU Efficiencies'!J43)/('KU Shares'!J$12/'KU Efficiencies'!J$12)</f>
        <v>2231.8230005572323</v>
      </c>
      <c r="M43" s="227">
        <f>'KU Efficiencies'!K$54*('KU Shares'!K43/(1/'KU Efficiencies'!K43))/('KU Shares'!K$12/(1/'KU Efficiencies'!K$12))</f>
        <v>618.32955981669159</v>
      </c>
      <c r="N43" s="227">
        <f t="shared" ref="N43:N50" si="35">N42</f>
        <v>565.62080311254908</v>
      </c>
      <c r="O43" s="227">
        <f>'KU Efficiencies'!M$54*('KU Shares'!M43/(1/'KU Efficiencies'!M43))/('KU Shares'!M$12/(1/'KU Efficiencies'!M$12))</f>
        <v>98.649581052806198</v>
      </c>
      <c r="P43" s="227">
        <f>'KU Efficiencies'!N$54*('KU Shares'!N43/(1/'KU Efficiencies'!N43))/('KU Shares'!N$12/(1/'KU Efficiencies'!N$12))</f>
        <v>245.18948066701776</v>
      </c>
      <c r="Q43" s="227">
        <f>'KU Efficiencies'!O$54*('KU Shares'!O43/(1/'KU Efficiencies'!O43))/('KU Shares'!O$12/(1/'KU Efficiencies'!O$12))</f>
        <v>245.65979927137519</v>
      </c>
      <c r="R43" s="283">
        <f>'KU Efficiencies'!P$54*('KU Shares'!P43/'KU Efficiencies'!P43)/('KU Shares'!P$12/'KU Efficiencies'!P$12)</f>
        <v>244.55016610967857</v>
      </c>
      <c r="S43" s="264">
        <f>'KU Efficiencies'!Q$54*('KU Shares'!Q43/(1/'KU Efficiencies'!Q43))/('KU Shares'!Q$12/(1/'KU Efficiencies'!Q$12))</f>
        <v>59.129901394695878</v>
      </c>
      <c r="T43" s="283">
        <f>'KU Efficiencies'!R$54*('KU Shares'!R43/'KU Efficiencies'!R43)/('KU Shares'!R$12/'KU Efficiencies'!R$12)</f>
        <v>221.8814142391214</v>
      </c>
      <c r="U43" s="227">
        <f>'KU Efficiencies'!S$54*('KU Shares'!S43/(1/'KU Efficiencies'!S43))/('KU Shares'!S$12/(1/'KU Efficiencies'!S$12))</f>
        <v>463.80773542828143</v>
      </c>
      <c r="V43" s="283">
        <f>'KU Efficiencies'!T$54*('KU Shares'!T43/'KU Efficiencies'!T43)/('KU Shares'!T$12/'KU Efficiencies'!T$12)</f>
        <v>454.79919967592144</v>
      </c>
      <c r="W43" s="227">
        <f>'KU Efficiencies'!U$54*('KU Shares'!U43/(1/'KU Efficiencies'!U43))/('KU Shares'!U$12/(1/'KU Efficiencies'!U$12))</f>
        <v>863.72754412732309</v>
      </c>
      <c r="X43" s="227">
        <f>'KU Efficiencies'!V$54*('KU Shares'!V43/(1/'KU Efficiencies'!V43))/('KU Shares'!V$12/(1/'KU Efficiencies'!V$12))</f>
        <v>208.17299191295635</v>
      </c>
      <c r="Y43" s="227">
        <f>'KU Efficiencies'!W$54*('KU Shares'!W43/(1/'KU Efficiencies'!W43))/('KU Shares'!W$12/(1/'KU Efficiencies'!W$12))</f>
        <v>1053.925625100052</v>
      </c>
      <c r="Z43" s="227">
        <f>'KU Efficiencies'!X$54*('KU Shares'!X43/(1/'KU Efficiencies'!X43))/('KU Shares'!X$12/(1/'KU Efficiencies'!X$12))</f>
        <v>7500.4493659356003</v>
      </c>
      <c r="AA43" s="286">
        <f t="shared" si="29"/>
        <v>1.2048437653355837E-2</v>
      </c>
      <c r="AB43" s="153">
        <f t="shared" si="32"/>
        <v>20240.971751777048</v>
      </c>
      <c r="AC43" s="198">
        <f t="shared" si="33"/>
        <v>2036</v>
      </c>
      <c r="AD43" s="192">
        <f t="shared" si="8"/>
        <v>4.2751471458965913E-2</v>
      </c>
      <c r="AE43" s="192">
        <f t="shared" si="9"/>
        <v>3.0936386290219629E-2</v>
      </c>
      <c r="AF43" s="192">
        <f t="shared" si="10"/>
        <v>3.4757221044355137E-3</v>
      </c>
      <c r="AG43" s="192">
        <f t="shared" si="11"/>
        <v>1.1267964885864862E-3</v>
      </c>
      <c r="AH43" s="192">
        <f t="shared" si="12"/>
        <v>0.11965796793869349</v>
      </c>
      <c r="AI43" s="192">
        <f t="shared" si="13"/>
        <v>5.2213624692932233E-2</v>
      </c>
      <c r="AJ43" s="192">
        <f t="shared" si="14"/>
        <v>6.7227014782889312E-3</v>
      </c>
      <c r="AK43" s="192">
        <f t="shared" si="15"/>
        <v>1.4030412337373881E-2</v>
      </c>
      <c r="AL43" s="192">
        <f t="shared" si="16"/>
        <v>0.11705800481847713</v>
      </c>
      <c r="AM43" s="192">
        <f t="shared" si="17"/>
        <v>3.2431077452986852E-2</v>
      </c>
      <c r="AN43" s="192">
        <f t="shared" si="18"/>
        <v>2.966652941548166E-2</v>
      </c>
      <c r="AO43" s="192">
        <f t="shared" si="19"/>
        <v>5.1741213937381908E-3</v>
      </c>
      <c r="AP43" s="192">
        <f t="shared" si="20"/>
        <v>1.2860066144220946E-2</v>
      </c>
      <c r="AQ43" s="192">
        <f t="shared" si="21"/>
        <v>1.2884734120777038E-2</v>
      </c>
      <c r="AR43" s="192">
        <f t="shared" si="22"/>
        <v>3.1013338784698537E-3</v>
      </c>
      <c r="AS43" s="192">
        <f t="shared" si="23"/>
        <v>2.4326484723499683E-2</v>
      </c>
      <c r="AT43" s="192">
        <f t="shared" si="24"/>
        <v>4.5302079509469982E-2</v>
      </c>
      <c r="AU43" s="192">
        <f t="shared" si="25"/>
        <v>1.0918569745154282E-2</v>
      </c>
      <c r="AV43" s="192">
        <f t="shared" si="26"/>
        <v>5.5277874128224234E-2</v>
      </c>
      <c r="AW43" s="192">
        <f t="shared" si="27"/>
        <v>0.39339483364013228</v>
      </c>
    </row>
    <row r="44" spans="1:49" x14ac:dyDescent="0.2">
      <c r="A44" s="198">
        <f t="shared" si="31"/>
        <v>2037</v>
      </c>
      <c r="B44" s="226">
        <f t="shared" si="28"/>
        <v>1488.9966695178991</v>
      </c>
      <c r="C44" s="226">
        <f t="shared" si="4"/>
        <v>3684.0246527719273</v>
      </c>
      <c r="D44" s="227">
        <f>'KU Efficiencies'!B$54*'KU StructuralVars'!$Q44*('KU Shares'!B44/'KU Efficiencies'!B44)/('KU Shares'!B$12/'KU Efficiencies'!B$12)</f>
        <v>808.63838692449224</v>
      </c>
      <c r="E44" s="227">
        <f>'KU Efficiencies'!C$54*'KU StructuralVars'!$Q44*('KU Shares'!C44/'KU Efficiencies'!C44)/('KU Shares'!C$12/'KU Efficiencies'!C$12)</f>
        <v>593.67543046081551</v>
      </c>
      <c r="F44" s="227">
        <f t="shared" si="34"/>
        <v>66.267971577454432</v>
      </c>
      <c r="G44" s="227">
        <f>'KU Efficiencies'!E$54*'KU StructuralVars'!$Q44*('KU Shares'!E44/(1/'KU Efficiencies'!E44))/('KU Shares'!E$12/(1/'KU Efficiencies'!E$12))</f>
        <v>20.414880555137074</v>
      </c>
      <c r="H44" s="227">
        <f>'KU Efficiencies'!F$54*'KU StructuralVars'!$R44*('KU Shares'!F44/'KU Efficiencies'!F44)/('KU Shares'!F$12/'KU Efficiencies'!F$12)</f>
        <v>2281.720681279683</v>
      </c>
      <c r="I44" s="227">
        <f>'KU Efficiencies'!G$54*'KU StructuralVars'!$R44*('KU Shares'!G44/'KU Efficiencies'!G44)/('KU Shares'!G$12/'KU Efficiencies'!G$12)</f>
        <v>1007.8988143655292</v>
      </c>
      <c r="J44" s="227">
        <f>'KU Efficiencies'!H$54*'KU StructuralVars'!$R44*('KU Shares'!H44/'KU Efficiencies'!H44)/('KU Shares'!H$12/'KU Efficiencies'!H$12)</f>
        <v>128.00368077616201</v>
      </c>
      <c r="K44" s="227">
        <f>'KU Efficiencies'!I$54*'KU StructuralVars'!$R44*('KU Shares'!I44/'KU Efficiencies'!I44)/('KU Shares'!I$12/'KU Efficiencies'!I$12)</f>
        <v>266.40147635055291</v>
      </c>
      <c r="L44" s="227">
        <f>'KU Efficiencies'!J$54*('KU Shares'!J44/'KU Efficiencies'!J44)/('KU Shares'!J$12/'KU Efficiencies'!J$12)</f>
        <v>2232.5789941894791</v>
      </c>
      <c r="M44" s="227">
        <f>'KU Efficiencies'!K$54*('KU Shares'!K44/(1/'KU Efficiencies'!K44))/('KU Shares'!K$12/(1/'KU Efficiencies'!K$12))</f>
        <v>618.34563176250128</v>
      </c>
      <c r="N44" s="227">
        <f t="shared" si="35"/>
        <v>565.62080311254908</v>
      </c>
      <c r="O44" s="227">
        <f>'KU Efficiencies'!M$54*('KU Shares'!M44/(1/'KU Efficiencies'!M44))/('KU Shares'!M$12/(1/'KU Efficiencies'!M$12))</f>
        <v>98.459656891483533</v>
      </c>
      <c r="P44" s="227">
        <f>'KU Efficiencies'!N$54*('KU Shares'!N44/(1/'KU Efficiencies'!N44))/('KU Shares'!N$12/(1/'KU Efficiencies'!N$12))</f>
        <v>243.7051648592298</v>
      </c>
      <c r="Q44" s="227">
        <f>'KU Efficiencies'!O$54*('KU Shares'!O44/(1/'KU Efficiencies'!O44))/('KU Shares'!O$12/(1/'KU Efficiencies'!O$12))</f>
        <v>247.19183601008999</v>
      </c>
      <c r="R44" s="283">
        <f>'KU Efficiencies'!P$54*('KU Shares'!P44/'KU Efficiencies'!P44)/('KU Shares'!P$12/'KU Efficiencies'!P$12)</f>
        <v>246.07529582671347</v>
      </c>
      <c r="S44" s="264">
        <f>'KU Efficiencies'!Q$54*('KU Shares'!Q44/(1/'KU Efficiencies'!Q44))/('KU Shares'!Q$12/(1/'KU Efficiencies'!Q$12))</f>
        <v>59.165028833660628</v>
      </c>
      <c r="T44" s="283">
        <f>'KU Efficiencies'!R$54*('KU Shares'!R44/'KU Efficiencies'!R44)/('KU Shares'!R$12/'KU Efficiencies'!R$12)</f>
        <v>222.06272352904236</v>
      </c>
      <c r="U44" s="227">
        <f>'KU Efficiencies'!S$54*('KU Shares'!S44/(1/'KU Efficiencies'!S44))/('KU Shares'!S$12/(1/'KU Efficiencies'!S$12))</f>
        <v>465.00808960193172</v>
      </c>
      <c r="V44" s="283">
        <f>'KU Efficiencies'!T$54*('KU Shares'!T44/'KU Efficiencies'!T44)/('KU Shares'!T$12/'KU Efficiencies'!T$12)</f>
        <v>455.86017597862889</v>
      </c>
      <c r="W44" s="227">
        <f>'KU Efficiencies'!U$54*('KU Shares'!U44/(1/'KU Efficiencies'!U44))/('KU Shares'!U$12/(1/'KU Efficiencies'!U$12))</f>
        <v>869.7022240066392</v>
      </c>
      <c r="X44" s="227">
        <f>'KU Efficiencies'!V$54*('KU Shares'!V44/(1/'KU Efficiencies'!V44))/('KU Shares'!V$12/(1/'KU Efficiencies'!V$12))</f>
        <v>206.82237988734076</v>
      </c>
      <c r="Y44" s="227">
        <f>'KU Efficiencies'!W$54*('KU Shares'!W44/(1/'KU Efficiencies'!W44))/('KU Shares'!W$12/(1/'KU Efficiencies'!W$12))</f>
        <v>1050.2348401369002</v>
      </c>
      <c r="Z44" s="227">
        <f>'KU Efficiencies'!X$54*('KU Shares'!X44/(1/'KU Efficiencies'!X44))/('KU Shares'!X$12/(1/'KU Efficiencies'!X$12))</f>
        <v>7590.8180624932311</v>
      </c>
      <c r="AA44" s="286">
        <f t="shared" si="29"/>
        <v>1.2048437653356281E-2</v>
      </c>
      <c r="AB44" s="153">
        <f>SUM(D44:Z44)</f>
        <v>20344.672229409247</v>
      </c>
      <c r="AC44" s="198">
        <f t="shared" si="33"/>
        <v>2037</v>
      </c>
      <c r="AD44" s="192">
        <f t="shared" si="8"/>
        <v>4.241268065136844E-2</v>
      </c>
      <c r="AE44" s="192">
        <f t="shared" si="9"/>
        <v>3.1137980647274688E-2</v>
      </c>
      <c r="AF44" s="192">
        <f t="shared" si="10"/>
        <v>3.4757221044355137E-3</v>
      </c>
      <c r="AG44" s="192">
        <f t="shared" si="11"/>
        <v>1.0707503174737485E-3</v>
      </c>
      <c r="AH44" s="192">
        <f t="shared" si="12"/>
        <v>0.11967511332080062</v>
      </c>
      <c r="AI44" s="192">
        <f t="shared" si="13"/>
        <v>5.2863790828878494E-2</v>
      </c>
      <c r="AJ44" s="192">
        <f t="shared" si="14"/>
        <v>6.7137293044016817E-3</v>
      </c>
      <c r="AK44" s="192">
        <f t="shared" si="15"/>
        <v>1.3972624753175518E-2</v>
      </c>
      <c r="AL44" s="192">
        <f t="shared" si="16"/>
        <v>0.1170976563079654</v>
      </c>
      <c r="AM44" s="192">
        <f t="shared" si="17"/>
        <v>3.2431920418539928E-2</v>
      </c>
      <c r="AN44" s="192">
        <f t="shared" si="18"/>
        <v>2.966652941548166E-2</v>
      </c>
      <c r="AO44" s="192">
        <f t="shared" si="19"/>
        <v>5.1641599660686563E-3</v>
      </c>
      <c r="AP44" s="192">
        <f t="shared" si="20"/>
        <v>1.2782214519366824E-2</v>
      </c>
      <c r="AQ44" s="192">
        <f t="shared" si="21"/>
        <v>1.2965088684690835E-2</v>
      </c>
      <c r="AR44" s="192">
        <f t="shared" si="22"/>
        <v>3.1031762951483134E-3</v>
      </c>
      <c r="AS44" s="192">
        <f t="shared" si="23"/>
        <v>2.4389442702070541E-2</v>
      </c>
      <c r="AT44" s="192">
        <f t="shared" si="24"/>
        <v>4.5615448493447307E-2</v>
      </c>
      <c r="AU44" s="192">
        <f t="shared" si="25"/>
        <v>1.0847730817083852E-2</v>
      </c>
      <c r="AV44" s="192">
        <f t="shared" si="26"/>
        <v>5.5084294295104523E-2</v>
      </c>
      <c r="AW44" s="192">
        <f t="shared" si="27"/>
        <v>0.39813462676639788</v>
      </c>
    </row>
    <row r="45" spans="1:49" x14ac:dyDescent="0.2">
      <c r="A45" s="198">
        <f t="shared" si="31"/>
        <v>2038</v>
      </c>
      <c r="B45" s="226">
        <f t="shared" si="28"/>
        <v>1483.1029353822175</v>
      </c>
      <c r="C45" s="226">
        <f t="shared" si="4"/>
        <v>3695.4581510083744</v>
      </c>
      <c r="D45" s="227">
        <f>'KU Efficiencies'!B$54*'KU StructuralVars'!$Q45*('KU Shares'!B45/'KU Efficiencies'!B45)/('KU Shares'!B$12/'KU Efficiencies'!B$12)</f>
        <v>805.9609286263651</v>
      </c>
      <c r="E45" s="227">
        <f>'KU Efficiencies'!C$54*'KU StructuralVars'!$Q45*('KU Shares'!C45/'KU Efficiencies'!C45)/('KU Shares'!C$12/'KU Efficiencies'!C$12)</f>
        <v>591.47974880392962</v>
      </c>
      <c r="F45" s="227">
        <f t="shared" si="34"/>
        <v>66.267971577454432</v>
      </c>
      <c r="G45" s="227">
        <f>'KU Efficiencies'!E$54*'KU StructuralVars'!$Q45*('KU Shares'!E45/(1/'KU Efficiencies'!E45))/('KU Shares'!E$12/(1/'KU Efficiencies'!E$12))</f>
        <v>19.394286374468393</v>
      </c>
      <c r="H45" s="227">
        <f>'KU Efficiencies'!F$54*'KU StructuralVars'!$R45*('KU Shares'!F45/'KU Efficiencies'!F45)/('KU Shares'!F$12/'KU Efficiencies'!F$12)</f>
        <v>2282.0415418669941</v>
      </c>
      <c r="I45" s="227">
        <f>'KU Efficiencies'!G$54*'KU StructuralVars'!$R45*('KU Shares'!G45/'KU Efficiencies'!G45)/('KU Shares'!G$12/'KU Efficiencies'!G$12)</f>
        <v>1020.2830170791289</v>
      </c>
      <c r="J45" s="227">
        <f>'KU Efficiencies'!H$54*'KU StructuralVars'!$R45*('KU Shares'!H45/'KU Efficiencies'!H45)/('KU Shares'!H$12/'KU Efficiencies'!H$12)</f>
        <v>127.8328184750891</v>
      </c>
      <c r="K45" s="227">
        <f>'KU Efficiencies'!I$54*'KU StructuralVars'!$R45*('KU Shares'!I45/'KU Efficiencies'!I45)/('KU Shares'!I$12/'KU Efficiencies'!I$12)</f>
        <v>265.30077358716227</v>
      </c>
      <c r="L45" s="227">
        <f>'KU Efficiencies'!J$54*('KU Shares'!J45/'KU Efficiencies'!J45)/('KU Shares'!J$12/'KU Efficiencies'!J$12)</f>
        <v>2233.3339154650766</v>
      </c>
      <c r="M45" s="227">
        <f>'KU Efficiencies'!K$54*('KU Shares'!K45/(1/'KU Efficiencies'!K45))/('KU Shares'!K$12/(1/'KU Efficiencies'!K$12))</f>
        <v>618.3614864527483</v>
      </c>
      <c r="N45" s="227">
        <f t="shared" si="35"/>
        <v>565.62080311254908</v>
      </c>
      <c r="O45" s="227">
        <f>'KU Efficiencies'!M$54*('KU Shares'!M45/(1/'KU Efficiencies'!M45))/('KU Shares'!M$12/(1/'KU Efficiencies'!M$12))</f>
        <v>98.269913027568776</v>
      </c>
      <c r="P45" s="227">
        <f>'KU Efficiencies'!N$54*('KU Shares'!N45/(1/'KU Efficiencies'!N45))/('KU Shares'!N$12/(1/'KU Efficiencies'!N$12))</f>
        <v>242.22328107750783</v>
      </c>
      <c r="Q45" s="227">
        <f>'KU Efficiencies'!O$54*('KU Shares'!O45/(1/'KU Efficiencies'!O45))/('KU Shares'!O$12/(1/'KU Efficiencies'!O$12))</f>
        <v>248.72387258553027</v>
      </c>
      <c r="R45" s="283">
        <f>'KU Efficiencies'!P$54*('KU Shares'!P45/'KU Efficiencies'!P45)/('KU Shares'!P$12/'KU Efficiencies'!P$12)</f>
        <v>247.60042554374837</v>
      </c>
      <c r="S45" s="264">
        <f>'KU Efficiencies'!Q$54*('KU Shares'!Q45/(1/'KU Efficiencies'!Q45))/('KU Shares'!Q$12/(1/'KU Efficiencies'!Q$12))</f>
        <v>59.200137675893522</v>
      </c>
      <c r="T45" s="283">
        <f>'KU Efficiencies'!R$54*('KU Shares'!R45/'KU Efficiencies'!R45)/('KU Shares'!R$12/'KU Efficiencies'!R$12)</f>
        <v>222.24403281896332</v>
      </c>
      <c r="U45" s="227">
        <f>'KU Efficiencies'!S$54*('KU Shares'!S45/(1/'KU Efficiencies'!S45))/('KU Shares'!S$12/(1/'KU Efficiencies'!S$12))</f>
        <v>466.20969864793915</v>
      </c>
      <c r="V45" s="283">
        <f>'KU Efficiencies'!T$54*('KU Shares'!T45/'KU Efficiencies'!T45)/('KU Shares'!T$12/'KU Efficiencies'!T$12)</f>
        <v>456.92186392747607</v>
      </c>
      <c r="W45" s="227">
        <f>'KU Efficiencies'!U$54*('KU Shares'!U45/(1/'KU Efficiencies'!U45))/('KU Shares'!U$12/(1/'KU Efficiencies'!U$12))</f>
        <v>875.71823265901946</v>
      </c>
      <c r="X45" s="227">
        <f>'KU Efficiencies'!V$54*('KU Shares'!V45/(1/'KU Efficiencies'!V45))/('KU Shares'!V$12/(1/'KU Efficiencies'!V$12))</f>
        <v>205.48053053947214</v>
      </c>
      <c r="Y45" s="227">
        <f>'KU Efficiencies'!W$54*('KU Shares'!W45/(1/'KU Efficiencies'!W45))/('KU Shares'!W$12/(1/'KU Efficiencies'!W$12))</f>
        <v>1046.5569800835522</v>
      </c>
      <c r="Z45" s="227">
        <f>'KU Efficiencies'!X$54*('KU Shares'!X45/(1/'KU Efficiencies'!X45))/('KU Shares'!X$12/(1/'KU Efficiencies'!X$12))</f>
        <v>7682.2755606571518</v>
      </c>
      <c r="AA45" s="286">
        <f t="shared" si="29"/>
        <v>1.2048437653356281E-2</v>
      </c>
      <c r="AB45" s="153">
        <f>SUM(D45:Z45)</f>
        <v>20447.30182066479</v>
      </c>
      <c r="AC45" s="198">
        <f t="shared" si="33"/>
        <v>2038</v>
      </c>
      <c r="AD45" s="192">
        <f t="shared" si="8"/>
        <v>4.2272249297141344E-2</v>
      </c>
      <c r="AE45" s="192">
        <f t="shared" si="9"/>
        <v>3.1022818237931557E-2</v>
      </c>
      <c r="AF45" s="192">
        <f t="shared" si="10"/>
        <v>3.4757221044355137E-3</v>
      </c>
      <c r="AG45" s="192">
        <f t="shared" si="11"/>
        <v>1.0172206610052045E-3</v>
      </c>
      <c r="AH45" s="192">
        <f t="shared" si="12"/>
        <v>0.11969194229880029</v>
      </c>
      <c r="AI45" s="192">
        <f t="shared" si="13"/>
        <v>5.3513336093247398E-2</v>
      </c>
      <c r="AJ45" s="192">
        <f t="shared" si="14"/>
        <v>6.7047676618084764E-3</v>
      </c>
      <c r="AK45" s="192">
        <f t="shared" si="15"/>
        <v>1.3914893441441334E-2</v>
      </c>
      <c r="AL45" s="192">
        <f t="shared" si="16"/>
        <v>0.11713725155288152</v>
      </c>
      <c r="AM45" s="192">
        <f t="shared" si="17"/>
        <v>3.2432751989146948E-2</v>
      </c>
      <c r="AN45" s="192">
        <f t="shared" si="18"/>
        <v>2.966652941548166E-2</v>
      </c>
      <c r="AO45" s="192">
        <f t="shared" si="19"/>
        <v>5.1542079949083702E-3</v>
      </c>
      <c r="AP45" s="192">
        <f t="shared" si="20"/>
        <v>1.270449045306859E-2</v>
      </c>
      <c r="AQ45" s="192">
        <f t="shared" si="21"/>
        <v>1.3045443240040967E-2</v>
      </c>
      <c r="AR45" s="192">
        <f t="shared" si="22"/>
        <v>3.1050177364374491E-3</v>
      </c>
      <c r="AS45" s="192">
        <f t="shared" si="23"/>
        <v>2.4452466498071545E-2</v>
      </c>
      <c r="AT45" s="192">
        <f t="shared" si="24"/>
        <v>4.5930985150988021E-2</v>
      </c>
      <c r="AU45" s="192">
        <f t="shared" si="25"/>
        <v>1.0777351487096996E-2</v>
      </c>
      <c r="AV45" s="192">
        <f t="shared" si="26"/>
        <v>5.489139236706677E-2</v>
      </c>
      <c r="AW45" s="192">
        <f t="shared" si="27"/>
        <v>0.40293152699463508</v>
      </c>
    </row>
    <row r="46" spans="1:49" x14ac:dyDescent="0.2">
      <c r="A46" s="198">
        <f t="shared" si="31"/>
        <v>2039</v>
      </c>
      <c r="B46" s="226">
        <f t="shared" si="28"/>
        <v>1477.2682782718628</v>
      </c>
      <c r="C46" s="226">
        <f t="shared" si="4"/>
        <v>3706.8748736103853</v>
      </c>
      <c r="D46" s="227">
        <f>'KU Efficiencies'!B$54*'KU StructuralVars'!$Q46*('KU Shares'!B46/'KU Efficiencies'!B46)/('KU Shares'!B$12/'KU Efficiencies'!B$12)</f>
        <v>803.29005868035858</v>
      </c>
      <c r="E46" s="227">
        <f>'KU Efficiencies'!C$54*'KU StructuralVars'!$Q46*('KU Shares'!C46/'KU Efficiencies'!C46)/('KU Shares'!C$12/'KU Efficiencies'!C$12)</f>
        <v>589.29060647269057</v>
      </c>
      <c r="F46" s="227">
        <f t="shared" si="34"/>
        <v>66.267971577454432</v>
      </c>
      <c r="G46" s="227">
        <f>'KU Efficiencies'!E$54*'KU StructuralVars'!$Q46*('KU Shares'!E46/(1/'KU Efficiencies'!E46))/('KU Shares'!E$12/(1/'KU Efficiencies'!E$12))</f>
        <v>18.419641541359187</v>
      </c>
      <c r="H46" s="227">
        <f>'KU Efficiencies'!F$54*'KU StructuralVars'!$R46*('KU Shares'!F46/'KU Efficiencies'!F46)/('KU Shares'!F$12/'KU Efficiencies'!F$12)</f>
        <v>2282.3563086775944</v>
      </c>
      <c r="I46" s="227">
        <f>'KU Efficiencies'!G$54*'KU StructuralVars'!$R46*('KU Shares'!G46/'KU Efficiencies'!G46)/('KU Shares'!G$12/'KU Efficiencies'!G$12)</f>
        <v>1032.6552721049816</v>
      </c>
      <c r="J46" s="227">
        <f>'KU Efficiencies'!H$54*'KU StructuralVars'!$R46*('KU Shares'!H46/'KU Efficiencies'!H46)/('KU Shares'!H$12/'KU Efficiencies'!H$12)</f>
        <v>127.66215245335557</v>
      </c>
      <c r="K46" s="227">
        <f>'KU Efficiencies'!I$54*'KU StructuralVars'!$R46*('KU Shares'!I46/'KU Efficiencies'!I46)/('KU Shares'!I$12/'KU Efficiencies'!I$12)</f>
        <v>264.20114037445347</v>
      </c>
      <c r="L46" s="227">
        <f>'KU Efficiencies'!J$54*('KU Shares'!J46/'KU Efficiencies'!J46)/('KU Shares'!J$12/'KU Efficiencies'!J$12)</f>
        <v>2234.0877666640722</v>
      </c>
      <c r="M46" s="227">
        <f>'KU Efficiencies'!K$54*('KU Shares'!K46/(1/'KU Efficiencies'!K46))/('KU Shares'!K$12/(1/'KU Efficiencies'!K$12))</f>
        <v>618.37712412877136</v>
      </c>
      <c r="N46" s="227">
        <f t="shared" si="35"/>
        <v>565.62080311254908</v>
      </c>
      <c r="O46" s="227">
        <f>'KU Efficiencies'!M$54*('KU Shares'!M46/(1/'KU Efficiencies'!M46))/('KU Shares'!M$12/(1/'KU Efficiencies'!M$12))</f>
        <v>98.08034942966782</v>
      </c>
      <c r="P46" s="227">
        <f>'KU Efficiencies'!N$54*('KU Shares'!N46/(1/'KU Efficiencies'!N46))/('KU Shares'!N$12/(1/'KU Efficiencies'!N$12))</f>
        <v>240.74382932185202</v>
      </c>
      <c r="Q46" s="227">
        <f>'KU Efficiencies'!O$54*('KU Shares'!O46/(1/'KU Efficiencies'!O46))/('KU Shares'!O$12/(1/'KU Efficiencies'!O$12))</f>
        <v>250.25590899769614</v>
      </c>
      <c r="R46" s="283">
        <f>'KU Efficiencies'!P$54*('KU Shares'!P46/'KU Efficiencies'!P46)/('KU Shares'!P$12/'KU Efficiencies'!P$12)</f>
        <v>249.12555526078324</v>
      </c>
      <c r="S46" s="264">
        <f>'KU Efficiencies'!Q$54*('KU Shares'!Q46/(1/'KU Efficiencies'!Q46))/('KU Shares'!Q$12/(1/'KU Efficiencies'!Q$12))</f>
        <v>59.235227927939519</v>
      </c>
      <c r="T46" s="283">
        <f>'KU Efficiencies'!R$54*('KU Shares'!R46/'KU Efficiencies'!R46)/('KU Shares'!R$12/'KU Efficiencies'!R$12)</f>
        <v>222.42534210888428</v>
      </c>
      <c r="U46" s="227">
        <f>'KU Efficiencies'!S$54*('KU Shares'!S46/(1/'KU Efficiencies'!S46))/('KU Shares'!S$12/(1/'KU Efficiencies'!S$12))</f>
        <v>467.41256362915459</v>
      </c>
      <c r="V46" s="283">
        <f>'KU Efficiencies'!T$54*('KU Shares'!T46/'KU Efficiencies'!T46)/('KU Shares'!T$12/'KU Efficiencies'!T$12)</f>
        <v>457.98426423870461</v>
      </c>
      <c r="W46" s="227">
        <f>'KU Efficiencies'!U$54*('KU Shares'!U46/(1/'KU Efficiencies'!U46))/('KU Shares'!U$12/(1/'KU Efficiencies'!U$12))</f>
        <v>881.77585596881511</v>
      </c>
      <c r="X46" s="227">
        <f>'KU Efficiencies'!V$54*('KU Shares'!V46/(1/'KU Efficiencies'!V46))/('KU Shares'!V$12/(1/'KU Efficiencies'!V$12))</f>
        <v>204.14738701770096</v>
      </c>
      <c r="Y46" s="227">
        <f>'KU Efficiencies'!W$54*('KU Shares'!W46/(1/'KU Efficiencies'!W46))/('KU Shares'!W$12/(1/'KU Efficiencies'!W$12))</f>
        <v>1042.8919996777408</v>
      </c>
      <c r="Z46" s="227">
        <f>'KU Efficiencies'!X$54*('KU Shares'!X46/(1/'KU Efficiencies'!X46))/('KU Shares'!X$12/(1/'KU Efficiencies'!X$12))</f>
        <v>7774.8349787856296</v>
      </c>
      <c r="AA46" s="286">
        <f t="shared" si="29"/>
        <v>1.2048437653355837E-2</v>
      </c>
      <c r="AB46" s="153">
        <f t="shared" ref="AB46:AB49" si="36">SUM(D46:Z46)</f>
        <v>20551.142108152213</v>
      </c>
      <c r="AC46" s="198">
        <f t="shared" si="33"/>
        <v>2039</v>
      </c>
      <c r="AD46" s="192">
        <f t="shared" si="8"/>
        <v>4.2132163498701636E-2</v>
      </c>
      <c r="AE46" s="192">
        <f t="shared" si="9"/>
        <v>3.0907998812961683E-2</v>
      </c>
      <c r="AF46" s="192">
        <f t="shared" si="10"/>
        <v>3.4757221044355137E-3</v>
      </c>
      <c r="AG46" s="192">
        <f t="shared" si="11"/>
        <v>9.6610102493105518E-4</v>
      </c>
      <c r="AH46" s="192">
        <f t="shared" si="12"/>
        <v>0.11970845166124648</v>
      </c>
      <c r="AI46" s="192">
        <f t="shared" si="13"/>
        <v>5.416225470734453E-2</v>
      </c>
      <c r="AJ46" s="192">
        <f t="shared" si="14"/>
        <v>6.6958163139688642E-3</v>
      </c>
      <c r="AK46" s="192">
        <f t="shared" si="15"/>
        <v>1.3857218227107723E-2</v>
      </c>
      <c r="AL46" s="192">
        <f t="shared" si="16"/>
        <v>0.11717679067281279</v>
      </c>
      <c r="AM46" s="192">
        <f t="shared" si="17"/>
        <v>3.2433572177466008E-2</v>
      </c>
      <c r="AN46" s="192">
        <f t="shared" si="18"/>
        <v>2.966652941548166E-2</v>
      </c>
      <c r="AO46" s="192">
        <f t="shared" si="19"/>
        <v>5.1442654786107251E-3</v>
      </c>
      <c r="AP46" s="192">
        <f t="shared" si="20"/>
        <v>1.2626893945326253E-2</v>
      </c>
      <c r="AQ46" s="192">
        <f t="shared" si="21"/>
        <v>1.3125797786827436E-2</v>
      </c>
      <c r="AR46" s="192">
        <f t="shared" si="22"/>
        <v>3.1068582026805413E-3</v>
      </c>
      <c r="AS46" s="192">
        <f t="shared" si="23"/>
        <v>2.4515556167248688E-2</v>
      </c>
      <c r="AT46" s="192">
        <f t="shared" si="24"/>
        <v>4.6248704476583975E-2</v>
      </c>
      <c r="AU46" s="192">
        <f t="shared" si="25"/>
        <v>1.0707428773353008E-2</v>
      </c>
      <c r="AV46" s="192">
        <f t="shared" si="26"/>
        <v>5.4699165970127597E-2</v>
      </c>
      <c r="AW46" s="192">
        <f t="shared" si="27"/>
        <v>0.40778622237620149</v>
      </c>
    </row>
    <row r="47" spans="1:49" x14ac:dyDescent="0.2">
      <c r="A47" s="198">
        <f t="shared" si="31"/>
        <v>2040</v>
      </c>
      <c r="B47" s="226">
        <f t="shared" si="28"/>
        <v>1471.4906958617771</v>
      </c>
      <c r="C47" s="226">
        <f t="shared" si="4"/>
        <v>3718.274640428378</v>
      </c>
      <c r="D47" s="227">
        <f>'KU Efficiencies'!B$54*'KU StructuralVars'!$Q47*('KU Shares'!B47/'KU Efficiencies'!B47)/('KU Shares'!B$12/'KU Efficiencies'!B$12)</f>
        <v>800.62574999594938</v>
      </c>
      <c r="E47" s="227">
        <f>'KU Efficiencies'!C$54*'KU StructuralVars'!$Q47*('KU Shares'!C47/'KU Efficiencies'!C47)/('KU Shares'!C$12/'KU Efficiencies'!C$12)</f>
        <v>587.10797598228135</v>
      </c>
      <c r="F47" s="227">
        <f t="shared" si="34"/>
        <v>66.267971577454432</v>
      </c>
      <c r="G47" s="227">
        <f>'KU Efficiencies'!E$54*'KU StructuralVars'!$Q47*('KU Shares'!E47/(1/'KU Efficiencies'!E47))/('KU Shares'!E$12/(1/'KU Efficiencies'!E$12))</f>
        <v>17.488998306092029</v>
      </c>
      <c r="H47" s="227">
        <f>'KU Efficiencies'!F$54*'KU StructuralVars'!$R47*('KU Shares'!F47/'KU Efficiencies'!F47)/('KU Shares'!F$12/'KU Efficiencies'!F$12)</f>
        <v>2282.664920549113</v>
      </c>
      <c r="I47" s="227">
        <f>'KU Efficiencies'!G$54*'KU StructuralVars'!$R47*('KU Shares'!G47/'KU Efficiencies'!G47)/('KU Shares'!G$12/'KU Efficiencies'!G$12)</f>
        <v>1045.0154681548254</v>
      </c>
      <c r="J47" s="227">
        <f>'KU Efficiencies'!H$54*'KU StructuralVars'!$R47*('KU Shares'!H47/'KU Efficiencies'!H47)/('KU Shares'!H$12/'KU Efficiencies'!H$12)</f>
        <v>127.49167823215366</v>
      </c>
      <c r="K47" s="227">
        <f>'KU Efficiencies'!I$54*'KU StructuralVars'!$R47*('KU Shares'!I47/'KU Efficiencies'!I47)/('KU Shares'!I$12/'KU Efficiencies'!I$12)</f>
        <v>263.10257349228573</v>
      </c>
      <c r="L47" s="227">
        <f>'KU Efficiencies'!J$54*('KU Shares'!J47/'KU Efficiencies'!J47)/('KU Shares'!J$12/'KU Efficiencies'!J$12)</f>
        <v>2234.8405500600525</v>
      </c>
      <c r="M47" s="227">
        <f>'KU Efficiencies'!K$54*('KU Shares'!K47/(1/'KU Efficiencies'!K47))/('KU Shares'!K$12/(1/'KU Efficiencies'!K$12))</f>
        <v>618.39254503170605</v>
      </c>
      <c r="N47" s="227">
        <f t="shared" si="35"/>
        <v>565.62080311254908</v>
      </c>
      <c r="O47" s="227">
        <f>'KU Efficiencies'!M$54*('KU Shares'!M47/(1/'KU Efficiencies'!M47))/('KU Shares'!M$12/(1/'KU Efficiencies'!M$12))</f>
        <v>97.890966066391726</v>
      </c>
      <c r="P47" s="227">
        <f>'KU Efficiencies'!N$54*('KU Shares'!N47/(1/'KU Efficiencies'!N47))/('KU Shares'!N$12/(1/'KU Efficiencies'!N$12))</f>
        <v>239.26680959226221</v>
      </c>
      <c r="Q47" s="227">
        <f>'KU Efficiencies'!O$54*('KU Shares'!O47/(1/'KU Efficiencies'!O47))/('KU Shares'!O$12/(1/'KU Efficiencies'!O$12))</f>
        <v>251.78794524658775</v>
      </c>
      <c r="R47" s="283">
        <f>'KU Efficiencies'!P$54*('KU Shares'!P47/'KU Efficiencies'!P47)/('KU Shares'!P$12/'KU Efficiencies'!P$12)</f>
        <v>250.65068497781814</v>
      </c>
      <c r="S47" s="264">
        <f>'KU Efficiencies'!Q$54*('KU Shares'!Q47/(1/'KU Efficiencies'!Q47))/('KU Shares'!Q$12/(1/'KU Efficiencies'!Q$12))</f>
        <v>59.270299596341538</v>
      </c>
      <c r="T47" s="283">
        <f>'KU Efficiencies'!R$54*('KU Shares'!R47/'KU Efficiencies'!R47)/('KU Shares'!R$12/'KU Efficiencies'!R$12)</f>
        <v>222.6066513988053</v>
      </c>
      <c r="U47" s="227">
        <f>'KU Efficiencies'!S$54*('KU Shares'!S47/(1/'KU Efficiencies'!S47))/('KU Shares'!S$12/(1/'KU Efficiencies'!S$12))</f>
        <v>468.61668560924591</v>
      </c>
      <c r="V47" s="283">
        <f>'KU Efficiencies'!T$54*('KU Shares'!T47/'KU Efficiencies'!T47)/('KU Shares'!T$12/'KU Efficiencies'!T$12)</f>
        <v>459.04737762951743</v>
      </c>
      <c r="W47" s="227">
        <f>'KU Efficiencies'!U$54*('KU Shares'!U47/(1/'KU Efficiencies'!U47))/('KU Shares'!U$12/(1/'KU Efficiencies'!U$12))</f>
        <v>887.87538179793125</v>
      </c>
      <c r="X47" s="227">
        <f>'KU Efficiencies'!V$54*('KU Shares'!V47/(1/'KU Efficiencies'!V47))/('KU Shares'!V$12/(1/'KU Efficiencies'!V$12))</f>
        <v>202.82289283922762</v>
      </c>
      <c r="Y47" s="227">
        <f>'KU Efficiencies'!W$54*('KU Shares'!W47/(1/'KU Efficiencies'!W47))/('KU Shares'!W$12/(1/'KU Efficiencies'!W$12))</f>
        <v>1039.2398538157058</v>
      </c>
      <c r="Z47" s="227">
        <f>'KU Efficiencies'!X$54*('KU Shares'!X47/(1/'KU Efficiencies'!X47))/('KU Shares'!X$12/(1/'KU Efficiencies'!X$12))</f>
        <v>7868.5095932926624</v>
      </c>
      <c r="AA47" s="286">
        <f t="shared" si="29"/>
        <v>1.2048437653356281E-2</v>
      </c>
      <c r="AB47" s="153">
        <f t="shared" si="36"/>
        <v>20656.204376356956</v>
      </c>
      <c r="AC47" s="198">
        <f t="shared" si="33"/>
        <v>2040</v>
      </c>
      <c r="AD47" s="192">
        <f t="shared" si="8"/>
        <v>4.199242183516487E-2</v>
      </c>
      <c r="AE47" s="192">
        <f t="shared" si="9"/>
        <v>3.0793520930800112E-2</v>
      </c>
      <c r="AF47" s="192">
        <f t="shared" si="10"/>
        <v>3.4757221044355137E-3</v>
      </c>
      <c r="AG47" s="192">
        <f t="shared" si="11"/>
        <v>9.1728925074869997E-4</v>
      </c>
      <c r="AH47" s="192">
        <f t="shared" si="12"/>
        <v>0.11972463820020331</v>
      </c>
      <c r="AI47" s="192">
        <f t="shared" si="13"/>
        <v>5.4810540834155971E-2</v>
      </c>
      <c r="AJ47" s="192">
        <f t="shared" si="14"/>
        <v>6.6868750259716095E-3</v>
      </c>
      <c r="AK47" s="192">
        <f t="shared" si="15"/>
        <v>1.3799598941279901E-2</v>
      </c>
      <c r="AL47" s="192">
        <f t="shared" si="16"/>
        <v>0.11721627378700775</v>
      </c>
      <c r="AM47" s="192">
        <f t="shared" si="17"/>
        <v>3.2434380996144541E-2</v>
      </c>
      <c r="AN47" s="192">
        <f t="shared" si="18"/>
        <v>2.966652941548166E-2</v>
      </c>
      <c r="AO47" s="192">
        <f t="shared" si="19"/>
        <v>5.1343324155293888E-3</v>
      </c>
      <c r="AP47" s="192">
        <f t="shared" si="20"/>
        <v>1.2549424996139808E-2</v>
      </c>
      <c r="AQ47" s="192">
        <f t="shared" si="21"/>
        <v>1.3206152325050253E-2</v>
      </c>
      <c r="AR47" s="192">
        <f t="shared" si="22"/>
        <v>3.1086976942207621E-3</v>
      </c>
      <c r="AS47" s="192">
        <f t="shared" si="23"/>
        <v>2.457871176539082E-2</v>
      </c>
      <c r="AT47" s="192">
        <f t="shared" si="24"/>
        <v>4.6568621568448716E-2</v>
      </c>
      <c r="AU47" s="192">
        <f t="shared" si="25"/>
        <v>1.063795971335718E-2</v>
      </c>
      <c r="AV47" s="192">
        <f t="shared" si="26"/>
        <v>5.4507612738617248E-2</v>
      </c>
      <c r="AW47" s="192">
        <f t="shared" si="27"/>
        <v>0.41269940925239884</v>
      </c>
    </row>
    <row r="48" spans="1:49" x14ac:dyDescent="0.2">
      <c r="A48" s="198">
        <f t="shared" si="31"/>
        <v>2041</v>
      </c>
      <c r="B48" s="226">
        <f t="shared" si="28"/>
        <v>1465.7682657041632</v>
      </c>
      <c r="C48" s="226">
        <f t="shared" si="4"/>
        <v>3729.6572704351111</v>
      </c>
      <c r="D48" s="227">
        <f>'KU Efficiencies'!B$54*'KU StructuralVars'!$Q48*('KU Shares'!B48/'KU Efficiencies'!B48)/('KU Shares'!B$12/'KU Efficiencies'!B$12)</f>
        <v>797.96797573947197</v>
      </c>
      <c r="E48" s="227">
        <f>'KU Efficiencies'!C$54*'KU StructuralVars'!$Q48*('KU Shares'!C48/'KU Efficiencies'!C48)/('KU Shares'!C$12/'KU Efficiencies'!C$12)</f>
        <v>584.93183007884988</v>
      </c>
      <c r="F48" s="227">
        <f t="shared" si="34"/>
        <v>66.267971577454432</v>
      </c>
      <c r="G48" s="227">
        <f>'KU Efficiencies'!E$54*'KU StructuralVars'!$Q48*('KU Shares'!E48/(1/'KU Efficiencies'!E48))/('KU Shares'!E$12/(1/'KU Efficiencies'!E$12))</f>
        <v>16.600488308386932</v>
      </c>
      <c r="H48" s="227">
        <f>'KU Efficiencies'!F$54*'KU StructuralVars'!$R48*('KU Shares'!F48/'KU Efficiencies'!F48)/('KU Shares'!F$12/'KU Efficiencies'!F$12)</f>
        <v>2282.9673163951875</v>
      </c>
      <c r="I48" s="227">
        <f>'KU Efficiencies'!G$54*'KU StructuralVars'!$R48*('KU Shares'!G48/'KU Efficiencies'!G48)/('KU Shares'!G$12/'KU Efficiencies'!G$12)</f>
        <v>1057.3634928374186</v>
      </c>
      <c r="J48" s="227">
        <f>'KU Efficiencies'!H$54*'KU StructuralVars'!$R48*('KU Shares'!H48/'KU Efficiencies'!H48)/('KU Shares'!H$12/'KU Efficiencies'!H$12)</f>
        <v>127.32139136400259</v>
      </c>
      <c r="K48" s="227">
        <f>'KU Efficiencies'!I$54*'KU StructuralVars'!$R48*('KU Shares'!I48/'KU Efficiencies'!I48)/('KU Shares'!I$12/'KU Efficiencies'!I$12)</f>
        <v>262.00506983850238</v>
      </c>
      <c r="L48" s="227">
        <f>'KU Efficiencies'!J$54*('KU Shares'!J48/'KU Efficiencies'!J48)/('KU Shares'!J$12/'KU Efficiencies'!J$12)</f>
        <v>2235.5922679201685</v>
      </c>
      <c r="M48" s="227">
        <f>'KU Efficiencies'!K$54*('KU Shares'!K48/(1/'KU Efficiencies'!K48))/('KU Shares'!K$12/(1/'KU Efficiencies'!K$12))</f>
        <v>618.40774940248366</v>
      </c>
      <c r="N48" s="227">
        <f t="shared" si="35"/>
        <v>565.62080311254908</v>
      </c>
      <c r="O48" s="227">
        <f>'KU Efficiencies'!M$54*('KU Shares'!M48/(1/'KU Efficiencies'!M48))/('KU Shares'!M$12/(1/'KU Efficiencies'!M$12))</f>
        <v>97.701762906356251</v>
      </c>
      <c r="P48" s="227">
        <f>'KU Efficiencies'!N$54*('KU Shares'!N48/(1/'KU Efficiencies'!N48))/('KU Shares'!N$12/(1/'KU Efficiencies'!N$12))</f>
        <v>237.79222188873848</v>
      </c>
      <c r="Q48" s="227">
        <f>'KU Efficiencies'!O$54*('KU Shares'!O48/(1/'KU Efficiencies'!O48))/('KU Shares'!O$12/(1/'KU Efficiencies'!O$12))</f>
        <v>253.31998133220506</v>
      </c>
      <c r="R48" s="283">
        <f>'KU Efficiencies'!P$54*('KU Shares'!P48/'KU Efficiencies'!P48)/('KU Shares'!P$12/'KU Efficiencies'!P$12)</f>
        <v>252.17581469485305</v>
      </c>
      <c r="S48" s="264">
        <f>'KU Efficiencies'!Q$54*('KU Shares'!Q48/(1/'KU Efficiencies'!Q48))/('KU Shares'!Q$12/(1/'KU Efficiencies'!Q$12))</f>
        <v>59.305352687640529</v>
      </c>
      <c r="T48" s="283">
        <f>'KU Efficiencies'!R$54*('KU Shares'!R48/'KU Efficiencies'!R48)/('KU Shares'!R$12/'KU Efficiencies'!R$12)</f>
        <v>222.78796068872623</v>
      </c>
      <c r="U48" s="227">
        <f>'KU Efficiencies'!S$54*('KU Shares'!S48/(1/'KU Efficiencies'!S48))/('KU Shares'!S$12/(1/'KU Efficiencies'!S$12))</f>
        <v>469.82206565269883</v>
      </c>
      <c r="V48" s="283">
        <f>'KU Efficiencies'!T$54*('KU Shares'!T48/'KU Efficiencies'!T48)/('KU Shares'!T$12/'KU Efficiencies'!T$12)</f>
        <v>460.11120481808047</v>
      </c>
      <c r="W48" s="227">
        <f>'KU Efficiencies'!U$54*('KU Shares'!U48/(1/'KU Efficiencies'!U48))/('KU Shares'!U$12/(1/'KU Efficiencies'!U$12))</f>
        <v>894.01709999950594</v>
      </c>
      <c r="X48" s="227">
        <f>'KU Efficiencies'!V$54*('KU Shares'!V48/(1/'KU Efficiencies'!V48))/('KU Shares'!V$12/(1/'KU Efficiencies'!V$12))</f>
        <v>201.50699188770866</v>
      </c>
      <c r="Y48" s="227">
        <f>'KU Efficiencies'!W$54*('KU Shares'!W48/(1/'KU Efficiencies'!W48))/('KU Shares'!W$12/(1/'KU Efficiencies'!W$12))</f>
        <v>1035.6004975516366</v>
      </c>
      <c r="Z48" s="227">
        <f>'KU Efficiencies'!X$54*('KU Shares'!X48/(1/'KU Efficiencies'!X48))/('KU Shares'!X$12/(1/'KU Efficiencies'!X$12))</f>
        <v>7963.312840552283</v>
      </c>
      <c r="AA48" s="286">
        <f t="shared" si="29"/>
        <v>1.2048437653356059E-2</v>
      </c>
      <c r="AB48" s="153">
        <f t="shared" si="36"/>
        <v>20762.500151234908</v>
      </c>
      <c r="AC48" s="198">
        <f t="shared" si="33"/>
        <v>2041</v>
      </c>
      <c r="AD48" s="192">
        <f t="shared" si="8"/>
        <v>4.1853022899118651E-2</v>
      </c>
      <c r="AE48" s="192">
        <f t="shared" si="9"/>
        <v>3.0679383161995869E-2</v>
      </c>
      <c r="AF48" s="192">
        <f t="shared" si="10"/>
        <v>3.4757221044355137E-3</v>
      </c>
      <c r="AG48" s="192">
        <f t="shared" si="11"/>
        <v>8.7068734389199125E-4</v>
      </c>
      <c r="AH48" s="192">
        <f t="shared" si="12"/>
        <v>0.11974049871172149</v>
      </c>
      <c r="AI48" s="192">
        <f t="shared" si="13"/>
        <v>5.5458188578817069E-2</v>
      </c>
      <c r="AJ48" s="192">
        <f t="shared" si="14"/>
        <v>6.6779435645485602E-3</v>
      </c>
      <c r="AK48" s="192">
        <f t="shared" si="15"/>
        <v>1.3742035421251301E-2</v>
      </c>
      <c r="AL48" s="192">
        <f t="shared" si="16"/>
        <v>0.11725570101437732</v>
      </c>
      <c r="AM48" s="192">
        <f t="shared" si="17"/>
        <v>3.2435178457819278E-2</v>
      </c>
      <c r="AN48" s="192">
        <f t="shared" si="18"/>
        <v>2.966652941548166E-2</v>
      </c>
      <c r="AO48" s="192">
        <f t="shared" si="19"/>
        <v>5.1244088040182725E-3</v>
      </c>
      <c r="AP48" s="192">
        <f t="shared" si="20"/>
        <v>1.2472083605509256E-2</v>
      </c>
      <c r="AQ48" s="192">
        <f t="shared" si="21"/>
        <v>1.3286506854709413E-2</v>
      </c>
      <c r="AR48" s="192">
        <f t="shared" si="22"/>
        <v>3.1105362114011814E-3</v>
      </c>
      <c r="AS48" s="192">
        <f t="shared" si="23"/>
        <v>2.4641933348329689E-2</v>
      </c>
      <c r="AT48" s="192">
        <f t="shared" si="24"/>
        <v>4.6890751629234964E-2</v>
      </c>
      <c r="AU48" s="192">
        <f t="shared" si="25"/>
        <v>1.0568941363835248E-2</v>
      </c>
      <c r="AV48" s="192">
        <f t="shared" si="26"/>
        <v>5.431673031515033E-2</v>
      </c>
      <c r="AW48" s="192">
        <f t="shared" si="27"/>
        <v>0.41767179235435326</v>
      </c>
    </row>
    <row r="49" spans="1:49" x14ac:dyDescent="0.2">
      <c r="A49" s="198">
        <f t="shared" si="31"/>
        <v>2042</v>
      </c>
      <c r="B49" s="226">
        <f t="shared" si="28"/>
        <v>1460.0991420809933</v>
      </c>
      <c r="C49" s="226">
        <f t="shared" si="4"/>
        <v>3741.0225817448118</v>
      </c>
      <c r="D49" s="227">
        <f>'KU Efficiencies'!B$54*'KU StructuralVars'!$Q49*('KU Shares'!B49/'KU Efficiencies'!B49)/('KU Shares'!B$12/'KU Efficiencies'!B$12)</f>
        <v>795.31670933494649</v>
      </c>
      <c r="E49" s="227">
        <f>'KU Efficiencies'!C$54*'KU StructuralVars'!$Q49*('KU Shares'!C49/'KU Efficiencies'!C49)/('KU Shares'!C$12/'KU Efficiencies'!C$12)</f>
        <v>582.76214173966594</v>
      </c>
      <c r="F49" s="227">
        <f t="shared" si="34"/>
        <v>66.267971577454432</v>
      </c>
      <c r="G49" s="227">
        <f>'KU Efficiencies'!E$54*'KU StructuralVars'!$Q49*('KU Shares'!E49/(1/'KU Efficiencies'!E49))/('KU Shares'!E$12/(1/'KU Efficiencies'!E$12))</f>
        <v>15.752319428926411</v>
      </c>
      <c r="H49" s="227">
        <f>'KU Efficiencies'!F$54*'KU StructuralVars'!$R49*('KU Shares'!F49/'KU Efficiencies'!F49)/('KU Shares'!F$12/'KU Efficiencies'!F$12)</f>
        <v>2283.2634352146829</v>
      </c>
      <c r="I49" s="227">
        <f>'KU Efficiencies'!G$54*'KU StructuralVars'!$R49*('KU Shares'!G49/'KU Efficiencies'!G49)/('KU Shares'!G$12/'KU Efficiencies'!G$12)</f>
        <v>1069.6992326678167</v>
      </c>
      <c r="J49" s="227">
        <f>'KU Efficiencies'!H$54*'KU StructuralVars'!$R49*('KU Shares'!H49/'KU Efficiencies'!H49)/('KU Shares'!H$12/'KU Efficiencies'!H$12)</f>
        <v>127.15128743301823</v>
      </c>
      <c r="K49" s="227">
        <f>'KU Efficiencies'!I$54*'KU StructuralVars'!$R49*('KU Shares'!I49/'KU Efficiencies'!I49)/('KU Shares'!I$12/'KU Efficiencies'!I$12)</f>
        <v>260.90862642929386</v>
      </c>
      <c r="L49" s="227">
        <f>'KU Efficiencies'!J$54*('KU Shares'!J49/'KU Efficiencies'!J49)/('KU Shares'!J$12/'KU Efficiencies'!J$12)</f>
        <v>2236.3429225051582</v>
      </c>
      <c r="M49" s="227">
        <f>'KU Efficiencies'!K$54*('KU Shares'!K49/(1/'KU Efficiencies'!K49))/('KU Shares'!K$12/(1/'KU Efficiencies'!K$12))</f>
        <v>618.42273748183254</v>
      </c>
      <c r="N49" s="227">
        <f t="shared" si="35"/>
        <v>565.62080311254908</v>
      </c>
      <c r="O49" s="227">
        <f>'KU Efficiencies'!M$54*('KU Shares'!M49/(1/'KU Efficiencies'!M49))/('KU Shares'!M$12/(1/'KU Efficiencies'!M$12))</f>
        <v>97.512739918182191</v>
      </c>
      <c r="P49" s="227">
        <f>'KU Efficiencies'!N$54*('KU Shares'!N49/(1/'KU Efficiencies'!N49))/('KU Shares'!N$12/(1/'KU Efficiencies'!N$12))</f>
        <v>236.32006621128082</v>
      </c>
      <c r="Q49" s="227">
        <f>'KU Efficiencies'!O$54*('KU Shares'!O49/(1/'KU Efficiencies'!O49))/('KU Shares'!O$12/(1/'KU Efficiencies'!O$12))</f>
        <v>254.85201725454786</v>
      </c>
      <c r="R49" s="283">
        <f>'KU Efficiencies'!P$54*('KU Shares'!P49/'KU Efficiencies'!P49)/('KU Shares'!P$12/'KU Efficiencies'!P$12)</f>
        <v>253.70094441188795</v>
      </c>
      <c r="S49" s="264">
        <f>'KU Efficiencies'!Q$54*('KU Shares'!Q49/(1/'KU Efficiencies'!Q49))/('KU Shares'!Q$12/(1/'KU Efficiencies'!Q$12))</f>
        <v>59.340387208375439</v>
      </c>
      <c r="T49" s="283">
        <f>'KU Efficiencies'!R$54*('KU Shares'!R49/'KU Efficiencies'!R49)/('KU Shares'!R$12/'KU Efficiencies'!R$12)</f>
        <v>222.96926997864719</v>
      </c>
      <c r="U49" s="227">
        <f>'KU Efficiencies'!S$54*('KU Shares'!S49/(1/'KU Efficiencies'!S49))/('KU Shares'!S$12/(1/'KU Efficiencies'!S$12))</f>
        <v>471.02870482481768</v>
      </c>
      <c r="V49" s="283">
        <f>'KU Efficiencies'!T$54*('KU Shares'!T49/'KU Efficiencies'!T49)/('KU Shares'!T$12/'KU Efficiencies'!T$12)</f>
        <v>461.17574652352437</v>
      </c>
      <c r="W49" s="227">
        <f>'KU Efficiencies'!U$54*('KU Shares'!U49/(1/'KU Efficiencies'!U49))/('KU Shares'!U$12/(1/'KU Efficiencies'!U$12))</f>
        <v>900.20130243168444</v>
      </c>
      <c r="X49" s="227">
        <f>'KU Efficiencies'!V$54*('KU Shares'!V49/(1/'KU Efficiencies'!V49))/('KU Shares'!V$12/(1/'KU Efficiencies'!V$12))</f>
        <v>200.19962841087988</v>
      </c>
      <c r="Y49" s="227">
        <f>'KU Efficiencies'!W$54*('KU Shares'!W49/(1/'KU Efficiencies'!W49))/('KU Shares'!W$12/(1/'KU Efficiencies'!W$12))</f>
        <v>1031.9738860971204</v>
      </c>
      <c r="Z49" s="227">
        <f>'KU Efficiencies'!X$54*('KU Shares'!X49/(1/'KU Efficiencies'!X49))/('KU Shares'!X$12/(1/'KU Efficiencies'!X$12))</f>
        <v>8059.2583188258486</v>
      </c>
      <c r="AA49" s="286">
        <f t="shared" si="29"/>
        <v>1.2048437653356281E-2</v>
      </c>
      <c r="AB49" s="153">
        <f t="shared" si="36"/>
        <v>20870.041199022144</v>
      </c>
      <c r="AC49" s="198">
        <f t="shared" si="33"/>
        <v>2042</v>
      </c>
      <c r="AD49" s="192">
        <f t="shared" si="8"/>
        <v>4.1713965296666072E-2</v>
      </c>
      <c r="AE49" s="192">
        <f t="shared" si="9"/>
        <v>3.0565584089220218E-2</v>
      </c>
      <c r="AF49" s="192">
        <f t="shared" si="10"/>
        <v>3.4757221044355137E-3</v>
      </c>
      <c r="AG49" s="192">
        <f t="shared" si="11"/>
        <v>8.2620130859529302E-4</v>
      </c>
      <c r="AH49" s="192">
        <f t="shared" si="12"/>
        <v>0.11975602999632187</v>
      </c>
      <c r="AI49" s="192">
        <f t="shared" si="13"/>
        <v>5.6105191989099017E-2</v>
      </c>
      <c r="AJ49" s="192">
        <f t="shared" si="14"/>
        <v>6.6690216980887923E-3</v>
      </c>
      <c r="AK49" s="192">
        <f t="shared" si="15"/>
        <v>1.3684527510522595E-2</v>
      </c>
      <c r="AL49" s="192">
        <f t="shared" si="16"/>
        <v>0.11729507247349608</v>
      </c>
      <c r="AM49" s="192">
        <f t="shared" si="17"/>
        <v>3.2435964575116306E-2</v>
      </c>
      <c r="AN49" s="192">
        <f t="shared" si="18"/>
        <v>2.966652941548166E-2</v>
      </c>
      <c r="AO49" s="192">
        <f t="shared" si="19"/>
        <v>5.1144946424315531E-3</v>
      </c>
      <c r="AP49" s="192">
        <f t="shared" si="20"/>
        <v>1.2394869773434597E-2</v>
      </c>
      <c r="AQ49" s="192">
        <f t="shared" si="21"/>
        <v>1.3366861375804905E-2</v>
      </c>
      <c r="AR49" s="192">
        <f t="shared" si="22"/>
        <v>3.1123737545647643E-3</v>
      </c>
      <c r="AS49" s="192">
        <f t="shared" si="23"/>
        <v>2.470522097193998E-2</v>
      </c>
      <c r="AT49" s="192">
        <f t="shared" si="24"/>
        <v>4.7215109966757096E-2</v>
      </c>
      <c r="AU49" s="192">
        <f t="shared" si="25"/>
        <v>1.0500370800608724E-2</v>
      </c>
      <c r="AV49" s="192">
        <f t="shared" si="26"/>
        <v>5.4126516350596905E-2</v>
      </c>
      <c r="AW49" s="192">
        <f t="shared" si="27"/>
        <v>0.42270408490410022</v>
      </c>
    </row>
    <row r="50" spans="1:49" x14ac:dyDescent="0.2">
      <c r="A50" s="198">
        <f t="shared" si="31"/>
        <v>2043</v>
      </c>
      <c r="B50" s="226">
        <f t="shared" ref="B50" si="37">D50+E50+F50+G50</f>
        <v>1454.7504108740031</v>
      </c>
      <c r="C50" s="226">
        <f t="shared" ref="C50" si="38">SUM(H50:K50)</f>
        <v>3751.2803517948037</v>
      </c>
      <c r="D50" s="227">
        <f>'KU Efficiencies'!B$54*'KU StructuralVars'!$Q50*('KU Shares'!B50/'KU Efficiencies'!B50)/('KU Shares'!B$12/'KU Efficiencies'!B$12)</f>
        <v>792.67192446489855</v>
      </c>
      <c r="E50" s="227">
        <f>'KU Efficiencies'!C$54*'KU StructuralVars'!$Q50*('KU Shares'!C50/'KU Efficiencies'!C50)/('KU Shares'!C$12/'KU Efficiencies'!C$12)</f>
        <v>580.59888417327488</v>
      </c>
      <c r="F50" s="227">
        <f t="shared" si="34"/>
        <v>66.267971577454432</v>
      </c>
      <c r="G50" s="227">
        <f>'KU Efficiencies'!E$54*'KU StructuralVars'!$Q50*('KU Shares'!E50/(1/'KU Efficiencies'!E50))/('KU Shares'!E$12/(1/'KU Efficiencies'!E$12))</f>
        <v>15.211630658375343</v>
      </c>
      <c r="H50" s="227">
        <f>'KU Efficiencies'!F$54*'KU StructuralVars'!$R50*('KU Shares'!F50/'KU Efficiencies'!F50)/('KU Shares'!F$12/'KU Efficiencies'!F$12)</f>
        <v>2282.4631762630784</v>
      </c>
      <c r="I50" s="227">
        <f>'KU Efficiencies'!G$54*'KU StructuralVars'!$R50*('KU Shares'!G50/'KU Efficiencies'!G50)/('KU Shares'!G$12/'KU Efficiencies'!G$12)</f>
        <v>1082.0225730769876</v>
      </c>
      <c r="J50" s="227">
        <f>'KU Efficiencies'!H$54*'KU StructuralVars'!$R50*('KU Shares'!H50/'KU Efficiencies'!H50)/('KU Shares'!H$12/'KU Efficiencies'!H$12)</f>
        <v>126.98136205518752</v>
      </c>
      <c r="K50" s="227">
        <f>'KU Efficiencies'!I$54*'KU StructuralVars'!$R50*('KU Shares'!I50/'KU Efficiencies'!I50)/('KU Shares'!I$12/'KU Efficiencies'!I$12)</f>
        <v>259.81324039955018</v>
      </c>
      <c r="L50" s="227">
        <f>'KU Efficiencies'!J$54*('KU Shares'!J50/'KU Efficiencies'!J50)/('KU Shares'!J$12/'KU Efficiencies'!J$12)</f>
        <v>2237.0925160693673</v>
      </c>
      <c r="M50" s="227">
        <f>'KU Efficiencies'!K$54*('KU Shares'!K50/(1/'KU Efficiencies'!K50))/('KU Shares'!K$12/(1/'KU Efficiencies'!K$12))</f>
        <v>618.43750951027698</v>
      </c>
      <c r="N50" s="227">
        <f t="shared" si="35"/>
        <v>565.62080311254908</v>
      </c>
      <c r="O50" s="227">
        <f>'KU Efficiencies'!M$54*('KU Shares'!M50/(1/'KU Efficiencies'!M50))/('KU Shares'!M$12/(1/'KU Efficiencies'!M$12))</f>
        <v>97.323897070495192</v>
      </c>
      <c r="P50" s="227">
        <f>'KU Efficiencies'!N$54*('KU Shares'!N50/(1/'KU Efficiencies'!N50))/('KU Shares'!N$12/(1/'KU Efficiencies'!N$12))</f>
        <v>234.85034255988924</v>
      </c>
      <c r="Q50" s="227">
        <f>'KU Efficiencies'!O$54*('KU Shares'!O50/(1/'KU Efficiencies'!O50))/('KU Shares'!O$12/(1/'KU Efficiencies'!O$12))</f>
        <v>256.38405301361644</v>
      </c>
      <c r="R50" s="283">
        <f>'KU Efficiencies'!P$54*('KU Shares'!P50/'KU Efficiencies'!P50)/('KU Shares'!P$12/'KU Efficiencies'!P$12)</f>
        <v>255.22607412892279</v>
      </c>
      <c r="S50" s="264">
        <f>'KU Efficiencies'!Q$54*('KU Shares'!Q50/(1/'KU Efficiencies'!Q50))/('KU Shares'!Q$12/(1/'KU Efficiencies'!Q$12))</f>
        <v>59.375403165083263</v>
      </c>
      <c r="T50" s="283">
        <f>'KU Efficiencies'!R$54*('KU Shares'!R50/'KU Efficiencies'!R50)/('KU Shares'!R$12/'KU Efficiencies'!R$12)</f>
        <v>223.15057926856815</v>
      </c>
      <c r="U50" s="227">
        <f>'KU Efficiencies'!S$54*('KU Shares'!S50/(1/'KU Efficiencies'!S50))/('KU Shares'!S$12/(1/'KU Efficiencies'!S$12))</f>
        <v>472.23660419172563</v>
      </c>
      <c r="V50" s="283">
        <f>'KU Efficiencies'!T$54*('KU Shares'!T50/'KU Efficiencies'!T50)/('KU Shares'!T$12/'KU Efficiencies'!T$12)</f>
        <v>462.24100346594645</v>
      </c>
      <c r="W50" s="227">
        <f>'KU Efficiencies'!U$54*('KU Shares'!U50/(1/'KU Efficiencies'!U50))/('KU Shares'!U$12/(1/'KU Efficiencies'!U$12))</f>
        <v>906.42828297148742</v>
      </c>
      <c r="X50" s="227">
        <f>'KU Efficiencies'!V$54*('KU Shares'!V50/(1/'KU Efficiencies'!V50))/('KU Shares'!V$12/(1/'KU Efficiencies'!V$12))</f>
        <v>198.90074701819395</v>
      </c>
      <c r="Y50" s="227">
        <f>'KU Efficiencies'!W$54*('KU Shares'!W50/(1/'KU Efficiencies'!W50))/('KU Shares'!W$12/(1/'KU Efficiencies'!W$12))</f>
        <v>1028.3599748205907</v>
      </c>
      <c r="Z50" s="227">
        <f>'KU Efficiencies'!X$54*('KU Shares'!X50/(1/'KU Efficiencies'!X50))/('KU Shares'!X$12/(1/'KU Efficiencies'!X$12))</f>
        <v>8156.359790212513</v>
      </c>
      <c r="AA50" s="286">
        <f t="shared" si="29"/>
        <v>1.2048437653356059E-2</v>
      </c>
      <c r="AB50" s="153">
        <f t="shared" ref="AB50" si="39">SUM(D50:Z50)</f>
        <v>20978.01834324803</v>
      </c>
      <c r="AC50" s="198">
        <f t="shared" si="33"/>
        <v>2043</v>
      </c>
      <c r="AD50" s="192">
        <f t="shared" si="8"/>
        <v>4.1575247647468713E-2</v>
      </c>
      <c r="AE50" s="192">
        <f t="shared" si="9"/>
        <v>3.0452122307274704E-2</v>
      </c>
      <c r="AF50" s="192">
        <f t="shared" si="10"/>
        <v>3.4757221044355137E-3</v>
      </c>
      <c r="AG50" s="192">
        <f t="shared" si="11"/>
        <v>7.978424518702476E-4</v>
      </c>
      <c r="AH50" s="192">
        <f t="shared" si="12"/>
        <v>0.11971405681287965</v>
      </c>
      <c r="AI50" s="192">
        <f t="shared" si="13"/>
        <v>5.6751545055913143E-2</v>
      </c>
      <c r="AJ50" s="192">
        <f t="shared" si="14"/>
        <v>6.6601091966530055E-3</v>
      </c>
      <c r="AK50" s="192">
        <f t="shared" si="15"/>
        <v>1.3627075058820191E-2</v>
      </c>
      <c r="AL50" s="192">
        <f t="shared" si="16"/>
        <v>0.11733438828260333</v>
      </c>
      <c r="AM50" s="192">
        <f t="shared" si="17"/>
        <v>3.2436739360651001E-2</v>
      </c>
      <c r="AN50" s="192">
        <f t="shared" si="18"/>
        <v>2.966652941548166E-2</v>
      </c>
      <c r="AO50" s="192">
        <f t="shared" si="19"/>
        <v>5.1045899291236605E-3</v>
      </c>
      <c r="AP50" s="192">
        <f t="shared" si="20"/>
        <v>1.2317783499915832E-2</v>
      </c>
      <c r="AQ50" s="192">
        <f t="shared" si="21"/>
        <v>1.3447215888336748E-2</v>
      </c>
      <c r="AR50" s="192">
        <f t="shared" si="22"/>
        <v>3.1142103240543715E-3</v>
      </c>
      <c r="AS50" s="192">
        <f t="shared" ref="AS50" si="40">U50/$AB$19</f>
        <v>2.4768574692139316E-2</v>
      </c>
      <c r="AT50" s="192">
        <f t="shared" ref="AT50" si="41">W50/$AB$19</f>
        <v>4.7541711994718461E-2</v>
      </c>
      <c r="AU50" s="192">
        <f t="shared" ref="AU50" si="42">X50/$AB$19</f>
        <v>1.0432245118470983E-2</v>
      </c>
      <c r="AV50" s="192">
        <f t="shared" ref="AV50" si="43">Y50/$AB$19</f>
        <v>5.3936968504053544E-2</v>
      </c>
      <c r="AW50" s="192">
        <f t="shared" ref="AW50" si="44">Z50/$AB$19</f>
        <v>0.4277970087168862</v>
      </c>
    </row>
    <row r="54" spans="1:49" x14ac:dyDescent="0.2">
      <c r="A54" s="224">
        <v>2014</v>
      </c>
      <c r="D54" s="287">
        <f t="shared" ref="D54:S58" si="45">D21/D20-1</f>
        <v>-1.1185527624524183E-2</v>
      </c>
      <c r="E54" s="287">
        <f t="shared" si="45"/>
        <v>1.5606821532634374E-2</v>
      </c>
      <c r="F54" s="287">
        <f t="shared" si="45"/>
        <v>0.15321598934396152</v>
      </c>
      <c r="G54" s="287">
        <f t="shared" si="45"/>
        <v>-3.7704136770497998E-2</v>
      </c>
      <c r="H54" s="287">
        <f t="shared" si="45"/>
        <v>-1.168468586782756E-2</v>
      </c>
      <c r="I54" s="287">
        <f t="shared" si="45"/>
        <v>2.8399256667158479E-2</v>
      </c>
      <c r="J54" s="287">
        <f t="shared" si="45"/>
        <v>0.15766642375735662</v>
      </c>
      <c r="K54" s="287">
        <f t="shared" si="45"/>
        <v>-2.2469039552118764E-2</v>
      </c>
      <c r="L54" s="287">
        <f t="shared" si="45"/>
        <v>-1.3512294014594861E-4</v>
      </c>
      <c r="M54" s="287">
        <f>M21/M20-1</f>
        <v>6.7772329432891354E-5</v>
      </c>
      <c r="N54" s="287">
        <f t="shared" ref="M54:X58" si="46">N21/N20-1</f>
        <v>-1.9304679110900835E-2</v>
      </c>
      <c r="O54" s="287">
        <f t="shared" si="46"/>
        <v>-1.9539216458236863E-2</v>
      </c>
      <c r="P54" s="287">
        <f t="shared" si="46"/>
        <v>-2.7615432693137709E-2</v>
      </c>
      <c r="Q54" s="287">
        <f t="shared" si="46"/>
        <v>-1.1938157458272647E-2</v>
      </c>
      <c r="R54" s="287">
        <f t="shared" si="46"/>
        <v>-1.0859273912881773E-2</v>
      </c>
      <c r="S54" s="287">
        <f t="shared" si="46"/>
        <v>-3.1801150999232197E-3</v>
      </c>
      <c r="T54" s="287">
        <f t="shared" si="46"/>
        <v>4.7613757026003789E-3</v>
      </c>
      <c r="U54" s="287">
        <f t="shared" si="46"/>
        <v>-2.4622593441320229E-3</v>
      </c>
      <c r="V54" s="287">
        <f t="shared" si="46"/>
        <v>-1.2561963114448016E-3</v>
      </c>
      <c r="W54" s="287">
        <f t="shared" si="46"/>
        <v>-9.8526339821058961E-3</v>
      </c>
      <c r="X54" s="287">
        <f t="shared" si="46"/>
        <v>2.3026012679803198E-3</v>
      </c>
      <c r="Y54" s="287">
        <f t="shared" ref="Y54:Z54" si="47">Y21/Y20-1</f>
        <v>-6.4673942389301131E-2</v>
      </c>
      <c r="Z54" s="287">
        <f t="shared" si="47"/>
        <v>1.4272639881949267E-2</v>
      </c>
      <c r="AA54" s="224"/>
    </row>
    <row r="55" spans="1:49" x14ac:dyDescent="0.2">
      <c r="A55" s="224">
        <v>2015</v>
      </c>
      <c r="D55" s="287">
        <f t="shared" si="45"/>
        <v>-1.2269098612879614E-2</v>
      </c>
      <c r="E55" s="287">
        <f t="shared" si="45"/>
        <v>1.0736818953244409E-2</v>
      </c>
      <c r="F55" s="287">
        <f t="shared" si="45"/>
        <v>0.15561071993393827</v>
      </c>
      <c r="G55" s="287">
        <f t="shared" si="45"/>
        <v>-4.0608865583974252E-2</v>
      </c>
      <c r="H55" s="287">
        <f t="shared" si="45"/>
        <v>-1.6511428619185087E-2</v>
      </c>
      <c r="I55" s="287">
        <f t="shared" si="45"/>
        <v>1.8464833743031317E-2</v>
      </c>
      <c r="J55" s="287">
        <f t="shared" si="45"/>
        <v>0.16064849716337015</v>
      </c>
      <c r="K55" s="287">
        <f t="shared" si="45"/>
        <v>-1.4423223186473599E-2</v>
      </c>
      <c r="L55" s="287">
        <f t="shared" si="45"/>
        <v>-1.4034696229956123E-2</v>
      </c>
      <c r="M55" s="287">
        <f t="shared" si="45"/>
        <v>2.5103259477887718E-4</v>
      </c>
      <c r="N55" s="287">
        <f t="shared" si="45"/>
        <v>-1.1120910072375589E-2</v>
      </c>
      <c r="O55" s="287">
        <f t="shared" si="45"/>
        <v>-1.1943646013046316E-2</v>
      </c>
      <c r="P55" s="287">
        <f t="shared" si="45"/>
        <v>-1.2825299032562687E-2</v>
      </c>
      <c r="Q55" s="287">
        <f t="shared" si="45"/>
        <v>-1.0725562792419985E-2</v>
      </c>
      <c r="R55" s="287">
        <f t="shared" si="45"/>
        <v>-9.1555545708660313E-3</v>
      </c>
      <c r="S55" s="287">
        <f t="shared" si="45"/>
        <v>-3.6425009489443938E-2</v>
      </c>
      <c r="T55" s="287">
        <f t="shared" si="46"/>
        <v>7.3033549838143141E-2</v>
      </c>
      <c r="U55" s="287">
        <f t="shared" si="46"/>
        <v>-2.2426158364168947E-2</v>
      </c>
      <c r="V55" s="287">
        <f t="shared" si="46"/>
        <v>-5.5739251867303663E-2</v>
      </c>
      <c r="W55" s="287">
        <f t="shared" si="46"/>
        <v>-8.8557730567545567E-3</v>
      </c>
      <c r="X55" s="287">
        <f t="shared" si="46"/>
        <v>-1.8717638401044567E-4</v>
      </c>
      <c r="Y55" s="287">
        <f t="shared" ref="Y55:Z55" si="48">Y22/Y21-1</f>
        <v>-4.2964207583907288E-2</v>
      </c>
      <c r="Z55" s="287">
        <f t="shared" si="48"/>
        <v>1.3401100242115049E-2</v>
      </c>
      <c r="AA55" s="224"/>
    </row>
    <row r="56" spans="1:49" x14ac:dyDescent="0.2">
      <c r="A56" s="224">
        <v>2016</v>
      </c>
      <c r="D56" s="287">
        <f t="shared" si="45"/>
        <v>-1.1364684333167396E-2</v>
      </c>
      <c r="E56" s="287">
        <f t="shared" si="45"/>
        <v>1.4010027232677302E-2</v>
      </c>
      <c r="F56" s="287">
        <f t="shared" si="45"/>
        <v>0.13654242206684897</v>
      </c>
      <c r="G56" s="287">
        <f t="shared" si="45"/>
        <v>-3.9789110868524324E-2</v>
      </c>
      <c r="H56" s="287">
        <f t="shared" si="45"/>
        <v>-1.3293681341268404E-2</v>
      </c>
      <c r="I56" s="287">
        <f t="shared" si="45"/>
        <v>2.4920028456997256E-2</v>
      </c>
      <c r="J56" s="287">
        <f t="shared" si="45"/>
        <v>0.14165259125308349</v>
      </c>
      <c r="K56" s="287">
        <f t="shared" si="45"/>
        <v>-1.2909114598110283E-2</v>
      </c>
      <c r="L56" s="287">
        <f t="shared" si="45"/>
        <v>-6.0375788316254786E-3</v>
      </c>
      <c r="M56" s="287">
        <f t="shared" si="46"/>
        <v>8.7682649283493674E-4</v>
      </c>
      <c r="N56" s="287">
        <f t="shared" si="46"/>
        <v>-9.80216331438577E-3</v>
      </c>
      <c r="O56" s="287">
        <f t="shared" si="46"/>
        <v>-1.1768090992594904E-2</v>
      </c>
      <c r="P56" s="287">
        <f t="shared" si="46"/>
        <v>-1.1898197856383463E-2</v>
      </c>
      <c r="Q56" s="287">
        <f t="shared" si="46"/>
        <v>-9.2279467280419469E-3</v>
      </c>
      <c r="R56" s="287">
        <f t="shared" si="46"/>
        <v>-7.4283016460896523E-3</v>
      </c>
      <c r="S56" s="287">
        <f t="shared" si="46"/>
        <v>-3.9853211901371144E-2</v>
      </c>
      <c r="T56" s="287">
        <f t="shared" si="46"/>
        <v>4.3454084972781359E-2</v>
      </c>
      <c r="U56" s="287">
        <f t="shared" si="46"/>
        <v>-2.0634490824177898E-2</v>
      </c>
      <c r="V56" s="287">
        <f t="shared" si="46"/>
        <v>-2.140894579069641E-2</v>
      </c>
      <c r="W56" s="287">
        <f t="shared" si="46"/>
        <v>-5.3587567727919616E-3</v>
      </c>
      <c r="X56" s="287">
        <f t="shared" si="46"/>
        <v>-2.2025939305683195E-3</v>
      </c>
      <c r="Y56" s="287">
        <f t="shared" ref="Y56:Z56" si="49">Y23/Y22-1</f>
        <v>-3.0529861178868134E-2</v>
      </c>
      <c r="Z56" s="287">
        <f t="shared" si="49"/>
        <v>1.9361014608767046E-2</v>
      </c>
      <c r="AA56" s="224"/>
    </row>
    <row r="57" spans="1:49" x14ac:dyDescent="0.2">
      <c r="A57" s="224">
        <v>2017</v>
      </c>
      <c r="D57" s="287">
        <f t="shared" si="45"/>
        <v>-9.8982882626239554E-3</v>
      </c>
      <c r="E57" s="287">
        <f t="shared" si="45"/>
        <v>1.4078489292358221E-2</v>
      </c>
      <c r="F57" s="287">
        <f t="shared" si="45"/>
        <v>0.10397187181224488</v>
      </c>
      <c r="G57" s="287">
        <f t="shared" si="45"/>
        <v>-3.9871297213679657E-2</v>
      </c>
      <c r="H57" s="287">
        <f t="shared" si="45"/>
        <v>-1.1227935626001773E-2</v>
      </c>
      <c r="I57" s="287">
        <f t="shared" si="45"/>
        <v>2.4872795380336266E-2</v>
      </c>
      <c r="J57" s="287">
        <f t="shared" si="45"/>
        <v>0.10921669685929203</v>
      </c>
      <c r="K57" s="287">
        <f t="shared" si="45"/>
        <v>-1.1615944708819992E-2</v>
      </c>
      <c r="L57" s="287">
        <f t="shared" si="45"/>
        <v>-5.1615391485005935E-3</v>
      </c>
      <c r="M57" s="287">
        <f t="shared" si="46"/>
        <v>1.0556320322510082E-3</v>
      </c>
      <c r="N57" s="287">
        <f t="shared" si="46"/>
        <v>-8.5089509353681869E-3</v>
      </c>
      <c r="O57" s="287">
        <f t="shared" si="46"/>
        <v>-1.1275694576694861E-2</v>
      </c>
      <c r="P57" s="287">
        <f t="shared" si="46"/>
        <v>-1.0800756358606556E-2</v>
      </c>
      <c r="Q57" s="287">
        <f t="shared" si="46"/>
        <v>-8.0770146132841392E-3</v>
      </c>
      <c r="R57" s="287">
        <f t="shared" si="46"/>
        <v>-6.1989868639060752E-3</v>
      </c>
      <c r="S57" s="287">
        <f t="shared" si="46"/>
        <v>-4.1571502206492639E-2</v>
      </c>
      <c r="T57" s="287">
        <f t="shared" si="46"/>
        <v>4.4911203500335173E-2</v>
      </c>
      <c r="U57" s="287">
        <f t="shared" si="46"/>
        <v>-2.0237048410226999E-2</v>
      </c>
      <c r="V57" s="287">
        <f t="shared" si="46"/>
        <v>-2.1367244626026571E-2</v>
      </c>
      <c r="W57" s="287">
        <f t="shared" si="46"/>
        <v>-3.0017818225352988E-3</v>
      </c>
      <c r="X57" s="287">
        <f t="shared" si="46"/>
        <v>-4.3843570959216649E-3</v>
      </c>
      <c r="Y57" s="287">
        <f t="shared" ref="Y57:Z57" si="50">Y24/Y23-1</f>
        <v>-2.2826442652786327E-2</v>
      </c>
      <c r="Z57" s="287">
        <f t="shared" si="50"/>
        <v>1.8397180776354771E-2</v>
      </c>
      <c r="AA57" s="224"/>
    </row>
    <row r="58" spans="1:49" x14ac:dyDescent="0.2">
      <c r="A58" s="224">
        <v>2018</v>
      </c>
      <c r="D58" s="287">
        <f t="shared" si="45"/>
        <v>-9.0353884219498415E-3</v>
      </c>
      <c r="E58" s="287">
        <f t="shared" si="45"/>
        <v>1.3141547464460501E-2</v>
      </c>
      <c r="F58" s="287">
        <f t="shared" si="45"/>
        <v>7.9860998596478439E-2</v>
      </c>
      <c r="G58" s="287">
        <f t="shared" si="45"/>
        <v>-4.0156687353135045E-2</v>
      </c>
      <c r="H58" s="287">
        <f t="shared" si="45"/>
        <v>-9.1722262022757572E-3</v>
      </c>
      <c r="I58" s="287">
        <f t="shared" si="45"/>
        <v>2.3435357369677723E-2</v>
      </c>
      <c r="J58" s="287">
        <f t="shared" si="45"/>
        <v>8.494095718977146E-2</v>
      </c>
      <c r="K58" s="287">
        <f t="shared" si="45"/>
        <v>-1.1138669154679426E-2</v>
      </c>
      <c r="L58" s="287">
        <f t="shared" si="45"/>
        <v>-4.8927408993644228E-3</v>
      </c>
      <c r="M58" s="287">
        <f t="shared" si="46"/>
        <v>9.9249673917456427E-4</v>
      </c>
      <c r="N58" s="287">
        <f t="shared" si="46"/>
        <v>-7.4873678479203676E-3</v>
      </c>
      <c r="O58" s="287">
        <f t="shared" si="46"/>
        <v>-1.0477203768753496E-2</v>
      </c>
      <c r="P58" s="287">
        <f t="shared" si="46"/>
        <v>-1.0017569290099559E-2</v>
      </c>
      <c r="Q58" s="287">
        <f t="shared" si="46"/>
        <v>-8.823639023801455E-3</v>
      </c>
      <c r="R58" s="287">
        <f t="shared" si="46"/>
        <v>-5.8887233963447194E-3</v>
      </c>
      <c r="S58" s="287">
        <f t="shared" si="46"/>
        <v>-4.3155051727753913E-2</v>
      </c>
      <c r="T58" s="287">
        <f t="shared" si="46"/>
        <v>4.6483196148878303E-2</v>
      </c>
      <c r="U58" s="287">
        <f t="shared" si="46"/>
        <v>-1.9696793344509356E-2</v>
      </c>
      <c r="V58" s="287">
        <f t="shared" si="46"/>
        <v>-1.9335680299213953E-2</v>
      </c>
      <c r="W58" s="287">
        <f t="shared" si="46"/>
        <v>-1.9356902103105922E-3</v>
      </c>
      <c r="X58" s="287">
        <f t="shared" si="46"/>
        <v>-5.0946426463132077E-3</v>
      </c>
      <c r="Y58" s="287">
        <f t="shared" ref="Y58:Z58" si="51">Y25/Y24-1</f>
        <v>-1.8586582117746664E-2</v>
      </c>
      <c r="Z58" s="287">
        <f t="shared" si="51"/>
        <v>1.9576642131790223E-2</v>
      </c>
      <c r="AA58" s="224"/>
    </row>
    <row r="59" spans="1:49" x14ac:dyDescent="0.2">
      <c r="X59" s="224"/>
      <c r="Y59" s="224"/>
      <c r="Z59" s="224"/>
      <c r="AA59" s="224"/>
    </row>
    <row r="60" spans="1:49" x14ac:dyDescent="0.2">
      <c r="A60" s="224">
        <v>2016</v>
      </c>
      <c r="D60" s="287">
        <f t="shared" ref="D60:V62" si="52">D56/D55-1</f>
        <v>-7.3714810537328312E-2</v>
      </c>
      <c r="E60" s="287">
        <f t="shared" si="52"/>
        <v>0.3048582912394</v>
      </c>
      <c r="F60" s="287">
        <f t="shared" si="52"/>
        <v>-0.12253845927314266</v>
      </c>
      <c r="G60" s="287">
        <f t="shared" si="52"/>
        <v>-2.0186594815232439E-2</v>
      </c>
      <c r="H60" s="287">
        <f t="shared" si="52"/>
        <v>-0.19488000415529716</v>
      </c>
      <c r="I60" s="287">
        <f t="shared" si="52"/>
        <v>0.34959397976719653</v>
      </c>
      <c r="J60" s="287">
        <f t="shared" si="52"/>
        <v>-0.11824515165534932</v>
      </c>
      <c r="K60" s="287">
        <f t="shared" si="52"/>
        <v>-0.10497713089424277</v>
      </c>
      <c r="L60" s="287">
        <f t="shared" si="52"/>
        <v>-0.56981050870636807</v>
      </c>
      <c r="M60" s="287">
        <f t="shared" si="52"/>
        <v>2.4928790566312395</v>
      </c>
      <c r="N60" s="287">
        <f t="shared" si="52"/>
        <v>-0.11858262942576925</v>
      </c>
      <c r="O60" s="287">
        <f t="shared" si="52"/>
        <v>-1.4698612154081747E-2</v>
      </c>
      <c r="P60" s="287">
        <f t="shared" si="52"/>
        <v>-7.2286905266330859E-2</v>
      </c>
      <c r="Q60" s="287">
        <f t="shared" si="52"/>
        <v>-0.13963053439363005</v>
      </c>
      <c r="R60" s="287">
        <f t="shared" si="52"/>
        <v>-0.1886562863458523</v>
      </c>
      <c r="S60" s="287">
        <f t="shared" si="52"/>
        <v>9.4116719802659343E-2</v>
      </c>
      <c r="T60" s="287">
        <f t="shared" si="52"/>
        <v>-0.4050120106569618</v>
      </c>
      <c r="U60" s="287">
        <f t="shared" si="52"/>
        <v>-7.9891861588459068E-2</v>
      </c>
      <c r="V60" s="287">
        <f t="shared" si="52"/>
        <v>-0.61590898561638607</v>
      </c>
      <c r="W60" s="287">
        <f t="shared" ref="W60:X62" si="53">W56/W55-1</f>
        <v>-0.39488549012616336</v>
      </c>
      <c r="X60" s="287">
        <f t="shared" si="53"/>
        <v>10.767477730766506</v>
      </c>
      <c r="Y60" s="287">
        <f t="shared" ref="Y60:Z60" si="54">Y56/Y55-1</f>
        <v>-0.28941174769150346</v>
      </c>
      <c r="Z60" s="287">
        <f t="shared" si="54"/>
        <v>0.44473321286874912</v>
      </c>
      <c r="AA60" s="224"/>
    </row>
    <row r="61" spans="1:49" x14ac:dyDescent="0.2">
      <c r="A61" s="224">
        <v>2017</v>
      </c>
      <c r="D61" s="287">
        <f t="shared" si="52"/>
        <v>-0.12903095480301374</v>
      </c>
      <c r="E61" s="287">
        <f t="shared" si="52"/>
        <v>4.8866471523507649E-3</v>
      </c>
      <c r="F61" s="287">
        <f t="shared" si="52"/>
        <v>-0.23853795590837024</v>
      </c>
      <c r="G61" s="287">
        <f t="shared" si="52"/>
        <v>2.0655486730252193E-3</v>
      </c>
      <c r="H61" s="287">
        <f t="shared" si="52"/>
        <v>-0.15539305194971154</v>
      </c>
      <c r="I61" s="287">
        <f t="shared" si="52"/>
        <v>-1.8953861446224796E-3</v>
      </c>
      <c r="J61" s="287">
        <f t="shared" si="52"/>
        <v>-0.2289820052486008</v>
      </c>
      <c r="K61" s="287">
        <f t="shared" si="52"/>
        <v>-0.10017494844143637</v>
      </c>
      <c r="L61" s="287">
        <f t="shared" si="52"/>
        <v>-0.14509784593388597</v>
      </c>
      <c r="M61" s="287">
        <f t="shared" si="52"/>
        <v>0.20392351380483631</v>
      </c>
      <c r="N61" s="287">
        <f t="shared" si="52"/>
        <v>-0.13193132347832337</v>
      </c>
      <c r="O61" s="287">
        <f t="shared" si="52"/>
        <v>-4.1841656068931199E-2</v>
      </c>
      <c r="P61" s="287">
        <f t="shared" si="52"/>
        <v>-9.2235942873325372E-2</v>
      </c>
      <c r="Q61" s="287">
        <f t="shared" si="52"/>
        <v>-0.12472244895609852</v>
      </c>
      <c r="R61" s="287">
        <f t="shared" si="52"/>
        <v>-0.16549069232140068</v>
      </c>
      <c r="S61" s="287">
        <f t="shared" si="52"/>
        <v>4.3115478606189361E-2</v>
      </c>
      <c r="T61" s="287">
        <f t="shared" si="52"/>
        <v>3.3532371662331029E-2</v>
      </c>
      <c r="U61" s="287">
        <f t="shared" si="52"/>
        <v>-1.9261072024379988E-2</v>
      </c>
      <c r="V61" s="287">
        <f t="shared" si="52"/>
        <v>-1.947838304488636E-3</v>
      </c>
      <c r="W61" s="287">
        <f t="shared" si="53"/>
        <v>-0.43983615047127012</v>
      </c>
      <c r="X61" s="287">
        <f t="shared" si="53"/>
        <v>0.99054262116776126</v>
      </c>
      <c r="Y61" s="287">
        <f t="shared" ref="Y61:Z61" si="55">Y57/Y56-1</f>
        <v>-0.25232406007184482</v>
      </c>
      <c r="Z61" s="287">
        <f t="shared" si="55"/>
        <v>-4.9782196433849735E-2</v>
      </c>
      <c r="AA61" s="224"/>
    </row>
    <row r="62" spans="1:49" x14ac:dyDescent="0.2">
      <c r="A62" s="224">
        <v>2018</v>
      </c>
      <c r="D62" s="287">
        <f t="shared" si="52"/>
        <v>-8.7176673155946904E-2</v>
      </c>
      <c r="E62" s="287">
        <f t="shared" si="52"/>
        <v>-6.6551304507244891E-2</v>
      </c>
      <c r="F62" s="287">
        <f t="shared" si="52"/>
        <v>-0.23189803930149955</v>
      </c>
      <c r="G62" s="287">
        <f t="shared" si="52"/>
        <v>7.157784155501945E-3</v>
      </c>
      <c r="H62" s="287">
        <f t="shared" si="52"/>
        <v>-0.18308881456047732</v>
      </c>
      <c r="I62" s="287">
        <f t="shared" si="52"/>
        <v>-5.7791574637201415E-2</v>
      </c>
      <c r="J62" s="287">
        <f t="shared" si="52"/>
        <v>-0.22227132267876504</v>
      </c>
      <c r="K62" s="287">
        <f t="shared" si="52"/>
        <v>-4.1087967109396661E-2</v>
      </c>
      <c r="L62" s="287">
        <f t="shared" si="52"/>
        <v>-5.2077150129580141E-2</v>
      </c>
      <c r="M62" s="287">
        <f t="shared" si="52"/>
        <v>-5.9808049725258439E-2</v>
      </c>
      <c r="N62" s="287">
        <f t="shared" si="52"/>
        <v>-0.12005981644594066</v>
      </c>
      <c r="O62" s="287">
        <f t="shared" si="52"/>
        <v>-7.081522140478369E-2</v>
      </c>
      <c r="P62" s="287">
        <f t="shared" si="52"/>
        <v>-7.2512242893333689E-2</v>
      </c>
      <c r="Q62" s="287">
        <f t="shared" si="52"/>
        <v>9.2438165122216587E-2</v>
      </c>
      <c r="R62" s="287">
        <f t="shared" si="52"/>
        <v>-5.0050673500839471E-2</v>
      </c>
      <c r="S62" s="287">
        <f t="shared" si="52"/>
        <v>3.8092189052864045E-2</v>
      </c>
      <c r="T62" s="287">
        <f t="shared" si="52"/>
        <v>3.5002238328603275E-2</v>
      </c>
      <c r="U62" s="287">
        <f t="shared" si="52"/>
        <v>-2.6696337072782739E-2</v>
      </c>
      <c r="V62" s="287">
        <f t="shared" si="52"/>
        <v>-9.5078441903456823E-2</v>
      </c>
      <c r="W62" s="287">
        <f t="shared" si="53"/>
        <v>-0.35515293090964484</v>
      </c>
      <c r="X62" s="287">
        <f t="shared" si="53"/>
        <v>0.16200449344152457</v>
      </c>
      <c r="Y62" s="287">
        <f t="shared" ref="Y62:Z62" si="56">Y58/Y57-1</f>
        <v>-0.18574337664139362</v>
      </c>
      <c r="Z62" s="287">
        <f t="shared" si="56"/>
        <v>6.4110983621543216E-2</v>
      </c>
      <c r="AA62" s="224"/>
    </row>
    <row r="63" spans="1:49" x14ac:dyDescent="0.2"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24"/>
    </row>
    <row r="64" spans="1:49" x14ac:dyDescent="0.2">
      <c r="A64" s="224">
        <v>2016</v>
      </c>
      <c r="D64" s="288">
        <f t="shared" ref="D64:W66" si="57">D60*D23</f>
        <v>-70.834453321058433</v>
      </c>
      <c r="E64" s="288">
        <f t="shared" si="57"/>
        <v>148.20111117904469</v>
      </c>
      <c r="F64" s="288">
        <f t="shared" si="57"/>
        <v>-4.6966704560793406</v>
      </c>
      <c r="G64" s="288">
        <f t="shared" si="57"/>
        <v>-1.0429377441560042</v>
      </c>
      <c r="H64" s="288">
        <f t="shared" si="57"/>
        <v>-467.91761881802972</v>
      </c>
      <c r="I64" s="288">
        <f t="shared" si="57"/>
        <v>246.06121665812694</v>
      </c>
      <c r="J64" s="288">
        <f t="shared" si="57"/>
        <v>-8.2151592949873393</v>
      </c>
      <c r="K64" s="288">
        <f t="shared" si="57"/>
        <v>-32.141775814639836</v>
      </c>
      <c r="L64" s="288">
        <f t="shared" si="57"/>
        <v>-1337.637286943941</v>
      </c>
      <c r="M64" s="288">
        <f t="shared" si="57"/>
        <v>1522.101559726887</v>
      </c>
      <c r="N64" s="288">
        <f t="shared" si="57"/>
        <v>-71.854695934702775</v>
      </c>
      <c r="O64" s="288">
        <f t="shared" si="57"/>
        <v>-1.6055828713926488</v>
      </c>
      <c r="P64" s="288">
        <f t="shared" si="57"/>
        <v>-20.840764624524542</v>
      </c>
      <c r="Q64" s="288">
        <f t="shared" si="57"/>
        <v>-35.456157569653598</v>
      </c>
      <c r="R64" s="288">
        <f t="shared" si="57"/>
        <v>-46.66587047353088</v>
      </c>
      <c r="S64" s="288">
        <f t="shared" si="57"/>
        <v>8.7592496661777766</v>
      </c>
      <c r="T64" s="288">
        <f t="shared" si="57"/>
        <v>-56.221308339902222</v>
      </c>
      <c r="U64" s="288">
        <f t="shared" si="57"/>
        <v>-45.353939599808818</v>
      </c>
      <c r="V64" s="288">
        <f t="shared" si="57"/>
        <v>-347.66604372937542</v>
      </c>
      <c r="W64" s="288">
        <f t="shared" si="57"/>
        <v>-310.36219981365474</v>
      </c>
      <c r="X64" s="288">
        <f>X60*X23</f>
        <v>2849.2832354672146</v>
      </c>
      <c r="Y64" s="288">
        <f t="shared" ref="Y64:Z64" si="58">Y60*Y23</f>
        <v>-390.78453825444171</v>
      </c>
      <c r="Z64" s="288">
        <f t="shared" si="58"/>
        <v>2367.9240492327785</v>
      </c>
      <c r="AA64" s="224"/>
    </row>
    <row r="65" spans="1:27" x14ac:dyDescent="0.2">
      <c r="A65" s="224">
        <v>2017</v>
      </c>
      <c r="D65" s="288">
        <f t="shared" si="57"/>
        <v>-122.76187561587606</v>
      </c>
      <c r="E65" s="288">
        <f t="shared" si="57"/>
        <v>2.4089955661764266</v>
      </c>
      <c r="F65" s="288">
        <f t="shared" si="57"/>
        <v>-10.093299836087498</v>
      </c>
      <c r="G65" s="288">
        <f t="shared" si="57"/>
        <v>0.10246138103038142</v>
      </c>
      <c r="H65" s="288">
        <f t="shared" si="57"/>
        <v>-368.91804823530373</v>
      </c>
      <c r="I65" s="288">
        <f t="shared" si="57"/>
        <v>-1.3672467151758898</v>
      </c>
      <c r="J65" s="288">
        <f t="shared" si="57"/>
        <v>-17.646167567113412</v>
      </c>
      <c r="K65" s="288">
        <f t="shared" si="57"/>
        <v>-30.315171319952228</v>
      </c>
      <c r="L65" s="288">
        <f t="shared" si="57"/>
        <v>-338.86088747811476</v>
      </c>
      <c r="M65" s="288">
        <f t="shared" si="57"/>
        <v>124.64301372887503</v>
      </c>
      <c r="N65" s="288">
        <f t="shared" si="57"/>
        <v>-79.26305312038717</v>
      </c>
      <c r="O65" s="288">
        <f t="shared" si="57"/>
        <v>-4.5189805445491364</v>
      </c>
      <c r="P65" s="288">
        <f t="shared" si="57"/>
        <v>-26.304980474691749</v>
      </c>
      <c r="Q65" s="288">
        <f t="shared" si="57"/>
        <v>-31.414767686006748</v>
      </c>
      <c r="R65" s="288">
        <f t="shared" si="57"/>
        <v>-40.681887832099896</v>
      </c>
      <c r="S65" s="288">
        <f t="shared" si="57"/>
        <v>3.8458562979278308</v>
      </c>
      <c r="T65" s="288">
        <f t="shared" si="57"/>
        <v>4.8638111312662646</v>
      </c>
      <c r="U65" s="288">
        <f t="shared" si="57"/>
        <v>-10.71307005428654</v>
      </c>
      <c r="V65" s="288">
        <f t="shared" si="57"/>
        <v>-1.0760151476872639</v>
      </c>
      <c r="W65" s="288">
        <f t="shared" si="57"/>
        <v>-344.65370301336776</v>
      </c>
      <c r="X65" s="288">
        <f>X61*X24</f>
        <v>260.96755654177565</v>
      </c>
      <c r="Y65" s="288">
        <f t="shared" ref="Y65:Z65" si="59">Y61*Y24</f>
        <v>-332.92896964998067</v>
      </c>
      <c r="Z65" s="288">
        <f t="shared" si="59"/>
        <v>-269.93515397808528</v>
      </c>
      <c r="AA65" s="224"/>
    </row>
    <row r="66" spans="1:27" x14ac:dyDescent="0.2">
      <c r="A66" s="224">
        <v>2018</v>
      </c>
      <c r="D66" s="288">
        <f t="shared" si="57"/>
        <v>-82.191714768833279</v>
      </c>
      <c r="E66" s="288">
        <f t="shared" si="57"/>
        <v>-33.239288397211034</v>
      </c>
      <c r="F66" s="288">
        <f t="shared" si="57"/>
        <v>-10.595967416761368</v>
      </c>
      <c r="G66" s="288">
        <f t="shared" si="57"/>
        <v>0.34080323884258901</v>
      </c>
      <c r="H66" s="288">
        <f t="shared" si="57"/>
        <v>-430.68355624443058</v>
      </c>
      <c r="I66" s="288">
        <f t="shared" si="57"/>
        <v>-42.66523397427234</v>
      </c>
      <c r="J66" s="288">
        <f t="shared" si="57"/>
        <v>-18.583973733190501</v>
      </c>
      <c r="K66" s="288">
        <f t="shared" si="57"/>
        <v>-12.295634588782143</v>
      </c>
      <c r="L66" s="288">
        <f t="shared" si="57"/>
        <v>-121.02569436704425</v>
      </c>
      <c r="M66" s="288">
        <f t="shared" si="57"/>
        <v>-36.592417152452995</v>
      </c>
      <c r="N66" s="288">
        <f t="shared" si="57"/>
        <v>-71.59069782628977</v>
      </c>
      <c r="O66" s="288">
        <f t="shared" si="57"/>
        <v>-7.5680506040233331</v>
      </c>
      <c r="P66" s="288">
        <f t="shared" si="57"/>
        <v>-20.472770495745987</v>
      </c>
      <c r="Q66" s="288">
        <f t="shared" si="57"/>
        <v>23.077644274646939</v>
      </c>
      <c r="R66" s="288">
        <f t="shared" si="57"/>
        <v>-12.231295295754718</v>
      </c>
      <c r="S66" s="288">
        <f t="shared" si="57"/>
        <v>3.2511524958969265</v>
      </c>
      <c r="T66" s="288">
        <f t="shared" si="57"/>
        <v>5.313008465048239</v>
      </c>
      <c r="U66" s="288">
        <f t="shared" si="57"/>
        <v>-14.556118752632106</v>
      </c>
      <c r="V66" s="288">
        <f t="shared" si="57"/>
        <v>-51.507196664514382</v>
      </c>
      <c r="W66" s="288">
        <f t="shared" si="57"/>
        <v>-277.75760342301777</v>
      </c>
      <c r="X66" s="288">
        <f>X62*X25</f>
        <v>42.464125243492234</v>
      </c>
      <c r="Y66" s="288">
        <f t="shared" ref="Y66:Z66" si="60">Y62*Y25</f>
        <v>-240.52390727897</v>
      </c>
      <c r="Z66" s="288">
        <f t="shared" si="60"/>
        <v>354.43590508592564</v>
      </c>
      <c r="AA66" s="224"/>
    </row>
  </sheetData>
  <phoneticPr fontId="0" type="noConversion"/>
  <pageMargins left="0.75" right="0.75" top="1.25" bottom="1" header="0.5" footer="0.5"/>
  <pageSetup orientation="portrait" r:id="rId1"/>
  <headerFooter alignWithMargins="0">
    <oddHeader xml:space="preserve">&amp;R&amp;"Times New Roman,Bold"&amp;12Attachment to Response to Sierra Club Question No. 1.3 #11
Page &amp;P of &amp;N
Schram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9"/>
  <sheetViews>
    <sheetView tabSelected="1" zoomScale="124" zoomScaleNormal="124" workbookViewId="0">
      <pane xSplit="1" ySplit="1" topLeftCell="B21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5.140625" style="170" bestFit="1" customWidth="1"/>
    <col min="2" max="2" width="7.28515625" style="170" bestFit="1" customWidth="1"/>
    <col min="3" max="3" width="7.7109375" style="170" bestFit="1" customWidth="1"/>
    <col min="4" max="4" width="9.140625" style="170" bestFit="1" customWidth="1"/>
    <col min="5" max="5" width="7.7109375" style="170" customWidth="1"/>
    <col min="6" max="6" width="6.28515625" style="170" customWidth="1"/>
    <col min="7" max="7" width="7.7109375" style="170" customWidth="1"/>
    <col min="8" max="8" width="9.140625" style="170" customWidth="1"/>
    <col min="9" max="9" width="7.42578125" style="170" customWidth="1"/>
    <col min="10" max="10" width="8.140625" style="170" customWidth="1"/>
    <col min="11" max="11" width="7.28515625" style="170" customWidth="1"/>
    <col min="12" max="12" width="7.28515625" style="170" bestFit="1" customWidth="1"/>
    <col min="13" max="13" width="8" style="170" bestFit="1" customWidth="1"/>
    <col min="14" max="15" width="6.28515625" style="170" customWidth="1"/>
    <col min="16" max="16" width="11.85546875" style="170" customWidth="1"/>
    <col min="17" max="17" width="7.28515625" style="170" customWidth="1"/>
    <col min="18" max="18" width="10.42578125" style="170" customWidth="1"/>
    <col min="19" max="19" width="6.28515625" style="170" customWidth="1"/>
    <col min="20" max="20" width="7.28515625" style="170" customWidth="1"/>
    <col min="21" max="21" width="8.28515625" style="170" bestFit="1" customWidth="1"/>
    <col min="22" max="22" width="8.5703125" style="170" bestFit="1" customWidth="1"/>
    <col min="23" max="24" width="7.28515625" style="170" bestFit="1" customWidth="1"/>
    <col min="25" max="25" width="8.140625" style="199" bestFit="1" customWidth="1"/>
    <col min="26" max="26" width="10.28515625" style="170" customWidth="1"/>
    <col min="27" max="28" width="8.85546875" style="170" customWidth="1"/>
    <col min="29" max="29" width="9.28515625" style="170" customWidth="1"/>
    <col min="30" max="31" width="8.85546875" style="170" customWidth="1"/>
    <col min="32" max="32" width="9.28515625" style="170" customWidth="1"/>
    <col min="33" max="35" width="8.85546875" style="170" customWidth="1"/>
    <col min="36" max="36" width="9" style="170" customWidth="1"/>
    <col min="37" max="44" width="8.85546875" style="170" customWidth="1"/>
    <col min="45" max="16384" width="8.85546875" style="170"/>
  </cols>
  <sheetData>
    <row r="1" spans="1:53" x14ac:dyDescent="0.2">
      <c r="A1" s="182"/>
      <c r="B1" s="183" t="s">
        <v>0</v>
      </c>
      <c r="C1" s="183" t="s">
        <v>1</v>
      </c>
      <c r="D1" s="183" t="s">
        <v>164</v>
      </c>
      <c r="E1" s="183" t="s">
        <v>147</v>
      </c>
      <c r="F1" s="183" t="s">
        <v>2</v>
      </c>
      <c r="G1" s="183" t="s">
        <v>3</v>
      </c>
      <c r="H1" s="183" t="s">
        <v>166</v>
      </c>
      <c r="I1" s="183" t="s">
        <v>4</v>
      </c>
      <c r="J1" s="183" t="s">
        <v>5</v>
      </c>
      <c r="K1" s="183" t="s">
        <v>6</v>
      </c>
      <c r="L1" s="183" t="s">
        <v>7</v>
      </c>
      <c r="M1" s="183" t="s">
        <v>8</v>
      </c>
      <c r="N1" s="183" t="s">
        <v>9</v>
      </c>
      <c r="O1" s="183" t="s">
        <v>10</v>
      </c>
      <c r="P1" s="183" t="s">
        <v>230</v>
      </c>
      <c r="Q1" s="183" t="s">
        <v>11</v>
      </c>
      <c r="R1" s="183" t="s">
        <v>231</v>
      </c>
      <c r="S1" s="183" t="s">
        <v>12</v>
      </c>
      <c r="T1" s="183" t="s">
        <v>232</v>
      </c>
      <c r="U1" s="184" t="s">
        <v>100</v>
      </c>
      <c r="V1" s="184" t="s">
        <v>174</v>
      </c>
      <c r="W1" s="183" t="s">
        <v>13</v>
      </c>
      <c r="X1" s="183" t="s">
        <v>14</v>
      </c>
      <c r="Y1" s="184"/>
      <c r="Z1" s="184" t="s">
        <v>190</v>
      </c>
      <c r="AA1" s="184"/>
      <c r="AB1" s="184" t="s">
        <v>191</v>
      </c>
      <c r="AC1" s="184" t="s">
        <v>1</v>
      </c>
      <c r="AD1" s="184" t="s">
        <v>147</v>
      </c>
      <c r="AF1" s="184" t="s">
        <v>2</v>
      </c>
      <c r="AH1" s="184" t="s">
        <v>3</v>
      </c>
      <c r="AJ1" s="185" t="s">
        <v>4</v>
      </c>
      <c r="AL1" s="185" t="s">
        <v>5</v>
      </c>
      <c r="AM1" s="185"/>
      <c r="AN1" s="183" t="s">
        <v>6</v>
      </c>
      <c r="AO1" s="185"/>
      <c r="AP1" s="185" t="s">
        <v>192</v>
      </c>
      <c r="AQ1" s="185"/>
      <c r="AR1" s="183" t="s">
        <v>9</v>
      </c>
      <c r="AS1" s="183"/>
      <c r="AT1" s="183" t="s">
        <v>10</v>
      </c>
      <c r="AU1" s="183"/>
      <c r="AV1" s="183" t="s">
        <v>11</v>
      </c>
      <c r="AW1" s="183"/>
      <c r="AX1" s="183" t="s">
        <v>12</v>
      </c>
      <c r="AY1" s="185"/>
      <c r="AZ1" s="185"/>
      <c r="BA1" s="185"/>
    </row>
    <row r="2" spans="1:53" x14ac:dyDescent="0.2">
      <c r="A2" s="186">
        <v>1995</v>
      </c>
      <c r="B2" s="187">
        <f>AB2</f>
        <v>0.1404</v>
      </c>
      <c r="C2" s="189">
        <f t="shared" ref="C2:C17" si="0">AC2</f>
        <v>0.16200000000000001</v>
      </c>
      <c r="D2" s="190">
        <v>2.8737134677953111E-3</v>
      </c>
      <c r="E2" s="187">
        <f t="shared" ref="E2:E16" si="1">AD2</f>
        <v>0.5099999999999999</v>
      </c>
      <c r="F2" s="236">
        <v>0.67140000000000011</v>
      </c>
      <c r="G2" s="196">
        <f t="shared" ref="G2:G12" si="2">G3-0.05%</f>
        <v>0.16200000000000001</v>
      </c>
      <c r="H2" s="187">
        <f t="shared" ref="H2:H42" si="3">D2</f>
        <v>2.8737134677953111E-3</v>
      </c>
      <c r="I2" s="187">
        <f t="shared" ref="I2:I17" si="4">AJ2</f>
        <v>0.25</v>
      </c>
      <c r="J2" s="187">
        <v>0.59</v>
      </c>
      <c r="K2" s="202">
        <f t="shared" ref="K2:K12" si="5">K3-1.4%</f>
        <v>1.637</v>
      </c>
      <c r="L2" s="190">
        <v>1</v>
      </c>
      <c r="M2" s="190">
        <v>0.2</v>
      </c>
      <c r="N2" s="190">
        <v>0.35</v>
      </c>
      <c r="O2" s="190">
        <v>0.64</v>
      </c>
      <c r="P2" s="187">
        <f t="shared" ref="P2:P7" si="6">O2</f>
        <v>0.64</v>
      </c>
      <c r="Q2" s="190">
        <v>0.84</v>
      </c>
      <c r="R2" s="187">
        <f t="shared" ref="R2:R7" si="7">Q2</f>
        <v>0.84</v>
      </c>
      <c r="S2" s="202">
        <f>R2</f>
        <v>0.84</v>
      </c>
      <c r="T2" s="187">
        <f t="shared" ref="T2:T7" si="8">S2</f>
        <v>0.84</v>
      </c>
      <c r="U2" s="193">
        <v>3.0720000000000001</v>
      </c>
      <c r="V2" s="190">
        <v>0.4790597755265889</v>
      </c>
      <c r="W2" s="190">
        <v>1</v>
      </c>
      <c r="X2" s="190">
        <v>1</v>
      </c>
      <c r="Y2" s="191"/>
      <c r="Z2" s="192">
        <v>0.36</v>
      </c>
      <c r="AA2" s="192"/>
      <c r="AB2" s="171">
        <f>Z2*0.39</f>
        <v>0.1404</v>
      </c>
      <c r="AC2" s="193">
        <f>45%*Z2</f>
        <v>0.16200000000000001</v>
      </c>
      <c r="AD2" s="194">
        <f t="shared" ref="AD2:AD7" si="9">AD3-$AE$17</f>
        <v>0.5099999999999999</v>
      </c>
      <c r="AF2" s="193">
        <v>0.81399999999999995</v>
      </c>
      <c r="AJ2" s="193">
        <v>0.25</v>
      </c>
    </row>
    <row r="3" spans="1:53" x14ac:dyDescent="0.2">
      <c r="A3" s="186">
        <v>1996</v>
      </c>
      <c r="B3" s="187">
        <f t="shared" ref="B3:B17" si="10">AB3</f>
        <v>0.14478749999999999</v>
      </c>
      <c r="C3" s="189">
        <f t="shared" si="0"/>
        <v>0.1670625</v>
      </c>
      <c r="D3" s="190">
        <f t="shared" ref="D3:D11" si="11">D2+((D$12-D$2)/10)</f>
        <v>3.065294365648332E-3</v>
      </c>
      <c r="E3" s="187">
        <f t="shared" si="1"/>
        <v>0.49633333333333324</v>
      </c>
      <c r="F3" s="236">
        <v>0.67140000000000011</v>
      </c>
      <c r="G3" s="196">
        <f t="shared" si="2"/>
        <v>0.16250000000000001</v>
      </c>
      <c r="H3" s="187">
        <f t="shared" si="3"/>
        <v>3.065294365648332E-3</v>
      </c>
      <c r="I3" s="187">
        <f t="shared" si="4"/>
        <v>0.245</v>
      </c>
      <c r="J3" s="187">
        <v>0.59</v>
      </c>
      <c r="K3" s="202">
        <f t="shared" si="5"/>
        <v>1.651</v>
      </c>
      <c r="L3" s="190">
        <f t="shared" ref="L3:L11" si="12">L2+((L$12-L$2)/10)</f>
        <v>1</v>
      </c>
      <c r="M3" s="187">
        <f>M2</f>
        <v>0.2</v>
      </c>
      <c r="N3" s="187">
        <f>N2</f>
        <v>0.35</v>
      </c>
      <c r="O3" s="203">
        <f>O2+3%/12</f>
        <v>0.64249999999999996</v>
      </c>
      <c r="P3" s="187">
        <f t="shared" si="6"/>
        <v>0.64249999999999996</v>
      </c>
      <c r="Q3" s="203">
        <f>Q2+4%/12</f>
        <v>0.84333333333333327</v>
      </c>
      <c r="R3" s="187">
        <f t="shared" si="7"/>
        <v>0.84333333333333327</v>
      </c>
      <c r="S3" s="202">
        <f t="shared" ref="S3:S13" si="13">R3</f>
        <v>0.84333333333333327</v>
      </c>
      <c r="T3" s="187">
        <f t="shared" si="8"/>
        <v>0.84333333333333327</v>
      </c>
      <c r="U3" s="193">
        <v>3.0859999999999999</v>
      </c>
      <c r="V3" s="190">
        <f t="shared" ref="V3:V11" si="14">V2+((V$12-V$2)/10)</f>
        <v>0.47833042722836155</v>
      </c>
      <c r="W3" s="190">
        <v>1</v>
      </c>
      <c r="X3" s="190">
        <v>1</v>
      </c>
      <c r="Y3" s="191"/>
      <c r="Z3" s="192">
        <f>Z2+$AA$10/8</f>
        <v>0.37124999999999997</v>
      </c>
      <c r="AA3" s="192"/>
      <c r="AB3" s="171">
        <f t="shared" ref="AB3:AB17" si="15">Z3*0.39</f>
        <v>0.14478749999999999</v>
      </c>
      <c r="AC3" s="193">
        <f t="shared" ref="AC3:AC17" si="16">45%*Z3</f>
        <v>0.1670625</v>
      </c>
      <c r="AD3" s="194">
        <f t="shared" si="9"/>
        <v>0.49633333333333324</v>
      </c>
      <c r="AF3" s="193">
        <f>AF2+$AG$6/5</f>
        <v>0.82599999999999996</v>
      </c>
      <c r="AJ3" s="194">
        <f>AJ2+$AK$6/4</f>
        <v>0.245</v>
      </c>
    </row>
    <row r="4" spans="1:53" s="195" customFormat="1" x14ac:dyDescent="0.2">
      <c r="A4" s="186">
        <v>1997</v>
      </c>
      <c r="B4" s="187">
        <f t="shared" si="10"/>
        <v>0.14917499999999997</v>
      </c>
      <c r="C4" s="189">
        <f t="shared" si="0"/>
        <v>0.17212499999999997</v>
      </c>
      <c r="D4" s="190">
        <f t="shared" si="11"/>
        <v>3.2568752635013529E-3</v>
      </c>
      <c r="E4" s="187">
        <f t="shared" si="1"/>
        <v>0.48266666666666658</v>
      </c>
      <c r="F4" s="236">
        <v>0.67140000000000011</v>
      </c>
      <c r="G4" s="196">
        <f t="shared" si="2"/>
        <v>0.16300000000000001</v>
      </c>
      <c r="H4" s="187">
        <f t="shared" si="3"/>
        <v>3.2568752635013529E-3</v>
      </c>
      <c r="I4" s="187">
        <f t="shared" si="4"/>
        <v>0.24</v>
      </c>
      <c r="J4" s="187">
        <v>0.59</v>
      </c>
      <c r="K4" s="202">
        <f t="shared" si="5"/>
        <v>1.665</v>
      </c>
      <c r="L4" s="190">
        <f t="shared" si="12"/>
        <v>1</v>
      </c>
      <c r="M4" s="187">
        <f t="shared" ref="M4:N13" si="17">M3</f>
        <v>0.2</v>
      </c>
      <c r="N4" s="187">
        <f t="shared" si="17"/>
        <v>0.35</v>
      </c>
      <c r="O4" s="203">
        <f t="shared" ref="O4:O13" si="18">O3+3%/12</f>
        <v>0.64499999999999991</v>
      </c>
      <c r="P4" s="187">
        <f t="shared" si="6"/>
        <v>0.64499999999999991</v>
      </c>
      <c r="Q4" s="203">
        <f t="shared" ref="Q4:Q13" si="19">Q3+4%/12</f>
        <v>0.84666666666666657</v>
      </c>
      <c r="R4" s="187">
        <f t="shared" si="7"/>
        <v>0.84666666666666657</v>
      </c>
      <c r="S4" s="202">
        <f t="shared" si="13"/>
        <v>0.84666666666666657</v>
      </c>
      <c r="T4" s="187">
        <f t="shared" si="8"/>
        <v>0.84666666666666657</v>
      </c>
      <c r="U4" s="193">
        <v>3.1</v>
      </c>
      <c r="V4" s="190">
        <f t="shared" si="14"/>
        <v>0.4776010789301342</v>
      </c>
      <c r="W4" s="190">
        <v>1</v>
      </c>
      <c r="X4" s="190">
        <v>1</v>
      </c>
      <c r="Y4" s="191"/>
      <c r="Z4" s="192">
        <f t="shared" ref="Z4:Z9" si="20">Z3+$AA$10/8</f>
        <v>0.38249999999999995</v>
      </c>
      <c r="AA4" s="192"/>
      <c r="AB4" s="171">
        <f t="shared" si="15"/>
        <v>0.14917499999999997</v>
      </c>
      <c r="AC4" s="193">
        <f t="shared" si="16"/>
        <v>0.17212499999999997</v>
      </c>
      <c r="AD4" s="194">
        <f t="shared" si="9"/>
        <v>0.48266666666666658</v>
      </c>
      <c r="AF4" s="193">
        <f>AF3+$AG$6/5</f>
        <v>0.83799999999999997</v>
      </c>
      <c r="AJ4" s="194">
        <f>AJ3+$AK$6/4</f>
        <v>0.24</v>
      </c>
    </row>
    <row r="5" spans="1:53" x14ac:dyDescent="0.2">
      <c r="A5" s="186">
        <v>1998</v>
      </c>
      <c r="B5" s="187">
        <f t="shared" si="10"/>
        <v>0.15356249999999999</v>
      </c>
      <c r="C5" s="189">
        <f t="shared" si="0"/>
        <v>0.17718749999999997</v>
      </c>
      <c r="D5" s="190">
        <f t="shared" si="11"/>
        <v>3.4484561613543738E-3</v>
      </c>
      <c r="E5" s="187">
        <f t="shared" si="1"/>
        <v>0.46899999999999992</v>
      </c>
      <c r="F5" s="236">
        <v>0.67140000000000011</v>
      </c>
      <c r="G5" s="196">
        <f t="shared" si="2"/>
        <v>0.16350000000000001</v>
      </c>
      <c r="H5" s="187">
        <f t="shared" si="3"/>
        <v>3.4484561613543738E-3</v>
      </c>
      <c r="I5" s="187">
        <f t="shared" si="4"/>
        <v>0.23499999999999999</v>
      </c>
      <c r="J5" s="187">
        <v>0.59</v>
      </c>
      <c r="K5" s="202">
        <f t="shared" si="5"/>
        <v>1.679</v>
      </c>
      <c r="L5" s="190">
        <f t="shared" si="12"/>
        <v>1</v>
      </c>
      <c r="M5" s="187">
        <f t="shared" si="17"/>
        <v>0.2</v>
      </c>
      <c r="N5" s="187">
        <f t="shared" si="17"/>
        <v>0.35</v>
      </c>
      <c r="O5" s="203">
        <f t="shared" si="18"/>
        <v>0.64749999999999985</v>
      </c>
      <c r="P5" s="187">
        <f t="shared" si="6"/>
        <v>0.64749999999999985</v>
      </c>
      <c r="Q5" s="203">
        <f t="shared" si="19"/>
        <v>0.84999999999999987</v>
      </c>
      <c r="R5" s="187">
        <f t="shared" si="7"/>
        <v>0.84999999999999987</v>
      </c>
      <c r="S5" s="202">
        <f t="shared" si="13"/>
        <v>0.84999999999999987</v>
      </c>
      <c r="T5" s="187">
        <f t="shared" si="8"/>
        <v>0.84999999999999987</v>
      </c>
      <c r="U5" s="193">
        <v>3.1139999999999999</v>
      </c>
      <c r="V5" s="190">
        <f t="shared" si="14"/>
        <v>0.47687173063190685</v>
      </c>
      <c r="W5" s="190">
        <v>1</v>
      </c>
      <c r="X5" s="190">
        <v>1</v>
      </c>
      <c r="Y5" s="191"/>
      <c r="Z5" s="192">
        <f t="shared" si="20"/>
        <v>0.39374999999999993</v>
      </c>
      <c r="AA5" s="192"/>
      <c r="AB5" s="171">
        <f t="shared" si="15"/>
        <v>0.15356249999999999</v>
      </c>
      <c r="AC5" s="193">
        <f t="shared" si="16"/>
        <v>0.17718749999999997</v>
      </c>
      <c r="AD5" s="194">
        <f t="shared" si="9"/>
        <v>0.46899999999999992</v>
      </c>
      <c r="AF5" s="193">
        <f>AF4+$AG$6/5</f>
        <v>0.85</v>
      </c>
      <c r="AJ5" s="194">
        <f>AJ4+$AK$6/4</f>
        <v>0.23499999999999999</v>
      </c>
    </row>
    <row r="6" spans="1:53" x14ac:dyDescent="0.2">
      <c r="A6" s="186">
        <v>1999</v>
      </c>
      <c r="B6" s="187">
        <f t="shared" si="10"/>
        <v>0.15794999999999998</v>
      </c>
      <c r="C6" s="189">
        <f t="shared" si="0"/>
        <v>0.18224999999999997</v>
      </c>
      <c r="D6" s="190">
        <f t="shared" si="11"/>
        <v>3.6400370592073947E-3</v>
      </c>
      <c r="E6" s="187">
        <f t="shared" si="1"/>
        <v>0.45533333333333326</v>
      </c>
      <c r="F6" s="236">
        <v>0.67140000000000011</v>
      </c>
      <c r="G6" s="196">
        <f t="shared" si="2"/>
        <v>0.16400000000000001</v>
      </c>
      <c r="H6" s="187">
        <f t="shared" si="3"/>
        <v>3.6400370592073947E-3</v>
      </c>
      <c r="I6" s="187">
        <f t="shared" si="4"/>
        <v>0.23</v>
      </c>
      <c r="J6" s="187">
        <v>0.59</v>
      </c>
      <c r="K6" s="202">
        <f t="shared" si="5"/>
        <v>1.6930000000000001</v>
      </c>
      <c r="L6" s="190">
        <f t="shared" si="12"/>
        <v>1</v>
      </c>
      <c r="M6" s="187">
        <f t="shared" si="17"/>
        <v>0.2</v>
      </c>
      <c r="N6" s="187">
        <f t="shared" si="17"/>
        <v>0.35</v>
      </c>
      <c r="O6" s="203">
        <f t="shared" si="18"/>
        <v>0.6499999999999998</v>
      </c>
      <c r="P6" s="187">
        <f t="shared" si="6"/>
        <v>0.6499999999999998</v>
      </c>
      <c r="Q6" s="203">
        <f t="shared" si="19"/>
        <v>0.85333333333333317</v>
      </c>
      <c r="R6" s="187">
        <f t="shared" si="7"/>
        <v>0.85333333333333317</v>
      </c>
      <c r="S6" s="202">
        <f t="shared" si="13"/>
        <v>0.85333333333333317</v>
      </c>
      <c r="T6" s="187">
        <f t="shared" si="8"/>
        <v>0.85333333333333317</v>
      </c>
      <c r="U6" s="193">
        <v>3.1280000000000001</v>
      </c>
      <c r="V6" s="190">
        <f t="shared" si="14"/>
        <v>0.4761423823336795</v>
      </c>
      <c r="W6" s="190">
        <v>1</v>
      </c>
      <c r="X6" s="190">
        <v>1</v>
      </c>
      <c r="Y6" s="191"/>
      <c r="Z6" s="192">
        <f t="shared" si="20"/>
        <v>0.40499999999999992</v>
      </c>
      <c r="AA6" s="192"/>
      <c r="AB6" s="171">
        <f t="shared" si="15"/>
        <v>0.15794999999999998</v>
      </c>
      <c r="AC6" s="193">
        <f t="shared" si="16"/>
        <v>0.18224999999999997</v>
      </c>
      <c r="AD6" s="194">
        <f t="shared" si="9"/>
        <v>0.45533333333333326</v>
      </c>
      <c r="AF6" s="193">
        <v>0.874</v>
      </c>
      <c r="AG6" s="193">
        <f>AF6-$AF$2</f>
        <v>6.0000000000000053E-2</v>
      </c>
      <c r="AJ6" s="193">
        <v>0.23</v>
      </c>
      <c r="AK6" s="193">
        <f>AJ6-AJ2</f>
        <v>-1.999999999999999E-2</v>
      </c>
    </row>
    <row r="7" spans="1:53" x14ac:dyDescent="0.2">
      <c r="A7" s="186">
        <v>2000</v>
      </c>
      <c r="B7" s="187">
        <f t="shared" si="10"/>
        <v>0.16233749999999997</v>
      </c>
      <c r="C7" s="189">
        <f t="shared" si="0"/>
        <v>0.18731249999999997</v>
      </c>
      <c r="D7" s="190">
        <f t="shared" si="11"/>
        <v>3.8316179570604156E-3</v>
      </c>
      <c r="E7" s="187">
        <f t="shared" si="1"/>
        <v>0.4416666666666666</v>
      </c>
      <c r="F7" s="236">
        <v>0.67140000000000011</v>
      </c>
      <c r="G7" s="196">
        <f t="shared" si="2"/>
        <v>0.16450000000000001</v>
      </c>
      <c r="H7" s="187">
        <f t="shared" si="3"/>
        <v>3.8316179570604156E-3</v>
      </c>
      <c r="I7" s="187">
        <f t="shared" si="4"/>
        <v>0.22075</v>
      </c>
      <c r="J7" s="187">
        <v>0.59</v>
      </c>
      <c r="K7" s="202">
        <f t="shared" si="5"/>
        <v>1.7070000000000001</v>
      </c>
      <c r="L7" s="190">
        <f t="shared" si="12"/>
        <v>1</v>
      </c>
      <c r="M7" s="187">
        <f t="shared" si="17"/>
        <v>0.2</v>
      </c>
      <c r="N7" s="187">
        <f t="shared" si="17"/>
        <v>0.35</v>
      </c>
      <c r="O7" s="203">
        <f t="shared" si="18"/>
        <v>0.65249999999999975</v>
      </c>
      <c r="P7" s="187">
        <f t="shared" si="6"/>
        <v>0.65249999999999975</v>
      </c>
      <c r="Q7" s="203">
        <f t="shared" si="19"/>
        <v>0.85666666666666647</v>
      </c>
      <c r="R7" s="187">
        <f t="shared" si="7"/>
        <v>0.85666666666666647</v>
      </c>
      <c r="S7" s="202">
        <f t="shared" si="13"/>
        <v>0.85666666666666647</v>
      </c>
      <c r="T7" s="187">
        <f t="shared" si="8"/>
        <v>0.85666666666666647</v>
      </c>
      <c r="U7" s="193">
        <v>3.1419999999999999</v>
      </c>
      <c r="V7" s="190">
        <f t="shared" si="14"/>
        <v>0.47541303403545215</v>
      </c>
      <c r="W7" s="190">
        <v>1</v>
      </c>
      <c r="X7" s="190">
        <v>1</v>
      </c>
      <c r="Y7" s="191"/>
      <c r="Z7" s="192">
        <f t="shared" si="20"/>
        <v>0.4162499999999999</v>
      </c>
      <c r="AA7" s="192"/>
      <c r="AB7" s="171">
        <f t="shared" si="15"/>
        <v>0.16233749999999997</v>
      </c>
      <c r="AC7" s="193">
        <f t="shared" si="16"/>
        <v>0.18731249999999997</v>
      </c>
      <c r="AD7" s="194">
        <f t="shared" si="9"/>
        <v>0.4416666666666666</v>
      </c>
      <c r="AF7" s="193">
        <f>AF6+$AG$12/6</f>
        <v>0.87016666666666664</v>
      </c>
      <c r="AJ7" s="194">
        <f>AJ6+$AK$10/4</f>
        <v>0.22075</v>
      </c>
    </row>
    <row r="8" spans="1:53" x14ac:dyDescent="0.2">
      <c r="A8" s="186">
        <v>2001</v>
      </c>
      <c r="B8" s="187">
        <f t="shared" si="10"/>
        <v>0.16672499999999996</v>
      </c>
      <c r="C8" s="189">
        <f t="shared" si="0"/>
        <v>0.19237499999999996</v>
      </c>
      <c r="D8" s="190">
        <f t="shared" si="11"/>
        <v>4.0231988549134364E-3</v>
      </c>
      <c r="E8" s="187">
        <f t="shared" si="1"/>
        <v>0.42799999999999994</v>
      </c>
      <c r="F8" s="236">
        <v>0.67140000000000011</v>
      </c>
      <c r="G8" s="196">
        <f t="shared" si="2"/>
        <v>0.16500000000000001</v>
      </c>
      <c r="H8" s="187">
        <f t="shared" si="3"/>
        <v>4.0231988549134364E-3</v>
      </c>
      <c r="I8" s="187">
        <f t="shared" si="4"/>
        <v>0.21149999999999999</v>
      </c>
      <c r="J8" s="187">
        <v>0.59</v>
      </c>
      <c r="K8" s="202">
        <f t="shared" si="5"/>
        <v>1.7210000000000001</v>
      </c>
      <c r="L8" s="190">
        <f t="shared" si="12"/>
        <v>1</v>
      </c>
      <c r="M8" s="187">
        <f t="shared" si="17"/>
        <v>0.2</v>
      </c>
      <c r="N8" s="187">
        <f t="shared" si="17"/>
        <v>0.35</v>
      </c>
      <c r="O8" s="203">
        <f t="shared" si="18"/>
        <v>0.65499999999999969</v>
      </c>
      <c r="P8" s="187">
        <f>O8</f>
        <v>0.65499999999999969</v>
      </c>
      <c r="Q8" s="203">
        <f t="shared" si="19"/>
        <v>0.85999999999999976</v>
      </c>
      <c r="R8" s="187">
        <f>Q8</f>
        <v>0.85999999999999976</v>
      </c>
      <c r="S8" s="202">
        <f t="shared" si="13"/>
        <v>0.85999999999999976</v>
      </c>
      <c r="T8" s="187">
        <f>S8</f>
        <v>0.85999999999999976</v>
      </c>
      <c r="U8" s="193">
        <v>3.157</v>
      </c>
      <c r="V8" s="190">
        <f t="shared" si="14"/>
        <v>0.4746836857372248</v>
      </c>
      <c r="W8" s="190">
        <v>1</v>
      </c>
      <c r="X8" s="190">
        <v>1</v>
      </c>
      <c r="Y8" s="191"/>
      <c r="Z8" s="192">
        <f t="shared" si="20"/>
        <v>0.42749999999999988</v>
      </c>
      <c r="AA8" s="192"/>
      <c r="AB8" s="171">
        <f t="shared" si="15"/>
        <v>0.16672499999999996</v>
      </c>
      <c r="AC8" s="193">
        <f t="shared" si="16"/>
        <v>0.19237499999999996</v>
      </c>
      <c r="AD8" s="194">
        <f t="shared" ref="AD8:AD13" si="21">AD9-$AE$17</f>
        <v>0.42799999999999994</v>
      </c>
      <c r="AF8" s="193">
        <f>AF7+$AG$12/6</f>
        <v>0.86633333333333329</v>
      </c>
      <c r="AJ8" s="194">
        <f>AJ7+$AK$10/4</f>
        <v>0.21149999999999999</v>
      </c>
    </row>
    <row r="9" spans="1:53" x14ac:dyDescent="0.2">
      <c r="A9" s="186">
        <v>2002</v>
      </c>
      <c r="B9" s="187">
        <f t="shared" si="10"/>
        <v>0.17111249999999995</v>
      </c>
      <c r="C9" s="189">
        <f t="shared" si="0"/>
        <v>0.19743749999999993</v>
      </c>
      <c r="D9" s="190">
        <f t="shared" si="11"/>
        <v>4.2147797527664569E-3</v>
      </c>
      <c r="E9" s="187">
        <f t="shared" si="1"/>
        <v>0.41433333333333328</v>
      </c>
      <c r="F9" s="236">
        <v>0.6715000000000001</v>
      </c>
      <c r="G9" s="196">
        <f t="shared" si="2"/>
        <v>0.16550000000000001</v>
      </c>
      <c r="H9" s="187">
        <f t="shared" si="3"/>
        <v>4.2147797527664569E-3</v>
      </c>
      <c r="I9" s="187">
        <f t="shared" si="4"/>
        <v>0.20224999999999999</v>
      </c>
      <c r="J9" s="187">
        <v>0.59399999999999997</v>
      </c>
      <c r="K9" s="202">
        <f t="shared" si="5"/>
        <v>1.7350000000000001</v>
      </c>
      <c r="L9" s="190">
        <f t="shared" si="12"/>
        <v>1</v>
      </c>
      <c r="M9" s="187">
        <f t="shared" si="17"/>
        <v>0.2</v>
      </c>
      <c r="N9" s="187">
        <f t="shared" si="17"/>
        <v>0.35</v>
      </c>
      <c r="O9" s="203">
        <f t="shared" si="18"/>
        <v>0.65749999999999964</v>
      </c>
      <c r="P9" s="187">
        <f t="shared" ref="P9:P50" si="22">O9</f>
        <v>0.65749999999999964</v>
      </c>
      <c r="Q9" s="203">
        <f t="shared" si="19"/>
        <v>0.86333333333333306</v>
      </c>
      <c r="R9" s="187">
        <f t="shared" ref="R9:R50" si="23">Q9</f>
        <v>0.86333333333333306</v>
      </c>
      <c r="S9" s="202">
        <f t="shared" si="13"/>
        <v>0.86333333333333306</v>
      </c>
      <c r="T9" s="187">
        <f t="shared" ref="T9:T50" si="24">S9</f>
        <v>0.86333333333333306</v>
      </c>
      <c r="U9" s="193">
        <v>3.1709999999999998</v>
      </c>
      <c r="V9" s="190">
        <f t="shared" si="14"/>
        <v>0.47395433743899745</v>
      </c>
      <c r="W9" s="190">
        <v>1</v>
      </c>
      <c r="X9" s="190">
        <v>1</v>
      </c>
      <c r="Y9" s="191"/>
      <c r="Z9" s="192">
        <f t="shared" si="20"/>
        <v>0.43874999999999986</v>
      </c>
      <c r="AA9" s="192"/>
      <c r="AB9" s="171">
        <f t="shared" si="15"/>
        <v>0.17111249999999995</v>
      </c>
      <c r="AC9" s="193">
        <f t="shared" si="16"/>
        <v>0.19743749999999993</v>
      </c>
      <c r="AD9" s="194">
        <f t="shared" si="21"/>
        <v>0.41433333333333328</v>
      </c>
      <c r="AF9" s="193">
        <f>AF8+$AG$12/6</f>
        <v>0.86249999999999993</v>
      </c>
      <c r="AJ9" s="194">
        <f>AJ8+$AK$10/4</f>
        <v>0.20224999999999999</v>
      </c>
    </row>
    <row r="10" spans="1:53" x14ac:dyDescent="0.2">
      <c r="A10" s="186">
        <v>2003</v>
      </c>
      <c r="B10" s="187">
        <f t="shared" si="10"/>
        <v>0.17550000000000002</v>
      </c>
      <c r="C10" s="189">
        <f t="shared" si="0"/>
        <v>0.20250000000000001</v>
      </c>
      <c r="D10" s="190">
        <f t="shared" si="11"/>
        <v>4.4063606506194774E-3</v>
      </c>
      <c r="E10" s="187">
        <f t="shared" si="1"/>
        <v>0.40066666666666662</v>
      </c>
      <c r="F10" s="236">
        <v>0.67160000000000009</v>
      </c>
      <c r="G10" s="196">
        <f t="shared" si="2"/>
        <v>0.16600000000000001</v>
      </c>
      <c r="H10" s="187">
        <f t="shared" si="3"/>
        <v>4.4063606506194774E-3</v>
      </c>
      <c r="I10" s="187">
        <f t="shared" si="4"/>
        <v>0.193</v>
      </c>
      <c r="J10" s="187">
        <v>0.59799999999999998</v>
      </c>
      <c r="K10" s="202">
        <f t="shared" si="5"/>
        <v>1.7490000000000001</v>
      </c>
      <c r="L10" s="190">
        <f t="shared" si="12"/>
        <v>1</v>
      </c>
      <c r="M10" s="187">
        <f t="shared" si="17"/>
        <v>0.2</v>
      </c>
      <c r="N10" s="187">
        <f t="shared" si="17"/>
        <v>0.35</v>
      </c>
      <c r="O10" s="203">
        <f t="shared" si="18"/>
        <v>0.65999999999999959</v>
      </c>
      <c r="P10" s="187">
        <f t="shared" si="22"/>
        <v>0.65999999999999959</v>
      </c>
      <c r="Q10" s="203">
        <f t="shared" si="19"/>
        <v>0.86666666666666636</v>
      </c>
      <c r="R10" s="187">
        <f t="shared" si="23"/>
        <v>0.86666666666666636</v>
      </c>
      <c r="S10" s="202">
        <f t="shared" si="13"/>
        <v>0.86666666666666636</v>
      </c>
      <c r="T10" s="187">
        <f t="shared" si="24"/>
        <v>0.86666666666666636</v>
      </c>
      <c r="U10" s="193">
        <v>3.1850000000000001</v>
      </c>
      <c r="V10" s="190">
        <f t="shared" si="14"/>
        <v>0.4732249891407701</v>
      </c>
      <c r="W10" s="190">
        <v>1</v>
      </c>
      <c r="X10" s="190">
        <v>1</v>
      </c>
      <c r="Y10" s="191"/>
      <c r="Z10" s="193">
        <v>0.45</v>
      </c>
      <c r="AA10" s="192">
        <f>Z10-Z2</f>
        <v>9.0000000000000024E-2</v>
      </c>
      <c r="AB10" s="171">
        <f t="shared" si="15"/>
        <v>0.17550000000000002</v>
      </c>
      <c r="AC10" s="193">
        <f t="shared" si="16"/>
        <v>0.20250000000000001</v>
      </c>
      <c r="AD10" s="194">
        <f t="shared" si="21"/>
        <v>0.40066666666666662</v>
      </c>
      <c r="AF10" s="193">
        <f>AF9+$AG$12/6</f>
        <v>0.85866666666666658</v>
      </c>
      <c r="AJ10" s="193">
        <v>0.193</v>
      </c>
      <c r="AK10" s="193">
        <f>AJ10-AJ6</f>
        <v>-3.7000000000000005E-2</v>
      </c>
    </row>
    <row r="11" spans="1:53" x14ac:dyDescent="0.2">
      <c r="A11" s="186">
        <v>2004</v>
      </c>
      <c r="B11" s="187">
        <f t="shared" si="10"/>
        <v>0.1791075</v>
      </c>
      <c r="C11" s="189">
        <f t="shared" si="0"/>
        <v>0.2066625</v>
      </c>
      <c r="D11" s="190">
        <f t="shared" si="11"/>
        <v>4.5979415484724978E-3</v>
      </c>
      <c r="E11" s="187">
        <f t="shared" si="1"/>
        <v>0.38699999999999996</v>
      </c>
      <c r="F11" s="236">
        <v>0.67170000000000007</v>
      </c>
      <c r="G11" s="196">
        <f t="shared" si="2"/>
        <v>0.16650000000000001</v>
      </c>
      <c r="H11" s="187">
        <f t="shared" si="3"/>
        <v>4.5979415484724978E-3</v>
      </c>
      <c r="I11" s="187">
        <f t="shared" si="4"/>
        <v>0.19675000000000001</v>
      </c>
      <c r="J11" s="187">
        <v>0.60099999999999998</v>
      </c>
      <c r="K11" s="202">
        <f t="shared" si="5"/>
        <v>1.7630000000000001</v>
      </c>
      <c r="L11" s="190">
        <f t="shared" si="12"/>
        <v>1</v>
      </c>
      <c r="M11" s="187">
        <f t="shared" si="17"/>
        <v>0.2</v>
      </c>
      <c r="N11" s="187">
        <f t="shared" si="17"/>
        <v>0.35</v>
      </c>
      <c r="O11" s="203">
        <f t="shared" si="18"/>
        <v>0.66249999999999953</v>
      </c>
      <c r="P11" s="187">
        <f t="shared" si="22"/>
        <v>0.66249999999999953</v>
      </c>
      <c r="Q11" s="203">
        <f t="shared" si="19"/>
        <v>0.86999999999999966</v>
      </c>
      <c r="R11" s="187">
        <f t="shared" si="23"/>
        <v>0.86999999999999966</v>
      </c>
      <c r="S11" s="202">
        <f t="shared" si="13"/>
        <v>0.86999999999999966</v>
      </c>
      <c r="T11" s="187">
        <f t="shared" si="24"/>
        <v>0.86999999999999966</v>
      </c>
      <c r="U11" s="193">
        <v>3.1989999999999998</v>
      </c>
      <c r="V11" s="190">
        <f t="shared" si="14"/>
        <v>0.47249564084254275</v>
      </c>
      <c r="W11" s="190">
        <v>1</v>
      </c>
      <c r="X11" s="190">
        <v>1</v>
      </c>
      <c r="Y11" s="191"/>
      <c r="Z11" s="193">
        <f>Z10+$AA$14/4</f>
        <v>0.45924999999999999</v>
      </c>
      <c r="AB11" s="171">
        <f t="shared" si="15"/>
        <v>0.1791075</v>
      </c>
      <c r="AC11" s="193">
        <f t="shared" si="16"/>
        <v>0.2066625</v>
      </c>
      <c r="AD11" s="194">
        <f t="shared" si="21"/>
        <v>0.38699999999999996</v>
      </c>
      <c r="AF11" s="193">
        <f>AF10+$AG$12/6</f>
        <v>0.85483333333333322</v>
      </c>
      <c r="AJ11" s="193">
        <f>AJ10+$AK$14/4</f>
        <v>0.19675000000000001</v>
      </c>
    </row>
    <row r="12" spans="1:53" x14ac:dyDescent="0.2">
      <c r="A12" s="186">
        <v>2005</v>
      </c>
      <c r="B12" s="187">
        <f t="shared" si="10"/>
        <v>0.18271499999999999</v>
      </c>
      <c r="C12" s="189">
        <f t="shared" si="0"/>
        <v>0.21082499999999998</v>
      </c>
      <c r="D12" s="196">
        <f>'KU EIAData'!AC6</f>
        <v>4.7895224463255183E-3</v>
      </c>
      <c r="E12" s="187">
        <f t="shared" si="1"/>
        <v>0.37333333333333329</v>
      </c>
      <c r="F12" s="236">
        <v>0.67180000000000006</v>
      </c>
      <c r="G12" s="196">
        <f t="shared" si="2"/>
        <v>0.16700000000000001</v>
      </c>
      <c r="H12" s="187">
        <f t="shared" si="3"/>
        <v>4.7895224463255183E-3</v>
      </c>
      <c r="I12" s="187">
        <f t="shared" si="4"/>
        <v>0.20050000000000001</v>
      </c>
      <c r="J12" s="187">
        <v>0.60399999999999998</v>
      </c>
      <c r="K12" s="202">
        <f t="shared" si="5"/>
        <v>1.7770000000000001</v>
      </c>
      <c r="L12" s="196">
        <v>1</v>
      </c>
      <c r="M12" s="203">
        <f>'KU EIAData'!AX6-'KU Shares'!L12</f>
        <v>0.20141064079756799</v>
      </c>
      <c r="N12" s="187">
        <f t="shared" si="17"/>
        <v>0.35</v>
      </c>
      <c r="O12" s="203">
        <f t="shared" si="18"/>
        <v>0.66499999999999948</v>
      </c>
      <c r="P12" s="187">
        <f t="shared" si="22"/>
        <v>0.66499999999999948</v>
      </c>
      <c r="Q12" s="203">
        <f t="shared" si="19"/>
        <v>0.87333333333333296</v>
      </c>
      <c r="R12" s="187">
        <f t="shared" si="23"/>
        <v>0.87333333333333296</v>
      </c>
      <c r="S12" s="202">
        <f t="shared" si="13"/>
        <v>0.87333333333333296</v>
      </c>
      <c r="T12" s="187">
        <f t="shared" si="24"/>
        <v>0.87333333333333296</v>
      </c>
      <c r="U12" s="187">
        <f>'KU EIAData'!BB6</f>
        <v>3.2258272963172629</v>
      </c>
      <c r="V12" s="196">
        <f>'KU EIAData'!BD6</f>
        <v>0.4717662925443154</v>
      </c>
      <c r="W12" s="190">
        <v>1</v>
      </c>
      <c r="X12" s="190">
        <v>1</v>
      </c>
      <c r="Y12" s="191"/>
      <c r="Z12" s="193">
        <f>Z11+$AA$14/4</f>
        <v>0.46849999999999997</v>
      </c>
      <c r="AB12" s="171">
        <f t="shared" si="15"/>
        <v>0.18271499999999999</v>
      </c>
      <c r="AC12" s="193">
        <f t="shared" si="16"/>
        <v>0.21082499999999998</v>
      </c>
      <c r="AD12" s="194">
        <f t="shared" si="21"/>
        <v>0.37333333333333329</v>
      </c>
      <c r="AF12" s="193">
        <v>0.85099999999999998</v>
      </c>
      <c r="AG12" s="193">
        <f>AF12-AF6</f>
        <v>-2.300000000000002E-2</v>
      </c>
      <c r="AJ12" s="193">
        <f>AJ11+$AK$14/4</f>
        <v>0.20050000000000001</v>
      </c>
    </row>
    <row r="13" spans="1:53" x14ac:dyDescent="0.2">
      <c r="A13" s="186">
        <v>2006</v>
      </c>
      <c r="B13" s="187">
        <f t="shared" si="10"/>
        <v>0.18632249999999997</v>
      </c>
      <c r="C13" s="189">
        <f t="shared" si="0"/>
        <v>0.21498749999999997</v>
      </c>
      <c r="D13" s="196">
        <f>'KU EIAData'!AC7</f>
        <v>5.0756203659968998E-3</v>
      </c>
      <c r="E13" s="187">
        <f t="shared" si="1"/>
        <v>0.35966666666666663</v>
      </c>
      <c r="F13" s="236">
        <v>0.67190000000000005</v>
      </c>
      <c r="G13" s="196">
        <f>G14-0.05%</f>
        <v>0.16750000000000001</v>
      </c>
      <c r="H13" s="187">
        <f t="shared" si="3"/>
        <v>5.0756203659968998E-3</v>
      </c>
      <c r="I13" s="187">
        <f t="shared" si="4"/>
        <v>0.20425000000000001</v>
      </c>
      <c r="J13" s="187">
        <v>0.60699999999999998</v>
      </c>
      <c r="K13" s="202">
        <f>K14-1.4%</f>
        <v>1.7910000000000001</v>
      </c>
      <c r="L13" s="196">
        <v>1</v>
      </c>
      <c r="M13" s="203">
        <f>'KU EIAData'!AX7-'KU Shares'!L13</f>
        <v>0.19988748036196879</v>
      </c>
      <c r="N13" s="187">
        <f t="shared" si="17"/>
        <v>0.35</v>
      </c>
      <c r="O13" s="203">
        <f t="shared" si="18"/>
        <v>0.66749999999999943</v>
      </c>
      <c r="P13" s="187">
        <f t="shared" si="22"/>
        <v>0.66749999999999943</v>
      </c>
      <c r="Q13" s="203">
        <f t="shared" si="19"/>
        <v>0.87666666666666626</v>
      </c>
      <c r="R13" s="187">
        <f t="shared" si="23"/>
        <v>0.87666666666666626</v>
      </c>
      <c r="S13" s="202">
        <f t="shared" si="13"/>
        <v>0.87666666666666626</v>
      </c>
      <c r="T13" s="187">
        <f t="shared" si="24"/>
        <v>0.87666666666666626</v>
      </c>
      <c r="U13" s="187">
        <f>'KU EIAData'!BB7</f>
        <v>3.2368607481663374</v>
      </c>
      <c r="V13" s="196">
        <f>'KU EIAData'!BD7</f>
        <v>0.46959990314327987</v>
      </c>
      <c r="W13" s="190">
        <v>1</v>
      </c>
      <c r="X13" s="190">
        <v>1</v>
      </c>
      <c r="Y13" s="191"/>
      <c r="Z13" s="193">
        <f>Z12+$AA$14/4</f>
        <v>0.47774999999999995</v>
      </c>
      <c r="AB13" s="171">
        <f t="shared" si="15"/>
        <v>0.18632249999999997</v>
      </c>
      <c r="AC13" s="193">
        <f t="shared" si="16"/>
        <v>0.21498749999999997</v>
      </c>
      <c r="AD13" s="194">
        <f t="shared" si="21"/>
        <v>0.35966666666666663</v>
      </c>
      <c r="AF13" s="193">
        <f>AF12+$AG$17/5</f>
        <v>0.85739999999999994</v>
      </c>
      <c r="AG13" s="193"/>
      <c r="AH13" s="193"/>
      <c r="AJ13" s="193">
        <f>AJ12+$AK$14/4</f>
        <v>0.20425000000000001</v>
      </c>
      <c r="AR13" s="201"/>
      <c r="AS13" s="201"/>
      <c r="AT13" s="201"/>
      <c r="AU13" s="201"/>
      <c r="AV13" s="201"/>
      <c r="AW13" s="201"/>
    </row>
    <row r="14" spans="1:53" x14ac:dyDescent="0.2">
      <c r="A14" s="186">
        <v>2007</v>
      </c>
      <c r="B14" s="187">
        <f t="shared" si="10"/>
        <v>0.18993000000000002</v>
      </c>
      <c r="C14" s="189">
        <f t="shared" si="0"/>
        <v>0.21915000000000001</v>
      </c>
      <c r="D14" s="196">
        <f>'KU EIAData'!AC8</f>
        <v>5.5085373321371103E-3</v>
      </c>
      <c r="E14" s="187">
        <f t="shared" si="1"/>
        <v>0.34599999999999997</v>
      </c>
      <c r="F14" s="187">
        <f>AF14</f>
        <v>0.67600000000000005</v>
      </c>
      <c r="G14" s="187">
        <f>AH14</f>
        <v>0.16800000000000001</v>
      </c>
      <c r="H14" s="187">
        <f t="shared" si="3"/>
        <v>5.5085373321371103E-3</v>
      </c>
      <c r="I14" s="187">
        <f t="shared" si="4"/>
        <v>0.20799999999999999</v>
      </c>
      <c r="J14" s="230">
        <f>AL14</f>
        <v>0.60699999999999998</v>
      </c>
      <c r="K14" s="187">
        <f>AN14+AP14</f>
        <v>1.8050000000000002</v>
      </c>
      <c r="L14" s="196">
        <v>1</v>
      </c>
      <c r="M14" s="203">
        <f>'KU EIAData'!AX8-'KU Shares'!L14</f>
        <v>0.20002563335754253</v>
      </c>
      <c r="N14" s="187">
        <f>AR14</f>
        <v>0.42</v>
      </c>
      <c r="O14" s="187">
        <f>AT14</f>
        <v>0.56999999999999995</v>
      </c>
      <c r="P14" s="187">
        <f t="shared" si="22"/>
        <v>0.56999999999999995</v>
      </c>
      <c r="Q14" s="187">
        <f>AV14</f>
        <v>0.84</v>
      </c>
      <c r="R14" s="187">
        <f t="shared" si="23"/>
        <v>0.84</v>
      </c>
      <c r="S14" s="187">
        <f>AX14</f>
        <v>0.60699999999999998</v>
      </c>
      <c r="T14" s="187">
        <f t="shared" si="24"/>
        <v>0.60699999999999998</v>
      </c>
      <c r="U14" s="187">
        <f>'KU EIAData'!BB8</f>
        <v>3.4855378020819985</v>
      </c>
      <c r="V14" s="196">
        <f>'KU EIAData'!BD8</f>
        <v>0.46697483658734568</v>
      </c>
      <c r="W14" s="190">
        <v>1</v>
      </c>
      <c r="X14" s="190">
        <v>1</v>
      </c>
      <c r="Y14" s="191"/>
      <c r="Z14" s="193">
        <v>0.48699999999999999</v>
      </c>
      <c r="AA14" s="193">
        <f>Z14-Z10</f>
        <v>3.6999999999999977E-2</v>
      </c>
      <c r="AB14" s="171">
        <f t="shared" si="15"/>
        <v>0.18993000000000002</v>
      </c>
      <c r="AC14" s="193">
        <f t="shared" si="16"/>
        <v>0.21915000000000001</v>
      </c>
      <c r="AD14" s="188">
        <v>0.34599999999999997</v>
      </c>
      <c r="AF14" s="193">
        <v>0.67600000000000005</v>
      </c>
      <c r="AG14" s="193"/>
      <c r="AH14" s="193">
        <v>0.16800000000000001</v>
      </c>
      <c r="AJ14" s="193">
        <v>0.20799999999999999</v>
      </c>
      <c r="AK14" s="193">
        <f>AJ14-AJ10</f>
        <v>1.4999999999999986E-2</v>
      </c>
      <c r="AL14" s="193">
        <v>0.60699999999999998</v>
      </c>
      <c r="AN14" s="193">
        <v>0.89500000000000002</v>
      </c>
      <c r="AP14" s="201">
        <v>0.91</v>
      </c>
      <c r="AQ14" s="201"/>
      <c r="AR14" s="193">
        <v>0.42</v>
      </c>
      <c r="AS14" s="201"/>
      <c r="AT14" s="193">
        <v>0.56999999999999995</v>
      </c>
      <c r="AU14" s="201"/>
      <c r="AV14" s="193">
        <v>0.84</v>
      </c>
      <c r="AX14" s="193">
        <v>0.60699999999999998</v>
      </c>
    </row>
    <row r="15" spans="1:53" x14ac:dyDescent="0.2">
      <c r="A15" s="186">
        <v>2008</v>
      </c>
      <c r="B15" s="187">
        <f t="shared" si="10"/>
        <v>0.19765200000000002</v>
      </c>
      <c r="C15" s="189">
        <f t="shared" si="0"/>
        <v>0.22806000000000001</v>
      </c>
      <c r="D15" s="196">
        <f>'KU EIAData'!AC9</f>
        <v>6.2926810486164412E-3</v>
      </c>
      <c r="E15" s="187">
        <f t="shared" si="1"/>
        <v>0.33233333333333331</v>
      </c>
      <c r="F15" s="187">
        <f>AF15</f>
        <v>0.68240000000000001</v>
      </c>
      <c r="G15" s="187">
        <f>AH15</f>
        <v>0.16800000000000001</v>
      </c>
      <c r="H15" s="187">
        <f t="shared" si="3"/>
        <v>6.2926810486164412E-3</v>
      </c>
      <c r="I15" s="187">
        <f t="shared" si="4"/>
        <v>0.19266666666666665</v>
      </c>
      <c r="J15" s="230">
        <f>AL15</f>
        <v>0.63300000000000001</v>
      </c>
      <c r="K15" s="187">
        <f>AN15+AP15</f>
        <v>1.8319999999999999</v>
      </c>
      <c r="L15" s="196">
        <v>1</v>
      </c>
      <c r="M15" s="203">
        <f>'KU EIAData'!AX9-'KU Shares'!L15</f>
        <v>0.19989049190594188</v>
      </c>
      <c r="N15" s="187">
        <f>AR15</f>
        <v>0.42333333333333334</v>
      </c>
      <c r="O15" s="187">
        <f>AT15</f>
        <v>0.60333333333333328</v>
      </c>
      <c r="P15" s="187">
        <f t="shared" si="22"/>
        <v>0.60333333333333328</v>
      </c>
      <c r="Q15" s="187">
        <f>AV15</f>
        <v>0.87</v>
      </c>
      <c r="R15" s="187">
        <f t="shared" si="23"/>
        <v>0.87</v>
      </c>
      <c r="S15" s="187">
        <f>AX15</f>
        <v>0.63300000000000001</v>
      </c>
      <c r="T15" s="187">
        <f t="shared" si="24"/>
        <v>0.63300000000000001</v>
      </c>
      <c r="U15" s="187">
        <f>'KU EIAData'!BB9</f>
        <v>3.7403596497213178</v>
      </c>
      <c r="V15" s="196">
        <f>'KU EIAData'!BD9</f>
        <v>0.46445629995705179</v>
      </c>
      <c r="W15" s="190">
        <v>1</v>
      </c>
      <c r="X15" s="190">
        <v>1</v>
      </c>
      <c r="Y15" s="191"/>
      <c r="Z15" s="193">
        <f>Z14+$AA$17*0.33</f>
        <v>0.50680000000000003</v>
      </c>
      <c r="AB15" s="171">
        <f t="shared" si="15"/>
        <v>0.19765200000000002</v>
      </c>
      <c r="AC15" s="193">
        <f t="shared" si="16"/>
        <v>0.22806000000000001</v>
      </c>
      <c r="AD15" s="194">
        <f>AD14+$AE$17</f>
        <v>0.33233333333333331</v>
      </c>
      <c r="AF15" s="193">
        <f>AF14+$AG$17/5</f>
        <v>0.68240000000000001</v>
      </c>
      <c r="AH15" s="200">
        <f>AH14+$AI$17/3</f>
        <v>0.16800000000000001</v>
      </c>
      <c r="AJ15" s="200">
        <f>AJ14+AK$17/3</f>
        <v>0.19266666666666665</v>
      </c>
      <c r="AL15" s="193">
        <f>AL14+$AM$17/3</f>
        <v>0.63300000000000001</v>
      </c>
      <c r="AN15" s="193">
        <f>AN14+AO$17/3</f>
        <v>0.89533333333333331</v>
      </c>
      <c r="AP15" s="193">
        <f>AP14+AQ$17/3</f>
        <v>0.93666666666666665</v>
      </c>
      <c r="AR15" s="193">
        <f>AR14+AS$17/3</f>
        <v>0.42333333333333334</v>
      </c>
      <c r="AT15" s="193">
        <f>AT14+AU$17/3</f>
        <v>0.60333333333333328</v>
      </c>
      <c r="AV15" s="193">
        <f>AV14+AW$17/3</f>
        <v>0.87</v>
      </c>
      <c r="AX15" s="193">
        <f>AX14+AY$17/3</f>
        <v>0.63300000000000001</v>
      </c>
    </row>
    <row r="16" spans="1:53" x14ac:dyDescent="0.2">
      <c r="A16" s="186">
        <v>2009</v>
      </c>
      <c r="B16" s="187">
        <f t="shared" si="10"/>
        <v>0.20537400000000003</v>
      </c>
      <c r="C16" s="189">
        <f t="shared" si="0"/>
        <v>0.23697000000000004</v>
      </c>
      <c r="D16" s="196">
        <f>'KU EIAData'!AC10</f>
        <v>7.0244408540009583E-3</v>
      </c>
      <c r="E16" s="187">
        <f t="shared" si="1"/>
        <v>0.31866666666666665</v>
      </c>
      <c r="F16" s="187">
        <f>AF16</f>
        <v>0.68879999999999997</v>
      </c>
      <c r="G16" s="187">
        <f>AH16</f>
        <v>0.16800000000000001</v>
      </c>
      <c r="H16" s="187">
        <f t="shared" si="3"/>
        <v>7.0244408540009583E-3</v>
      </c>
      <c r="I16" s="187">
        <f t="shared" si="4"/>
        <v>0.17733333333333332</v>
      </c>
      <c r="J16" s="230">
        <f>AL16</f>
        <v>0.65900000000000003</v>
      </c>
      <c r="K16" s="187">
        <f>AN16+AP16</f>
        <v>1.859</v>
      </c>
      <c r="L16" s="196">
        <v>1</v>
      </c>
      <c r="M16" s="203">
        <f>'KU EIAData'!AX10-'KU Shares'!L16</f>
        <v>0.20003617048637623</v>
      </c>
      <c r="N16" s="187">
        <f>AR16</f>
        <v>0.42666666666666669</v>
      </c>
      <c r="O16" s="187">
        <f>AT16</f>
        <v>0.6366666666666666</v>
      </c>
      <c r="P16" s="187">
        <f t="shared" si="22"/>
        <v>0.6366666666666666</v>
      </c>
      <c r="Q16" s="187">
        <f>AV16</f>
        <v>0.9</v>
      </c>
      <c r="R16" s="187">
        <f t="shared" si="23"/>
        <v>0.9</v>
      </c>
      <c r="S16" s="187">
        <f>AX16</f>
        <v>0.65900000000000003</v>
      </c>
      <c r="T16" s="187">
        <f t="shared" si="24"/>
        <v>0.65900000000000003</v>
      </c>
      <c r="U16" s="187">
        <f>'KU EIAData'!BB10</f>
        <v>3.9234508277872155</v>
      </c>
      <c r="V16" s="196">
        <f>'KU EIAData'!BD10</f>
        <v>0.4619730296064164</v>
      </c>
      <c r="W16" s="190">
        <v>1</v>
      </c>
      <c r="X16" s="190">
        <v>1</v>
      </c>
      <c r="Y16" s="191"/>
      <c r="Z16" s="193">
        <f>Z15+$AA$17*0.33</f>
        <v>0.52660000000000007</v>
      </c>
      <c r="AB16" s="171">
        <f t="shared" si="15"/>
        <v>0.20537400000000003</v>
      </c>
      <c r="AC16" s="193">
        <f t="shared" si="16"/>
        <v>0.23697000000000004</v>
      </c>
      <c r="AD16" s="194">
        <f>AD15+$AE$17</f>
        <v>0.31866666666666665</v>
      </c>
      <c r="AF16" s="193">
        <f>AF15+$AG$17/5</f>
        <v>0.68879999999999997</v>
      </c>
      <c r="AH16" s="200">
        <f>AH15+$AI$17/3</f>
        <v>0.16800000000000001</v>
      </c>
      <c r="AJ16" s="200">
        <f>AJ15+AK$17/3</f>
        <v>0.17733333333333332</v>
      </c>
      <c r="AL16" s="193">
        <f>AL15+$AM$17/3</f>
        <v>0.65900000000000003</v>
      </c>
      <c r="AN16" s="193">
        <f>AN15+AO$17/3</f>
        <v>0.89566666666666661</v>
      </c>
      <c r="AP16" s="193">
        <f>AP15+AQ$17/3</f>
        <v>0.96333333333333326</v>
      </c>
      <c r="AR16" s="193">
        <f>AR15+AS$17/3</f>
        <v>0.42666666666666669</v>
      </c>
      <c r="AT16" s="193">
        <f>AT15+AU$17/3</f>
        <v>0.6366666666666666</v>
      </c>
      <c r="AV16" s="193">
        <f>AV15+AW$17/3</f>
        <v>0.9</v>
      </c>
      <c r="AX16" s="193">
        <f>AX15+AY$17/3</f>
        <v>0.65900000000000003</v>
      </c>
    </row>
    <row r="17" spans="1:51" x14ac:dyDescent="0.2">
      <c r="A17" s="186">
        <v>2010</v>
      </c>
      <c r="B17" s="187">
        <f t="shared" si="10"/>
        <v>0.21333000000000002</v>
      </c>
      <c r="C17" s="189">
        <f t="shared" si="0"/>
        <v>0.24615000000000004</v>
      </c>
      <c r="D17" s="196">
        <f>'KU EIAData'!AC11</f>
        <v>7.7155820897869083E-3</v>
      </c>
      <c r="E17" s="187">
        <f>AD17</f>
        <v>0.30499999999999999</v>
      </c>
      <c r="F17" s="187">
        <f>AF17</f>
        <v>0.70799999999999996</v>
      </c>
      <c r="G17" s="187">
        <f>AH17</f>
        <v>0.16800000000000001</v>
      </c>
      <c r="H17" s="187">
        <f t="shared" si="3"/>
        <v>7.7155820897869083E-3</v>
      </c>
      <c r="I17" s="187">
        <f t="shared" si="4"/>
        <v>0.16200000000000001</v>
      </c>
      <c r="J17" s="230">
        <f>AL17</f>
        <v>0.68500000000000005</v>
      </c>
      <c r="K17" s="187">
        <f>AN17+AP17</f>
        <v>1.8860000000000001</v>
      </c>
      <c r="L17" s="196">
        <v>1</v>
      </c>
      <c r="M17" s="203">
        <f>'KU EIAData'!AX11-'KU Shares'!L17</f>
        <v>0.20032436862460035</v>
      </c>
      <c r="N17" s="187">
        <f>AR17</f>
        <v>0.43</v>
      </c>
      <c r="O17" s="187">
        <f>AT17</f>
        <v>0.67</v>
      </c>
      <c r="P17" s="187">
        <f t="shared" si="22"/>
        <v>0.67</v>
      </c>
      <c r="Q17" s="187">
        <f>AV17</f>
        <v>0.93</v>
      </c>
      <c r="R17" s="187">
        <f t="shared" si="23"/>
        <v>0.93</v>
      </c>
      <c r="S17" s="187">
        <f>AX17</f>
        <v>0.68500000000000005</v>
      </c>
      <c r="T17" s="187">
        <f t="shared" si="24"/>
        <v>0.68500000000000005</v>
      </c>
      <c r="U17" s="187">
        <f>'KU EIAData'!BB11</f>
        <v>4.0711013891304644</v>
      </c>
      <c r="V17" s="196">
        <f>'KU EIAData'!BD11</f>
        <v>0.45986952536697129</v>
      </c>
      <c r="W17" s="190">
        <v>1</v>
      </c>
      <c r="X17" s="190">
        <v>1</v>
      </c>
      <c r="Y17" s="191"/>
      <c r="Z17" s="193">
        <v>0.54700000000000004</v>
      </c>
      <c r="AA17" s="193">
        <f>Z17-Z14</f>
        <v>6.0000000000000053E-2</v>
      </c>
      <c r="AB17" s="171">
        <f t="shared" si="15"/>
        <v>0.21333000000000002</v>
      </c>
      <c r="AC17" s="193">
        <f t="shared" si="16"/>
        <v>0.24615000000000004</v>
      </c>
      <c r="AD17" s="193">
        <v>0.30499999999999999</v>
      </c>
      <c r="AE17" s="172">
        <f>(AD17-AD14)/3</f>
        <v>-1.366666666666666E-2</v>
      </c>
      <c r="AF17" s="193">
        <v>0.70799999999999996</v>
      </c>
      <c r="AG17" s="193">
        <f>AF17-AF14</f>
        <v>3.1999999999999917E-2</v>
      </c>
      <c r="AH17" s="193">
        <v>0.16800000000000001</v>
      </c>
      <c r="AI17" s="193">
        <f>AH17-AH14</f>
        <v>0</v>
      </c>
      <c r="AJ17" s="193">
        <v>0.16200000000000001</v>
      </c>
      <c r="AK17" s="193">
        <f>AJ17-AJ14</f>
        <v>-4.5999999999999985E-2</v>
      </c>
      <c r="AL17" s="193">
        <v>0.68500000000000005</v>
      </c>
      <c r="AM17" s="193">
        <f>AL17-AL14</f>
        <v>7.8000000000000069E-2</v>
      </c>
      <c r="AN17" s="193">
        <v>0.89600000000000002</v>
      </c>
      <c r="AO17" s="193">
        <f>AN17-AN14</f>
        <v>1.0000000000000009E-3</v>
      </c>
      <c r="AP17" s="193">
        <v>0.99</v>
      </c>
      <c r="AQ17" s="193">
        <f>AP17-AP14</f>
        <v>7.999999999999996E-2</v>
      </c>
      <c r="AR17" s="193">
        <v>0.43</v>
      </c>
      <c r="AS17" s="193">
        <f>AR17-AR14</f>
        <v>1.0000000000000009E-2</v>
      </c>
      <c r="AT17" s="193">
        <v>0.67</v>
      </c>
      <c r="AU17" s="193">
        <f>AT17-AT14</f>
        <v>0.10000000000000009</v>
      </c>
      <c r="AV17" s="193">
        <v>0.93</v>
      </c>
      <c r="AW17" s="193">
        <f>AV17-AV14</f>
        <v>9.000000000000008E-2</v>
      </c>
      <c r="AX17" s="193">
        <v>0.68500000000000005</v>
      </c>
      <c r="AY17" s="193">
        <f>AX17-AX14</f>
        <v>7.8000000000000069E-2</v>
      </c>
    </row>
    <row r="18" spans="1:51" x14ac:dyDescent="0.2">
      <c r="A18" s="186">
        <v>2011</v>
      </c>
      <c r="B18" s="196">
        <f>(B17+'KU EIAData'!Z12/3)</f>
        <v>0.21146677990507892</v>
      </c>
      <c r="C18" s="196">
        <f>(C17+'KU EIAData'!AB12/3)</f>
        <v>0.25168792957252467</v>
      </c>
      <c r="D18" s="196">
        <f>'KU EIAData'!AC12</f>
        <v>9.4804002402369501E-3</v>
      </c>
      <c r="E18" s="196">
        <f>(E17+'KU EIAData'!AF12/3)</f>
        <v>0.30207959665212136</v>
      </c>
      <c r="F18" s="196">
        <f>(F17+'KU EIAData'!AJ12)</f>
        <v>0.70961454871219742</v>
      </c>
      <c r="G18" s="196">
        <f>(G17+'KU EIAData'!AL12/3)</f>
        <v>0.17353792957252465</v>
      </c>
      <c r="H18" s="187">
        <f t="shared" si="3"/>
        <v>9.4804002402369501E-3</v>
      </c>
      <c r="I18" s="203">
        <f>I17-0.05%</f>
        <v>0.1615</v>
      </c>
      <c r="J18" s="196">
        <f>(J17+'KU EIAData'!AS12/3)</f>
        <v>0.68616249438309218</v>
      </c>
      <c r="K18" s="196">
        <f>(K17+'KU EIAData'!AU12)</f>
        <v>1.8877283051878495</v>
      </c>
      <c r="L18" s="196">
        <v>1</v>
      </c>
      <c r="M18" s="203">
        <f>'KU EIAData'!AX12-'KU Shares'!L18</f>
        <v>0.20067290945423522</v>
      </c>
      <c r="N18" s="196">
        <f>(N17+'KU EIAData'!BA12)</f>
        <v>0.43021047624794934</v>
      </c>
      <c r="O18" s="196">
        <f>(O17+'KU EIAData'!AQ12)</f>
        <v>0.67505417185426275</v>
      </c>
      <c r="P18" s="187">
        <f t="shared" si="22"/>
        <v>0.67505417185426275</v>
      </c>
      <c r="Q18" s="196">
        <f>(Q17+'KU EIAData'!AO12)</f>
        <v>0.93059572194362861</v>
      </c>
      <c r="R18" s="187">
        <f t="shared" si="23"/>
        <v>0.93059572194362861</v>
      </c>
      <c r="S18" s="196">
        <f>(S17+'KU EIAData'!AW12)</f>
        <v>0.6868975856252193</v>
      </c>
      <c r="T18" s="187">
        <f t="shared" si="24"/>
        <v>0.6868975856252193</v>
      </c>
      <c r="U18" s="187">
        <f>'KU EIAData'!BB12</f>
        <v>4.0733023201986187</v>
      </c>
      <c r="V18" s="196">
        <f>'KU EIAData'!BD12</f>
        <v>0.45749862011910375</v>
      </c>
      <c r="W18" s="190">
        <v>1</v>
      </c>
      <c r="X18" s="190">
        <v>1</v>
      </c>
      <c r="Y18" s="191"/>
    </row>
    <row r="19" spans="1:51" x14ac:dyDescent="0.2">
      <c r="A19" s="186">
        <v>2012</v>
      </c>
      <c r="B19" s="196">
        <f>(B18+'KU EIAData'!Z13/3)</f>
        <v>0.20889459504403965</v>
      </c>
      <c r="C19" s="196">
        <f>(C18+'KU EIAData'!AB13/3)</f>
        <v>0.26026123307288684</v>
      </c>
      <c r="D19" s="196">
        <f>'KU EIAData'!AC13</f>
        <v>1.2211094203900954E-2</v>
      </c>
      <c r="E19" s="196">
        <f>(E18+'KU EIAData'!AF13/3)</f>
        <v>0.29744527699580248</v>
      </c>
      <c r="F19" s="196">
        <f>(F18+'KU EIAData'!AJ13)</f>
        <v>0.70884704384438368</v>
      </c>
      <c r="G19" s="196">
        <f>(G18+'KU EIAData'!AL13/3)</f>
        <v>0.18211123307288685</v>
      </c>
      <c r="H19" s="187">
        <f t="shared" si="3"/>
        <v>1.2211094203900954E-2</v>
      </c>
      <c r="I19" s="203">
        <f t="shared" ref="I19:I50" si="25">I18-0.05%</f>
        <v>0.161</v>
      </c>
      <c r="J19" s="196">
        <f>(J18+'KU EIAData'!AS13/3)</f>
        <v>0.68765509656550805</v>
      </c>
      <c r="K19" s="196">
        <f>(K18+'KU EIAData'!AU13)</f>
        <v>1.8897855845685771</v>
      </c>
      <c r="L19" s="196">
        <v>1</v>
      </c>
      <c r="M19" s="203">
        <f>'KU EIAData'!AX13-'KU Shares'!L19</f>
        <v>0.20090026283026696</v>
      </c>
      <c r="N19" s="196">
        <f>(N18+'KU EIAData'!BA13)</f>
        <v>0.43016261456896049</v>
      </c>
      <c r="O19" s="196">
        <f>(O18+'KU EIAData'!AQ13)</f>
        <v>0.68184326786268101</v>
      </c>
      <c r="P19" s="187">
        <f t="shared" si="22"/>
        <v>0.68184326786268101</v>
      </c>
      <c r="Q19" s="196">
        <f>(Q18+'KU EIAData'!AO13)</f>
        <v>0.93169935593815134</v>
      </c>
      <c r="R19" s="187">
        <f t="shared" si="23"/>
        <v>0.93169935593815134</v>
      </c>
      <c r="S19" s="196">
        <f>(S18+'KU EIAData'!AW13)</f>
        <v>0.6893422538678593</v>
      </c>
      <c r="T19" s="187">
        <f t="shared" si="24"/>
        <v>0.6893422538678593</v>
      </c>
      <c r="U19" s="187">
        <f>'KU EIAData'!BB13</f>
        <v>4.0627656660672296</v>
      </c>
      <c r="V19" s="196">
        <f>'KU EIAData'!BD13</f>
        <v>0.45347295614884492</v>
      </c>
      <c r="W19" s="190">
        <v>1</v>
      </c>
      <c r="X19" s="190">
        <v>1</v>
      </c>
      <c r="Y19" s="191"/>
    </row>
    <row r="20" spans="1:51" x14ac:dyDescent="0.2">
      <c r="A20" s="186">
        <v>2013</v>
      </c>
      <c r="B20" s="196">
        <f>(B19+'KU EIAData'!Z14/3)</f>
        <v>0.20753636302478787</v>
      </c>
      <c r="C20" s="196">
        <f>(C19+'KU EIAData'!AB14/3)</f>
        <v>0.2652060892460088</v>
      </c>
      <c r="D20" s="196">
        <f>'KU EIAData'!AC14</f>
        <v>1.3711422590055686E-2</v>
      </c>
      <c r="E20" s="196">
        <f>(E19+'KU EIAData'!AF14/3)</f>
        <v>0.29465883219715766</v>
      </c>
      <c r="F20" s="196">
        <f>(F19+'KU EIAData'!AJ14)</f>
        <v>0.71079239256857663</v>
      </c>
      <c r="G20" s="196">
        <f>(G19+'KU EIAData'!AL14/3)</f>
        <v>0.18705608924600878</v>
      </c>
      <c r="H20" s="187">
        <f t="shared" si="3"/>
        <v>1.3711422590055686E-2</v>
      </c>
      <c r="I20" s="203">
        <f t="shared" si="25"/>
        <v>0.1605</v>
      </c>
      <c r="J20" s="196">
        <f>(J19+'KU EIAData'!AS14/3)</f>
        <v>0.68879289245906705</v>
      </c>
      <c r="K20" s="196">
        <f>(K19+'KU EIAData'!AU14)</f>
        <v>1.8915156481077373</v>
      </c>
      <c r="L20" s="196">
        <v>1</v>
      </c>
      <c r="M20" s="203">
        <f>'KU EIAData'!AX14-'KU Shares'!L20</f>
        <v>0.2009131029949156</v>
      </c>
      <c r="N20" s="196">
        <f>(N19+'KU EIAData'!BA14)</f>
        <v>0.42946281861010011</v>
      </c>
      <c r="O20" s="196">
        <f>(O19+'KU EIAData'!AQ14)</f>
        <v>0.68634347050591626</v>
      </c>
      <c r="P20" s="187">
        <f t="shared" si="22"/>
        <v>0.68634347050591626</v>
      </c>
      <c r="Q20" s="196">
        <f>(Q19+'KU EIAData'!AO14)</f>
        <v>0.93220282834671908</v>
      </c>
      <c r="R20" s="187">
        <f t="shared" si="23"/>
        <v>0.93220282834671908</v>
      </c>
      <c r="S20" s="196">
        <f>(S19+'KU EIAData'!AW14)</f>
        <v>0.69078147068182405</v>
      </c>
      <c r="T20" s="187">
        <f t="shared" si="24"/>
        <v>0.69078147068182405</v>
      </c>
      <c r="U20" s="187">
        <f>'KU EIAData'!BB14</f>
        <v>4.0449035520841612</v>
      </c>
      <c r="V20" s="196">
        <f>'KU EIAData'!BD14</f>
        <v>0.45102554646839327</v>
      </c>
      <c r="W20" s="190">
        <v>1</v>
      </c>
      <c r="X20" s="190">
        <v>1</v>
      </c>
      <c r="Y20" s="191"/>
    </row>
    <row r="21" spans="1:51" x14ac:dyDescent="0.2">
      <c r="A21" s="186">
        <v>2014</v>
      </c>
      <c r="B21" s="196">
        <f>(B20+'KU EIAData'!Z15/3)</f>
        <v>0.20583227039242297</v>
      </c>
      <c r="C21" s="196">
        <f>(C20+'KU EIAData'!AB15/3)</f>
        <v>0.27157751507123179</v>
      </c>
      <c r="D21" s="196">
        <f>'KU EIAData'!AC15</f>
        <v>1.5868292109714674E-2</v>
      </c>
      <c r="E21" s="196">
        <f>(E20+'KU EIAData'!AF15/3)</f>
        <v>0.29091710325363773</v>
      </c>
      <c r="F21" s="196">
        <f>(F20+'KU EIAData'!AJ15)</f>
        <v>0.71141060776477727</v>
      </c>
      <c r="G21" s="196">
        <f>(G20+'KU EIAData'!AL15/3)</f>
        <v>0.19342751507123176</v>
      </c>
      <c r="H21" s="187">
        <f t="shared" si="3"/>
        <v>1.5868292109714674E-2</v>
      </c>
      <c r="I21" s="203">
        <f t="shared" si="25"/>
        <v>0.16</v>
      </c>
      <c r="J21" s="196">
        <f>(J20+'KU EIAData'!AS15/3)</f>
        <v>0.69004345050907345</v>
      </c>
      <c r="K21" s="196">
        <f>(K20+'KU EIAData'!AU15)</f>
        <v>1.8933728295295402</v>
      </c>
      <c r="L21" s="196">
        <v>1</v>
      </c>
      <c r="M21" s="203">
        <f>'KU EIAData'!AX15-'KU Shares'!L21</f>
        <v>0.20086505379429465</v>
      </c>
      <c r="N21" s="196">
        <f>(N20+'KU EIAData'!BA15)</f>
        <v>0.42915296822913079</v>
      </c>
      <c r="O21" s="196">
        <f>(O20+'KU EIAData'!AQ15)</f>
        <v>0.69225058462087541</v>
      </c>
      <c r="P21" s="187">
        <f t="shared" si="22"/>
        <v>0.69225058462087541</v>
      </c>
      <c r="Q21" s="196">
        <f>(Q20+'KU EIAData'!AO15)</f>
        <v>0.93311159441517078</v>
      </c>
      <c r="R21" s="187">
        <f t="shared" si="23"/>
        <v>0.93311159441517078</v>
      </c>
      <c r="S21" s="196">
        <f>(S20+'KU EIAData'!AW15)</f>
        <v>0.69278564307321666</v>
      </c>
      <c r="T21" s="187">
        <f t="shared" si="24"/>
        <v>0.69278564307321666</v>
      </c>
      <c r="U21" s="187">
        <f>'KU EIAData'!BB15</f>
        <v>4.025574630189845</v>
      </c>
      <c r="V21" s="196">
        <f>'KU EIAData'!BD15</f>
        <v>0.44759339875550308</v>
      </c>
      <c r="W21" s="190">
        <v>1</v>
      </c>
      <c r="X21" s="190">
        <v>1</v>
      </c>
      <c r="Y21" s="191"/>
    </row>
    <row r="22" spans="1:51" x14ac:dyDescent="0.2">
      <c r="A22" s="186">
        <v>2015</v>
      </c>
      <c r="B22" s="196">
        <f>(B21+'KU EIAData'!Z16/3)</f>
        <v>0.20406849539470975</v>
      </c>
      <c r="C22" s="196">
        <f>(C21+'KU EIAData'!AB16/3)</f>
        <v>0.27856803879800585</v>
      </c>
      <c r="D22" s="196">
        <f>'KU EIAData'!AC16</f>
        <v>1.8414492316820415E-2</v>
      </c>
      <c r="E22" s="196">
        <f>(E21+'KU EIAData'!AF16/3)</f>
        <v>0.28659845789801891</v>
      </c>
      <c r="F22" s="196">
        <f>(F21+'KU EIAData'!AJ16)</f>
        <v>0.71131238179608813</v>
      </c>
      <c r="G22" s="196">
        <f>(G21+'KU EIAData'!AL16/3)</f>
        <v>0.20041803879800585</v>
      </c>
      <c r="H22" s="187">
        <f t="shared" si="3"/>
        <v>1.8414492316820415E-2</v>
      </c>
      <c r="I22" s="203">
        <f t="shared" si="25"/>
        <v>0.1595</v>
      </c>
      <c r="J22" s="196">
        <f>(J21+'KU EIAData'!AS16/3)</f>
        <v>0.69132080003430973</v>
      </c>
      <c r="K22" s="196">
        <f>(K21+'KU EIAData'!AU16)</f>
        <v>1.8952888811405892</v>
      </c>
      <c r="L22" s="196">
        <v>1</v>
      </c>
      <c r="M22" s="203">
        <f>'KU EIAData'!AX16-'KU Shares'!L22</f>
        <v>0.200697936397775</v>
      </c>
      <c r="N22" s="196">
        <f>(N21+'KU EIAData'!BA16)</f>
        <v>0.42906109821613864</v>
      </c>
      <c r="O22" s="196">
        <f>(O21+'KU EIAData'!AQ16)</f>
        <v>0.69908344778876697</v>
      </c>
      <c r="P22" s="187">
        <f t="shared" si="22"/>
        <v>0.69908344778876697</v>
      </c>
      <c r="Q22" s="196">
        <f>(Q21+'KU EIAData'!AO16)</f>
        <v>0.93429927528227819</v>
      </c>
      <c r="R22" s="187">
        <f t="shared" si="23"/>
        <v>0.93429927528227819</v>
      </c>
      <c r="S22" s="196">
        <f>(S21+'KU EIAData'!AW16)</f>
        <v>0.69514246892504183</v>
      </c>
      <c r="T22" s="187">
        <f t="shared" si="24"/>
        <v>0.69514246892504183</v>
      </c>
      <c r="U22" s="187">
        <f>'KU EIAData'!BB16</f>
        <v>4.0097500255103595</v>
      </c>
      <c r="V22" s="196">
        <f>'KU EIAData'!BD16</f>
        <v>0.44350898201164896</v>
      </c>
      <c r="W22" s="190">
        <v>1</v>
      </c>
      <c r="X22" s="190">
        <v>1</v>
      </c>
      <c r="Y22" s="191"/>
    </row>
    <row r="23" spans="1:51" x14ac:dyDescent="0.2">
      <c r="A23" s="186">
        <v>2016</v>
      </c>
      <c r="B23" s="196">
        <f>(B22+'KU EIAData'!Z17/3)</f>
        <v>0.20259084541815298</v>
      </c>
      <c r="C23" s="196">
        <f>(C22+'KU EIAData'!AB17/3)</f>
        <v>0.28558885472358303</v>
      </c>
      <c r="D23" s="196">
        <f>'KU EIAData'!AC17</f>
        <v>2.1025169716473655E-2</v>
      </c>
      <c r="E23" s="196">
        <f>(E22+'KU EIAData'!AF17/3)</f>
        <v>0.28206945765125285</v>
      </c>
      <c r="F23" s="196">
        <f>(F22+'KU EIAData'!AJ17)</f>
        <v>0.71112608629322782</v>
      </c>
      <c r="G23" s="196">
        <f>(G22+'KU EIAData'!AL17/3)</f>
        <v>0.20743885472358306</v>
      </c>
      <c r="H23" s="187">
        <f t="shared" si="3"/>
        <v>2.1025169716473655E-2</v>
      </c>
      <c r="I23" s="203">
        <f t="shared" si="25"/>
        <v>0.159</v>
      </c>
      <c r="J23" s="196">
        <f>(J22+'KU EIAData'!AS17/3)</f>
        <v>0.69265222875921639</v>
      </c>
      <c r="K23" s="196">
        <f>(K22+'KU EIAData'!AU17)</f>
        <v>1.8964055502447907</v>
      </c>
      <c r="L23" s="196">
        <v>1</v>
      </c>
      <c r="M23" s="203">
        <f>'KU EIAData'!AX17-'KU Shares'!L23</f>
        <v>0.20029947296601835</v>
      </c>
      <c r="N23" s="196">
        <f>(N22+'KU EIAData'!BA17)</f>
        <v>0.42887449152106066</v>
      </c>
      <c r="O23" s="196">
        <f>(O22+'KU EIAData'!AQ17)</f>
        <v>0.70629413571616395</v>
      </c>
      <c r="P23" s="187">
        <f t="shared" si="22"/>
        <v>0.70629413571616395</v>
      </c>
      <c r="Q23" s="196">
        <f>(Q22+'KU EIAData'!AO17)</f>
        <v>0.935641047437615</v>
      </c>
      <c r="R23" s="187">
        <f t="shared" si="23"/>
        <v>0.935641047437615</v>
      </c>
      <c r="S23" s="196">
        <f>(S22+'KU EIAData'!AW17)</f>
        <v>0.69759697035746004</v>
      </c>
      <c r="T23" s="187">
        <f t="shared" si="24"/>
        <v>0.69759697035746004</v>
      </c>
      <c r="U23" s="187">
        <f>'KU EIAData'!BB17</f>
        <v>3.9990287615769162</v>
      </c>
      <c r="V23" s="196">
        <f>'KU EIAData'!BD17</f>
        <v>0.43902646060805373</v>
      </c>
      <c r="W23" s="190">
        <v>1</v>
      </c>
      <c r="X23" s="190">
        <v>1</v>
      </c>
      <c r="Y23" s="191"/>
    </row>
    <row r="24" spans="1:51" x14ac:dyDescent="0.2">
      <c r="A24" s="186">
        <v>2017</v>
      </c>
      <c r="B24" s="196">
        <f>(B23+'KU EIAData'!Z18/3)</f>
        <v>0.20143682035796687</v>
      </c>
      <c r="C24" s="196">
        <f>(C23+'KU EIAData'!AB18/3)</f>
        <v>0.29255912828357689</v>
      </c>
      <c r="D24" s="196">
        <f>'KU EIAData'!AC18</f>
        <v>2.3304531637212959E-2</v>
      </c>
      <c r="E24" s="196">
        <f>(E23+'KU EIAData'!AF18/3)</f>
        <v>0.27756959336963044</v>
      </c>
      <c r="F24" s="196">
        <f>(F23+'KU EIAData'!AJ18)</f>
        <v>0.71125039607906082</v>
      </c>
      <c r="G24" s="196">
        <f>(G23+'KU EIAData'!AL18/3)</f>
        <v>0.21440912828357689</v>
      </c>
      <c r="H24" s="187">
        <f t="shared" si="3"/>
        <v>2.3304531637212959E-2</v>
      </c>
      <c r="I24" s="203">
        <f t="shared" si="25"/>
        <v>0.1585</v>
      </c>
      <c r="J24" s="196">
        <f>(J23+'KU EIAData'!AS18/3)</f>
        <v>0.69436910172007216</v>
      </c>
      <c r="K24" s="196">
        <f>(K23+'KU EIAData'!AU18)</f>
        <v>1.8974733016826075</v>
      </c>
      <c r="L24" s="196">
        <v>1</v>
      </c>
      <c r="M24" s="203">
        <f>'KU EIAData'!AX18-'KU Shares'!L24</f>
        <v>0.19974053973741013</v>
      </c>
      <c r="N24" s="196">
        <f>(N23+'KU EIAData'!BA18)</f>
        <v>0.42863099486676898</v>
      </c>
      <c r="O24" s="196">
        <f>(O23+'KU EIAData'!AQ18)</f>
        <v>0.71359375595865726</v>
      </c>
      <c r="P24" s="187">
        <f t="shared" si="22"/>
        <v>0.71359375595865726</v>
      </c>
      <c r="Q24" s="196">
        <f>(Q23+'KU EIAData'!AO18)</f>
        <v>0.93704788436459696</v>
      </c>
      <c r="R24" s="187">
        <f t="shared" si="23"/>
        <v>0.93704788436459696</v>
      </c>
      <c r="S24" s="196">
        <f>(S23+'KU EIAData'!AW18)</f>
        <v>0.70004687114607211</v>
      </c>
      <c r="T24" s="187">
        <f t="shared" si="24"/>
        <v>0.70004687114607211</v>
      </c>
      <c r="U24" s="187">
        <f>'KU EIAData'!BB18</f>
        <v>3.9952860372232877</v>
      </c>
      <c r="V24" s="196">
        <f>'KU EIAData'!BD18</f>
        <v>0.43429021983125732</v>
      </c>
      <c r="W24" s="190">
        <v>1</v>
      </c>
      <c r="X24" s="190">
        <v>1</v>
      </c>
      <c r="Y24" s="191"/>
    </row>
    <row r="25" spans="1:51" x14ac:dyDescent="0.2">
      <c r="A25" s="186">
        <v>2018</v>
      </c>
      <c r="B25" s="196">
        <f>(B24+'KU EIAData'!Z19/3)</f>
        <v>0.2004894076714584</v>
      </c>
      <c r="C25" s="196">
        <f>(C24+'KU EIAData'!AB19/3)</f>
        <v>0.29921963220050296</v>
      </c>
      <c r="D25" s="196">
        <f>'KU EIAData'!AC19</f>
        <v>2.5275760269874385E-2</v>
      </c>
      <c r="E25" s="196">
        <f>(E24+'KU EIAData'!AF19/3)</f>
        <v>0.27323066886744674</v>
      </c>
      <c r="F25" s="196">
        <f>(F24+'KU EIAData'!AJ19)</f>
        <v>0.71168966714647497</v>
      </c>
      <c r="G25" s="196">
        <f>(G24+'KU EIAData'!AL19/3)</f>
        <v>0.22106963220050296</v>
      </c>
      <c r="H25" s="187">
        <f t="shared" si="3"/>
        <v>2.5275760269874385E-2</v>
      </c>
      <c r="I25" s="203">
        <f t="shared" si="25"/>
        <v>0.158</v>
      </c>
      <c r="J25" s="196">
        <f>(J24+'KU EIAData'!AS19/3)</f>
        <v>0.69596570973340544</v>
      </c>
      <c r="K25" s="196">
        <f>(K24+'KU EIAData'!AU19)</f>
        <v>1.8985217255766498</v>
      </c>
      <c r="L25" s="196">
        <v>1</v>
      </c>
      <c r="M25" s="203">
        <f>'KU EIAData'!AX19-'KU Shares'!L25</f>
        <v>0.19913884317334873</v>
      </c>
      <c r="N25" s="196">
        <f>(N24+'KU EIAData'!BA19)</f>
        <v>0.42844516181744369</v>
      </c>
      <c r="O25" s="196">
        <f>(O24+'KU EIAData'!AQ19)</f>
        <v>0.72083439468864452</v>
      </c>
      <c r="P25" s="187">
        <f t="shared" si="22"/>
        <v>0.72083439468864452</v>
      </c>
      <c r="Q25" s="196">
        <f>(Q24+'KU EIAData'!AO19)</f>
        <v>0.93845130938365651</v>
      </c>
      <c r="R25" s="187">
        <f t="shared" si="23"/>
        <v>0.93845130938365651</v>
      </c>
      <c r="S25" s="196">
        <f>(S24+'KU EIAData'!AW19)</f>
        <v>0.70245266869952205</v>
      </c>
      <c r="T25" s="187">
        <f t="shared" si="24"/>
        <v>0.70245266869952205</v>
      </c>
      <c r="U25" s="187">
        <f>'KU EIAData'!BB19</f>
        <v>3.9982530870666295</v>
      </c>
      <c r="V25" s="196">
        <f>'KU EIAData'!BD19</f>
        <v>0.42969338531599804</v>
      </c>
      <c r="W25" s="190">
        <v>1</v>
      </c>
      <c r="X25" s="190">
        <v>1</v>
      </c>
      <c r="Y25" s="191"/>
    </row>
    <row r="26" spans="1:51" x14ac:dyDescent="0.2">
      <c r="A26" s="186">
        <v>2019</v>
      </c>
      <c r="B26" s="196">
        <f>(B25+'KU EIAData'!Z20/3)</f>
        <v>0.1996284964731552</v>
      </c>
      <c r="C26" s="196">
        <f>(C25+'KU EIAData'!AB20/3)</f>
        <v>0.30562085892562435</v>
      </c>
      <c r="D26" s="196">
        <f>'KU EIAData'!AC20</f>
        <v>2.7001596704346768E-2</v>
      </c>
      <c r="E26" s="196">
        <f>(E25+'KU EIAData'!AF20/3)</f>
        <v>0.26901818218255108</v>
      </c>
      <c r="F26" s="196">
        <f>(F25+'KU EIAData'!AJ20)</f>
        <v>0.71228879794685218</v>
      </c>
      <c r="G26" s="196">
        <f>(G25+'KU EIAData'!AL20/3)</f>
        <v>0.22747085892562433</v>
      </c>
      <c r="H26" s="187">
        <f t="shared" si="3"/>
        <v>2.7001596704346768E-2</v>
      </c>
      <c r="I26" s="203">
        <f t="shared" si="25"/>
        <v>0.1575</v>
      </c>
      <c r="J26" s="196">
        <f>(J25+'KU EIAData'!AS20/3)</f>
        <v>0.69745222223382186</v>
      </c>
      <c r="K26" s="196">
        <f>(K25+'KU EIAData'!AU20)</f>
        <v>1.8994626910513153</v>
      </c>
      <c r="L26" s="196">
        <v>1</v>
      </c>
      <c r="M26" s="203">
        <f>'KU EIAData'!AX20-'KU Shares'!L26</f>
        <v>0.19855275960760377</v>
      </c>
      <c r="N26" s="196">
        <f>(N25+'KU EIAData'!BA20)</f>
        <v>0.42829069508741396</v>
      </c>
      <c r="O26" s="196">
        <f>(O25+'KU EIAData'!AQ20)</f>
        <v>0.72798305968114885</v>
      </c>
      <c r="P26" s="187">
        <f t="shared" si="22"/>
        <v>0.72798305968114885</v>
      </c>
      <c r="Q26" s="196">
        <f>(Q25+'KU EIAData'!AO20)</f>
        <v>0.93983361407324628</v>
      </c>
      <c r="R26" s="187">
        <f t="shared" si="23"/>
        <v>0.93983361407324628</v>
      </c>
      <c r="S26" s="196">
        <f>(S25+'KU EIAData'!AW20)</f>
        <v>0.70478944593453741</v>
      </c>
      <c r="T26" s="187">
        <f t="shared" si="24"/>
        <v>0.70478944593453741</v>
      </c>
      <c r="U26" s="187">
        <f>'KU EIAData'!BB20</f>
        <v>4.0068115096745238</v>
      </c>
      <c r="V26" s="196">
        <f>'KU EIAData'!BD20</f>
        <v>0.42544551286536469</v>
      </c>
      <c r="W26" s="190">
        <v>1</v>
      </c>
      <c r="X26" s="190">
        <v>1</v>
      </c>
      <c r="Y26" s="191"/>
    </row>
    <row r="27" spans="1:51" x14ac:dyDescent="0.2">
      <c r="A27" s="186">
        <v>2020</v>
      </c>
      <c r="B27" s="196">
        <f>(B26+'KU EIAData'!Z21/3)</f>
        <v>0.19880993754698731</v>
      </c>
      <c r="C27" s="196">
        <f>(C26+'KU EIAData'!AB21/3)</f>
        <v>0.31173409467904956</v>
      </c>
      <c r="D27" s="196">
        <f>'KU EIAData'!AC21</f>
        <v>2.8510327673497243E-2</v>
      </c>
      <c r="E27" s="196">
        <f>(E26+'KU EIAData'!AF21/3)</f>
        <v>0.26494680907315826</v>
      </c>
      <c r="F27" s="196">
        <f>(F26+'KU EIAData'!AJ21)</f>
        <v>0.71301356846402841</v>
      </c>
      <c r="G27" s="196">
        <f>(G26+'KU EIAData'!AL21/3)</f>
        <v>0.2335840946790495</v>
      </c>
      <c r="H27" s="187">
        <f t="shared" si="3"/>
        <v>2.8510327673497243E-2</v>
      </c>
      <c r="I27" s="203">
        <f t="shared" si="25"/>
        <v>0.157</v>
      </c>
      <c r="J27" s="196">
        <f>(J26+'KU EIAData'!AS21/3)</f>
        <v>0.69882380184671833</v>
      </c>
      <c r="K27" s="196">
        <f>(K26+'KU EIAData'!AU21)</f>
        <v>1.9003533880450341</v>
      </c>
      <c r="L27" s="196">
        <v>1</v>
      </c>
      <c r="M27" s="203">
        <f>'KU EIAData'!AX21-'KU Shares'!L27</f>
        <v>0.19800898411512557</v>
      </c>
      <c r="N27" s="196">
        <f>(N26+'KU EIAData'!BA21)</f>
        <v>0.42815072346126731</v>
      </c>
      <c r="O27" s="196">
        <f>(O26+'KU EIAData'!AQ21)</f>
        <v>0.73499050970083746</v>
      </c>
      <c r="P27" s="187">
        <f t="shared" si="22"/>
        <v>0.73499050970083746</v>
      </c>
      <c r="Q27" s="196">
        <f>(Q26+'KU EIAData'!AO21)</f>
        <v>0.94117621561637066</v>
      </c>
      <c r="R27" s="187">
        <f t="shared" si="23"/>
        <v>0.94117621561637066</v>
      </c>
      <c r="S27" s="196">
        <f>(S26+'KU EIAData'!AW21)</f>
        <v>0.70703915671145157</v>
      </c>
      <c r="T27" s="187">
        <f t="shared" si="24"/>
        <v>0.70703915671145157</v>
      </c>
      <c r="U27" s="187">
        <f>'KU EIAData'!BB21</f>
        <v>4.019040286456665</v>
      </c>
      <c r="V27" s="196">
        <f>'KU EIAData'!BD21</f>
        <v>0.42147549789666683</v>
      </c>
      <c r="W27" s="190">
        <v>1</v>
      </c>
      <c r="X27" s="190">
        <v>1</v>
      </c>
      <c r="Y27" s="191"/>
    </row>
    <row r="28" spans="1:51" x14ac:dyDescent="0.2">
      <c r="A28" s="197">
        <v>2021</v>
      </c>
      <c r="B28" s="196">
        <f>(B27+'KU EIAData'!Z22/3)</f>
        <v>0.19803305974387067</v>
      </c>
      <c r="C28" s="196">
        <f>(C27+'KU EIAData'!AB22/3)</f>
        <v>0.31750652592790141</v>
      </c>
      <c r="D28" s="196">
        <f>'KU EIAData'!AC22</f>
        <v>2.9814234481623857E-2</v>
      </c>
      <c r="E28" s="196">
        <f>(E27+'KU EIAData'!AF22/3)</f>
        <v>0.26105672343641073</v>
      </c>
      <c r="F28" s="196">
        <f>(F27+'KU EIAData'!AJ22)</f>
        <v>0.71388546259521624</v>
      </c>
      <c r="G28" s="196">
        <f>(G27+'KU EIAData'!AL22/3)</f>
        <v>0.23935652592790135</v>
      </c>
      <c r="H28" s="187">
        <f t="shared" si="3"/>
        <v>2.9814234481623857E-2</v>
      </c>
      <c r="I28" s="203">
        <f t="shared" si="25"/>
        <v>0.1565</v>
      </c>
      <c r="J28" s="196">
        <f>(J27+'KU EIAData'!AS22/3)</f>
        <v>0.70011055986563797</v>
      </c>
      <c r="K28" s="196">
        <f>(K27+'KU EIAData'!AU22)</f>
        <v>1.901746091752804</v>
      </c>
      <c r="L28" s="196">
        <v>1</v>
      </c>
      <c r="M28" s="203">
        <f>'KU EIAData'!AX22-'KU Shares'!L28</f>
        <v>0.19751325230369621</v>
      </c>
      <c r="N28" s="196">
        <f>(N27+'KU EIAData'!BA22)</f>
        <v>0.42800619200715134</v>
      </c>
      <c r="O28" s="196">
        <f>(O27+'KU EIAData'!AQ22)</f>
        <v>0.74178091877878061</v>
      </c>
      <c r="P28" s="187">
        <f t="shared" si="22"/>
        <v>0.74178091877878061</v>
      </c>
      <c r="Q28" s="196">
        <f>(Q27+'KU EIAData'!AO22)</f>
        <v>0.94245632456257711</v>
      </c>
      <c r="R28" s="187">
        <f t="shared" si="23"/>
        <v>0.94245632456257711</v>
      </c>
      <c r="S28" s="196">
        <f>(S27+'KU EIAData'!AW22)</f>
        <v>0.7091762889949127</v>
      </c>
      <c r="T28" s="187">
        <f t="shared" si="24"/>
        <v>0.7091762889949127</v>
      </c>
      <c r="U28" s="187">
        <f>'KU EIAData'!BB22</f>
        <v>4.0320553499074707</v>
      </c>
      <c r="V28" s="196">
        <f>'KU EIAData'!BD22</f>
        <v>0.41780499110326086</v>
      </c>
      <c r="W28" s="190">
        <v>1</v>
      </c>
      <c r="X28" s="190">
        <v>1</v>
      </c>
      <c r="Y28" s="191"/>
    </row>
    <row r="29" spans="1:51" x14ac:dyDescent="0.2">
      <c r="A29" s="197">
        <v>2022</v>
      </c>
      <c r="B29" s="196">
        <f>(B28+'KU EIAData'!Z23/3)</f>
        <v>0.19724969196687503</v>
      </c>
      <c r="C29" s="196">
        <f>(C28+'KU EIAData'!AB23/3)</f>
        <v>0.32307333905547136</v>
      </c>
      <c r="D29" s="196">
        <f>'KU EIAData'!AC23</f>
        <v>3.0974512959381813E-2</v>
      </c>
      <c r="E29" s="196">
        <f>(E28+'KU EIAData'!AF23/3)</f>
        <v>0.25725904429163499</v>
      </c>
      <c r="F29" s="196">
        <f>(F28+'KU EIAData'!AJ23)</f>
        <v>0.7147776583635872</v>
      </c>
      <c r="G29" s="196">
        <f>(G28+'KU EIAData'!AL23/3)</f>
        <v>0.24492333905547134</v>
      </c>
      <c r="H29" s="187">
        <f t="shared" si="3"/>
        <v>3.0974512959381813E-2</v>
      </c>
      <c r="I29" s="203">
        <f t="shared" si="25"/>
        <v>0.156</v>
      </c>
      <c r="J29" s="196">
        <f>(J28+'KU EIAData'!AS23/3)</f>
        <v>0.70133594890144202</v>
      </c>
      <c r="K29" s="196">
        <f>(K28+'KU EIAData'!AU23)</f>
        <v>1.9030532296942031</v>
      </c>
      <c r="L29" s="196">
        <v>1</v>
      </c>
      <c r="M29" s="203">
        <f>'KU EIAData'!AX23-'KU Shares'!L29</f>
        <v>0.19707013910909232</v>
      </c>
      <c r="N29" s="196">
        <f>(N28+'KU EIAData'!BA23)</f>
        <v>0.42786914781095314</v>
      </c>
      <c r="O29" s="196">
        <f>(O28+'KU EIAData'!AQ23)</f>
        <v>0.74847142661572763</v>
      </c>
      <c r="P29" s="187">
        <f t="shared" si="22"/>
        <v>0.74847142661572763</v>
      </c>
      <c r="Q29" s="196">
        <f>(Q28+'KU EIAData'!AO23)</f>
        <v>0.94367306496389924</v>
      </c>
      <c r="R29" s="187">
        <f t="shared" si="23"/>
        <v>0.94367306496389924</v>
      </c>
      <c r="S29" s="196">
        <f>(S28+'KU EIAData'!AW23)</f>
        <v>0.71123948898976619</v>
      </c>
      <c r="T29" s="187">
        <f t="shared" si="24"/>
        <v>0.71123948898976619</v>
      </c>
      <c r="U29" s="187">
        <f>'KU EIAData'!BB23</f>
        <v>4.0496743220584159</v>
      </c>
      <c r="V29" s="196">
        <f>'KU EIAData'!BD23</f>
        <v>0.41432072354790961</v>
      </c>
      <c r="W29" s="190">
        <v>1</v>
      </c>
      <c r="X29" s="190">
        <v>1</v>
      </c>
      <c r="Y29" s="191"/>
    </row>
    <row r="30" spans="1:51" x14ac:dyDescent="0.2">
      <c r="A30" s="197">
        <v>2023</v>
      </c>
      <c r="B30" s="196">
        <f>(B29+'KU EIAData'!Z24/3)</f>
        <v>0.19637044712835164</v>
      </c>
      <c r="C30" s="196">
        <f>(C29+'KU EIAData'!AB24/3)</f>
        <v>0.32856646451403132</v>
      </c>
      <c r="D30" s="196">
        <f>'KU EIAData'!AC24</f>
        <v>3.2052487441034727E-2</v>
      </c>
      <c r="E30" s="196">
        <f>(E29+'KU EIAData'!AF24/3)</f>
        <v>0.25346176764568507</v>
      </c>
      <c r="F30" s="196">
        <f>(F29+'KU EIAData'!AJ24)</f>
        <v>0.71554154997084773</v>
      </c>
      <c r="G30" s="196">
        <f>(G29+'KU EIAData'!AL24/3)</f>
        <v>0.25041646451403132</v>
      </c>
      <c r="H30" s="187">
        <f t="shared" si="3"/>
        <v>3.2052487441034727E-2</v>
      </c>
      <c r="I30" s="203">
        <f t="shared" si="25"/>
        <v>0.1555</v>
      </c>
      <c r="J30" s="196">
        <f>(J29+'KU EIAData'!AS24/3)</f>
        <v>0.70250493406234105</v>
      </c>
      <c r="K30" s="196">
        <f>(K29+'KU EIAData'!AU24)</f>
        <v>1.904330980401006</v>
      </c>
      <c r="L30" s="196">
        <v>1</v>
      </c>
      <c r="M30" s="203">
        <f>'KU EIAData'!AX24-'KU Shares'!L30</f>
        <v>0.19670982604016518</v>
      </c>
      <c r="N30" s="196">
        <f>(N29+'KU EIAData'!BA24)</f>
        <v>0.42782670288012442</v>
      </c>
      <c r="O30" s="196">
        <f>(O29+'KU EIAData'!AQ24)</f>
        <v>0.75521110839341665</v>
      </c>
      <c r="P30" s="187">
        <f t="shared" si="22"/>
        <v>0.75521110839341665</v>
      </c>
      <c r="Q30" s="196">
        <f>(Q29+'KU EIAData'!AO24)</f>
        <v>0.94485216311366116</v>
      </c>
      <c r="R30" s="187">
        <f t="shared" si="23"/>
        <v>0.94485216311366116</v>
      </c>
      <c r="S30" s="196">
        <f>(S29+'KU EIAData'!AW24)</f>
        <v>0.71328484338269527</v>
      </c>
      <c r="T30" s="187">
        <f t="shared" si="24"/>
        <v>0.71328484338269527</v>
      </c>
      <c r="U30" s="187">
        <f>'KU EIAData'!BB24</f>
        <v>4.0678850614102959</v>
      </c>
      <c r="V30" s="196">
        <f>'KU EIAData'!BD24</f>
        <v>0.41092843550053221</v>
      </c>
      <c r="W30" s="190">
        <v>1</v>
      </c>
      <c r="X30" s="190">
        <v>1</v>
      </c>
      <c r="Y30" s="191"/>
    </row>
    <row r="31" spans="1:51" x14ac:dyDescent="0.2">
      <c r="A31" s="197">
        <v>2024</v>
      </c>
      <c r="B31" s="196">
        <f>(B30+'KU EIAData'!Z25/3)</f>
        <v>0.19541655797563276</v>
      </c>
      <c r="C31" s="196">
        <f>(C30+'KU EIAData'!AB25/3)</f>
        <v>0.33402386509178716</v>
      </c>
      <c r="D31" s="196">
        <f>'KU EIAData'!AC25</f>
        <v>3.3056939884273023E-2</v>
      </c>
      <c r="E31" s="196">
        <f>(E30+'KU EIAData'!AF25/3)</f>
        <v>0.24964105416506641</v>
      </c>
      <c r="F31" s="196">
        <f>(F30+'KU EIAData'!AJ25)</f>
        <v>0.71616375454530679</v>
      </c>
      <c r="G31" s="196">
        <f>(G30+'KU EIAData'!AL25/3)</f>
        <v>0.25587386509178717</v>
      </c>
      <c r="H31" s="187">
        <f t="shared" si="3"/>
        <v>3.3056939884273023E-2</v>
      </c>
      <c r="I31" s="203">
        <f t="shared" si="25"/>
        <v>0.155</v>
      </c>
      <c r="J31" s="196">
        <f>(J30+'KU EIAData'!AS25/3)</f>
        <v>0.70362241712001039</v>
      </c>
      <c r="K31" s="196">
        <f>(K30+'KU EIAData'!AU25)</f>
        <v>1.905641067511727</v>
      </c>
      <c r="L31" s="196">
        <v>1</v>
      </c>
      <c r="M31" s="203">
        <f>'KU EIAData'!AX25-'KU Shares'!L31</f>
        <v>0.19641147991233954</v>
      </c>
      <c r="N31" s="196">
        <f>(N30+'KU EIAData'!BA25)</f>
        <v>0.42783691555304665</v>
      </c>
      <c r="O31" s="196">
        <f>(O30+'KU EIAData'!AQ25)</f>
        <v>0.76201896162286042</v>
      </c>
      <c r="P31" s="187">
        <f t="shared" si="22"/>
        <v>0.76201896162286042</v>
      </c>
      <c r="Q31" s="196">
        <f>(Q30+'KU EIAData'!AO25)</f>
        <v>0.94601068874374394</v>
      </c>
      <c r="R31" s="187">
        <f t="shared" si="23"/>
        <v>0.94601068874374394</v>
      </c>
      <c r="S31" s="196">
        <f>(S30+'KU EIAData'!AW25)</f>
        <v>0.71531518069307953</v>
      </c>
      <c r="T31" s="187">
        <f t="shared" si="24"/>
        <v>0.71531518069307953</v>
      </c>
      <c r="U31" s="187">
        <f>'KU EIAData'!BB25</f>
        <v>4.0866216866943121</v>
      </c>
      <c r="V31" s="196">
        <f>'KU EIAData'!BD25</f>
        <v>0.40771043601344903</v>
      </c>
      <c r="W31" s="190">
        <v>1</v>
      </c>
      <c r="X31" s="190">
        <v>1</v>
      </c>
      <c r="Y31" s="191"/>
    </row>
    <row r="32" spans="1:51" x14ac:dyDescent="0.2">
      <c r="A32" s="197">
        <v>2025</v>
      </c>
      <c r="B32" s="196">
        <f>(B31+'KU EIAData'!Z26/3)</f>
        <v>0.19441654778470407</v>
      </c>
      <c r="C32" s="196">
        <f>(C31+'KU EIAData'!AB26/3)</f>
        <v>0.33941690610118586</v>
      </c>
      <c r="D32" s="196">
        <f>'KU EIAData'!AC26</f>
        <v>3.3979878927436986E-2</v>
      </c>
      <c r="E32" s="196">
        <f>(E31+'KU EIAData'!AF26/3)</f>
        <v>0.24581226814340496</v>
      </c>
      <c r="F32" s="196">
        <f>(F31+'KU EIAData'!AJ26)</f>
        <v>0.7166786396486835</v>
      </c>
      <c r="G32" s="196">
        <f>(G31+'KU EIAData'!AL26/3)</f>
        <v>0.26126690610118586</v>
      </c>
      <c r="H32" s="187">
        <f t="shared" si="3"/>
        <v>3.3979878927436986E-2</v>
      </c>
      <c r="I32" s="203">
        <f t="shared" si="25"/>
        <v>0.1545</v>
      </c>
      <c r="J32" s="196">
        <f>(J31+'KU EIAData'!AS26/3)</f>
        <v>0.70469022400382964</v>
      </c>
      <c r="K32" s="196">
        <f>(K31+'KU EIAData'!AU26)</f>
        <v>1.9068887506356766</v>
      </c>
      <c r="L32" s="196">
        <v>1</v>
      </c>
      <c r="M32" s="203">
        <f>'KU EIAData'!AX26-'KU Shares'!L32</f>
        <v>0.19615305571813679</v>
      </c>
      <c r="N32" s="196">
        <f>(N31+'KU EIAData'!BA26)</f>
        <v>0.42782541659466095</v>
      </c>
      <c r="O32" s="196">
        <f>(O31+'KU EIAData'!AQ26)</f>
        <v>0.76882675736056239</v>
      </c>
      <c r="P32" s="187">
        <f t="shared" si="22"/>
        <v>0.76882675736056239</v>
      </c>
      <c r="Q32" s="196">
        <f>(Q31+'KU EIAData'!AO26)</f>
        <v>0.94713941886099884</v>
      </c>
      <c r="R32" s="187">
        <f t="shared" si="23"/>
        <v>0.94713941886099884</v>
      </c>
      <c r="S32" s="196">
        <f>(S31+'KU EIAData'!AW26)</f>
        <v>0.71730469557226106</v>
      </c>
      <c r="T32" s="187">
        <f t="shared" si="24"/>
        <v>0.71730469557226106</v>
      </c>
      <c r="U32" s="187">
        <f>'KU EIAData'!BB26</f>
        <v>4.1059420981343964</v>
      </c>
      <c r="V32" s="196">
        <f>'KU EIAData'!BD26</f>
        <v>0.40455121787653098</v>
      </c>
      <c r="W32" s="190">
        <v>1</v>
      </c>
      <c r="X32" s="190">
        <v>1</v>
      </c>
      <c r="Y32" s="191"/>
    </row>
    <row r="33" spans="1:25" x14ac:dyDescent="0.2">
      <c r="A33" s="198">
        <f t="shared" ref="A33:A50" si="26">A32+1</f>
        <v>2026</v>
      </c>
      <c r="B33" s="196">
        <f>(B32+'KU EIAData'!Z27/3)</f>
        <v>0.19342191817873408</v>
      </c>
      <c r="C33" s="196">
        <f>(C32+'KU EIAData'!AB27/3)</f>
        <v>0.34468494034903335</v>
      </c>
      <c r="D33" s="196">
        <f>'KU EIAData'!AC27</f>
        <v>3.4810946517703834E-2</v>
      </c>
      <c r="E33" s="196">
        <f>(E32+'KU EIAData'!AF27/3)</f>
        <v>0.24201730372829156</v>
      </c>
      <c r="F33" s="196">
        <f>(F32+'KU EIAData'!AJ27)</f>
        <v>0.71715306264630629</v>
      </c>
      <c r="G33" s="196">
        <f>(G32+'KU EIAData'!AL27/3)</f>
        <v>0.26653494034903336</v>
      </c>
      <c r="H33" s="187">
        <f t="shared" si="3"/>
        <v>3.4810946517703834E-2</v>
      </c>
      <c r="I33" s="203">
        <f t="shared" si="25"/>
        <v>0.154</v>
      </c>
      <c r="J33" s="196">
        <f>(J32+'KU EIAData'!AS27/3)</f>
        <v>0.70571594007943816</v>
      </c>
      <c r="K33" s="196">
        <f>(K32+'KU EIAData'!AU27)</f>
        <v>1.9081219150482125</v>
      </c>
      <c r="L33" s="196">
        <v>1</v>
      </c>
      <c r="M33" s="203">
        <f>'KU EIAData'!AX27-'KU Shares'!L33</f>
        <v>0.19591034249920947</v>
      </c>
      <c r="N33" s="196">
        <f>(N32+'KU EIAData'!BA27)</f>
        <v>0.4277368561440123</v>
      </c>
      <c r="O33" s="196">
        <f>(O32+'KU EIAData'!AQ27)</f>
        <v>0.7755606636549689</v>
      </c>
      <c r="P33" s="187">
        <f t="shared" si="22"/>
        <v>0.7755606636549689</v>
      </c>
      <c r="Q33" s="196">
        <f>(Q32+'KU EIAData'!AO27)</f>
        <v>0.94822739637096543</v>
      </c>
      <c r="R33" s="187">
        <f t="shared" si="23"/>
        <v>0.94822739637096543</v>
      </c>
      <c r="S33" s="196">
        <f>(S32+'KU EIAData'!AW27)</f>
        <v>0.71922770799891977</v>
      </c>
      <c r="T33" s="187">
        <f t="shared" si="24"/>
        <v>0.71922770799891977</v>
      </c>
      <c r="U33" s="187">
        <f>'KU EIAData'!BB27</f>
        <v>4.1252872638868698</v>
      </c>
      <c r="V33" s="196">
        <f>'KU EIAData'!BD27</f>
        <v>0.40146161673864272</v>
      </c>
      <c r="W33" s="190">
        <v>1</v>
      </c>
      <c r="X33" s="190">
        <v>1</v>
      </c>
      <c r="Y33" s="191"/>
    </row>
    <row r="34" spans="1:25" x14ac:dyDescent="0.2">
      <c r="A34" s="198">
        <f t="shared" si="26"/>
        <v>2027</v>
      </c>
      <c r="B34" s="196">
        <f>(B33+'KU EIAData'!Z28/3)</f>
        <v>0.19247614442094552</v>
      </c>
      <c r="C34" s="196">
        <f>(C33+'KU EIAData'!AB28/3)</f>
        <v>0.34973810900282865</v>
      </c>
      <c r="D34" s="196">
        <f>'KU EIAData'!AC28</f>
        <v>3.5543659145791072E-2</v>
      </c>
      <c r="E34" s="196">
        <f>(E33+'KU EIAData'!AF28/3)</f>
        <v>0.23831972339323526</v>
      </c>
      <c r="F34" s="196">
        <f>(F33+'KU EIAData'!AJ28)</f>
        <v>0.71767003195854295</v>
      </c>
      <c r="G34" s="196">
        <f>(G33+'KU EIAData'!AL28/3)</f>
        <v>0.27158810900282865</v>
      </c>
      <c r="H34" s="187">
        <f t="shared" si="3"/>
        <v>3.5543659145791072E-2</v>
      </c>
      <c r="I34" s="203">
        <f t="shared" si="25"/>
        <v>0.1535</v>
      </c>
      <c r="J34" s="196">
        <f>(J33+'KU EIAData'!AS28/3)</f>
        <v>0.7067021304961526</v>
      </c>
      <c r="K34" s="196">
        <f>(K33+'KU EIAData'!AU28)</f>
        <v>1.9093877882794188</v>
      </c>
      <c r="L34" s="196">
        <v>1</v>
      </c>
      <c r="M34" s="203">
        <f>'KU EIAData'!AX28-'KU Shares'!L34</f>
        <v>0.19567125352036685</v>
      </c>
      <c r="N34" s="196">
        <f>(N33+'KU EIAData'!BA28)</f>
        <v>0.42755012391633346</v>
      </c>
      <c r="O34" s="196">
        <f>(O33+'KU EIAData'!AQ28)</f>
        <v>0.78200457050947902</v>
      </c>
      <c r="P34" s="187">
        <f t="shared" si="22"/>
        <v>0.78200457050947902</v>
      </c>
      <c r="Q34" s="196">
        <f>(Q33+'KU EIAData'!AO28)</f>
        <v>0.9492625958193589</v>
      </c>
      <c r="R34" s="187">
        <f t="shared" si="23"/>
        <v>0.9492625958193589</v>
      </c>
      <c r="S34" s="196">
        <f>(S33+'KU EIAData'!AW28)</f>
        <v>0.72105794392982148</v>
      </c>
      <c r="T34" s="187">
        <f t="shared" si="24"/>
        <v>0.72105794392982148</v>
      </c>
      <c r="U34" s="187">
        <f>'KU EIAData'!BB28</f>
        <v>4.144768157058369</v>
      </c>
      <c r="V34" s="196">
        <f>'KU EIAData'!BD28</f>
        <v>0.39848585055808694</v>
      </c>
      <c r="W34" s="190">
        <v>1</v>
      </c>
      <c r="X34" s="190">
        <v>1</v>
      </c>
      <c r="Y34" s="191"/>
    </row>
    <row r="35" spans="1:25" x14ac:dyDescent="0.2">
      <c r="A35" s="198">
        <f t="shared" si="26"/>
        <v>2028</v>
      </c>
      <c r="B35" s="196">
        <f>(B34+'KU EIAData'!Z29/3)</f>
        <v>0.19157553813191242</v>
      </c>
      <c r="C35" s="196">
        <f>(C34+'KU EIAData'!AB29/3)</f>
        <v>0.35456935307392373</v>
      </c>
      <c r="D35" s="196">
        <f>'KU EIAData'!AC29</f>
        <v>3.6187704465309938E-2</v>
      </c>
      <c r="E35" s="196">
        <f>(E34+'KU EIAData'!AF29/3)</f>
        <v>0.23472624944398016</v>
      </c>
      <c r="F35" s="196">
        <f>(F34+'KU EIAData'!AJ29)</f>
        <v>0.71823783808028296</v>
      </c>
      <c r="G35" s="196">
        <f>(G34+'KU EIAData'!AL29/3)</f>
        <v>0.27641935307392373</v>
      </c>
      <c r="H35" s="187">
        <f t="shared" si="3"/>
        <v>3.6187704465309938E-2</v>
      </c>
      <c r="I35" s="203">
        <f t="shared" si="25"/>
        <v>0.153</v>
      </c>
      <c r="J35" s="196">
        <f>(J34+'KU EIAData'!AS29/3)</f>
        <v>0.70765075132043354</v>
      </c>
      <c r="K35" s="196">
        <f>(K34+'KU EIAData'!AU29)</f>
        <v>1.9105909117194246</v>
      </c>
      <c r="L35" s="196">
        <v>1</v>
      </c>
      <c r="M35" s="203">
        <f>'KU EIAData'!AX29-'KU Shares'!L35</f>
        <v>0.19543487060587794</v>
      </c>
      <c r="N35" s="196">
        <f>(N34+'KU EIAData'!BA29)</f>
        <v>0.42726312527290783</v>
      </c>
      <c r="O35" s="196">
        <f>(O34+'KU EIAData'!AQ29)</f>
        <v>0.78814880004089238</v>
      </c>
      <c r="P35" s="187">
        <f t="shared" si="22"/>
        <v>0.78814880004089238</v>
      </c>
      <c r="Q35" s="196">
        <f>(Q34+'KU EIAData'!AO29)</f>
        <v>0.95024000028815669</v>
      </c>
      <c r="R35" s="187">
        <f t="shared" si="23"/>
        <v>0.95024000028815669</v>
      </c>
      <c r="S35" s="196">
        <f>(S34+'KU EIAData'!AW29)</f>
        <v>0.72278948549598576</v>
      </c>
      <c r="T35" s="187">
        <f t="shared" si="24"/>
        <v>0.72278948549598576</v>
      </c>
      <c r="U35" s="187">
        <f>'KU EIAData'!BB29</f>
        <v>4.1642425743521887</v>
      </c>
      <c r="V35" s="196">
        <f>'KU EIAData'!BD29</f>
        <v>0.39561069851676134</v>
      </c>
      <c r="W35" s="190">
        <v>1</v>
      </c>
      <c r="X35" s="190">
        <v>1</v>
      </c>
      <c r="Y35" s="191"/>
    </row>
    <row r="36" spans="1:25" x14ac:dyDescent="0.2">
      <c r="A36" s="198">
        <f t="shared" si="26"/>
        <v>2029</v>
      </c>
      <c r="B36" s="196">
        <f>(B35+'KU EIAData'!Z30/3)</f>
        <v>0.19069105442787496</v>
      </c>
      <c r="C36" s="196">
        <f>(C35+'KU EIAData'!AB30/3)</f>
        <v>0.3592389283439632</v>
      </c>
      <c r="D36" s="196">
        <f>'KU EIAData'!AC30</f>
        <v>3.6764911733532191E-2</v>
      </c>
      <c r="E36" s="196">
        <f>(E35+'KU EIAData'!AF30/3)</f>
        <v>0.23119617518213204</v>
      </c>
      <c r="F36" s="196">
        <f>(F35+'KU EIAData'!AJ30)</f>
        <v>0.71880141496194727</v>
      </c>
      <c r="G36" s="196">
        <f>(G35+'KU EIAData'!AL30/3)</f>
        <v>0.28108892834396321</v>
      </c>
      <c r="H36" s="187">
        <f t="shared" si="3"/>
        <v>3.6764911733532191E-2</v>
      </c>
      <c r="I36" s="203">
        <f t="shared" si="25"/>
        <v>0.1525</v>
      </c>
      <c r="J36" s="196">
        <f>(J35+'KU EIAData'!AS30/3)</f>
        <v>0.70856063873366348</v>
      </c>
      <c r="K36" s="196">
        <f>(K35+'KU EIAData'!AU30)</f>
        <v>1.9118336545867425</v>
      </c>
      <c r="L36" s="196">
        <v>1</v>
      </c>
      <c r="M36" s="203">
        <f>'KU EIAData'!AX30-'KU Shares'!L36</f>
        <v>0.19521258615348192</v>
      </c>
      <c r="N36" s="196">
        <f>(N35+'KU EIAData'!BA30)</f>
        <v>0.42690923314093449</v>
      </c>
      <c r="O36" s="196">
        <f>(O35+'KU EIAData'!AQ30)</f>
        <v>0.79407304328020667</v>
      </c>
      <c r="P36" s="187">
        <f t="shared" si="22"/>
        <v>0.79407304328020667</v>
      </c>
      <c r="Q36" s="196">
        <f>(Q35+'KU EIAData'!AO30)</f>
        <v>0.95117519033363063</v>
      </c>
      <c r="R36" s="187">
        <f t="shared" si="23"/>
        <v>0.95117519033363063</v>
      </c>
      <c r="S36" s="196">
        <f>(S35+'KU EIAData'!AW30)</f>
        <v>0.72445101312866855</v>
      </c>
      <c r="T36" s="187">
        <f t="shared" si="24"/>
        <v>0.72445101312866855</v>
      </c>
      <c r="U36" s="187">
        <f>'KU EIAData'!BB30</f>
        <v>4.1838908461498772</v>
      </c>
      <c r="V36" s="196">
        <f>'KU EIAData'!BD30</f>
        <v>0.39282447838229856</v>
      </c>
      <c r="W36" s="190">
        <v>1</v>
      </c>
      <c r="X36" s="190">
        <v>1</v>
      </c>
      <c r="Y36" s="191"/>
    </row>
    <row r="37" spans="1:25" x14ac:dyDescent="0.2">
      <c r="A37" s="198">
        <f t="shared" si="26"/>
        <v>2030</v>
      </c>
      <c r="B37" s="196">
        <f>(B36+'KU EIAData'!Z31/3)</f>
        <v>0.18979036121157411</v>
      </c>
      <c r="C37" s="196">
        <f>(C36+'KU EIAData'!AB31/3)</f>
        <v>0.36380481402850878</v>
      </c>
      <c r="D37" s="196">
        <f>'KU EIAData'!AC31</f>
        <v>3.7296119364096089E-2</v>
      </c>
      <c r="E37" s="196">
        <f>(E36+'KU EIAData'!AF31/3)</f>
        <v>0.22768906282219178</v>
      </c>
      <c r="F37" s="196">
        <f>(F36+'KU EIAData'!AJ31)</f>
        <v>0.71930605641006906</v>
      </c>
      <c r="G37" s="196">
        <f>(G36+'KU EIAData'!AL31/3)</f>
        <v>0.28565481402850879</v>
      </c>
      <c r="H37" s="187">
        <f t="shared" si="3"/>
        <v>3.7296119364096089E-2</v>
      </c>
      <c r="I37" s="203">
        <f t="shared" si="25"/>
        <v>0.152</v>
      </c>
      <c r="J37" s="196">
        <f>(J36+'KU EIAData'!AS31/3)</f>
        <v>0.70942295975828662</v>
      </c>
      <c r="K37" s="196">
        <f>(K36+'KU EIAData'!AU31)</f>
        <v>1.9130204944869897</v>
      </c>
      <c r="L37" s="196">
        <v>1</v>
      </c>
      <c r="M37" s="203">
        <f>'KU EIAData'!AX31-'KU Shares'!L37</f>
        <v>0.19501243605363783</v>
      </c>
      <c r="N37" s="196">
        <f>(N36+'KU EIAData'!BA31)</f>
        <v>0.42653301536195537</v>
      </c>
      <c r="O37" s="196">
        <f>(O36+'KU EIAData'!AQ31)</f>
        <v>0.79985764855124286</v>
      </c>
      <c r="P37" s="187">
        <f t="shared" si="22"/>
        <v>0.79985764855124286</v>
      </c>
      <c r="Q37" s="196">
        <f>(Q36+'KU EIAData'!AO31)</f>
        <v>0.95208044082986298</v>
      </c>
      <c r="R37" s="187">
        <f t="shared" si="23"/>
        <v>0.95208044082986298</v>
      </c>
      <c r="S37" s="196">
        <f>(S36+'KU EIAData'!AW31)</f>
        <v>0.72606925819291224</v>
      </c>
      <c r="T37" s="187">
        <f t="shared" si="24"/>
        <v>0.72606925819291224</v>
      </c>
      <c r="U37" s="187">
        <f>'KU EIAData'!BB31</f>
        <v>4.203608955610032</v>
      </c>
      <c r="V37" s="196">
        <f>'KU EIAData'!BD31</f>
        <v>0.39010824550265327</v>
      </c>
      <c r="W37" s="190">
        <v>1</v>
      </c>
      <c r="X37" s="190">
        <v>1</v>
      </c>
      <c r="Y37" s="191"/>
    </row>
    <row r="38" spans="1:25" x14ac:dyDescent="0.2">
      <c r="A38" s="198">
        <f t="shared" si="26"/>
        <v>2031</v>
      </c>
      <c r="B38" s="196">
        <f>(B37+'KU EIAData'!Z32/3)</f>
        <v>0.18890552816768699</v>
      </c>
      <c r="C38" s="196">
        <f>(C37+'KU EIAData'!AB32/3)</f>
        <v>0.3682323750184841</v>
      </c>
      <c r="D38" s="196">
        <f>'KU EIAData'!AC32</f>
        <v>3.7777775503480979E-2</v>
      </c>
      <c r="E38" s="196">
        <f>(E37+'KU EIAData'!AF32/3)</f>
        <v>0.2242301189668533</v>
      </c>
      <c r="F38" s="196">
        <f>(F37+'KU EIAData'!AJ32)</f>
        <v>0.71979093333266908</v>
      </c>
      <c r="G38" s="196">
        <f>(G37+'KU EIAData'!AL32/3)</f>
        <v>0.29008237501848411</v>
      </c>
      <c r="H38" s="187">
        <f t="shared" si="3"/>
        <v>3.7777775503480979E-2</v>
      </c>
      <c r="I38" s="203">
        <f t="shared" si="25"/>
        <v>0.1515</v>
      </c>
      <c r="J38" s="196">
        <f>(J37+'KU EIAData'!AS32/3)</f>
        <v>0.71026279691784733</v>
      </c>
      <c r="K38" s="196">
        <f>(K37+'KU EIAData'!AU32)</f>
        <v>1.9139992677711233</v>
      </c>
      <c r="L38" s="196">
        <v>1</v>
      </c>
      <c r="M38" s="203">
        <f>'KU EIAData'!AX32-'KU Shares'!L38</f>
        <v>0.19482376872130058</v>
      </c>
      <c r="N38" s="196">
        <f>(N37+'KU EIAData'!BA32)</f>
        <v>0.42612117804257715</v>
      </c>
      <c r="O38" s="196">
        <f>(O37+'KU EIAData'!AQ32)</f>
        <v>0.80547662716896118</v>
      </c>
      <c r="P38" s="187">
        <f t="shared" si="22"/>
        <v>0.80547662716896118</v>
      </c>
      <c r="Q38" s="196">
        <f>(Q37+'KU EIAData'!AO32)</f>
        <v>0.95295536592431362</v>
      </c>
      <c r="R38" s="187">
        <f t="shared" si="23"/>
        <v>0.95295536592431362</v>
      </c>
      <c r="S38" s="196">
        <f>(S37+'KU EIAData'!AW32)</f>
        <v>0.72764115606532731</v>
      </c>
      <c r="T38" s="187">
        <f t="shared" si="24"/>
        <v>0.72764115606532731</v>
      </c>
      <c r="U38" s="187">
        <f>'KU EIAData'!BB32</f>
        <v>4.2238144574090732</v>
      </c>
      <c r="V38" s="196">
        <f>'KU EIAData'!BD32</f>
        <v>0.38746489480751889</v>
      </c>
      <c r="W38" s="190">
        <v>1</v>
      </c>
      <c r="X38" s="190">
        <v>1</v>
      </c>
      <c r="Y38" s="191"/>
    </row>
    <row r="39" spans="1:25" x14ac:dyDescent="0.2">
      <c r="A39" s="198">
        <f t="shared" si="26"/>
        <v>2032</v>
      </c>
      <c r="B39" s="196">
        <f>(B38+'KU EIAData'!Z33/3)</f>
        <v>0.18807168184688181</v>
      </c>
      <c r="C39" s="196">
        <f>(C38+'KU EIAData'!AB33/3)</f>
        <v>0.37246335831329369</v>
      </c>
      <c r="D39" s="196">
        <f>'KU EIAData'!AC33</f>
        <v>3.8207634375478333E-2</v>
      </c>
      <c r="E39" s="196">
        <f>(E38+'KU EIAData'!AF33/3)</f>
        <v>0.22086911367408688</v>
      </c>
      <c r="F39" s="196">
        <f>(F38+'KU EIAData'!AJ33)</f>
        <v>0.72032558624250576</v>
      </c>
      <c r="G39" s="196">
        <f>(G38+'KU EIAData'!AL33/3)</f>
        <v>0.29431335831329369</v>
      </c>
      <c r="H39" s="187">
        <f t="shared" si="3"/>
        <v>3.8207634375478333E-2</v>
      </c>
      <c r="I39" s="203">
        <f t="shared" si="25"/>
        <v>0.151</v>
      </c>
      <c r="J39" s="196">
        <f>(J38+'KU EIAData'!AS33/3)</f>
        <v>0.71107921011824804</v>
      </c>
      <c r="K39" s="196">
        <f>(K38+'KU EIAData'!AU33)</f>
        <v>1.9151612805864227</v>
      </c>
      <c r="L39" s="196">
        <v>1</v>
      </c>
      <c r="M39" s="203">
        <f>'KU EIAData'!AX33-'KU Shares'!L39</f>
        <v>0.19463372271598312</v>
      </c>
      <c r="N39" s="196">
        <f>(N38+'KU EIAData'!BA33)</f>
        <v>0.42567201033448782</v>
      </c>
      <c r="O39" s="196">
        <f>(O38+'KU EIAData'!AQ33)</f>
        <v>0.81089301393811508</v>
      </c>
      <c r="P39" s="187">
        <f t="shared" si="22"/>
        <v>0.81089301393811508</v>
      </c>
      <c r="Q39" s="196">
        <f>(Q38+'KU EIAData'!AO33)</f>
        <v>0.95378877874999002</v>
      </c>
      <c r="R39" s="187">
        <f t="shared" si="23"/>
        <v>0.95378877874999002</v>
      </c>
      <c r="S39" s="196">
        <f>(S38+'KU EIAData'!AW33)</f>
        <v>0.72915626091279551</v>
      </c>
      <c r="T39" s="187">
        <f t="shared" si="24"/>
        <v>0.72915626091279551</v>
      </c>
      <c r="U39" s="187">
        <f>'KU EIAData'!BB33</f>
        <v>4.2440224644096753</v>
      </c>
      <c r="V39" s="196">
        <f>'KU EIAData'!BD33</f>
        <v>0.38509121020019288</v>
      </c>
      <c r="W39" s="190">
        <v>1</v>
      </c>
      <c r="X39" s="190">
        <v>1</v>
      </c>
      <c r="Y39" s="191"/>
    </row>
    <row r="40" spans="1:25" x14ac:dyDescent="0.2">
      <c r="A40" s="198">
        <f t="shared" si="26"/>
        <v>2033</v>
      </c>
      <c r="B40" s="196">
        <f>(B39+'KU EIAData'!Z34/3)</f>
        <v>0.18724465321320624</v>
      </c>
      <c r="C40" s="196">
        <f>(C39+'KU EIAData'!AB34/3)</f>
        <v>0.37657606227924512</v>
      </c>
      <c r="D40" s="196">
        <f>'KU EIAData'!AC34</f>
        <v>3.8604959043935093E-2</v>
      </c>
      <c r="E40" s="196">
        <f>(E39+'KU EIAData'!AF34/3)</f>
        <v>0.21754852404289898</v>
      </c>
      <c r="F40" s="196">
        <f>(F39+'KU EIAData'!AJ34)</f>
        <v>0.72082866050511707</v>
      </c>
      <c r="G40" s="196">
        <f>(G39+'KU EIAData'!AL34/3)</f>
        <v>0.29842606227924512</v>
      </c>
      <c r="H40" s="187">
        <f t="shared" si="3"/>
        <v>3.8604959043935093E-2</v>
      </c>
      <c r="I40" s="203">
        <f t="shared" si="25"/>
        <v>0.15049999999999999</v>
      </c>
      <c r="J40" s="196">
        <f>(J39+'KU EIAData'!AS34/3)</f>
        <v>0.71186788463632134</v>
      </c>
      <c r="K40" s="196">
        <f>(K39+'KU EIAData'!AU34)</f>
        <v>1.9163126340429413</v>
      </c>
      <c r="L40" s="196">
        <v>1</v>
      </c>
      <c r="M40" s="203">
        <f>'KU EIAData'!AX34-'KU Shares'!L40</f>
        <v>0.19445790777429428</v>
      </c>
      <c r="N40" s="196">
        <f>(N39+'KU EIAData'!BA34)</f>
        <v>0.42522372804958003</v>
      </c>
      <c r="O40" s="196">
        <f>(O39+'KU EIAData'!AQ34)</f>
        <v>0.81619643578038403</v>
      </c>
      <c r="P40" s="187">
        <f t="shared" si="22"/>
        <v>0.81619643578038403</v>
      </c>
      <c r="Q40" s="196">
        <f>(Q39+'KU EIAData'!AO34)</f>
        <v>0.9545981411082608</v>
      </c>
      <c r="R40" s="187">
        <f t="shared" si="23"/>
        <v>0.9545981411082608</v>
      </c>
      <c r="S40" s="196">
        <f>(S39+'KU EIAData'!AW34)</f>
        <v>0.73064405913371355</v>
      </c>
      <c r="T40" s="187">
        <f t="shared" si="24"/>
        <v>0.73064405913371355</v>
      </c>
      <c r="U40" s="187">
        <f>'KU EIAData'!BB34</f>
        <v>4.2644268361125119</v>
      </c>
      <c r="V40" s="196">
        <f>'KU EIAData'!BD34</f>
        <v>0.38281932385422895</v>
      </c>
      <c r="W40" s="190">
        <v>1</v>
      </c>
      <c r="X40" s="190">
        <v>1</v>
      </c>
      <c r="Y40" s="191"/>
    </row>
    <row r="41" spans="1:25" x14ac:dyDescent="0.2">
      <c r="A41" s="198">
        <f t="shared" si="26"/>
        <v>2034</v>
      </c>
      <c r="B41" s="196">
        <f>(B40+'KU EIAData'!Z35/3)</f>
        <v>0.18639749135738101</v>
      </c>
      <c r="C41" s="196">
        <f>(C40+'KU EIAData'!AB35/3)</f>
        <v>0.38062194701534785</v>
      </c>
      <c r="D41" s="196">
        <f>'KU EIAData'!AC35</f>
        <v>3.8979838378365175E-2</v>
      </c>
      <c r="E41" s="196">
        <f>(E40+'KU EIAData'!AF35/3)</f>
        <v>0.21423034003143535</v>
      </c>
      <c r="F41" s="196">
        <f>(F40+'KU EIAData'!AJ35)</f>
        <v>0.72125354439075373</v>
      </c>
      <c r="G41" s="196">
        <f>(G40+'KU EIAData'!AL35/3)</f>
        <v>0.30247194701534785</v>
      </c>
      <c r="H41" s="187">
        <f t="shared" si="3"/>
        <v>3.8979838378365175E-2</v>
      </c>
      <c r="I41" s="203">
        <f t="shared" si="25"/>
        <v>0.15</v>
      </c>
      <c r="J41" s="196">
        <f>(J40+'KU EIAData'!AS35/3)</f>
        <v>0.71263399276593642</v>
      </c>
      <c r="K41" s="196">
        <f>(K40+'KU EIAData'!AU35)</f>
        <v>1.9174587737629227</v>
      </c>
      <c r="L41" s="196">
        <v>1</v>
      </c>
      <c r="M41" s="203">
        <f>'KU EIAData'!AX35-'KU Shares'!L41</f>
        <v>0.19430249316583437</v>
      </c>
      <c r="N41" s="196">
        <f>(N40+'KU EIAData'!BA35)</f>
        <v>0.42479928265705963</v>
      </c>
      <c r="O41" s="196">
        <f>(O40+'KU EIAData'!AQ35)</f>
        <v>0.82143608725413741</v>
      </c>
      <c r="P41" s="187">
        <f t="shared" si="22"/>
        <v>0.82143608725413741</v>
      </c>
      <c r="Q41" s="196">
        <f>(Q40+'KU EIAData'!AO35)</f>
        <v>0.95539208484680616</v>
      </c>
      <c r="R41" s="187">
        <f t="shared" si="23"/>
        <v>0.95539208484680616</v>
      </c>
      <c r="S41" s="196">
        <f>(S40+'KU EIAData'!AW35)</f>
        <v>0.73211987587325078</v>
      </c>
      <c r="T41" s="187">
        <f t="shared" si="24"/>
        <v>0.73211987587325078</v>
      </c>
      <c r="U41" s="187">
        <f>'KU EIAData'!BB35</f>
        <v>4.2853685563976898</v>
      </c>
      <c r="V41" s="196">
        <f>'KU EIAData'!BD35</f>
        <v>0.38048071221888874</v>
      </c>
      <c r="W41" s="190">
        <v>1</v>
      </c>
      <c r="X41" s="190">
        <v>1</v>
      </c>
      <c r="Y41" s="191"/>
    </row>
    <row r="42" spans="1:25" x14ac:dyDescent="0.2">
      <c r="A42" s="198">
        <f t="shared" si="26"/>
        <v>2035</v>
      </c>
      <c r="B42" s="196">
        <f>(B41+'KU EIAData'!Z36/3)</f>
        <v>0.18554207610729953</v>
      </c>
      <c r="C42" s="196">
        <f>(C41+'KU EIAData'!AB36/3)</f>
        <v>0.38460501563866134</v>
      </c>
      <c r="D42" s="196">
        <f>'KU EIAData'!AC36</f>
        <v>3.933280936740037E-2</v>
      </c>
      <c r="E42" s="196">
        <f>(E41+'KU EIAData'!AF36/3)</f>
        <v>0.21091298718523496</v>
      </c>
      <c r="F42" s="196">
        <f>(F41+'KU EIAData'!AJ36)</f>
        <v>0.72159931572282798</v>
      </c>
      <c r="G42" s="196">
        <f>(G41+'KU EIAData'!AL36/3)</f>
        <v>0.30645501563866134</v>
      </c>
      <c r="H42" s="187">
        <f t="shared" si="3"/>
        <v>3.933280936740037E-2</v>
      </c>
      <c r="I42" s="203">
        <f t="shared" si="25"/>
        <v>0.14949999999999999</v>
      </c>
      <c r="J42" s="196">
        <f>(J41+'KU EIAData'!AS36/3)</f>
        <v>0.71338327370647658</v>
      </c>
      <c r="K42" s="196">
        <f>(K41+'KU EIAData'!AU36)</f>
        <v>1.9185984488070378</v>
      </c>
      <c r="L42" s="196">
        <v>1</v>
      </c>
      <c r="M42" s="203">
        <f>'KU EIAData'!AX36-'KU Shares'!L42</f>
        <v>0.19416165781234751</v>
      </c>
      <c r="N42" s="196">
        <f>(N41+'KU EIAData'!BA36)</f>
        <v>0.42438561420238702</v>
      </c>
      <c r="O42" s="196">
        <f>(O41+'KU EIAData'!AQ36)</f>
        <v>0.82662365276735705</v>
      </c>
      <c r="P42" s="187">
        <f t="shared" si="22"/>
        <v>0.82662365276735705</v>
      </c>
      <c r="Q42" s="196">
        <f>(Q41+'KU EIAData'!AO36)</f>
        <v>0.95617405668799516</v>
      </c>
      <c r="R42" s="187">
        <f t="shared" si="23"/>
        <v>0.95617405668799516</v>
      </c>
      <c r="S42" s="196">
        <f>(S41+'KU EIAData'!AW36)</f>
        <v>0.73358771955973667</v>
      </c>
      <c r="T42" s="187">
        <f t="shared" si="24"/>
        <v>0.73358771955973667</v>
      </c>
      <c r="U42" s="187">
        <f>'KU EIAData'!BB36</f>
        <v>4.3063590030369312</v>
      </c>
      <c r="V42" s="196">
        <f>'KU EIAData'!BD36</f>
        <v>0.37814729347799025</v>
      </c>
      <c r="W42" s="190">
        <v>1</v>
      </c>
      <c r="X42" s="190">
        <v>1</v>
      </c>
      <c r="Y42" s="191"/>
    </row>
    <row r="43" spans="1:25" x14ac:dyDescent="0.2">
      <c r="A43" s="198">
        <f t="shared" si="26"/>
        <v>2036</v>
      </c>
      <c r="B43" s="196">
        <f>(B42+'KU EIAData'!Z42/3)</f>
        <v>0.18468666085721805</v>
      </c>
      <c r="C43" s="196">
        <f>(C42+'KU EIAData'!AB42/3)</f>
        <v>0.38858808426197483</v>
      </c>
      <c r="D43" s="196">
        <f>'KU EIAData'!AC37</f>
        <v>3.9688976586186218E-2</v>
      </c>
      <c r="E43" s="196">
        <f>(E42+'KU EIAData'!AF37/3)</f>
        <v>0.20759563433903458</v>
      </c>
      <c r="F43" s="196">
        <f>(F42+'KU EIAData'!AJ37)</f>
        <v>0.72194508705490223</v>
      </c>
      <c r="G43" s="196">
        <f>(G42+'KU EIAData'!AL37/3)</f>
        <v>0.31043808426197483</v>
      </c>
      <c r="H43" s="211">
        <f t="shared" ref="H43:H50" si="27">H42</f>
        <v>3.933280936740037E-2</v>
      </c>
      <c r="I43" s="203">
        <f t="shared" si="25"/>
        <v>0.14899999999999999</v>
      </c>
      <c r="J43" s="196">
        <f>(J42+'KU EIAData'!AS37/3)</f>
        <v>0.71413255464701675</v>
      </c>
      <c r="K43" s="196">
        <f>(K42+'KU EIAData'!AU37)</f>
        <v>1.9197381238511528</v>
      </c>
      <c r="L43" s="196">
        <v>1</v>
      </c>
      <c r="M43" s="203">
        <f>'KU EIAData'!AX37-'KU Shares'!L43</f>
        <v>0.19402083906654322</v>
      </c>
      <c r="N43" s="196">
        <f>(N42+'KU EIAData'!BA37)</f>
        <v>0.42397194574771441</v>
      </c>
      <c r="O43" s="196">
        <f>(O42+'KU EIAData'!AQ37)</f>
        <v>0.83181121828057669</v>
      </c>
      <c r="P43" s="187">
        <f t="shared" si="22"/>
        <v>0.83181121828057669</v>
      </c>
      <c r="Q43" s="196">
        <f>(Q42+'KU EIAData'!AO37)</f>
        <v>0.95695602852918416</v>
      </c>
      <c r="R43" s="187">
        <f t="shared" si="23"/>
        <v>0.95695602852918416</v>
      </c>
      <c r="S43" s="196">
        <f>(S42+'KU EIAData'!AW37)</f>
        <v>0.73505556324622257</v>
      </c>
      <c r="T43" s="187">
        <f t="shared" si="24"/>
        <v>0.73505556324622257</v>
      </c>
      <c r="U43" s="187">
        <f>'KU EIAData'!BB37</f>
        <v>4.3274522643686115</v>
      </c>
      <c r="V43" s="196">
        <f>'KU EIAData'!BD37</f>
        <v>0.37582818516820043</v>
      </c>
      <c r="W43" s="211">
        <f t="shared" ref="W43:X50" si="28">W42</f>
        <v>1</v>
      </c>
      <c r="X43" s="211">
        <f t="shared" si="28"/>
        <v>1</v>
      </c>
    </row>
    <row r="44" spans="1:25" x14ac:dyDescent="0.2">
      <c r="A44" s="198">
        <f t="shared" si="26"/>
        <v>2037</v>
      </c>
      <c r="B44" s="196">
        <f>(B43+'KU EIAData'!Z43/3)</f>
        <v>0.18383124560713654</v>
      </c>
      <c r="C44" s="196">
        <f>(C43+'KU EIAData'!AB43/3)</f>
        <v>0.39257115288528832</v>
      </c>
      <c r="D44" s="196">
        <f>'KU EIAData'!AC38</f>
        <v>4.0048368977284386E-2</v>
      </c>
      <c r="E44" s="196">
        <f>(E43+'KU EIAData'!AF38/3)</f>
        <v>0.2042782814928342</v>
      </c>
      <c r="F44" s="196">
        <f>(F43+'KU EIAData'!AJ38)</f>
        <v>0.72229085838697649</v>
      </c>
      <c r="G44" s="196">
        <f>(G43+'KU EIAData'!AL38/3)</f>
        <v>0.31442115288528832</v>
      </c>
      <c r="H44" s="211">
        <f t="shared" si="27"/>
        <v>3.933280936740037E-2</v>
      </c>
      <c r="I44" s="203">
        <f t="shared" si="25"/>
        <v>0.14849999999999999</v>
      </c>
      <c r="J44" s="196">
        <f>(J43+'KU EIAData'!AS38/3)</f>
        <v>0.71488183558755691</v>
      </c>
      <c r="K44" s="196">
        <f>(K43+'KU EIAData'!AU38)</f>
        <v>1.9208777988952679</v>
      </c>
      <c r="L44" s="196">
        <v>1</v>
      </c>
      <c r="M44" s="203">
        <f>'KU EIAData'!AX38-'KU Shares'!L44</f>
        <v>0.19388003692646305</v>
      </c>
      <c r="N44" s="196">
        <f>(N43+'KU EIAData'!BA38)</f>
        <v>0.4235582772930418</v>
      </c>
      <c r="O44" s="196">
        <f>(O43+'KU EIAData'!AQ38)</f>
        <v>0.83699878379379633</v>
      </c>
      <c r="P44" s="187">
        <f t="shared" si="22"/>
        <v>0.83699878379379633</v>
      </c>
      <c r="Q44" s="196">
        <f>(Q43+'KU EIAData'!AO38)</f>
        <v>0.95773800037037315</v>
      </c>
      <c r="R44" s="187">
        <f t="shared" si="23"/>
        <v>0.95773800037037315</v>
      </c>
      <c r="S44" s="196">
        <f>(S43+'KU EIAData'!AW38)</f>
        <v>0.73652340693270846</v>
      </c>
      <c r="T44" s="187">
        <f t="shared" si="24"/>
        <v>0.73652340693270846</v>
      </c>
      <c r="U44" s="187">
        <f>'KU EIAData'!BB38</f>
        <v>4.3486488439961644</v>
      </c>
      <c r="V44" s="196">
        <f>'KU EIAData'!BD38</f>
        <v>0.37352329952625807</v>
      </c>
      <c r="W44" s="211">
        <f t="shared" si="28"/>
        <v>1</v>
      </c>
      <c r="X44" s="211">
        <f t="shared" si="28"/>
        <v>1</v>
      </c>
    </row>
    <row r="45" spans="1:25" x14ac:dyDescent="0.2">
      <c r="A45" s="198">
        <f t="shared" si="26"/>
        <v>2038</v>
      </c>
      <c r="B45" s="196">
        <f>(B44+'KU EIAData'!Z45/3)</f>
        <v>0.18383124560713654</v>
      </c>
      <c r="C45" s="196">
        <f>(C44+'KU EIAData'!AB45/3)</f>
        <v>0.39257115288528832</v>
      </c>
      <c r="D45" s="196">
        <f>'KU EIAData'!AC39</f>
        <v>4.04110157453378E-2</v>
      </c>
      <c r="E45" s="196">
        <f>(E44+'KU EIAData'!AF39/3)</f>
        <v>0.20096092864663381</v>
      </c>
      <c r="F45" s="196">
        <f>(F44+'KU EIAData'!AJ39)</f>
        <v>0.72263662971905074</v>
      </c>
      <c r="G45" s="196">
        <f>(G44+'KU EIAData'!AL39/3)</f>
        <v>0.31840422150860181</v>
      </c>
      <c r="H45" s="211">
        <f t="shared" si="27"/>
        <v>3.933280936740037E-2</v>
      </c>
      <c r="I45" s="203">
        <f t="shared" si="25"/>
        <v>0.14799999999999999</v>
      </c>
      <c r="J45" s="196">
        <f>(J44+'KU EIAData'!AS39/3)</f>
        <v>0.71563111652809708</v>
      </c>
      <c r="K45" s="196">
        <f>(K44+'KU EIAData'!AU39)</f>
        <v>1.9220174739393829</v>
      </c>
      <c r="L45" s="196">
        <v>1</v>
      </c>
      <c r="M45" s="203">
        <f>'KU EIAData'!AX39-'KU Shares'!L45</f>
        <v>0.19373925139014903</v>
      </c>
      <c r="N45" s="196">
        <f>(N44+'KU EIAData'!BA39)</f>
        <v>0.42314460883836919</v>
      </c>
      <c r="O45" s="196">
        <f>(O44+'KU EIAData'!AQ39)</f>
        <v>0.84218634930701597</v>
      </c>
      <c r="P45" s="187">
        <f t="shared" si="22"/>
        <v>0.84218634930701597</v>
      </c>
      <c r="Q45" s="196">
        <f>(Q44+'KU EIAData'!AO39)</f>
        <v>0.95851997221156215</v>
      </c>
      <c r="R45" s="187">
        <f t="shared" si="23"/>
        <v>0.95851997221156215</v>
      </c>
      <c r="S45" s="196">
        <f>(S44+'KU EIAData'!AW39)</f>
        <v>0.73799125061919435</v>
      </c>
      <c r="T45" s="187">
        <f t="shared" si="24"/>
        <v>0.73799125061919435</v>
      </c>
      <c r="U45" s="187">
        <f>'KU EIAData'!BB39</f>
        <v>4.369949247989755</v>
      </c>
      <c r="V45" s="196">
        <f>'KU EIAData'!BD39</f>
        <v>0.3712325493271379</v>
      </c>
      <c r="W45" s="211">
        <f t="shared" si="28"/>
        <v>1</v>
      </c>
      <c r="X45" s="211">
        <f t="shared" si="28"/>
        <v>1</v>
      </c>
    </row>
    <row r="46" spans="1:25" x14ac:dyDescent="0.2">
      <c r="A46" s="198">
        <f t="shared" si="26"/>
        <v>2039</v>
      </c>
      <c r="B46" s="196">
        <f>(B45+'KU EIAData'!Z46/3)</f>
        <v>0.18383124560713654</v>
      </c>
      <c r="C46" s="196">
        <f>(C45+'KU EIAData'!AB46/3)</f>
        <v>0.39257115288528832</v>
      </c>
      <c r="D46" s="196">
        <f>'KU EIAData'!AC40</f>
        <v>4.0776946359443823E-2</v>
      </c>
      <c r="E46" s="196">
        <f>(E45+'KU EIAData'!AF40/3)</f>
        <v>0.19764357580043343</v>
      </c>
      <c r="F46" s="196">
        <f>(F45+'KU EIAData'!AJ40)</f>
        <v>0.72298240105112499</v>
      </c>
      <c r="G46" s="196">
        <f>(G45+'KU EIAData'!AL40/3)</f>
        <v>0.32238729013191531</v>
      </c>
      <c r="H46" s="211">
        <f t="shared" si="27"/>
        <v>3.933280936740037E-2</v>
      </c>
      <c r="I46" s="203">
        <f t="shared" si="25"/>
        <v>0.14749999999999999</v>
      </c>
      <c r="J46" s="196">
        <f>(J45+'KU EIAData'!AS40/3)</f>
        <v>0.71638039746863724</v>
      </c>
      <c r="K46" s="196">
        <f>(K45+'KU EIAData'!AU40)</f>
        <v>1.923157148983498</v>
      </c>
      <c r="L46" s="196">
        <v>1</v>
      </c>
      <c r="M46" s="203">
        <f>'KU EIAData'!AX40-'KU Shares'!L46</f>
        <v>0.19359848245564293</v>
      </c>
      <c r="N46" s="196">
        <f>(N45+'KU EIAData'!BA40)</f>
        <v>0.42273094038369657</v>
      </c>
      <c r="O46" s="196">
        <f>(O45+'KU EIAData'!AQ40)</f>
        <v>0.84737391482023561</v>
      </c>
      <c r="P46" s="187">
        <f t="shared" si="22"/>
        <v>0.84737391482023561</v>
      </c>
      <c r="Q46" s="196">
        <f>(Q45+'KU EIAData'!AO40)</f>
        <v>0.95930194405275115</v>
      </c>
      <c r="R46" s="187">
        <f t="shared" si="23"/>
        <v>0.95930194405275115</v>
      </c>
      <c r="S46" s="196">
        <f>(S45+'KU EIAData'!AW40)</f>
        <v>0.73945909430568024</v>
      </c>
      <c r="T46" s="187">
        <f t="shared" si="24"/>
        <v>0.73945909430568024</v>
      </c>
      <c r="U46" s="187">
        <f>'KU EIAData'!BB40</f>
        <v>4.3913539848983651</v>
      </c>
      <c r="V46" s="196">
        <f>'KU EIAData'!BD40</f>
        <v>0.36895584788074992</v>
      </c>
      <c r="W46" s="211">
        <f t="shared" si="28"/>
        <v>1</v>
      </c>
      <c r="X46" s="211">
        <f t="shared" si="28"/>
        <v>1</v>
      </c>
    </row>
    <row r="47" spans="1:25" x14ac:dyDescent="0.2">
      <c r="A47" s="198">
        <f t="shared" si="26"/>
        <v>2040</v>
      </c>
      <c r="B47" s="196">
        <f>(B46+'KU EIAData'!Z47/3)</f>
        <v>0.18383124560713654</v>
      </c>
      <c r="C47" s="196">
        <f>(C46+'KU EIAData'!AB47/3)</f>
        <v>0.39257115288528832</v>
      </c>
      <c r="D47" s="196">
        <f>'KU EIAData'!AC41</f>
        <v>4.1146190555548967E-2</v>
      </c>
      <c r="E47" s="196">
        <f>(E46+'KU EIAData'!AF41/3)</f>
        <v>0.19432622295423305</v>
      </c>
      <c r="F47" s="196">
        <f>(F46+'KU EIAData'!AJ41)</f>
        <v>0.72332817238319924</v>
      </c>
      <c r="G47" s="196">
        <f>(G46+'KU EIAData'!AL41/3)</f>
        <v>0.3263703587552288</v>
      </c>
      <c r="H47" s="211">
        <f t="shared" si="27"/>
        <v>3.933280936740037E-2</v>
      </c>
      <c r="I47" s="203">
        <f t="shared" si="25"/>
        <v>0.14699999999999999</v>
      </c>
      <c r="J47" s="196">
        <f>(J46+'KU EIAData'!AS41/3)</f>
        <v>0.71712967840917741</v>
      </c>
      <c r="K47" s="196">
        <f>(K46+'KU EIAData'!AU41)</f>
        <v>1.924296824027613</v>
      </c>
      <c r="L47" s="196">
        <v>1</v>
      </c>
      <c r="M47" s="203">
        <f>'KU EIAData'!AX41-'KU Shares'!L47</f>
        <v>0.19345773012098721</v>
      </c>
      <c r="N47" s="196">
        <f>(N46+'KU EIAData'!BA41)</f>
        <v>0.42231727192902396</v>
      </c>
      <c r="O47" s="196">
        <f>(O46+'KU EIAData'!AQ41)</f>
        <v>0.85256148033345525</v>
      </c>
      <c r="P47" s="187">
        <f t="shared" si="22"/>
        <v>0.85256148033345525</v>
      </c>
      <c r="Q47" s="196">
        <f>(Q46+'KU EIAData'!AO41)</f>
        <v>0.96008391589394015</v>
      </c>
      <c r="R47" s="187">
        <f t="shared" si="23"/>
        <v>0.96008391589394015</v>
      </c>
      <c r="S47" s="196">
        <f>(S46+'KU EIAData'!AW41)</f>
        <v>0.74092693799216613</v>
      </c>
      <c r="T47" s="187">
        <f t="shared" si="24"/>
        <v>0.74092693799216613</v>
      </c>
      <c r="U47" s="187">
        <f>'KU EIAData'!BB41</f>
        <v>4.4128635657619331</v>
      </c>
      <c r="V47" s="196">
        <f>'KU EIAData'!BD41</f>
        <v>0.36669310902865865</v>
      </c>
      <c r="W47" s="211">
        <f t="shared" si="28"/>
        <v>1</v>
      </c>
      <c r="X47" s="211">
        <f t="shared" si="28"/>
        <v>1</v>
      </c>
    </row>
    <row r="48" spans="1:25" x14ac:dyDescent="0.2">
      <c r="A48" s="198">
        <f t="shared" si="26"/>
        <v>2041</v>
      </c>
      <c r="B48" s="196">
        <f>(B47+'KU EIAData'!Z48/3)</f>
        <v>0.18383124560713654</v>
      </c>
      <c r="C48" s="196">
        <f>(C47+'KU EIAData'!AB48/3)</f>
        <v>0.39257115288528832</v>
      </c>
      <c r="D48" s="196">
        <f>'KU EIAData'!AC42</f>
        <v>4.1518778338865268E-2</v>
      </c>
      <c r="E48" s="196">
        <f>(E47+'KU EIAData'!AF42/3)</f>
        <v>0.19100887010803269</v>
      </c>
      <c r="F48" s="196">
        <f>(F47+'KU EIAData'!AJ42)</f>
        <v>0.72367394371527349</v>
      </c>
      <c r="G48" s="196">
        <f>(G47+'KU EIAData'!AL42/3)</f>
        <v>0.33035342737854229</v>
      </c>
      <c r="H48" s="211">
        <f t="shared" si="27"/>
        <v>3.933280936740037E-2</v>
      </c>
      <c r="I48" s="203">
        <f t="shared" si="25"/>
        <v>0.14649999999999999</v>
      </c>
      <c r="J48" s="196">
        <f>(J47+'KU EIAData'!AS42/3)</f>
        <v>0.71787895934971757</v>
      </c>
      <c r="K48" s="196">
        <f>(K47+'KU EIAData'!AU42)</f>
        <v>1.9254364990717281</v>
      </c>
      <c r="L48" s="196">
        <v>1</v>
      </c>
      <c r="M48" s="203">
        <f>'KU EIAData'!AX42-'KU Shares'!L48</f>
        <v>0.19331699438422434</v>
      </c>
      <c r="N48" s="196">
        <f>(N47+'KU EIAData'!BA42)</f>
        <v>0.42190360347435135</v>
      </c>
      <c r="O48" s="196">
        <f>(O47+'KU EIAData'!AQ42)</f>
        <v>0.85774904584667488</v>
      </c>
      <c r="P48" s="187">
        <f t="shared" si="22"/>
        <v>0.85774904584667488</v>
      </c>
      <c r="Q48" s="196">
        <f>(Q47+'KU EIAData'!AO42)</f>
        <v>0.96086588773512915</v>
      </c>
      <c r="R48" s="187">
        <f t="shared" si="23"/>
        <v>0.96086588773512915</v>
      </c>
      <c r="S48" s="196">
        <f>(S47+'KU EIAData'!AW42)</f>
        <v>0.74239478167865203</v>
      </c>
      <c r="T48" s="187">
        <f t="shared" si="24"/>
        <v>0.74239478167865203</v>
      </c>
      <c r="U48" s="187">
        <f>'KU EIAData'!BB42</f>
        <v>4.4344785041235575</v>
      </c>
      <c r="V48" s="196">
        <f>'KU EIAData'!BD42</f>
        <v>0.36444424714082252</v>
      </c>
      <c r="W48" s="211">
        <f t="shared" si="28"/>
        <v>1</v>
      </c>
      <c r="X48" s="211">
        <f t="shared" si="28"/>
        <v>1</v>
      </c>
    </row>
    <row r="49" spans="1:24" x14ac:dyDescent="0.2">
      <c r="A49" s="198">
        <f t="shared" si="26"/>
        <v>2042</v>
      </c>
      <c r="B49" s="196">
        <f>(B48+'KU EIAData'!Z49/3)</f>
        <v>0.18383124560713654</v>
      </c>
      <c r="C49" s="196">
        <f>(C48+'KU EIAData'!AB49/3)</f>
        <v>0.39257115288528832</v>
      </c>
      <c r="D49" s="196">
        <f>'KU EIAData'!AC43</f>
        <v>4.1894739986308528E-2</v>
      </c>
      <c r="E49" s="196">
        <f>(E48+'KU EIAData'!AF43/3)</f>
        <v>0.18769151726183234</v>
      </c>
      <c r="F49" s="196">
        <f>(F48+'KU EIAData'!AJ43)</f>
        <v>0.72401971504734774</v>
      </c>
      <c r="G49" s="196">
        <f>(G48+'KU EIAData'!AL43/3)</f>
        <v>0.33433649600185578</v>
      </c>
      <c r="H49" s="211">
        <f t="shared" si="27"/>
        <v>3.933280936740037E-2</v>
      </c>
      <c r="I49" s="203">
        <f t="shared" si="25"/>
        <v>0.14599999999999999</v>
      </c>
      <c r="J49" s="196">
        <f>(J48+'KU EIAData'!AS43/3)</f>
        <v>0.71862824029025774</v>
      </c>
      <c r="K49" s="196">
        <f>(K48+'KU EIAData'!AU43)</f>
        <v>1.9265761741158431</v>
      </c>
      <c r="L49" s="196">
        <v>1</v>
      </c>
      <c r="M49" s="203">
        <f>'KU EIAData'!AX43-'KU Shares'!L49</f>
        <v>0.1931762752433972</v>
      </c>
      <c r="N49" s="196">
        <f>(N48+'KU EIAData'!BA43)</f>
        <v>0.42148993501967874</v>
      </c>
      <c r="O49" s="196">
        <f>(O48+'KU EIAData'!AQ43)</f>
        <v>0.86293661135989452</v>
      </c>
      <c r="P49" s="187">
        <f t="shared" si="22"/>
        <v>0.86293661135989452</v>
      </c>
      <c r="Q49" s="196">
        <f>(Q48+'KU EIAData'!AO43)</f>
        <v>0.96164785957631815</v>
      </c>
      <c r="R49" s="187">
        <f t="shared" si="23"/>
        <v>0.96164785957631815</v>
      </c>
      <c r="S49" s="196">
        <f>(S48+'KU EIAData'!AW43)</f>
        <v>0.74386262536513792</v>
      </c>
      <c r="T49" s="187">
        <f t="shared" si="24"/>
        <v>0.74386262536513792</v>
      </c>
      <c r="U49" s="187">
        <f>'KU EIAData'!BB43</f>
        <v>4.4561993160417543</v>
      </c>
      <c r="V49" s="196">
        <f>'KU EIAData'!BD43</f>
        <v>0.36220917711235334</v>
      </c>
      <c r="W49" s="211">
        <f t="shared" si="28"/>
        <v>1</v>
      </c>
      <c r="X49" s="211">
        <f t="shared" si="28"/>
        <v>1</v>
      </c>
    </row>
    <row r="50" spans="1:24" x14ac:dyDescent="0.2">
      <c r="A50" s="198">
        <f t="shared" si="26"/>
        <v>2043</v>
      </c>
      <c r="B50" s="196">
        <f>(B49+'KU EIAData'!Z50/3)</f>
        <v>0.18383124560713654</v>
      </c>
      <c r="C50" s="196">
        <f>(C49+'KU EIAData'!AB50/3)</f>
        <v>0.39257115288528832</v>
      </c>
      <c r="D50" s="196">
        <f>'KU EIAData'!AC44</f>
        <v>4.2274106048958676E-2</v>
      </c>
      <c r="E50" s="196">
        <f>(E49+'KU EIAData'!AF45/3)</f>
        <v>0.18769151726183234</v>
      </c>
      <c r="F50" s="196">
        <f>(F49+'KU EIAData'!AJ45)</f>
        <v>0.72401971504734774</v>
      </c>
      <c r="G50" s="196">
        <f>(G49+'KU EIAData'!AL44/3)</f>
        <v>0.33831956462516927</v>
      </c>
      <c r="H50" s="211">
        <f t="shared" si="27"/>
        <v>3.933280936740037E-2</v>
      </c>
      <c r="I50" s="203">
        <f t="shared" si="25"/>
        <v>0.14549999999999999</v>
      </c>
      <c r="J50" s="196">
        <f>(J49+'KU EIAData'!AS44/3)</f>
        <v>0.7193775212307979</v>
      </c>
      <c r="K50" s="196">
        <f>(K49+'KU EIAData'!AU44)</f>
        <v>1.9277158491599582</v>
      </c>
      <c r="L50" s="196">
        <v>1</v>
      </c>
      <c r="M50" s="203">
        <f>'KU EIAData'!AX44-'KU Shares'!L50</f>
        <v>0.1930355726965487</v>
      </c>
      <c r="N50" s="196">
        <f>(N49+'KU EIAData'!BA44)</f>
        <v>0.42107626656500613</v>
      </c>
      <c r="O50" s="196">
        <f>(O49+'KU EIAData'!AQ44)</f>
        <v>0.86812417687311416</v>
      </c>
      <c r="P50" s="187">
        <f t="shared" si="22"/>
        <v>0.86812417687311416</v>
      </c>
      <c r="Q50" s="196">
        <f>(Q49+'KU EIAData'!AO44)</f>
        <v>0.96242983141750715</v>
      </c>
      <c r="R50" s="187">
        <f t="shared" si="23"/>
        <v>0.96242983141750715</v>
      </c>
      <c r="S50" s="196">
        <f>(S49+'KU EIAData'!AW44)</f>
        <v>0.74533046905162381</v>
      </c>
      <c r="T50" s="187">
        <f t="shared" si="24"/>
        <v>0.74533046905162381</v>
      </c>
      <c r="U50" s="187">
        <f>'KU EIAData'!BB44</f>
        <v>4.4780265201027802</v>
      </c>
      <c r="V50" s="196">
        <f>'KU EIAData'!BD44</f>
        <v>0.3599878143602957</v>
      </c>
      <c r="W50" s="211">
        <f t="shared" si="28"/>
        <v>1</v>
      </c>
      <c r="X50" s="211">
        <f t="shared" si="28"/>
        <v>1</v>
      </c>
    </row>
    <row r="51" spans="1:24" x14ac:dyDescent="0.2">
      <c r="U51" s="187"/>
    </row>
    <row r="52" spans="1:24" x14ac:dyDescent="0.2">
      <c r="C52" s="170">
        <f>C25/C12</f>
        <v>1.4192796499490239</v>
      </c>
      <c r="D52" s="170">
        <f>D25/D12</f>
        <v>5.2773028111113121</v>
      </c>
      <c r="U52" s="187"/>
    </row>
    <row r="53" spans="1:24" x14ac:dyDescent="0.2">
      <c r="U53" s="187"/>
    </row>
    <row r="54" spans="1:24" x14ac:dyDescent="0.2">
      <c r="U54" s="187"/>
    </row>
    <row r="55" spans="1:24" x14ac:dyDescent="0.2">
      <c r="U55" s="187"/>
    </row>
    <row r="56" spans="1:24" x14ac:dyDescent="0.2">
      <c r="U56" s="187"/>
    </row>
    <row r="57" spans="1:24" x14ac:dyDescent="0.2">
      <c r="U57" s="187"/>
    </row>
    <row r="58" spans="1:24" x14ac:dyDescent="0.2">
      <c r="U58" s="187"/>
    </row>
    <row r="59" spans="1:24" x14ac:dyDescent="0.2">
      <c r="U59" s="187"/>
    </row>
  </sheetData>
  <phoneticPr fontId="0" type="noConversion"/>
  <pageMargins left="0.75" right="0.75" top="1.25" bottom="1" header="0.5" footer="0.5"/>
  <pageSetup orientation="portrait" verticalDpi="300" r:id="rId1"/>
  <headerFooter alignWithMargins="0">
    <oddHeader xml:space="preserve">&amp;R&amp;"Times New Roman,Bold"&amp;12Attachment to Response to Sierra Club Question No. 1.3 #11
Page &amp;P of &amp;N
Schram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31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120</vt:i4>
      </vt:variant>
    </vt:vector>
  </HeadingPairs>
  <TitlesOfParts>
    <vt:vector size="152" baseType="lpstr">
      <vt:lpstr>Definitions</vt:lpstr>
      <vt:lpstr>KU Inputs</vt:lpstr>
      <vt:lpstr>KU UtilityData</vt:lpstr>
      <vt:lpstr>KU AnnualIndices</vt:lpstr>
      <vt:lpstr>KU ShareUEC</vt:lpstr>
      <vt:lpstr>KU Shares</vt:lpstr>
      <vt:lpstr>KU Efficiencies</vt:lpstr>
      <vt:lpstr>KU EIAData</vt:lpstr>
      <vt:lpstr>KU StructuralVars</vt:lpstr>
      <vt:lpstr>KU MonthlyMults</vt:lpstr>
      <vt:lpstr>LE Inputs</vt:lpstr>
      <vt:lpstr>LE UtilityData</vt:lpstr>
      <vt:lpstr>LE rate projection</vt:lpstr>
      <vt:lpstr>LE AnnualIndices</vt:lpstr>
      <vt:lpstr>LE ShareUEC</vt:lpstr>
      <vt:lpstr>LE Shares</vt:lpstr>
      <vt:lpstr>LE Efficiencies</vt:lpstr>
      <vt:lpstr>LE EIAData</vt:lpstr>
      <vt:lpstr>LE StructuralVars</vt:lpstr>
      <vt:lpstr>LE MonthlyMults</vt:lpstr>
      <vt:lpstr>OD Inputs</vt:lpstr>
      <vt:lpstr>OD Rates</vt:lpstr>
      <vt:lpstr>PVT Utility Data</vt:lpstr>
      <vt:lpstr>OD UtilityData</vt:lpstr>
      <vt:lpstr>OD AnnualIndices</vt:lpstr>
      <vt:lpstr>OD ShareUEC</vt:lpstr>
      <vt:lpstr>OD Shares</vt:lpstr>
      <vt:lpstr>OD Efficiencies</vt:lpstr>
      <vt:lpstr>OD StructuralVars</vt:lpstr>
      <vt:lpstr>OD EIAData</vt:lpstr>
      <vt:lpstr>OD MonthlyMults</vt:lpstr>
      <vt:lpstr>LE Chart HH</vt:lpstr>
      <vt:lpstr>AnnCool1995</vt:lpstr>
      <vt:lpstr>AnnCool1996</vt:lpstr>
      <vt:lpstr>AnnCool1997</vt:lpstr>
      <vt:lpstr>AnnCool1998</vt:lpstr>
      <vt:lpstr>AnnCool1999</vt:lpstr>
      <vt:lpstr>AnnCool2000</vt:lpstr>
      <vt:lpstr>AnnCool2001</vt:lpstr>
      <vt:lpstr>AnnCool2002</vt:lpstr>
      <vt:lpstr>AnnCool2003</vt:lpstr>
      <vt:lpstr>AnnCool2004</vt:lpstr>
      <vt:lpstr>AnnCool2005</vt:lpstr>
      <vt:lpstr>AnnCool2006</vt:lpstr>
      <vt:lpstr>AnnCool2007</vt:lpstr>
      <vt:lpstr>AnnCool2008</vt:lpstr>
      <vt:lpstr>AnnCool2009</vt:lpstr>
      <vt:lpstr>AnnCool2010</vt:lpstr>
      <vt:lpstr>AnnCool2011</vt:lpstr>
      <vt:lpstr>AnnCool2012</vt:lpstr>
      <vt:lpstr>AnnCool2013</vt:lpstr>
      <vt:lpstr>AnnCool2014</vt:lpstr>
      <vt:lpstr>AnnCool2015</vt:lpstr>
      <vt:lpstr>AnnCool2016</vt:lpstr>
      <vt:lpstr>AnnCool2017</vt:lpstr>
      <vt:lpstr>AnnCool2018</vt:lpstr>
      <vt:lpstr>AnnCool2019</vt:lpstr>
      <vt:lpstr>AnnCool2020</vt:lpstr>
      <vt:lpstr>AnnCool2021</vt:lpstr>
      <vt:lpstr>AnnCool2022</vt:lpstr>
      <vt:lpstr>AnnCool2023</vt:lpstr>
      <vt:lpstr>AnnCool2024</vt:lpstr>
      <vt:lpstr>AnnCool2025</vt:lpstr>
      <vt:lpstr>AnnHeat1995</vt:lpstr>
      <vt:lpstr>AnnHeat1996</vt:lpstr>
      <vt:lpstr>AnnHeat1997</vt:lpstr>
      <vt:lpstr>AnnHeat1998</vt:lpstr>
      <vt:lpstr>AnnHeat1999</vt:lpstr>
      <vt:lpstr>AnnHeat2000</vt:lpstr>
      <vt:lpstr>AnnHeat2001</vt:lpstr>
      <vt:lpstr>AnnHeat2002</vt:lpstr>
      <vt:lpstr>AnnHeat2003</vt:lpstr>
      <vt:lpstr>AnnHeat2004</vt:lpstr>
      <vt:lpstr>AnnHeat2005</vt:lpstr>
      <vt:lpstr>AnnHeat2006</vt:lpstr>
      <vt:lpstr>AnnHeat2007</vt:lpstr>
      <vt:lpstr>AnnHeat2008</vt:lpstr>
      <vt:lpstr>AnnHeat2009</vt:lpstr>
      <vt:lpstr>AnnHeat2010</vt:lpstr>
      <vt:lpstr>AnnHeat2011</vt:lpstr>
      <vt:lpstr>AnnHeat2012</vt:lpstr>
      <vt:lpstr>AnnHeat2013</vt:lpstr>
      <vt:lpstr>AnnHeat2014</vt:lpstr>
      <vt:lpstr>AnnHeat2015</vt:lpstr>
      <vt:lpstr>AnnHeat2016</vt:lpstr>
      <vt:lpstr>AnnHeat2017</vt:lpstr>
      <vt:lpstr>AnnHeat2018</vt:lpstr>
      <vt:lpstr>AnnHeat2019</vt:lpstr>
      <vt:lpstr>AnnHeat2020</vt:lpstr>
      <vt:lpstr>AnnHeat2021</vt:lpstr>
      <vt:lpstr>AnnHeat2022</vt:lpstr>
      <vt:lpstr>AnnHeat2023</vt:lpstr>
      <vt:lpstr>AnnHeat2024</vt:lpstr>
      <vt:lpstr>AnnHeat2025</vt:lpstr>
      <vt:lpstr>MonMult1</vt:lpstr>
      <vt:lpstr>MonMult10</vt:lpstr>
      <vt:lpstr>MonMult11</vt:lpstr>
      <vt:lpstr>MonMult12</vt:lpstr>
      <vt:lpstr>MonMult2</vt:lpstr>
      <vt:lpstr>MonMult3</vt:lpstr>
      <vt:lpstr>MonMult4</vt:lpstr>
      <vt:lpstr>MonMult5</vt:lpstr>
      <vt:lpstr>MonMult6</vt:lpstr>
      <vt:lpstr>MonMult7</vt:lpstr>
      <vt:lpstr>MonMult8</vt:lpstr>
      <vt:lpstr>MonMult9</vt:lpstr>
      <vt:lpstr>NENG1995</vt:lpstr>
      <vt:lpstr>NENG1996</vt:lpstr>
      <vt:lpstr>NENG1997</vt:lpstr>
      <vt:lpstr>NENG1998</vt:lpstr>
      <vt:lpstr>NENG1999</vt:lpstr>
      <vt:lpstr>NENG2000</vt:lpstr>
      <vt:lpstr>NENG2001</vt:lpstr>
      <vt:lpstr>NENG2002</vt:lpstr>
      <vt:lpstr>NENG2003</vt:lpstr>
      <vt:lpstr>NENG2004</vt:lpstr>
      <vt:lpstr>NENG2005</vt:lpstr>
      <vt:lpstr>NENG2006</vt:lpstr>
      <vt:lpstr>NENG2007</vt:lpstr>
      <vt:lpstr>NENG2008</vt:lpstr>
      <vt:lpstr>NENG2009</vt:lpstr>
      <vt:lpstr>NENG2010</vt:lpstr>
      <vt:lpstr>NENG2011</vt:lpstr>
      <vt:lpstr>NENG2012</vt:lpstr>
      <vt:lpstr>NENG2013</vt:lpstr>
      <vt:lpstr>NENG2014</vt:lpstr>
      <vt:lpstr>NENG2015</vt:lpstr>
      <vt:lpstr>NENG2016</vt:lpstr>
      <vt:lpstr>NENG2017</vt:lpstr>
      <vt:lpstr>NENG2018</vt:lpstr>
      <vt:lpstr>NENG2019</vt:lpstr>
      <vt:lpstr>NENG2020</vt:lpstr>
      <vt:lpstr>NENG2021</vt:lpstr>
      <vt:lpstr>NENG2022</vt:lpstr>
      <vt:lpstr>NENG2023</vt:lpstr>
      <vt:lpstr>NENG2024</vt:lpstr>
      <vt:lpstr>NENG2025</vt:lpstr>
      <vt:lpstr>'KU Efficiencies'!Print_Area</vt:lpstr>
      <vt:lpstr>'KU EIAData'!Print_Area</vt:lpstr>
      <vt:lpstr>'KU MonthlyMults'!Print_Area</vt:lpstr>
      <vt:lpstr>'KU Shares'!Print_Area</vt:lpstr>
      <vt:lpstr>'KU StructuralVars'!Print_Area</vt:lpstr>
      <vt:lpstr>'LE Efficiencies'!Print_Area</vt:lpstr>
      <vt:lpstr>'LE EIAData'!Print_Area</vt:lpstr>
      <vt:lpstr>'LE MonthlyMults'!Print_Area</vt:lpstr>
      <vt:lpstr>'LE Shares'!Print_Area</vt:lpstr>
      <vt:lpstr>'LE StructuralVars'!Print_Area</vt:lpstr>
      <vt:lpstr>'OD Efficiencies'!Print_Area</vt:lpstr>
      <vt:lpstr>'OD EIAData'!Print_Area</vt:lpstr>
      <vt:lpstr>'OD MonthlyMults'!Print_Area</vt:lpstr>
      <vt:lpstr>'OD Shares'!Print_Area</vt:lpstr>
      <vt:lpstr>'OD StructuralVars'!Print_Area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2014-03-27T00:51:27Z</dcterms:created>
  <dcterms:modified xsi:type="dcterms:W3CDTF">2014-11-20T21:12:25Z</dcterms:modified>
</cp:coreProperties>
</file>